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data" ContentType="application/vnd.openxmlformats-officedocument.model+data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pivotTables/pivotTable2.xml" ContentType="application/vnd.openxmlformats-officedocument.spreadsheetml.pivotTable+xml"/>
  <Override PartName="/xl/pivotTables/pivotTable3.xml" ContentType="application/vnd.openxmlformats-officedocument.spreadsheetml.pivotTable+xml"/>
  <Override PartName="/xl/tables/table4.xml" ContentType="application/vnd.openxmlformats-officedocument.spreadsheetml.table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tables/table5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customXml/itemProps5.xml" ContentType="application/vnd.openxmlformats-officedocument.customXmlProperties+xml"/>
  <Override PartName="/customXml/itemProps6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 /><Relationship Id="rId2" Type="http://schemas.openxmlformats.org/package/2006/relationships/metadata/core-properties" Target="docProps/core.xml" /><Relationship Id="rId1" Type="http://schemas.openxmlformats.org/officeDocument/2006/relationships/officeDocument" Target="xl/workbook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3"/>
  <workbookPr filterPrivacy="1" showInkAnnotation="0" codeName="ThisWorkbook" defaultThemeVersion="124226"/>
  <xr:revisionPtr revIDLastSave="1997" documentId="13_ncr:1_{01B3486F-7C67-4277-9C8F-521D01ADD9F0}" xr6:coauthVersionLast="47" xr6:coauthVersionMax="47" xr10:uidLastSave="{35F97395-509F-4B5C-B800-0035705E8B1A}"/>
  <bookViews>
    <workbookView xWindow="-110" yWindow="-110" windowWidth="19420" windowHeight="10300" activeTab="4" xr2:uid="{00000000-000D-0000-FFFF-FFFF00000000}"/>
  </bookViews>
  <sheets>
    <sheet name="Sheet1" sheetId="47" r:id="rId1"/>
    <sheet name="Detail1" sheetId="52" r:id="rId2"/>
    <sheet name="Sheet2" sheetId="50" r:id="rId3"/>
    <sheet name="Sheet3" sheetId="53" r:id="rId4"/>
    <sheet name="Grand Total" sheetId="36" r:id="rId5"/>
    <sheet name="Query1" sheetId="49" r:id="rId6"/>
  </sheets>
  <definedNames>
    <definedName name="_xlcn.WorksheetConnection_Table2" hidden="1">farms_grand_evaluation</definedName>
    <definedName name="ExternalData_1" localSheetId="5" hidden="1">Query1!$A$1:$AS$52</definedName>
    <definedName name="farms_grand_total">#REF!</definedName>
  </definedNames>
  <calcPr calcId="191028"/>
  <pivotCaches>
    <pivotCache cacheId="0" r:id="rId7"/>
  </pivotCaches>
  <extLst>
    <ext xmlns:x15="http://schemas.microsoft.com/office/spreadsheetml/2010/11/main" uri="{FCE2AD5D-F65C-4FA6-A056-5C36A1767C68}">
      <x15:dataModel>
        <x15:modelTables>
          <x15:modelTable id="Table2-a85bee55-da0a-43b6-a9e2-0aacd4f81908" name="Table2" connection="WorksheetConnection_Table2"/>
        </x15:modelTables>
      </x15:dataModel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647" i="36" l="1"/>
  <c r="AC2512" i="36"/>
  <c r="AC2510" i="36"/>
  <c r="AC2511" i="36"/>
  <c r="AC2565" i="36"/>
  <c r="AC2566" i="36"/>
  <c r="AC2569" i="36"/>
  <c r="AC2567" i="36"/>
  <c r="AC2568" i="36"/>
  <c r="AC2570" i="36"/>
  <c r="AC2573" i="36"/>
  <c r="AC2574" i="36"/>
  <c r="AC2576" i="36"/>
  <c r="AC2575" i="36"/>
  <c r="AC2577" i="36"/>
  <c r="AC2578" i="36"/>
  <c r="AC2579" i="36"/>
  <c r="AC2581" i="36"/>
  <c r="AC2580" i="36"/>
  <c r="AC2598" i="36"/>
  <c r="AC2582" i="36"/>
  <c r="AC2597" i="36"/>
  <c r="AC2513" i="36"/>
  <c r="AC2599" i="36"/>
  <c r="AC2600" i="36"/>
  <c r="AC2601" i="36"/>
  <c r="AC2611" i="36"/>
  <c r="AC2605" i="36"/>
  <c r="AC2604" i="36"/>
  <c r="AC2612" i="36"/>
  <c r="AC2623" i="36"/>
  <c r="AC2613" i="36"/>
  <c r="AC2633" i="36"/>
  <c r="AC2627" i="36"/>
  <c r="AC2631" i="36"/>
  <c r="AC2634" i="36"/>
  <c r="AC2635" i="36"/>
  <c r="AC2637" i="36"/>
  <c r="AC2638" i="36"/>
  <c r="AC2641" i="36"/>
  <c r="AC2645" i="36"/>
  <c r="AC2515" i="36"/>
  <c r="AC2514" i="36"/>
  <c r="AC2516" i="36"/>
  <c r="AC2528" i="36"/>
  <c r="AC2529" i="36"/>
  <c r="AC2530" i="36"/>
  <c r="AC2531" i="36"/>
  <c r="AC2532" i="36"/>
  <c r="AC2562" i="36"/>
  <c r="AC2563" i="36"/>
  <c r="AC2564" i="36"/>
  <c r="AA2512" i="36"/>
  <c r="AB2512" i="36"/>
  <c r="AA2510" i="36"/>
  <c r="AB2510" i="36"/>
  <c r="AA2511" i="36"/>
  <c r="AB2511" i="36"/>
  <c r="AA2565" i="36"/>
  <c r="AB2565" i="36"/>
  <c r="AA2566" i="36"/>
  <c r="AB2566" i="36"/>
  <c r="AA2569" i="36"/>
  <c r="AB2569" i="36"/>
  <c r="AA2567" i="36"/>
  <c r="AB2567" i="36"/>
  <c r="AA2568" i="36"/>
  <c r="AB2568" i="36"/>
  <c r="AA2570" i="36"/>
  <c r="AB2570" i="36"/>
  <c r="AA2573" i="36"/>
  <c r="AB2573" i="36"/>
  <c r="AA2574" i="36"/>
  <c r="AB2574" i="36"/>
  <c r="AA2576" i="36"/>
  <c r="AB2576" i="36"/>
  <c r="AA2575" i="36"/>
  <c r="AB2575" i="36"/>
  <c r="AA2577" i="36"/>
  <c r="AB2577" i="36"/>
  <c r="AA2578" i="36"/>
  <c r="AB2578" i="36"/>
  <c r="AA2579" i="36"/>
  <c r="AB2579" i="36"/>
  <c r="AA2581" i="36"/>
  <c r="AB2581" i="36"/>
  <c r="AA2580" i="36"/>
  <c r="AB2580" i="36"/>
  <c r="AA2598" i="36"/>
  <c r="AB2598" i="36"/>
  <c r="AA2582" i="36"/>
  <c r="AB2582" i="36"/>
  <c r="AA2597" i="36"/>
  <c r="AB2597" i="36"/>
  <c r="AA2513" i="36"/>
  <c r="AB2513" i="36"/>
  <c r="AA2599" i="36"/>
  <c r="AB2599" i="36"/>
  <c r="AA2600" i="36"/>
  <c r="AB2600" i="36"/>
  <c r="AA2601" i="36"/>
  <c r="AB2601" i="36"/>
  <c r="AA2611" i="36"/>
  <c r="AB2611" i="36"/>
  <c r="AA2605" i="36"/>
  <c r="AB2605" i="36"/>
  <c r="AA2604" i="36"/>
  <c r="AB2604" i="36"/>
  <c r="AA2612" i="36"/>
  <c r="AB2612" i="36"/>
  <c r="AA2623" i="36"/>
  <c r="AB2623" i="36"/>
  <c r="AA2613" i="36"/>
  <c r="AB2613" i="36"/>
  <c r="AA2633" i="36"/>
  <c r="AB2633" i="36"/>
  <c r="AA2627" i="36"/>
  <c r="AB2627" i="36"/>
  <c r="AA2631" i="36"/>
  <c r="AB2631" i="36"/>
  <c r="AA2634" i="36"/>
  <c r="AB2634" i="36"/>
  <c r="AA2635" i="36"/>
  <c r="AB2635" i="36"/>
  <c r="AA2637" i="36"/>
  <c r="AB2637" i="36"/>
  <c r="AA2638" i="36"/>
  <c r="AB2638" i="36"/>
  <c r="AA2641" i="36"/>
  <c r="AB2641" i="36"/>
  <c r="AA2645" i="36"/>
  <c r="AB2645" i="36"/>
  <c r="AA2515" i="36"/>
  <c r="AB2515" i="36"/>
  <c r="AA2514" i="36"/>
  <c r="AB2514" i="36"/>
  <c r="AA2516" i="36"/>
  <c r="AB2516" i="36"/>
  <c r="AA2528" i="36"/>
  <c r="AB2528" i="36"/>
  <c r="AA2529" i="36"/>
  <c r="AB2529" i="36"/>
  <c r="AA2530" i="36"/>
  <c r="AB2530" i="36"/>
  <c r="AA2531" i="36"/>
  <c r="AB2531" i="36"/>
  <c r="AA2532" i="36"/>
  <c r="AB2532" i="36"/>
  <c r="AA2562" i="36"/>
  <c r="AB2562" i="36"/>
  <c r="AA2563" i="36"/>
  <c r="AB2563" i="36"/>
  <c r="AA2564" i="36"/>
  <c r="AB2564" i="36"/>
  <c r="P2512" i="36"/>
  <c r="Q2512" i="36"/>
  <c r="S2512" i="36"/>
  <c r="T2512" i="36"/>
  <c r="P2510" i="36"/>
  <c r="Q2510" i="36"/>
  <c r="S2510" i="36"/>
  <c r="T2510" i="36"/>
  <c r="P2511" i="36"/>
  <c r="Q2511" i="36"/>
  <c r="S2511" i="36"/>
  <c r="T2511" i="36"/>
  <c r="P2565" i="36"/>
  <c r="Q2565" i="36"/>
  <c r="S2565" i="36"/>
  <c r="T2565" i="36"/>
  <c r="P2566" i="36"/>
  <c r="Q2566" i="36"/>
  <c r="S2566" i="36"/>
  <c r="T2566" i="36"/>
  <c r="P2569" i="36"/>
  <c r="Q2569" i="36"/>
  <c r="S2569" i="36"/>
  <c r="T2569" i="36"/>
  <c r="P2567" i="36"/>
  <c r="Q2567" i="36"/>
  <c r="S2567" i="36"/>
  <c r="T2567" i="36"/>
  <c r="P2568" i="36"/>
  <c r="Q2568" i="36"/>
  <c r="S2568" i="36"/>
  <c r="T2568" i="36"/>
  <c r="P2570" i="36"/>
  <c r="Q2570" i="36"/>
  <c r="S2570" i="36"/>
  <c r="T2570" i="36"/>
  <c r="P2573" i="36"/>
  <c r="Q2573" i="36"/>
  <c r="S2573" i="36"/>
  <c r="T2573" i="36"/>
  <c r="P2574" i="36"/>
  <c r="Q2574" i="36"/>
  <c r="S2574" i="36"/>
  <c r="T2574" i="36"/>
  <c r="P2576" i="36"/>
  <c r="Q2576" i="36"/>
  <c r="S2576" i="36"/>
  <c r="T2576" i="36"/>
  <c r="P2575" i="36"/>
  <c r="Q2575" i="36"/>
  <c r="S2575" i="36"/>
  <c r="T2575" i="36"/>
  <c r="P2577" i="36"/>
  <c r="Q2577" i="36"/>
  <c r="S2577" i="36"/>
  <c r="T2577" i="36"/>
  <c r="P2578" i="36"/>
  <c r="Q2578" i="36"/>
  <c r="S2578" i="36"/>
  <c r="T2578" i="36"/>
  <c r="P2579" i="36"/>
  <c r="Q2579" i="36"/>
  <c r="S2579" i="36"/>
  <c r="T2579" i="36"/>
  <c r="P2581" i="36"/>
  <c r="Q2581" i="36"/>
  <c r="S2581" i="36"/>
  <c r="T2581" i="36"/>
  <c r="P2580" i="36"/>
  <c r="Q2580" i="36"/>
  <c r="S2580" i="36"/>
  <c r="T2580" i="36"/>
  <c r="P2598" i="36"/>
  <c r="Q2598" i="36"/>
  <c r="S2598" i="36"/>
  <c r="T2598" i="36"/>
  <c r="P2582" i="36"/>
  <c r="Q2582" i="36"/>
  <c r="S2582" i="36"/>
  <c r="T2582" i="36"/>
  <c r="P2597" i="36"/>
  <c r="Q2597" i="36"/>
  <c r="S2597" i="36"/>
  <c r="T2597" i="36"/>
  <c r="P2513" i="36"/>
  <c r="Q2513" i="36"/>
  <c r="S2513" i="36"/>
  <c r="T2513" i="36"/>
  <c r="P2599" i="36"/>
  <c r="Q2599" i="36"/>
  <c r="S2599" i="36"/>
  <c r="T2599" i="36"/>
  <c r="P2600" i="36"/>
  <c r="Q2600" i="36"/>
  <c r="S2600" i="36"/>
  <c r="T2600" i="36"/>
  <c r="P2601" i="36"/>
  <c r="Q2601" i="36"/>
  <c r="S2601" i="36"/>
  <c r="T2601" i="36"/>
  <c r="P2611" i="36"/>
  <c r="Q2611" i="36"/>
  <c r="S2611" i="36"/>
  <c r="T2611" i="36"/>
  <c r="P2605" i="36"/>
  <c r="Q2605" i="36"/>
  <c r="S2605" i="36"/>
  <c r="T2605" i="36"/>
  <c r="P2604" i="36"/>
  <c r="Q2604" i="36"/>
  <c r="S2604" i="36"/>
  <c r="T2604" i="36"/>
  <c r="P2612" i="36"/>
  <c r="Q2612" i="36"/>
  <c r="S2612" i="36"/>
  <c r="T2612" i="36"/>
  <c r="P2623" i="36"/>
  <c r="Q2623" i="36"/>
  <c r="S2623" i="36"/>
  <c r="T2623" i="36"/>
  <c r="P2613" i="36"/>
  <c r="Q2613" i="36"/>
  <c r="S2613" i="36"/>
  <c r="T2613" i="36"/>
  <c r="P2633" i="36"/>
  <c r="Q2633" i="36"/>
  <c r="S2633" i="36"/>
  <c r="T2633" i="36"/>
  <c r="P2627" i="36"/>
  <c r="Q2627" i="36"/>
  <c r="S2627" i="36"/>
  <c r="T2627" i="36"/>
  <c r="P2631" i="36"/>
  <c r="Q2631" i="36"/>
  <c r="S2631" i="36"/>
  <c r="T2631" i="36"/>
  <c r="P2634" i="36"/>
  <c r="Q2634" i="36"/>
  <c r="S2634" i="36"/>
  <c r="T2634" i="36"/>
  <c r="P2635" i="36"/>
  <c r="Q2635" i="36"/>
  <c r="S2635" i="36"/>
  <c r="T2635" i="36"/>
  <c r="P2637" i="36"/>
  <c r="Q2637" i="36"/>
  <c r="S2637" i="36"/>
  <c r="T2637" i="36"/>
  <c r="P2638" i="36"/>
  <c r="Q2638" i="36"/>
  <c r="S2638" i="36"/>
  <c r="T2638" i="36"/>
  <c r="P2641" i="36"/>
  <c r="Q2641" i="36"/>
  <c r="S2641" i="36"/>
  <c r="T2641" i="36"/>
  <c r="P2645" i="36"/>
  <c r="Q2645" i="36"/>
  <c r="S2645" i="36"/>
  <c r="T2645" i="36"/>
  <c r="P2515" i="36"/>
  <c r="Q2515" i="36"/>
  <c r="S2515" i="36"/>
  <c r="T2515" i="36"/>
  <c r="P2514" i="36"/>
  <c r="Q2514" i="36"/>
  <c r="S2514" i="36"/>
  <c r="T2514" i="36"/>
  <c r="P2516" i="36"/>
  <c r="Q2516" i="36"/>
  <c r="S2516" i="36"/>
  <c r="T2516" i="36"/>
  <c r="P2528" i="36"/>
  <c r="Q2528" i="36"/>
  <c r="S2528" i="36"/>
  <c r="T2528" i="36"/>
  <c r="P2529" i="36"/>
  <c r="Q2529" i="36"/>
  <c r="S2529" i="36"/>
  <c r="T2529" i="36"/>
  <c r="P2530" i="36"/>
  <c r="Q2530" i="36"/>
  <c r="S2530" i="36"/>
  <c r="T2530" i="36"/>
  <c r="P2531" i="36"/>
  <c r="Q2531" i="36"/>
  <c r="S2531" i="36"/>
  <c r="T2531" i="36"/>
  <c r="P2532" i="36"/>
  <c r="Q2532" i="36"/>
  <c r="S2532" i="36"/>
  <c r="T2532" i="36"/>
  <c r="P2562" i="36"/>
  <c r="Q2562" i="36"/>
  <c r="S2562" i="36"/>
  <c r="T2562" i="36"/>
  <c r="P2563" i="36"/>
  <c r="Q2563" i="36"/>
  <c r="S2563" i="36"/>
  <c r="T2563" i="36"/>
  <c r="P2564" i="36"/>
  <c r="Q2564" i="36"/>
  <c r="S2564" i="36"/>
  <c r="T2564" i="36"/>
  <c r="M2512" i="36"/>
  <c r="R2512" i="36"/>
  <c r="Z2512" i="36"/>
  <c r="M2510" i="36"/>
  <c r="R2510" i="36"/>
  <c r="M2511" i="36"/>
  <c r="R2511" i="36"/>
  <c r="M2565" i="36"/>
  <c r="R2565" i="36"/>
  <c r="M2566" i="36"/>
  <c r="R2566" i="36"/>
  <c r="Z2566" i="36"/>
  <c r="M2569" i="36"/>
  <c r="R2569" i="36"/>
  <c r="M2567" i="36"/>
  <c r="R2567" i="36"/>
  <c r="M2568" i="36"/>
  <c r="R2568" i="36"/>
  <c r="M2570" i="36"/>
  <c r="R2570" i="36"/>
  <c r="Z2570" i="36"/>
  <c r="M2573" i="36"/>
  <c r="R2573" i="36"/>
  <c r="M2574" i="36"/>
  <c r="R2574" i="36"/>
  <c r="M2576" i="36"/>
  <c r="R2576" i="36"/>
  <c r="M2575" i="36"/>
  <c r="R2575" i="36"/>
  <c r="Z2575" i="36"/>
  <c r="M2577" i="36"/>
  <c r="R2577" i="36"/>
  <c r="M2578" i="36"/>
  <c r="R2578" i="36"/>
  <c r="M2579" i="36"/>
  <c r="R2579" i="36"/>
  <c r="M2581" i="36"/>
  <c r="R2581" i="36"/>
  <c r="Z2581" i="36"/>
  <c r="M2580" i="36"/>
  <c r="R2580" i="36"/>
  <c r="M2598" i="36"/>
  <c r="R2598" i="36"/>
  <c r="M2582" i="36"/>
  <c r="R2582" i="36"/>
  <c r="M2597" i="36"/>
  <c r="R2597" i="36"/>
  <c r="Z2597" i="36"/>
  <c r="M2513" i="36"/>
  <c r="R2513" i="36"/>
  <c r="M2599" i="36"/>
  <c r="R2599" i="36"/>
  <c r="M2600" i="36"/>
  <c r="R2600" i="36"/>
  <c r="M2601" i="36"/>
  <c r="R2601" i="36"/>
  <c r="Z2601" i="36"/>
  <c r="M2611" i="36"/>
  <c r="R2611" i="36"/>
  <c r="M2605" i="36"/>
  <c r="R2605" i="36"/>
  <c r="M2604" i="36"/>
  <c r="R2604" i="36"/>
  <c r="M2612" i="36"/>
  <c r="R2612" i="36"/>
  <c r="Z2612" i="36"/>
  <c r="M2623" i="36"/>
  <c r="R2623" i="36"/>
  <c r="M2613" i="36"/>
  <c r="R2613" i="36"/>
  <c r="M2633" i="36"/>
  <c r="R2633" i="36"/>
  <c r="M2627" i="36"/>
  <c r="R2627" i="36"/>
  <c r="Z2627" i="36"/>
  <c r="M2631" i="36"/>
  <c r="R2631" i="36"/>
  <c r="M2634" i="36"/>
  <c r="R2634" i="36"/>
  <c r="M2635" i="36"/>
  <c r="R2635" i="36"/>
  <c r="M2637" i="36"/>
  <c r="R2637" i="36"/>
  <c r="Z2637" i="36"/>
  <c r="M2638" i="36"/>
  <c r="R2638" i="36"/>
  <c r="M2641" i="36"/>
  <c r="R2641" i="36"/>
  <c r="M2645" i="36"/>
  <c r="R2645" i="36"/>
  <c r="M2515" i="36"/>
  <c r="R2515" i="36"/>
  <c r="Z2515" i="36"/>
  <c r="M2514" i="36"/>
  <c r="R2514" i="36"/>
  <c r="M2516" i="36"/>
  <c r="R2516" i="36"/>
  <c r="M2528" i="36"/>
  <c r="R2528" i="36"/>
  <c r="M2529" i="36"/>
  <c r="R2529" i="36"/>
  <c r="Z2529" i="36"/>
  <c r="M2530" i="36"/>
  <c r="R2530" i="36"/>
  <c r="M2531" i="36"/>
  <c r="R2531" i="36"/>
  <c r="M2532" i="36"/>
  <c r="R2532" i="36"/>
  <c r="M2562" i="36"/>
  <c r="R2562" i="36"/>
  <c r="Z2562" i="36"/>
  <c r="M2563" i="36"/>
  <c r="R2563" i="36"/>
  <c r="M2564" i="36"/>
  <c r="R2564" i="36"/>
  <c r="I2512" i="36"/>
  <c r="I2510" i="36"/>
  <c r="I2511" i="36"/>
  <c r="I2565" i="36"/>
  <c r="I2566" i="36"/>
  <c r="I2569" i="36"/>
  <c r="I2567" i="36"/>
  <c r="I2568" i="36"/>
  <c r="I2570" i="36"/>
  <c r="I2573" i="36"/>
  <c r="I2574" i="36"/>
  <c r="I2576" i="36"/>
  <c r="I2575" i="36"/>
  <c r="I2577" i="36"/>
  <c r="I2578" i="36"/>
  <c r="I2579" i="36"/>
  <c r="I2581" i="36"/>
  <c r="I2580" i="36"/>
  <c r="I2598" i="36"/>
  <c r="I2582" i="36"/>
  <c r="I2597" i="36"/>
  <c r="I2513" i="36"/>
  <c r="I2599" i="36"/>
  <c r="I2600" i="36"/>
  <c r="I2601" i="36"/>
  <c r="I2611" i="36"/>
  <c r="I2605" i="36"/>
  <c r="I2604" i="36"/>
  <c r="I2612" i="36"/>
  <c r="I2623" i="36"/>
  <c r="I2613" i="36"/>
  <c r="I2633" i="36"/>
  <c r="I2627" i="36"/>
  <c r="I2631" i="36"/>
  <c r="I2634" i="36"/>
  <c r="I2635" i="36"/>
  <c r="I2637" i="36"/>
  <c r="I2638" i="36"/>
  <c r="I2641" i="36"/>
  <c r="I2645" i="36"/>
  <c r="I2515" i="36"/>
  <c r="I2514" i="36"/>
  <c r="I2516" i="36"/>
  <c r="I2528" i="36"/>
  <c r="I2529" i="36"/>
  <c r="I2530" i="36"/>
  <c r="I2531" i="36"/>
  <c r="I2532" i="36"/>
  <c r="I2562" i="36"/>
  <c r="I2563" i="36"/>
  <c r="I2564" i="36"/>
  <c r="B2512" i="36"/>
  <c r="C2512" i="36"/>
  <c r="B2510" i="36"/>
  <c r="C2510" i="36"/>
  <c r="B2511" i="36"/>
  <c r="C2511" i="36"/>
  <c r="B2565" i="36"/>
  <c r="C2565" i="36"/>
  <c r="B2566" i="36"/>
  <c r="C2566" i="36"/>
  <c r="B2569" i="36"/>
  <c r="C2569" i="36"/>
  <c r="B2567" i="36"/>
  <c r="C2567" i="36"/>
  <c r="B2568" i="36"/>
  <c r="C2568" i="36"/>
  <c r="B2570" i="36"/>
  <c r="C2570" i="36"/>
  <c r="B2573" i="36"/>
  <c r="C2573" i="36"/>
  <c r="B2574" i="36"/>
  <c r="C2574" i="36"/>
  <c r="B2576" i="36"/>
  <c r="C2576" i="36"/>
  <c r="B2575" i="36"/>
  <c r="C2575" i="36"/>
  <c r="B2577" i="36"/>
  <c r="C2577" i="36"/>
  <c r="B2578" i="36"/>
  <c r="C2578" i="36"/>
  <c r="B2579" i="36"/>
  <c r="C2579" i="36"/>
  <c r="B2581" i="36"/>
  <c r="C2581" i="36"/>
  <c r="B2580" i="36"/>
  <c r="C2580" i="36"/>
  <c r="B2598" i="36"/>
  <c r="C2598" i="36"/>
  <c r="B2582" i="36"/>
  <c r="C2582" i="36"/>
  <c r="B2597" i="36"/>
  <c r="C2597" i="36"/>
  <c r="B2513" i="36"/>
  <c r="C2513" i="36"/>
  <c r="B2599" i="36"/>
  <c r="C2599" i="36"/>
  <c r="B2600" i="36"/>
  <c r="C2600" i="36"/>
  <c r="B2601" i="36"/>
  <c r="C2601" i="36"/>
  <c r="B2611" i="36"/>
  <c r="C2611" i="36"/>
  <c r="B2605" i="36"/>
  <c r="C2605" i="36"/>
  <c r="B2604" i="36"/>
  <c r="C2604" i="36"/>
  <c r="B2612" i="36"/>
  <c r="C2612" i="36"/>
  <c r="B2623" i="36"/>
  <c r="C2623" i="36"/>
  <c r="B2613" i="36"/>
  <c r="C2613" i="36"/>
  <c r="B2633" i="36"/>
  <c r="C2633" i="36"/>
  <c r="B2627" i="36"/>
  <c r="C2627" i="36"/>
  <c r="B2631" i="36"/>
  <c r="C2631" i="36"/>
  <c r="B2634" i="36"/>
  <c r="C2634" i="36"/>
  <c r="B2635" i="36"/>
  <c r="C2635" i="36"/>
  <c r="B2637" i="36"/>
  <c r="C2637" i="36"/>
  <c r="B2638" i="36"/>
  <c r="C2638" i="36"/>
  <c r="B2641" i="36"/>
  <c r="C2641" i="36"/>
  <c r="B2645" i="36"/>
  <c r="C2645" i="36"/>
  <c r="B2515" i="36"/>
  <c r="C2515" i="36"/>
  <c r="B2514" i="36"/>
  <c r="C2514" i="36"/>
  <c r="B2516" i="36"/>
  <c r="C2516" i="36"/>
  <c r="B2528" i="36"/>
  <c r="C2528" i="36"/>
  <c r="B2529" i="36"/>
  <c r="C2529" i="36"/>
  <c r="B2530" i="36"/>
  <c r="C2530" i="36"/>
  <c r="B2531" i="36"/>
  <c r="C2531" i="36"/>
  <c r="B2532" i="36"/>
  <c r="C2532" i="36"/>
  <c r="B2562" i="36"/>
  <c r="C2562" i="36"/>
  <c r="B2563" i="36"/>
  <c r="C2563" i="36"/>
  <c r="B2564" i="36"/>
  <c r="C2564" i="36"/>
  <c r="AA2380" i="36"/>
  <c r="AB2380" i="36"/>
  <c r="AC2380" i="36"/>
  <c r="AA2381" i="36"/>
  <c r="AB2381" i="36"/>
  <c r="AC2381" i="36"/>
  <c r="AA2397" i="36"/>
  <c r="AB2397" i="36"/>
  <c r="AC2397" i="36"/>
  <c r="AA2398" i="36"/>
  <c r="AB2398" i="36"/>
  <c r="AC2398" i="36"/>
  <c r="AA2399" i="36"/>
  <c r="AB2399" i="36"/>
  <c r="AC2399" i="36"/>
  <c r="AA2400" i="36"/>
  <c r="AB2400" i="36"/>
  <c r="AC2400" i="36"/>
  <c r="AA2416" i="36"/>
  <c r="AB2416" i="36"/>
  <c r="AC2416" i="36"/>
  <c r="AA2417" i="36"/>
  <c r="AB2417" i="36"/>
  <c r="AC2417" i="36"/>
  <c r="AA2418" i="36"/>
  <c r="AB2418" i="36"/>
  <c r="AC2418" i="36"/>
  <c r="AA2419" i="36"/>
  <c r="AB2419" i="36"/>
  <c r="AC2419" i="36"/>
  <c r="AA2420" i="36"/>
  <c r="AB2420" i="36"/>
  <c r="AC2420" i="36"/>
  <c r="AA2421" i="36"/>
  <c r="AB2421" i="36"/>
  <c r="AC2421" i="36"/>
  <c r="AA2422" i="36"/>
  <c r="AB2422" i="36"/>
  <c r="AC2422" i="36"/>
  <c r="AA2423" i="36"/>
  <c r="AB2423" i="36"/>
  <c r="AC2423" i="36"/>
  <c r="AA2424" i="36"/>
  <c r="AB2424" i="36"/>
  <c r="AC2424" i="36"/>
  <c r="AA2425" i="36"/>
  <c r="AB2425" i="36"/>
  <c r="AC2425" i="36"/>
  <c r="AA2382" i="36"/>
  <c r="AB2382" i="36"/>
  <c r="AC2382" i="36"/>
  <c r="AA2383" i="36"/>
  <c r="AB2383" i="36"/>
  <c r="AC2383" i="36"/>
  <c r="AA2384" i="36"/>
  <c r="AB2384" i="36"/>
  <c r="AC2384" i="36"/>
  <c r="AA2426" i="36"/>
  <c r="AB2426" i="36"/>
  <c r="AC2426" i="36"/>
  <c r="AA2427" i="36"/>
  <c r="AB2427" i="36"/>
  <c r="AC2427" i="36"/>
  <c r="AA2428" i="36"/>
  <c r="AB2428" i="36"/>
  <c r="AC2428" i="36"/>
  <c r="AA2429" i="36"/>
  <c r="AB2429" i="36"/>
  <c r="AC2429" i="36"/>
  <c r="AA2430" i="36"/>
  <c r="AB2430" i="36"/>
  <c r="AC2430" i="36"/>
  <c r="AA2431" i="36"/>
  <c r="AB2431" i="36"/>
  <c r="AC2431" i="36"/>
  <c r="AA2432" i="36"/>
  <c r="AB2432" i="36"/>
  <c r="AC2432" i="36"/>
  <c r="AA2433" i="36"/>
  <c r="AB2433" i="36"/>
  <c r="AC2433" i="36"/>
  <c r="AA2434" i="36"/>
  <c r="AB2434" i="36"/>
  <c r="AC2434" i="36"/>
  <c r="AA2435" i="36"/>
  <c r="AB2435" i="36"/>
  <c r="AC2435" i="36"/>
  <c r="AA2436" i="36"/>
  <c r="AB2436" i="36"/>
  <c r="AC2436" i="36"/>
  <c r="AA2501" i="36"/>
  <c r="AB2501" i="36"/>
  <c r="AC2501" i="36"/>
  <c r="AA2502" i="36"/>
  <c r="AB2502" i="36"/>
  <c r="AC2502" i="36"/>
  <c r="AA2503" i="36"/>
  <c r="AB2503" i="36"/>
  <c r="AC2503" i="36"/>
  <c r="AA2506" i="36"/>
  <c r="AB2506" i="36"/>
  <c r="AC2506" i="36"/>
  <c r="AA2504" i="36"/>
  <c r="AB2504" i="36"/>
  <c r="AC2504" i="36"/>
  <c r="AA2505" i="36"/>
  <c r="AB2505" i="36"/>
  <c r="AC2505" i="36"/>
  <c r="AA2507" i="36"/>
  <c r="AB2507" i="36"/>
  <c r="AC2507" i="36"/>
  <c r="AA2508" i="36"/>
  <c r="AB2508" i="36"/>
  <c r="AC2508" i="36"/>
  <c r="AA2509" i="36"/>
  <c r="AB2509" i="36"/>
  <c r="AC2509" i="36"/>
  <c r="AA2385" i="36"/>
  <c r="AB2385" i="36"/>
  <c r="AC2385" i="36"/>
  <c r="AA2387" i="36"/>
  <c r="AB2387" i="36"/>
  <c r="AC2387" i="36"/>
  <c r="AA2386" i="36"/>
  <c r="AB2386" i="36"/>
  <c r="AC2386" i="36"/>
  <c r="AA2388" i="36"/>
  <c r="AB2388" i="36"/>
  <c r="AC2388" i="36"/>
  <c r="AA2390" i="36"/>
  <c r="AB2390" i="36"/>
  <c r="AC2390" i="36"/>
  <c r="AA2391" i="36"/>
  <c r="AB2391" i="36"/>
  <c r="AC2391" i="36"/>
  <c r="AA2389" i="36"/>
  <c r="AB2389" i="36"/>
  <c r="AC2389" i="36"/>
  <c r="AA2392" i="36"/>
  <c r="AB2392" i="36"/>
  <c r="AC2392" i="36"/>
  <c r="AA2393" i="36"/>
  <c r="AB2393" i="36"/>
  <c r="AC2393" i="36"/>
  <c r="AA2395" i="36"/>
  <c r="AB2395" i="36"/>
  <c r="AC2395" i="36"/>
  <c r="AA2394" i="36"/>
  <c r="AB2394" i="36"/>
  <c r="AC2394" i="36"/>
  <c r="AA2396" i="36"/>
  <c r="AB2396" i="36"/>
  <c r="AC2396" i="36"/>
  <c r="S2385" i="36"/>
  <c r="B2380" i="36"/>
  <c r="C2380" i="36"/>
  <c r="B2381" i="36"/>
  <c r="C2381" i="36"/>
  <c r="B2397" i="36"/>
  <c r="C2397" i="36"/>
  <c r="B2398" i="36"/>
  <c r="C2398" i="36"/>
  <c r="B2399" i="36"/>
  <c r="C2399" i="36"/>
  <c r="B2400" i="36"/>
  <c r="C2400" i="36"/>
  <c r="B2416" i="36"/>
  <c r="C2416" i="36"/>
  <c r="B2417" i="36"/>
  <c r="C2417" i="36"/>
  <c r="B2418" i="36"/>
  <c r="C2418" i="36"/>
  <c r="B2419" i="36"/>
  <c r="C2419" i="36"/>
  <c r="B2420" i="36"/>
  <c r="C2420" i="36"/>
  <c r="B2421" i="36"/>
  <c r="C2421" i="36"/>
  <c r="B2422" i="36"/>
  <c r="C2422" i="36"/>
  <c r="B2423" i="36"/>
  <c r="C2423" i="36"/>
  <c r="B2424" i="36"/>
  <c r="C2424" i="36"/>
  <c r="B2425" i="36"/>
  <c r="C2425" i="36"/>
  <c r="B2382" i="36"/>
  <c r="C2382" i="36"/>
  <c r="B2383" i="36"/>
  <c r="C2383" i="36"/>
  <c r="B2384" i="36"/>
  <c r="C2384" i="36"/>
  <c r="B2426" i="36"/>
  <c r="C2426" i="36"/>
  <c r="B2427" i="36"/>
  <c r="C2427" i="36"/>
  <c r="B2428" i="36"/>
  <c r="C2428" i="36"/>
  <c r="B2429" i="36"/>
  <c r="C2429" i="36"/>
  <c r="B2430" i="36"/>
  <c r="C2430" i="36"/>
  <c r="B2431" i="36"/>
  <c r="C2431" i="36"/>
  <c r="B2432" i="36"/>
  <c r="C2432" i="36"/>
  <c r="B2433" i="36"/>
  <c r="C2433" i="36"/>
  <c r="B2434" i="36"/>
  <c r="C2434" i="36"/>
  <c r="B2435" i="36"/>
  <c r="C2435" i="36"/>
  <c r="B2436" i="36"/>
  <c r="C2436" i="36"/>
  <c r="B2501" i="36"/>
  <c r="C2501" i="36"/>
  <c r="B2502" i="36"/>
  <c r="C2502" i="36"/>
  <c r="B2503" i="36"/>
  <c r="C2503" i="36"/>
  <c r="B2506" i="36"/>
  <c r="C2506" i="36"/>
  <c r="B2504" i="36"/>
  <c r="C2504" i="36"/>
  <c r="B2505" i="36"/>
  <c r="C2505" i="36"/>
  <c r="B2507" i="36"/>
  <c r="C2507" i="36"/>
  <c r="B2508" i="36"/>
  <c r="C2508" i="36"/>
  <c r="B2509" i="36"/>
  <c r="C2509" i="36"/>
  <c r="B2385" i="36"/>
  <c r="C2385" i="36"/>
  <c r="B2387" i="36"/>
  <c r="C2387" i="36"/>
  <c r="B2386" i="36"/>
  <c r="C2386" i="36"/>
  <c r="B2388" i="36"/>
  <c r="C2388" i="36"/>
  <c r="B2390" i="36"/>
  <c r="C2390" i="36"/>
  <c r="B2391" i="36"/>
  <c r="C2391" i="36"/>
  <c r="B2389" i="36"/>
  <c r="C2389" i="36"/>
  <c r="B2392" i="36"/>
  <c r="C2392" i="36"/>
  <c r="B2393" i="36"/>
  <c r="C2393" i="36"/>
  <c r="B2395" i="36"/>
  <c r="C2395" i="36"/>
  <c r="B2394" i="36"/>
  <c r="C2394" i="36"/>
  <c r="B2396" i="36"/>
  <c r="C2396" i="36"/>
  <c r="I2380" i="36"/>
  <c r="I2381" i="36"/>
  <c r="I2397" i="36"/>
  <c r="I2398" i="36"/>
  <c r="I2399" i="36"/>
  <c r="I2400" i="36"/>
  <c r="I2416" i="36"/>
  <c r="I2417" i="36"/>
  <c r="I2418" i="36"/>
  <c r="I2419" i="36"/>
  <c r="I2420" i="36"/>
  <c r="I2421" i="36"/>
  <c r="I2422" i="36"/>
  <c r="I2423" i="36"/>
  <c r="I2424" i="36"/>
  <c r="I2425" i="36"/>
  <c r="I2382" i="36"/>
  <c r="I2383" i="36"/>
  <c r="I2384" i="36"/>
  <c r="I2426" i="36"/>
  <c r="I2427" i="36"/>
  <c r="I2428" i="36"/>
  <c r="I2429" i="36"/>
  <c r="I2430" i="36"/>
  <c r="I2431" i="36"/>
  <c r="I2432" i="36"/>
  <c r="I2433" i="36"/>
  <c r="I2434" i="36"/>
  <c r="I2435" i="36"/>
  <c r="I2436" i="36"/>
  <c r="I2501" i="36"/>
  <c r="I2502" i="36"/>
  <c r="I2503" i="36"/>
  <c r="I2506" i="36"/>
  <c r="I2504" i="36"/>
  <c r="I2505" i="36"/>
  <c r="I2507" i="36"/>
  <c r="I2508" i="36"/>
  <c r="I2509" i="36"/>
  <c r="I2385" i="36"/>
  <c r="I2387" i="36"/>
  <c r="I2386" i="36"/>
  <c r="I2388" i="36"/>
  <c r="I2390" i="36"/>
  <c r="I2391" i="36"/>
  <c r="I2389" i="36"/>
  <c r="I2392" i="36"/>
  <c r="I2393" i="36"/>
  <c r="I2395" i="36"/>
  <c r="I2394" i="36"/>
  <c r="I2396" i="36"/>
  <c r="M2380" i="36"/>
  <c r="R2380" i="36"/>
  <c r="M2381" i="36"/>
  <c r="R2381" i="36"/>
  <c r="M2397" i="36"/>
  <c r="R2397" i="36"/>
  <c r="M2398" i="36"/>
  <c r="R2398" i="36"/>
  <c r="M2399" i="36"/>
  <c r="R2399" i="36"/>
  <c r="M2400" i="36"/>
  <c r="R2400" i="36"/>
  <c r="M2416" i="36"/>
  <c r="R2416" i="36"/>
  <c r="M2417" i="36"/>
  <c r="R2417" i="36"/>
  <c r="M2418" i="36"/>
  <c r="R2418" i="36"/>
  <c r="M2419" i="36"/>
  <c r="R2419" i="36"/>
  <c r="M2420" i="36"/>
  <c r="R2420" i="36"/>
  <c r="M2421" i="36"/>
  <c r="R2421" i="36"/>
  <c r="M2422" i="36"/>
  <c r="R2422" i="36"/>
  <c r="M2423" i="36"/>
  <c r="R2423" i="36"/>
  <c r="M2424" i="36"/>
  <c r="R2424" i="36"/>
  <c r="M2425" i="36"/>
  <c r="R2425" i="36"/>
  <c r="M2382" i="36"/>
  <c r="R2382" i="36"/>
  <c r="M2383" i="36"/>
  <c r="R2383" i="36"/>
  <c r="M2384" i="36"/>
  <c r="R2384" i="36"/>
  <c r="M2426" i="36"/>
  <c r="R2426" i="36"/>
  <c r="M2427" i="36"/>
  <c r="R2427" i="36"/>
  <c r="M2428" i="36"/>
  <c r="R2428" i="36"/>
  <c r="M2429" i="36"/>
  <c r="R2429" i="36"/>
  <c r="M2430" i="36"/>
  <c r="R2430" i="36"/>
  <c r="M2431" i="36"/>
  <c r="R2431" i="36"/>
  <c r="M2432" i="36"/>
  <c r="R2432" i="36"/>
  <c r="M2433" i="36"/>
  <c r="R2433" i="36"/>
  <c r="M2434" i="36"/>
  <c r="R2434" i="36"/>
  <c r="M2435" i="36"/>
  <c r="R2435" i="36"/>
  <c r="M2436" i="36"/>
  <c r="R2436" i="36"/>
  <c r="M2501" i="36"/>
  <c r="R2501" i="36"/>
  <c r="M2502" i="36"/>
  <c r="R2502" i="36"/>
  <c r="M2503" i="36"/>
  <c r="R2503" i="36"/>
  <c r="M2506" i="36"/>
  <c r="R2506" i="36"/>
  <c r="M2504" i="36"/>
  <c r="R2504" i="36"/>
  <c r="M2505" i="36"/>
  <c r="R2505" i="36"/>
  <c r="M2507" i="36"/>
  <c r="R2507" i="36"/>
  <c r="M2508" i="36"/>
  <c r="R2508" i="36"/>
  <c r="M2509" i="36"/>
  <c r="R2509" i="36"/>
  <c r="M2385" i="36"/>
  <c r="R2385" i="36"/>
  <c r="M2387" i="36"/>
  <c r="R2387" i="36"/>
  <c r="M2386" i="36"/>
  <c r="R2386" i="36"/>
  <c r="M2388" i="36"/>
  <c r="R2388" i="36"/>
  <c r="M2390" i="36"/>
  <c r="R2390" i="36"/>
  <c r="M2391" i="36"/>
  <c r="R2391" i="36"/>
  <c r="M2389" i="36"/>
  <c r="R2389" i="36"/>
  <c r="M2392" i="36"/>
  <c r="R2392" i="36"/>
  <c r="M2393" i="36"/>
  <c r="R2393" i="36"/>
  <c r="M2395" i="36"/>
  <c r="R2395" i="36"/>
  <c r="M2394" i="36"/>
  <c r="R2394" i="36"/>
  <c r="M2396" i="36"/>
  <c r="R2396" i="36"/>
  <c r="P2380" i="36"/>
  <c r="P2381" i="36"/>
  <c r="P2397" i="36"/>
  <c r="P2398" i="36"/>
  <c r="P2399" i="36"/>
  <c r="P2400" i="36"/>
  <c r="P2416" i="36"/>
  <c r="P2417" i="36"/>
  <c r="P2418" i="36"/>
  <c r="P2419" i="36"/>
  <c r="P2420" i="36"/>
  <c r="P2421" i="36"/>
  <c r="P2422" i="36"/>
  <c r="P2423" i="36"/>
  <c r="P2424" i="36"/>
  <c r="P2425" i="36"/>
  <c r="P2382" i="36"/>
  <c r="P2383" i="36"/>
  <c r="P2384" i="36"/>
  <c r="P2426" i="36"/>
  <c r="P2427" i="36"/>
  <c r="P2428" i="36"/>
  <c r="P2429" i="36"/>
  <c r="P2430" i="36"/>
  <c r="P2431" i="36"/>
  <c r="P2432" i="36"/>
  <c r="P2433" i="36"/>
  <c r="P2434" i="36"/>
  <c r="P2435" i="36"/>
  <c r="P2436" i="36"/>
  <c r="P2501" i="36"/>
  <c r="P2502" i="36"/>
  <c r="P2503" i="36"/>
  <c r="P2506" i="36"/>
  <c r="P2504" i="36"/>
  <c r="P2505" i="36"/>
  <c r="P2507" i="36"/>
  <c r="P2508" i="36"/>
  <c r="P2509" i="36"/>
  <c r="P2385" i="36"/>
  <c r="P2387" i="36"/>
  <c r="P2386" i="36"/>
  <c r="P2388" i="36"/>
  <c r="P2390" i="36"/>
  <c r="P2391" i="36"/>
  <c r="P2389" i="36"/>
  <c r="P2392" i="36"/>
  <c r="P2393" i="36"/>
  <c r="P2395" i="36"/>
  <c r="P2394" i="36"/>
  <c r="P2396" i="36"/>
  <c r="Q2380" i="36"/>
  <c r="Q2381" i="36"/>
  <c r="Q2397" i="36"/>
  <c r="Q2398" i="36"/>
  <c r="Q2399" i="36"/>
  <c r="Q2400" i="36"/>
  <c r="Q2416" i="36"/>
  <c r="Q2417" i="36"/>
  <c r="Q2418" i="36"/>
  <c r="Q2419" i="36"/>
  <c r="Q2420" i="36"/>
  <c r="Q2421" i="36"/>
  <c r="Q2422" i="36"/>
  <c r="Q2423" i="36"/>
  <c r="Q2424" i="36"/>
  <c r="Q2425" i="36"/>
  <c r="Q2382" i="36"/>
  <c r="Q2383" i="36"/>
  <c r="Q2384" i="36"/>
  <c r="Q2426" i="36"/>
  <c r="Q2427" i="36"/>
  <c r="Q2428" i="36"/>
  <c r="Q2429" i="36"/>
  <c r="Q2430" i="36"/>
  <c r="Q2431" i="36"/>
  <c r="Q2432" i="36"/>
  <c r="Q2433" i="36"/>
  <c r="Q2434" i="36"/>
  <c r="Q2435" i="36"/>
  <c r="Q2436" i="36"/>
  <c r="Q2501" i="36"/>
  <c r="Q2502" i="36"/>
  <c r="Q2503" i="36"/>
  <c r="Q2506" i="36"/>
  <c r="Q2504" i="36"/>
  <c r="Q2505" i="36"/>
  <c r="Q2507" i="36"/>
  <c r="Q2508" i="36"/>
  <c r="Q2509" i="36"/>
  <c r="Q2385" i="36"/>
  <c r="Q2387" i="36"/>
  <c r="Q2386" i="36"/>
  <c r="Q2388" i="36"/>
  <c r="Q2390" i="36"/>
  <c r="Q2391" i="36"/>
  <c r="Q2389" i="36"/>
  <c r="Q2392" i="36"/>
  <c r="Q2393" i="36"/>
  <c r="Q2395" i="36"/>
  <c r="Q2394" i="36"/>
  <c r="Q2396" i="36"/>
  <c r="S2380" i="36"/>
  <c r="S2381" i="36"/>
  <c r="S2397" i="36"/>
  <c r="S2398" i="36"/>
  <c r="S2399" i="36"/>
  <c r="S2400" i="36"/>
  <c r="S2416" i="36"/>
  <c r="S2417" i="36"/>
  <c r="S2418" i="36"/>
  <c r="S2419" i="36"/>
  <c r="S2420" i="36"/>
  <c r="S2421" i="36"/>
  <c r="S2422" i="36"/>
  <c r="S2423" i="36"/>
  <c r="S2424" i="36"/>
  <c r="S2425" i="36"/>
  <c r="S2382" i="36"/>
  <c r="S2383" i="36"/>
  <c r="S2384" i="36"/>
  <c r="S2426" i="36"/>
  <c r="S2427" i="36"/>
  <c r="S2428" i="36"/>
  <c r="S2429" i="36"/>
  <c r="S2430" i="36"/>
  <c r="S2431" i="36"/>
  <c r="S2432" i="36"/>
  <c r="S2433" i="36"/>
  <c r="S2434" i="36"/>
  <c r="S2435" i="36"/>
  <c r="S2436" i="36"/>
  <c r="S2501" i="36"/>
  <c r="S2502" i="36"/>
  <c r="S2503" i="36"/>
  <c r="S2506" i="36"/>
  <c r="S2504" i="36"/>
  <c r="S2505" i="36"/>
  <c r="S2507" i="36"/>
  <c r="S2508" i="36"/>
  <c r="S2509" i="36"/>
  <c r="S2387" i="36"/>
  <c r="S2386" i="36"/>
  <c r="S2388" i="36"/>
  <c r="S2390" i="36"/>
  <c r="S2391" i="36"/>
  <c r="S2389" i="36"/>
  <c r="S2392" i="36"/>
  <c r="S2393" i="36"/>
  <c r="S2395" i="36"/>
  <c r="S2394" i="36"/>
  <c r="S2396" i="36"/>
  <c r="T2380" i="36"/>
  <c r="T2381" i="36"/>
  <c r="T2397" i="36"/>
  <c r="T2398" i="36"/>
  <c r="T2399" i="36"/>
  <c r="T2400" i="36"/>
  <c r="T2416" i="36"/>
  <c r="T2417" i="36"/>
  <c r="T2418" i="36"/>
  <c r="T2419" i="36"/>
  <c r="T2420" i="36"/>
  <c r="T2421" i="36"/>
  <c r="T2422" i="36"/>
  <c r="T2423" i="36"/>
  <c r="T2424" i="36"/>
  <c r="T2425" i="36"/>
  <c r="T2382" i="36"/>
  <c r="T2383" i="36"/>
  <c r="T2384" i="36"/>
  <c r="T2426" i="36"/>
  <c r="T2427" i="36"/>
  <c r="T2428" i="36"/>
  <c r="T2429" i="36"/>
  <c r="T2430" i="36"/>
  <c r="T2431" i="36"/>
  <c r="T2432" i="36"/>
  <c r="T2433" i="36"/>
  <c r="T2434" i="36"/>
  <c r="T2435" i="36"/>
  <c r="T2436" i="36"/>
  <c r="T2501" i="36"/>
  <c r="T2502" i="36"/>
  <c r="T2503" i="36"/>
  <c r="T2506" i="36"/>
  <c r="T2504" i="36"/>
  <c r="T2505" i="36"/>
  <c r="T2507" i="36"/>
  <c r="T2508" i="36"/>
  <c r="T2509" i="36"/>
  <c r="T2385" i="36"/>
  <c r="T2387" i="36"/>
  <c r="T2386" i="36"/>
  <c r="T2388" i="36"/>
  <c r="T2390" i="36"/>
  <c r="T2391" i="36"/>
  <c r="T2389" i="36"/>
  <c r="T2392" i="36"/>
  <c r="T2393" i="36"/>
  <c r="T2395" i="36"/>
  <c r="T2394" i="36"/>
  <c r="T2396" i="36"/>
  <c r="AC2379" i="36"/>
  <c r="AC2183" i="36"/>
  <c r="AC2184" i="36"/>
  <c r="AC2185" i="36"/>
  <c r="AC2186" i="36"/>
  <c r="AC2187" i="36"/>
  <c r="AC2189" i="36"/>
  <c r="AC2188" i="36"/>
  <c r="AC2190" i="36"/>
  <c r="AC2191" i="36"/>
  <c r="AC2193" i="36"/>
  <c r="AC2192" i="36"/>
  <c r="AC2194" i="36"/>
  <c r="AC2195" i="36"/>
  <c r="AC2196" i="36"/>
  <c r="AC2197" i="36"/>
  <c r="AC2198" i="36"/>
  <c r="AC2199" i="36"/>
  <c r="AC2200" i="36"/>
  <c r="AC2201" i="36"/>
  <c r="AC2202" i="36"/>
  <c r="AC2203" i="36"/>
  <c r="AC2204" i="36"/>
  <c r="AC2205" i="36"/>
  <c r="AC2206" i="36"/>
  <c r="AC2207" i="36"/>
  <c r="AC2208" i="36"/>
  <c r="AC2209" i="36"/>
  <c r="AC2210" i="36"/>
  <c r="AC2211" i="36"/>
  <c r="AC2212" i="36"/>
  <c r="AC2214" i="36"/>
  <c r="AC2213" i="36"/>
  <c r="AC2215" i="36"/>
  <c r="AC2216" i="36"/>
  <c r="AC2218" i="36"/>
  <c r="AC2217" i="36"/>
  <c r="AC2219" i="36"/>
  <c r="AC2220" i="36"/>
  <c r="AC2221" i="36"/>
  <c r="AC2222" i="36"/>
  <c r="AC2223" i="36"/>
  <c r="AC2224" i="36"/>
  <c r="AC2225" i="36"/>
  <c r="AC2226" i="36"/>
  <c r="AC2228" i="36"/>
  <c r="AC2227" i="36"/>
  <c r="AC2229" i="36"/>
  <c r="AC2230" i="36"/>
  <c r="AA2192" i="36"/>
  <c r="AB2192" i="36"/>
  <c r="AA2194" i="36"/>
  <c r="AB2194" i="36"/>
  <c r="AA2195" i="36"/>
  <c r="AB2195" i="36"/>
  <c r="AA2196" i="36"/>
  <c r="AB2196" i="36"/>
  <c r="AA2197" i="36"/>
  <c r="AB2197" i="36"/>
  <c r="AA2198" i="36"/>
  <c r="AB2198" i="36"/>
  <c r="AA2199" i="36"/>
  <c r="AB2199" i="36"/>
  <c r="AA2200" i="36"/>
  <c r="AB2200" i="36"/>
  <c r="AA2201" i="36"/>
  <c r="AB2201" i="36"/>
  <c r="AA2202" i="36"/>
  <c r="AB2202" i="36"/>
  <c r="AA2203" i="36"/>
  <c r="AB2203" i="36"/>
  <c r="AA2204" i="36"/>
  <c r="AB2204" i="36"/>
  <c r="AA2205" i="36"/>
  <c r="AB2205" i="36"/>
  <c r="AA2206" i="36"/>
  <c r="AB2206" i="36"/>
  <c r="AA2207" i="36"/>
  <c r="AB2207" i="36"/>
  <c r="AA2208" i="36"/>
  <c r="AB2208" i="36"/>
  <c r="AA2209" i="36"/>
  <c r="AB2209" i="36"/>
  <c r="AA2210" i="36"/>
  <c r="AB2210" i="36"/>
  <c r="AA2211" i="36"/>
  <c r="AB2211" i="36"/>
  <c r="AA2212" i="36"/>
  <c r="AB2212" i="36"/>
  <c r="AA2214" i="36"/>
  <c r="AB2214" i="36"/>
  <c r="AA2213" i="36"/>
  <c r="AB2213" i="36"/>
  <c r="AA2215" i="36"/>
  <c r="AB2215" i="36"/>
  <c r="AA2216" i="36"/>
  <c r="AB2216" i="36"/>
  <c r="AA2218" i="36"/>
  <c r="AB2218" i="36"/>
  <c r="AA2217" i="36"/>
  <c r="AB2217" i="36"/>
  <c r="AA2219" i="36"/>
  <c r="AB2219" i="36"/>
  <c r="AA2220" i="36"/>
  <c r="AB2220" i="36"/>
  <c r="AA2221" i="36"/>
  <c r="AB2221" i="36"/>
  <c r="AA2222" i="36"/>
  <c r="AB2222" i="36"/>
  <c r="AA2223" i="36"/>
  <c r="AB2223" i="36"/>
  <c r="AA2224" i="36"/>
  <c r="AB2224" i="36"/>
  <c r="AA2225" i="36"/>
  <c r="AB2225" i="36"/>
  <c r="AA2226" i="36"/>
  <c r="AB2226" i="36"/>
  <c r="AA2228" i="36"/>
  <c r="AB2228" i="36"/>
  <c r="AA2227" i="36"/>
  <c r="AB2227" i="36"/>
  <c r="AA2229" i="36"/>
  <c r="AB2229" i="36"/>
  <c r="AA2230" i="36"/>
  <c r="AB2230" i="36"/>
  <c r="AA2379" i="36"/>
  <c r="AB2379" i="36"/>
  <c r="AA2193" i="36"/>
  <c r="AB2193" i="36"/>
  <c r="Z2564" i="36"/>
  <c r="Z2516" i="36"/>
  <c r="Z2634" i="36"/>
  <c r="Z2605" i="36"/>
  <c r="Z2598" i="36"/>
  <c r="Z2574" i="36"/>
  <c r="Z2511" i="36"/>
  <c r="Z2531" i="36"/>
  <c r="Z2641" i="36"/>
  <c r="Z2599" i="36"/>
  <c r="Z2578" i="36"/>
  <c r="Z2567" i="36"/>
  <c r="Z2563" i="36"/>
  <c r="Z2631" i="36"/>
  <c r="Z2611" i="36"/>
  <c r="Z2580" i="36"/>
  <c r="Z2573" i="36"/>
  <c r="Z2532" i="36"/>
  <c r="Z2645" i="36"/>
  <c r="Z2633" i="36"/>
  <c r="Z2600" i="36"/>
  <c r="Z2579" i="36"/>
  <c r="Z2568" i="36"/>
  <c r="Z2530" i="36"/>
  <c r="Z2638" i="36"/>
  <c r="Z2623" i="36"/>
  <c r="Z2513" i="36"/>
  <c r="Z2528" i="36"/>
  <c r="Z2635" i="36"/>
  <c r="Z2604" i="36"/>
  <c r="Z2582" i="36"/>
  <c r="Z2510" i="36"/>
  <c r="Z2569" i="36"/>
  <c r="Z2565" i="36"/>
  <c r="Z2576" i="36"/>
  <c r="Z2514" i="36"/>
  <c r="Z2613" i="36"/>
  <c r="Z2577" i="36"/>
  <c r="Z2392" i="36"/>
  <c r="Z2509" i="36"/>
  <c r="Z2501" i="36"/>
  <c r="Z2429" i="36"/>
  <c r="Z2424" i="36"/>
  <c r="Z2416" i="36"/>
  <c r="Z2393" i="36"/>
  <c r="Z2396" i="36"/>
  <c r="Z2388" i="36"/>
  <c r="Z2504" i="36"/>
  <c r="Z2433" i="36"/>
  <c r="Z2384" i="36"/>
  <c r="Z2420" i="36"/>
  <c r="Z2397" i="36"/>
  <c r="Z2385" i="36"/>
  <c r="Z2502" i="36"/>
  <c r="Z2430" i="36"/>
  <c r="Z2425" i="36"/>
  <c r="Z2417" i="36"/>
  <c r="Z2389" i="36"/>
  <c r="Z2508" i="36"/>
  <c r="Z2436" i="36"/>
  <c r="Z2428" i="36"/>
  <c r="Z2423" i="36"/>
  <c r="Z2400" i="36"/>
  <c r="Z2391" i="36"/>
  <c r="Z2507" i="36"/>
  <c r="Z2435" i="36"/>
  <c r="Z2427" i="36"/>
  <c r="Z2422" i="36"/>
  <c r="Z2390" i="36"/>
  <c r="Z2505" i="36"/>
  <c r="Z2434" i="36"/>
  <c r="Z2426" i="36"/>
  <c r="Z2421" i="36"/>
  <c r="Z2398" i="36"/>
  <c r="Z2394" i="36"/>
  <c r="Z2386" i="36"/>
  <c r="Z2506" i="36"/>
  <c r="Z2432" i="36"/>
  <c r="Z2383" i="36"/>
  <c r="Z2419" i="36"/>
  <c r="Z2381" i="36"/>
  <c r="Z2395" i="36"/>
  <c r="Z2387" i="36"/>
  <c r="Z2503" i="36"/>
  <c r="Z2431" i="36"/>
  <c r="Z2382" i="36"/>
  <c r="Z2418" i="36"/>
  <c r="Z2380" i="36"/>
  <c r="Z2399" i="36"/>
  <c r="P2193" i="36"/>
  <c r="Q2193" i="36"/>
  <c r="S2193" i="36"/>
  <c r="T2193" i="36"/>
  <c r="P2192" i="36"/>
  <c r="Q2192" i="36"/>
  <c r="S2192" i="36"/>
  <c r="T2192" i="36"/>
  <c r="P2194" i="36"/>
  <c r="Q2194" i="36"/>
  <c r="S2194" i="36"/>
  <c r="T2194" i="36"/>
  <c r="P2195" i="36"/>
  <c r="Q2195" i="36"/>
  <c r="S2195" i="36"/>
  <c r="T2195" i="36"/>
  <c r="P2196" i="36"/>
  <c r="Q2196" i="36"/>
  <c r="S2196" i="36"/>
  <c r="T2196" i="36"/>
  <c r="P2197" i="36"/>
  <c r="Q2197" i="36"/>
  <c r="S2197" i="36"/>
  <c r="T2197" i="36"/>
  <c r="P2198" i="36"/>
  <c r="Q2198" i="36"/>
  <c r="S2198" i="36"/>
  <c r="T2198" i="36"/>
  <c r="P2199" i="36"/>
  <c r="Q2199" i="36"/>
  <c r="S2199" i="36"/>
  <c r="T2199" i="36"/>
  <c r="P2200" i="36"/>
  <c r="Q2200" i="36"/>
  <c r="S2200" i="36"/>
  <c r="T2200" i="36"/>
  <c r="P2201" i="36"/>
  <c r="Q2201" i="36"/>
  <c r="S2201" i="36"/>
  <c r="T2201" i="36"/>
  <c r="P2202" i="36"/>
  <c r="Q2202" i="36"/>
  <c r="S2202" i="36"/>
  <c r="T2202" i="36"/>
  <c r="P2203" i="36"/>
  <c r="Q2203" i="36"/>
  <c r="S2203" i="36"/>
  <c r="T2203" i="36"/>
  <c r="P2204" i="36"/>
  <c r="Q2204" i="36"/>
  <c r="S2204" i="36"/>
  <c r="T2204" i="36"/>
  <c r="P2205" i="36"/>
  <c r="Q2205" i="36"/>
  <c r="S2205" i="36"/>
  <c r="T2205" i="36"/>
  <c r="P2206" i="36"/>
  <c r="Q2206" i="36"/>
  <c r="S2206" i="36"/>
  <c r="T2206" i="36"/>
  <c r="P2207" i="36"/>
  <c r="Q2207" i="36"/>
  <c r="S2207" i="36"/>
  <c r="T2207" i="36"/>
  <c r="P2208" i="36"/>
  <c r="Q2208" i="36"/>
  <c r="S2208" i="36"/>
  <c r="T2208" i="36"/>
  <c r="P2209" i="36"/>
  <c r="Q2209" i="36"/>
  <c r="S2209" i="36"/>
  <c r="T2209" i="36"/>
  <c r="P2210" i="36"/>
  <c r="Q2210" i="36"/>
  <c r="S2210" i="36"/>
  <c r="T2210" i="36"/>
  <c r="P2211" i="36"/>
  <c r="Q2211" i="36"/>
  <c r="S2211" i="36"/>
  <c r="T2211" i="36"/>
  <c r="P2212" i="36"/>
  <c r="Q2212" i="36"/>
  <c r="S2212" i="36"/>
  <c r="T2212" i="36"/>
  <c r="P2214" i="36"/>
  <c r="Q2214" i="36"/>
  <c r="S2214" i="36"/>
  <c r="T2214" i="36"/>
  <c r="P2213" i="36"/>
  <c r="Q2213" i="36"/>
  <c r="S2213" i="36"/>
  <c r="T2213" i="36"/>
  <c r="P2215" i="36"/>
  <c r="Q2215" i="36"/>
  <c r="S2215" i="36"/>
  <c r="T2215" i="36"/>
  <c r="P2216" i="36"/>
  <c r="Q2216" i="36"/>
  <c r="S2216" i="36"/>
  <c r="T2216" i="36"/>
  <c r="P2218" i="36"/>
  <c r="Q2218" i="36"/>
  <c r="S2218" i="36"/>
  <c r="T2218" i="36"/>
  <c r="P2217" i="36"/>
  <c r="Q2217" i="36"/>
  <c r="S2217" i="36"/>
  <c r="T2217" i="36"/>
  <c r="P2219" i="36"/>
  <c r="Q2219" i="36"/>
  <c r="S2219" i="36"/>
  <c r="T2219" i="36"/>
  <c r="P2220" i="36"/>
  <c r="Q2220" i="36"/>
  <c r="S2220" i="36"/>
  <c r="T2220" i="36"/>
  <c r="P2221" i="36"/>
  <c r="Q2221" i="36"/>
  <c r="S2221" i="36"/>
  <c r="T2221" i="36"/>
  <c r="P2222" i="36"/>
  <c r="Q2222" i="36"/>
  <c r="S2222" i="36"/>
  <c r="T2222" i="36"/>
  <c r="P2223" i="36"/>
  <c r="Q2223" i="36"/>
  <c r="S2223" i="36"/>
  <c r="T2223" i="36"/>
  <c r="P2224" i="36"/>
  <c r="Q2224" i="36"/>
  <c r="S2224" i="36"/>
  <c r="T2224" i="36"/>
  <c r="P2225" i="36"/>
  <c r="Q2225" i="36"/>
  <c r="S2225" i="36"/>
  <c r="T2225" i="36"/>
  <c r="P2226" i="36"/>
  <c r="Q2226" i="36"/>
  <c r="S2226" i="36"/>
  <c r="T2226" i="36"/>
  <c r="P2228" i="36"/>
  <c r="Q2228" i="36"/>
  <c r="S2228" i="36"/>
  <c r="T2228" i="36"/>
  <c r="P2227" i="36"/>
  <c r="Q2227" i="36"/>
  <c r="S2227" i="36"/>
  <c r="T2227" i="36"/>
  <c r="P2229" i="36"/>
  <c r="Q2229" i="36"/>
  <c r="S2229" i="36"/>
  <c r="T2229" i="36"/>
  <c r="P2230" i="36"/>
  <c r="Q2230" i="36"/>
  <c r="S2230" i="36"/>
  <c r="T2230" i="36"/>
  <c r="P2379" i="36"/>
  <c r="Q2379" i="36"/>
  <c r="S2379" i="36"/>
  <c r="T2379" i="36"/>
  <c r="M2193" i="36"/>
  <c r="R2193" i="36"/>
  <c r="M2192" i="36"/>
  <c r="R2192" i="36"/>
  <c r="M2194" i="36"/>
  <c r="R2194" i="36"/>
  <c r="M2195" i="36"/>
  <c r="R2195" i="36"/>
  <c r="M2196" i="36"/>
  <c r="R2196" i="36"/>
  <c r="M2197" i="36"/>
  <c r="R2197" i="36"/>
  <c r="M2198" i="36"/>
  <c r="R2198" i="36"/>
  <c r="M2199" i="36"/>
  <c r="R2199" i="36"/>
  <c r="M2200" i="36"/>
  <c r="R2200" i="36"/>
  <c r="Z2200" i="36"/>
  <c r="M2201" i="36"/>
  <c r="R2201" i="36"/>
  <c r="M2202" i="36"/>
  <c r="R2202" i="36"/>
  <c r="M2203" i="36"/>
  <c r="R2203" i="36"/>
  <c r="M2204" i="36"/>
  <c r="R2204" i="36"/>
  <c r="M2205" i="36"/>
  <c r="R2205" i="36"/>
  <c r="M2206" i="36"/>
  <c r="R2206" i="36"/>
  <c r="M2207" i="36"/>
  <c r="R2207" i="36"/>
  <c r="M2208" i="36"/>
  <c r="R2208" i="36"/>
  <c r="Z2208" i="36"/>
  <c r="M2209" i="36"/>
  <c r="R2209" i="36"/>
  <c r="M2210" i="36"/>
  <c r="R2210" i="36"/>
  <c r="M2211" i="36"/>
  <c r="R2211" i="36"/>
  <c r="M2212" i="36"/>
  <c r="R2212" i="36"/>
  <c r="M2214" i="36"/>
  <c r="R2214" i="36"/>
  <c r="M2213" i="36"/>
  <c r="R2213" i="36"/>
  <c r="M2215" i="36"/>
  <c r="R2215" i="36"/>
  <c r="M2216" i="36"/>
  <c r="R2216" i="36"/>
  <c r="M2218" i="36"/>
  <c r="R2218" i="36"/>
  <c r="M2217" i="36"/>
  <c r="R2217" i="36"/>
  <c r="M2219" i="36"/>
  <c r="R2219" i="36"/>
  <c r="M2220" i="36"/>
  <c r="R2220" i="36"/>
  <c r="M2221" i="36"/>
  <c r="R2221" i="36"/>
  <c r="M2222" i="36"/>
  <c r="R2222" i="36"/>
  <c r="M2223" i="36"/>
  <c r="R2223" i="36"/>
  <c r="M2224" i="36"/>
  <c r="R2224" i="36"/>
  <c r="M2225" i="36"/>
  <c r="R2225" i="36"/>
  <c r="M2226" i="36"/>
  <c r="R2226" i="36"/>
  <c r="M2228" i="36"/>
  <c r="R2228" i="36"/>
  <c r="M2227" i="36"/>
  <c r="R2227" i="36"/>
  <c r="M2229" i="36"/>
  <c r="R2229" i="36"/>
  <c r="M2230" i="36"/>
  <c r="R2230" i="36"/>
  <c r="M2379" i="36"/>
  <c r="R2379" i="36"/>
  <c r="Z2223" i="36"/>
  <c r="Z2207" i="36"/>
  <c r="Z2199" i="36"/>
  <c r="Z2379" i="36"/>
  <c r="Z2229" i="36"/>
  <c r="Z2205" i="36"/>
  <c r="Z2193" i="36"/>
  <c r="Z2197" i="36"/>
  <c r="Z2228" i="36"/>
  <c r="Z2225" i="36"/>
  <c r="Z2192" i="36"/>
  <c r="Z2195" i="36"/>
  <c r="Z2209" i="36"/>
  <c r="Z2227" i="36"/>
  <c r="Z2204" i="36"/>
  <c r="Z2196" i="36"/>
  <c r="Z2206" i="36"/>
  <c r="Z2212" i="36"/>
  <c r="Z2198" i="36"/>
  <c r="Z2226" i="36"/>
  <c r="Z2217" i="36"/>
  <c r="Z2210" i="36"/>
  <c r="Z2202" i="36"/>
  <c r="Z2194" i="36"/>
  <c r="Z2219" i="36"/>
  <c r="Z2211" i="36"/>
  <c r="Z2218" i="36"/>
  <c r="Z2224" i="36"/>
  <c r="Z2215" i="36"/>
  <c r="Z2230" i="36"/>
  <c r="Z2221" i="36"/>
  <c r="Z2214" i="36"/>
  <c r="Z2203" i="36"/>
  <c r="Z2201" i="36"/>
  <c r="Z2216" i="36"/>
  <c r="Z2220" i="36"/>
  <c r="Z2222" i="36"/>
  <c r="Z2213" i="36"/>
  <c r="I2193" i="36"/>
  <c r="I2192" i="36"/>
  <c r="I2194" i="36"/>
  <c r="I2195" i="36"/>
  <c r="I2196" i="36"/>
  <c r="I2197" i="36"/>
  <c r="I2198" i="36"/>
  <c r="I2199" i="36"/>
  <c r="I2200" i="36"/>
  <c r="I2201" i="36"/>
  <c r="I2202" i="36"/>
  <c r="I2203" i="36"/>
  <c r="I2204" i="36"/>
  <c r="I2205" i="36"/>
  <c r="I2206" i="36"/>
  <c r="I2207" i="36"/>
  <c r="I2208" i="36"/>
  <c r="I2209" i="36"/>
  <c r="I2210" i="36"/>
  <c r="I2211" i="36"/>
  <c r="I2212" i="36"/>
  <c r="I2214" i="36"/>
  <c r="I2213" i="36"/>
  <c r="I2215" i="36"/>
  <c r="I2216" i="36"/>
  <c r="I2218" i="36"/>
  <c r="I2217" i="36"/>
  <c r="I2219" i="36"/>
  <c r="I2220" i="36"/>
  <c r="I2221" i="36"/>
  <c r="I2222" i="36"/>
  <c r="I2223" i="36"/>
  <c r="I2224" i="36"/>
  <c r="I2225" i="36"/>
  <c r="I2226" i="36"/>
  <c r="I2228" i="36"/>
  <c r="I2227" i="36"/>
  <c r="I2229" i="36"/>
  <c r="I2230" i="36"/>
  <c r="I2379" i="36"/>
  <c r="C2191" i="36"/>
  <c r="B2192" i="36"/>
  <c r="C2192" i="36"/>
  <c r="B2194" i="36"/>
  <c r="C2194" i="36"/>
  <c r="B2195" i="36"/>
  <c r="C2195" i="36"/>
  <c r="B2196" i="36"/>
  <c r="C2196" i="36"/>
  <c r="B2197" i="36"/>
  <c r="C2197" i="36"/>
  <c r="B2198" i="36"/>
  <c r="C2198" i="36"/>
  <c r="B2199" i="36"/>
  <c r="C2199" i="36"/>
  <c r="B2200" i="36"/>
  <c r="C2200" i="36"/>
  <c r="B2201" i="36"/>
  <c r="C2201" i="36"/>
  <c r="B2202" i="36"/>
  <c r="C2202" i="36"/>
  <c r="B2203" i="36"/>
  <c r="C2203" i="36"/>
  <c r="B2204" i="36"/>
  <c r="C2204" i="36"/>
  <c r="B2205" i="36"/>
  <c r="C2205" i="36"/>
  <c r="B2206" i="36"/>
  <c r="C2206" i="36"/>
  <c r="B2207" i="36"/>
  <c r="C2207" i="36"/>
  <c r="B2208" i="36"/>
  <c r="C2208" i="36"/>
  <c r="B2209" i="36"/>
  <c r="C2209" i="36"/>
  <c r="B2210" i="36"/>
  <c r="C2210" i="36"/>
  <c r="B2211" i="36"/>
  <c r="C2211" i="36"/>
  <c r="B2212" i="36"/>
  <c r="C2212" i="36"/>
  <c r="B2214" i="36"/>
  <c r="C2214" i="36"/>
  <c r="B2213" i="36"/>
  <c r="C2213" i="36"/>
  <c r="B2215" i="36"/>
  <c r="C2215" i="36"/>
  <c r="B2216" i="36"/>
  <c r="C2216" i="36"/>
  <c r="B2218" i="36"/>
  <c r="C2218" i="36"/>
  <c r="B2217" i="36"/>
  <c r="C2217" i="36"/>
  <c r="B2219" i="36"/>
  <c r="C2219" i="36"/>
  <c r="B2220" i="36"/>
  <c r="C2220" i="36"/>
  <c r="B2221" i="36"/>
  <c r="C2221" i="36"/>
  <c r="B2222" i="36"/>
  <c r="C2222" i="36"/>
  <c r="B2223" i="36"/>
  <c r="C2223" i="36"/>
  <c r="B2224" i="36"/>
  <c r="C2224" i="36"/>
  <c r="B2225" i="36"/>
  <c r="C2225" i="36"/>
  <c r="B2226" i="36"/>
  <c r="C2226" i="36"/>
  <c r="B2228" i="36"/>
  <c r="C2228" i="36"/>
  <c r="B2227" i="36"/>
  <c r="C2227" i="36"/>
  <c r="B2229" i="36"/>
  <c r="C2229" i="36"/>
  <c r="B2230" i="36"/>
  <c r="C2230" i="36"/>
  <c r="B2379" i="36"/>
  <c r="C2379" i="36"/>
  <c r="B2193" i="36"/>
  <c r="C2193" i="36"/>
  <c r="C2176" i="36"/>
  <c r="C2177" i="36"/>
  <c r="C2179" i="36"/>
  <c r="C2184" i="36"/>
  <c r="C2185" i="36"/>
  <c r="C2190" i="36"/>
  <c r="C2172" i="36"/>
  <c r="C2180" i="36"/>
  <c r="C1636" i="36"/>
  <c r="C1638" i="36"/>
  <c r="C1645" i="36"/>
  <c r="C1653" i="36"/>
  <c r="C1662" i="36"/>
  <c r="C1670" i="36"/>
  <c r="C1686" i="36"/>
  <c r="C1693" i="36"/>
  <c r="C1694" i="36"/>
  <c r="C1701" i="36"/>
  <c r="C1702" i="36"/>
  <c r="C2067" i="36"/>
  <c r="C2069" i="36"/>
  <c r="C2076" i="36"/>
  <c r="C2077" i="36"/>
  <c r="C2084" i="36"/>
  <c r="C2085" i="36"/>
  <c r="C2092" i="36"/>
  <c r="C2094" i="36"/>
  <c r="C2100" i="36"/>
  <c r="C2101" i="36"/>
  <c r="C2108" i="36"/>
  <c r="C2113" i="36"/>
  <c r="C2158" i="36"/>
  <c r="C2166" i="36"/>
  <c r="C2169" i="36"/>
  <c r="C2173" i="36"/>
  <c r="C2174" i="36"/>
  <c r="C2182" i="36"/>
  <c r="C2181" i="36"/>
  <c r="C1637" i="36"/>
  <c r="C1647" i="36"/>
  <c r="C1654" i="36"/>
  <c r="C1669" i="36"/>
  <c r="C1677" i="36"/>
  <c r="C2157" i="36"/>
  <c r="C2188" i="36"/>
  <c r="C1634" i="36"/>
  <c r="C1628" i="36"/>
  <c r="C1213" i="36"/>
  <c r="C1420" i="36"/>
  <c r="C1428" i="36"/>
  <c r="C1440" i="36"/>
  <c r="C1443" i="36"/>
  <c r="C2153" i="36"/>
  <c r="C1558" i="36"/>
  <c r="C1562" i="36"/>
  <c r="C1566" i="36"/>
  <c r="C1593" i="36"/>
  <c r="C1598" i="36"/>
  <c r="C1602" i="36"/>
  <c r="C1605" i="36"/>
  <c r="C1614" i="36"/>
  <c r="C1650" i="36"/>
  <c r="C1658" i="36"/>
  <c r="C1668" i="36"/>
  <c r="C1680" i="36"/>
  <c r="C1696" i="36"/>
  <c r="C1699" i="36"/>
  <c r="C1700" i="36"/>
  <c r="C2065" i="36"/>
  <c r="C2070" i="36"/>
  <c r="C2073" i="36"/>
  <c r="C2074" i="36"/>
  <c r="C2083" i="36"/>
  <c r="C2086" i="36"/>
  <c r="C2095" i="36"/>
  <c r="C2098" i="36"/>
  <c r="C2099" i="36"/>
  <c r="C2105" i="36"/>
  <c r="C2156" i="36"/>
  <c r="C2163" i="36"/>
  <c r="C2167" i="36"/>
  <c r="C2170" i="36"/>
  <c r="C2171" i="36"/>
  <c r="C2186" i="36"/>
  <c r="C2187" i="36"/>
  <c r="C2189" i="36"/>
  <c r="C2145" i="36"/>
  <c r="C2147" i="36"/>
  <c r="C1434" i="36"/>
  <c r="C1435" i="36"/>
  <c r="C1560" i="36"/>
  <c r="C1567" i="36"/>
  <c r="C1571" i="36"/>
  <c r="C1575" i="36"/>
  <c r="C1578" i="36"/>
  <c r="C1584" i="36"/>
  <c r="C1586" i="36"/>
  <c r="C1608" i="36"/>
  <c r="C1609" i="36"/>
  <c r="C1615" i="36"/>
  <c r="C1618" i="36"/>
  <c r="C1640" i="36"/>
  <c r="C1642" i="36"/>
  <c r="C1664" i="36"/>
  <c r="C1666" i="36"/>
  <c r="C1672" i="36"/>
  <c r="C1674" i="36"/>
  <c r="C1682" i="36"/>
  <c r="C1690" i="36"/>
  <c r="C1695" i="36"/>
  <c r="C2063" i="36"/>
  <c r="C1703" i="36"/>
  <c r="C2066" i="36"/>
  <c r="C2079" i="36"/>
  <c r="C2087" i="36"/>
  <c r="C2089" i="36"/>
  <c r="C2093" i="36"/>
  <c r="C2096" i="36"/>
  <c r="C2103" i="36"/>
  <c r="C2109" i="36"/>
  <c r="C2112" i="36"/>
  <c r="C2159" i="36"/>
  <c r="C2162" i="36"/>
  <c r="C2168" i="36"/>
  <c r="C2178" i="36"/>
  <c r="C2183" i="36"/>
  <c r="C1222" i="36"/>
  <c r="C1230" i="36"/>
  <c r="C1246" i="36"/>
  <c r="C1255" i="36"/>
  <c r="C1262" i="36"/>
  <c r="C1278" i="36"/>
  <c r="C1286" i="36"/>
  <c r="C1302" i="36"/>
  <c r="C1310" i="36"/>
  <c r="C1327" i="36"/>
  <c r="C1334" i="36"/>
  <c r="C1459" i="36"/>
  <c r="C1467" i="36"/>
  <c r="C1475" i="36"/>
  <c r="C1483" i="36"/>
  <c r="C1499" i="36"/>
  <c r="C1507" i="36"/>
  <c r="C1523" i="36"/>
  <c r="C1531" i="36"/>
  <c r="C1539" i="36"/>
  <c r="C1547" i="36"/>
  <c r="C1555" i="36"/>
  <c r="C1349" i="36"/>
  <c r="C1350" i="36"/>
  <c r="C1352" i="36"/>
  <c r="C1363" i="36"/>
  <c r="C2123" i="36"/>
  <c r="C2124" i="36"/>
  <c r="C1371" i="36"/>
  <c r="C1372" i="36"/>
  <c r="C1378" i="36"/>
  <c r="C2644" i="36"/>
  <c r="C2630" i="36"/>
  <c r="C2128" i="36"/>
  <c r="C1394" i="36"/>
  <c r="C2136" i="36"/>
  <c r="C1402" i="36"/>
  <c r="C2625" i="36"/>
  <c r="C1410" i="36"/>
  <c r="C1415" i="36"/>
  <c r="C1424" i="36"/>
  <c r="C2639" i="36"/>
  <c r="C2527" i="36"/>
  <c r="C1437" i="36"/>
  <c r="C1442" i="36"/>
  <c r="C1565" i="36"/>
  <c r="C1573" i="36"/>
  <c r="C1581" i="36"/>
  <c r="C1588" i="36"/>
  <c r="C1597" i="36"/>
  <c r="C1613" i="36"/>
  <c r="C1621" i="36"/>
  <c r="C1630" i="36"/>
  <c r="C1661" i="36"/>
  <c r="C1676" i="36"/>
  <c r="C1691" i="36"/>
  <c r="C2068" i="36"/>
  <c r="C2082" i="36"/>
  <c r="C2090" i="36"/>
  <c r="C2164" i="36"/>
  <c r="C979" i="36"/>
  <c r="C986" i="36"/>
  <c r="C993" i="36"/>
  <c r="C1001" i="36"/>
  <c r="C1009" i="36"/>
  <c r="C2365" i="36"/>
  <c r="C1023" i="36"/>
  <c r="C1037" i="36"/>
  <c r="C1043" i="36"/>
  <c r="C1051" i="36"/>
  <c r="C2369" i="36"/>
  <c r="C1065" i="36"/>
  <c r="C1071" i="36"/>
  <c r="C1078" i="36"/>
  <c r="C1092" i="36"/>
  <c r="C1098" i="36"/>
  <c r="C1104" i="36"/>
  <c r="C1108" i="36"/>
  <c r="C2057" i="36"/>
  <c r="C1117" i="36"/>
  <c r="C1123" i="36"/>
  <c r="C1133" i="36"/>
  <c r="C1141" i="36"/>
  <c r="C1149" i="36"/>
  <c r="C1157" i="36"/>
  <c r="C1165" i="36"/>
  <c r="C1174" i="36"/>
  <c r="C1181" i="36"/>
  <c r="C1197" i="36"/>
  <c r="C1205" i="36"/>
  <c r="C1221" i="36"/>
  <c r="C1229" i="36"/>
  <c r="C1245" i="36"/>
  <c r="C1252" i="36"/>
  <c r="C1261" i="36"/>
  <c r="C1269" i="36"/>
  <c r="C1277" i="36"/>
  <c r="C1285" i="36"/>
  <c r="C1293" i="36"/>
  <c r="C1301" i="36"/>
  <c r="C1309" i="36"/>
  <c r="C1317" i="36"/>
  <c r="C1333" i="36"/>
  <c r="C1449" i="36"/>
  <c r="C1457" i="36"/>
  <c r="C1458" i="36"/>
  <c r="C1466" i="36"/>
  <c r="C1474" i="36"/>
  <c r="C1481" i="36"/>
  <c r="C1482" i="36"/>
  <c r="C1489" i="36"/>
  <c r="C1498" i="36"/>
  <c r="C1506" i="36"/>
  <c r="C1514" i="36"/>
  <c r="C1530" i="36"/>
  <c r="C1538" i="36"/>
  <c r="C1546" i="36"/>
  <c r="C1545" i="36"/>
  <c r="C2401" i="36"/>
  <c r="C1348" i="36"/>
  <c r="C2517" i="36"/>
  <c r="C1357" i="36"/>
  <c r="C1362" i="36"/>
  <c r="C1368" i="36"/>
  <c r="C2520" i="36"/>
  <c r="C1377" i="36"/>
  <c r="C1382" i="36"/>
  <c r="C2624" i="36"/>
  <c r="C1390" i="36"/>
  <c r="C2135" i="36"/>
  <c r="C2138" i="36"/>
  <c r="C2410" i="36"/>
  <c r="C1409" i="36"/>
  <c r="C2571" i="36"/>
  <c r="C1423" i="36"/>
  <c r="C1427" i="36"/>
  <c r="C1432" i="36"/>
  <c r="C2151" i="36"/>
  <c r="C1438" i="36"/>
  <c r="C1441" i="36"/>
  <c r="C1556" i="36"/>
  <c r="C1564" i="36"/>
  <c r="C1570" i="36"/>
  <c r="C1572" i="36"/>
  <c r="C1580" i="36"/>
  <c r="C1589" i="36"/>
  <c r="C1595" i="36"/>
  <c r="C1596" i="36"/>
  <c r="C1604" i="36"/>
  <c r="C1612" i="36"/>
  <c r="C1620" i="36"/>
  <c r="C1623" i="36"/>
  <c r="C1627" i="36"/>
  <c r="C1629" i="36"/>
  <c r="C1632" i="36"/>
  <c r="C1644" i="36"/>
  <c r="C1651" i="36"/>
  <c r="C1652" i="36"/>
  <c r="C1657" i="36"/>
  <c r="C1659" i="36"/>
  <c r="C1667" i="36"/>
  <c r="C1675" i="36"/>
  <c r="C1681" i="36"/>
  <c r="C1683" i="36"/>
  <c r="C1684" i="36"/>
  <c r="C1692" i="36"/>
  <c r="C2071" i="36"/>
  <c r="C2075" i="36"/>
  <c r="C2091" i="36"/>
  <c r="C2104" i="36"/>
  <c r="C2107" i="36"/>
  <c r="C969" i="36"/>
  <c r="C735" i="36"/>
  <c r="C1971" i="36"/>
  <c r="C747" i="36"/>
  <c r="C759" i="36"/>
  <c r="C2485" i="36"/>
  <c r="C2338" i="36"/>
  <c r="C776" i="36"/>
  <c r="C782" i="36"/>
  <c r="C787" i="36"/>
  <c r="C1983" i="36"/>
  <c r="C2342" i="36"/>
  <c r="C808" i="36"/>
  <c r="C811" i="36"/>
  <c r="C1994" i="36"/>
  <c r="C1996" i="36"/>
  <c r="C828" i="36"/>
  <c r="C2490" i="36"/>
  <c r="C847" i="36"/>
  <c r="C852" i="36"/>
  <c r="C2005" i="36"/>
  <c r="C2491" i="36"/>
  <c r="C861" i="36"/>
  <c r="C2015" i="36"/>
  <c r="C2016" i="36"/>
  <c r="C880" i="36"/>
  <c r="C887" i="36"/>
  <c r="C2354" i="36"/>
  <c r="C900" i="36"/>
  <c r="C904" i="36"/>
  <c r="C909" i="36"/>
  <c r="C915" i="36"/>
  <c r="C2495" i="36"/>
  <c r="C2636" i="36"/>
  <c r="C931" i="36"/>
  <c r="C938" i="36"/>
  <c r="C2360" i="36"/>
  <c r="C2362" i="36"/>
  <c r="C951" i="36"/>
  <c r="C963" i="36"/>
  <c r="C1260" i="36"/>
  <c r="C1451" i="36"/>
  <c r="C1521" i="36"/>
  <c r="C1529" i="36"/>
  <c r="C1537" i="36"/>
  <c r="C1587" i="36"/>
  <c r="C1611" i="36"/>
  <c r="C1635" i="36"/>
  <c r="C1643" i="36"/>
  <c r="C1649" i="36"/>
  <c r="C2081" i="36"/>
  <c r="C2110" i="36"/>
  <c r="C2161" i="36"/>
  <c r="C2307" i="36"/>
  <c r="C1914" i="36"/>
  <c r="C565" i="36"/>
  <c r="C571" i="36"/>
  <c r="C2312" i="36"/>
  <c r="C579" i="36"/>
  <c r="C582" i="36"/>
  <c r="C594" i="36"/>
  <c r="C601" i="36"/>
  <c r="C1923" i="36"/>
  <c r="C2318" i="36"/>
  <c r="C616" i="36"/>
  <c r="C1929" i="36"/>
  <c r="C627" i="36"/>
  <c r="C2321" i="36"/>
  <c r="C643" i="36"/>
  <c r="C650" i="36"/>
  <c r="C654" i="36"/>
  <c r="C2609" i="36"/>
  <c r="C663" i="36"/>
  <c r="C666" i="36"/>
  <c r="C1950" i="36"/>
  <c r="C2325" i="36"/>
  <c r="C683" i="36"/>
  <c r="C688" i="36"/>
  <c r="C695" i="36"/>
  <c r="C697" i="36"/>
  <c r="C703" i="36"/>
  <c r="C713" i="36"/>
  <c r="C718" i="36"/>
  <c r="C725" i="36"/>
  <c r="C1969" i="36"/>
  <c r="C1224" i="36"/>
  <c r="C1231" i="36"/>
  <c r="C1254" i="36"/>
  <c r="C1287" i="36"/>
  <c r="C1295" i="36"/>
  <c r="C1335" i="36"/>
  <c r="C1476" i="36"/>
  <c r="C1492" i="36"/>
  <c r="C1516" i="36"/>
  <c r="C1548" i="36"/>
  <c r="C1397" i="36"/>
  <c r="C2602" i="36"/>
  <c r="C2411" i="36"/>
  <c r="C1579" i="36"/>
  <c r="C1582" i="36"/>
  <c r="C1660" i="36"/>
  <c r="C2106" i="36"/>
  <c r="C1513" i="36"/>
  <c r="C1505" i="36"/>
  <c r="C1473" i="36"/>
  <c r="C1465" i="36"/>
  <c r="C1332" i="36"/>
  <c r="C1307" i="36"/>
  <c r="C1300" i="36"/>
  <c r="C1291" i="36"/>
  <c r="C1284" i="36"/>
  <c r="C1276" i="36"/>
  <c r="C1268" i="36"/>
  <c r="C1253" i="36"/>
  <c r="C1244" i="36"/>
  <c r="C1236" i="36"/>
  <c r="C1228" i="36"/>
  <c r="C1220" i="36"/>
  <c r="C1212" i="36"/>
  <c r="C1204" i="36"/>
  <c r="C1196" i="36"/>
  <c r="C1188" i="36"/>
  <c r="C1180" i="36"/>
  <c r="C1172" i="36"/>
  <c r="C1164" i="36"/>
  <c r="C1156" i="36"/>
  <c r="C1148" i="36"/>
  <c r="C1140" i="36"/>
  <c r="C2378" i="36"/>
  <c r="C2062" i="36"/>
  <c r="C2060" i="36"/>
  <c r="C1116" i="36"/>
  <c r="C1112" i="36"/>
  <c r="C2373" i="36"/>
  <c r="C1103" i="36"/>
  <c r="C1097" i="36"/>
  <c r="C1091" i="36"/>
  <c r="C1083" i="36"/>
  <c r="C1077" i="36"/>
  <c r="C1070" i="36"/>
  <c r="C1064" i="36"/>
  <c r="C1058" i="36"/>
  <c r="C1050" i="36"/>
  <c r="C1042" i="36"/>
  <c r="C1036" i="36"/>
  <c r="C1029" i="36"/>
  <c r="C1022" i="36"/>
  <c r="C1016" i="36"/>
  <c r="C1008" i="36"/>
  <c r="C1000" i="36"/>
  <c r="C992" i="36"/>
  <c r="C985" i="36"/>
  <c r="C978" i="36"/>
  <c r="C970" i="36"/>
  <c r="C959" i="36"/>
  <c r="C2493" i="36"/>
  <c r="C874" i="36"/>
  <c r="C841" i="36"/>
  <c r="C797" i="36"/>
  <c r="C753" i="36"/>
  <c r="C2332" i="36"/>
  <c r="C1948" i="36"/>
  <c r="C633" i="36"/>
  <c r="C588" i="36"/>
  <c r="C2475" i="36"/>
  <c r="C551" i="36"/>
  <c r="C1905" i="36"/>
  <c r="C547" i="36"/>
  <c r="C1904" i="36"/>
  <c r="C2304" i="36"/>
  <c r="C537" i="36"/>
  <c r="C1902" i="36"/>
  <c r="C1901" i="36"/>
  <c r="C531" i="36"/>
  <c r="C528" i="36"/>
  <c r="C526" i="36"/>
  <c r="C523" i="36"/>
  <c r="C521" i="36"/>
  <c r="C2299" i="36"/>
  <c r="C516" i="36"/>
  <c r="C2297" i="36"/>
  <c r="C2642" i="36"/>
  <c r="C510" i="36"/>
  <c r="C2296" i="36"/>
  <c r="C505" i="36"/>
  <c r="C502" i="36"/>
  <c r="C501" i="36"/>
  <c r="C1885" i="36"/>
  <c r="C497" i="36"/>
  <c r="C493" i="36"/>
  <c r="C491" i="36"/>
  <c r="C486" i="36"/>
  <c r="C1882" i="36"/>
  <c r="C480" i="36"/>
  <c r="C477" i="36"/>
  <c r="C475" i="36"/>
  <c r="C1875" i="36"/>
  <c r="C470" i="36"/>
  <c r="C464" i="36"/>
  <c r="C462" i="36"/>
  <c r="C2290" i="36"/>
  <c r="C457" i="36"/>
  <c r="C453" i="36"/>
  <c r="C1870" i="36"/>
  <c r="C449" i="36"/>
  <c r="C1868" i="36"/>
  <c r="C1865" i="36"/>
  <c r="C2468" i="36"/>
  <c r="C440" i="36"/>
  <c r="C1861" i="36"/>
  <c r="C437" i="36"/>
  <c r="C1859" i="36"/>
  <c r="C434" i="36"/>
  <c r="C1857" i="36"/>
  <c r="C429" i="36"/>
  <c r="C1854" i="36"/>
  <c r="C422" i="36"/>
  <c r="C2466" i="36"/>
  <c r="C419" i="36"/>
  <c r="C417" i="36"/>
  <c r="C416" i="36"/>
  <c r="C1848" i="36"/>
  <c r="C412" i="36"/>
  <c r="C410" i="36"/>
  <c r="C2286" i="36"/>
  <c r="C1846" i="36"/>
  <c r="C404" i="36"/>
  <c r="C402" i="36"/>
  <c r="C1845" i="36"/>
  <c r="C397" i="36"/>
  <c r="C1844" i="36"/>
  <c r="C2547" i="36"/>
  <c r="C395" i="36"/>
  <c r="C394" i="36"/>
  <c r="C2462" i="36"/>
  <c r="C391" i="36"/>
  <c r="C2588" i="36"/>
  <c r="C390" i="36"/>
  <c r="C2280" i="36"/>
  <c r="C388" i="36"/>
  <c r="C2459" i="36"/>
  <c r="C384" i="36"/>
  <c r="C1838" i="36"/>
  <c r="C2279" i="36"/>
  <c r="C382" i="36"/>
  <c r="C1837" i="36"/>
  <c r="C2587" i="36"/>
  <c r="C1834" i="36"/>
  <c r="C1833" i="36"/>
  <c r="C2606" i="36"/>
  <c r="C1832" i="36"/>
  <c r="C378" i="36"/>
  <c r="C1830" i="36"/>
  <c r="C2585" i="36"/>
  <c r="C2277" i="36"/>
  <c r="C377" i="36"/>
  <c r="C2456" i="36"/>
  <c r="C374" i="36"/>
  <c r="C373" i="36"/>
  <c r="C1828" i="36"/>
  <c r="C2455" i="36"/>
  <c r="C370" i="36"/>
  <c r="C1826" i="36"/>
  <c r="C2543" i="36"/>
  <c r="C1822" i="36"/>
  <c r="C1821" i="36"/>
  <c r="C1819" i="36"/>
  <c r="C367" i="36"/>
  <c r="C1818" i="36"/>
  <c r="C366" i="36"/>
  <c r="C2628" i="36"/>
  <c r="C1817" i="36"/>
  <c r="C364" i="36"/>
  <c r="C1816" i="36"/>
  <c r="C363" i="36"/>
  <c r="C2273" i="36"/>
  <c r="C1815" i="36"/>
  <c r="C362" i="36"/>
  <c r="C2272" i="36"/>
  <c r="C1812" i="36"/>
  <c r="C360" i="36"/>
  <c r="C1811" i="36"/>
  <c r="C357" i="36"/>
  <c r="C356" i="36"/>
  <c r="C355" i="36"/>
  <c r="C354" i="36"/>
  <c r="C350" i="36"/>
  <c r="C349" i="36"/>
  <c r="C1808" i="36"/>
  <c r="C2539" i="36"/>
  <c r="C1806" i="36"/>
  <c r="C348" i="36"/>
  <c r="C2271" i="36"/>
  <c r="C1804" i="36"/>
  <c r="C1802" i="36"/>
  <c r="C1801" i="36"/>
  <c r="C2538" i="36"/>
  <c r="C342" i="36"/>
  <c r="C1799" i="36"/>
  <c r="C341" i="36"/>
  <c r="C2268" i="36"/>
  <c r="C339" i="36"/>
  <c r="C2447" i="36"/>
  <c r="C1794" i="36"/>
  <c r="C2267" i="36"/>
  <c r="C1793" i="36"/>
  <c r="C338" i="36"/>
  <c r="C1792" i="36"/>
  <c r="C1791" i="36"/>
  <c r="C335" i="36"/>
  <c r="C2537" i="36"/>
  <c r="C332" i="36"/>
  <c r="C331" i="36"/>
  <c r="C2266" i="36"/>
  <c r="C2446" i="36"/>
  <c r="C1788" i="36"/>
  <c r="C328" i="36"/>
  <c r="C2265" i="36"/>
  <c r="C326" i="36"/>
  <c r="C2264" i="36"/>
  <c r="C324" i="36"/>
  <c r="C2445" i="36"/>
  <c r="C1785" i="36"/>
  <c r="C2444" i="36"/>
  <c r="C1783" i="36"/>
  <c r="C2443" i="36"/>
  <c r="C323" i="36"/>
  <c r="C321" i="36"/>
  <c r="C2261" i="36"/>
  <c r="C1781" i="36"/>
  <c r="C2536" i="36"/>
  <c r="C1780" i="36"/>
  <c r="C2260" i="36"/>
  <c r="C1778" i="36"/>
  <c r="C2258" i="36"/>
  <c r="C1777" i="36"/>
  <c r="C317" i="36"/>
  <c r="C316" i="36"/>
  <c r="C314" i="36"/>
  <c r="C2257" i="36"/>
  <c r="C312" i="36"/>
  <c r="C1774" i="36"/>
  <c r="C310" i="36"/>
  <c r="C2256" i="36"/>
  <c r="C1773" i="36"/>
  <c r="C1772" i="36"/>
  <c r="C307" i="36"/>
  <c r="C306" i="36"/>
  <c r="C300" i="36"/>
  <c r="C299" i="36"/>
  <c r="C297" i="36"/>
  <c r="C296" i="36"/>
  <c r="C295" i="36"/>
  <c r="C294" i="36"/>
  <c r="C1771" i="36"/>
  <c r="C292" i="36"/>
  <c r="C1770" i="36"/>
  <c r="C287" i="36"/>
  <c r="C1769" i="36"/>
  <c r="C2255" i="36"/>
  <c r="C286" i="36"/>
  <c r="C1767" i="36"/>
  <c r="C285" i="36"/>
  <c r="C1765" i="36"/>
  <c r="C283" i="36"/>
  <c r="C282" i="36"/>
  <c r="C281" i="36"/>
  <c r="C2254" i="36"/>
  <c r="C280" i="36"/>
  <c r="C278" i="36"/>
  <c r="C277" i="36"/>
  <c r="C276" i="36"/>
  <c r="C1763" i="36"/>
  <c r="C274" i="36"/>
  <c r="C1761" i="36"/>
  <c r="C1760" i="36"/>
  <c r="C273" i="36"/>
  <c r="C1759" i="36"/>
  <c r="C1758" i="36"/>
  <c r="C1757" i="36"/>
  <c r="C1756" i="36"/>
  <c r="C269" i="36"/>
  <c r="C2442" i="36"/>
  <c r="C2252" i="36"/>
  <c r="C268" i="36"/>
  <c r="C2251" i="36"/>
  <c r="C267" i="36"/>
  <c r="C2583" i="36"/>
  <c r="C2250" i="36"/>
  <c r="C265" i="36"/>
  <c r="C1755" i="36"/>
  <c r="C264" i="36"/>
  <c r="C262" i="36"/>
  <c r="C1753" i="36"/>
  <c r="C1752" i="36"/>
  <c r="C259" i="36"/>
  <c r="C257" i="36"/>
  <c r="C256" i="36"/>
  <c r="C255" i="36"/>
  <c r="C254" i="36"/>
  <c r="C253" i="36"/>
  <c r="C251" i="36"/>
  <c r="C2249" i="36"/>
  <c r="C2248" i="36"/>
  <c r="C249" i="36"/>
  <c r="C1299" i="36"/>
  <c r="C1308" i="36"/>
  <c r="C1315" i="36"/>
  <c r="C1323" i="36"/>
  <c r="C1331" i="36"/>
  <c r="C1448" i="36"/>
  <c r="C1456" i="36"/>
  <c r="C1464" i="36"/>
  <c r="C1472" i="36"/>
  <c r="C1480" i="36"/>
  <c r="C1488" i="36"/>
  <c r="C1496" i="36"/>
  <c r="C1504" i="36"/>
  <c r="C1512" i="36"/>
  <c r="C1520" i="36"/>
  <c r="C1528" i="36"/>
  <c r="C1536" i="36"/>
  <c r="C1544" i="36"/>
  <c r="C1552" i="36"/>
  <c r="C1341" i="36"/>
  <c r="C1346" i="36"/>
  <c r="C2118" i="36"/>
  <c r="C1355" i="36"/>
  <c r="C2518" i="36"/>
  <c r="C1366" i="36"/>
  <c r="C2619" i="36"/>
  <c r="C1376" i="36"/>
  <c r="C1380" i="36"/>
  <c r="C2407" i="36"/>
  <c r="C1389" i="36"/>
  <c r="C2132" i="36"/>
  <c r="C1396" i="36"/>
  <c r="C2137" i="36"/>
  <c r="C1404" i="36"/>
  <c r="C1407" i="36"/>
  <c r="C1413" i="36"/>
  <c r="C1422" i="36"/>
  <c r="C2150" i="36"/>
  <c r="C1626" i="36"/>
  <c r="C1698" i="36"/>
  <c r="C2111" i="36"/>
  <c r="C444" i="36"/>
  <c r="C2288" i="36"/>
  <c r="C1856" i="36"/>
  <c r="C428" i="36"/>
  <c r="C1853" i="36"/>
  <c r="C418" i="36"/>
  <c r="C1849" i="36"/>
  <c r="C409" i="36"/>
  <c r="C406" i="36"/>
  <c r="C401" i="36"/>
  <c r="C2283" i="36"/>
  <c r="C398" i="36"/>
  <c r="C2589" i="36"/>
  <c r="C2546" i="36"/>
  <c r="C2616" i="36"/>
  <c r="C392" i="36"/>
  <c r="C389" i="36"/>
  <c r="C1839" i="36"/>
  <c r="C385" i="36"/>
  <c r="C381" i="36"/>
  <c r="C2278" i="36"/>
  <c r="C1835" i="36"/>
  <c r="C375" i="36"/>
  <c r="C371" i="36"/>
  <c r="C1825" i="36"/>
  <c r="C1823" i="36"/>
  <c r="C1820" i="36"/>
  <c r="C2542" i="36"/>
  <c r="C2274" i="36"/>
  <c r="C2451" i="36"/>
  <c r="C2449" i="36"/>
  <c r="C1810" i="36"/>
  <c r="C353" i="36"/>
  <c r="C1809" i="36"/>
  <c r="C1805" i="36"/>
  <c r="C2270" i="36"/>
  <c r="C1800" i="36"/>
  <c r="C340" i="36"/>
  <c r="C1795" i="36"/>
  <c r="C337" i="36"/>
  <c r="C334" i="36"/>
  <c r="C333" i="36"/>
  <c r="C1787" i="36"/>
  <c r="C325" i="36"/>
  <c r="C2262" i="36"/>
  <c r="C318" i="36"/>
  <c r="C313" i="36"/>
  <c r="C311" i="36"/>
  <c r="C309" i="36"/>
  <c r="C302" i="36"/>
  <c r="C298" i="36"/>
  <c r="C288" i="36"/>
  <c r="C1768" i="36"/>
  <c r="C1766" i="36"/>
  <c r="C279" i="36"/>
  <c r="C1764" i="36"/>
  <c r="C1762" i="36"/>
  <c r="C272" i="36"/>
  <c r="C270" i="36"/>
  <c r="C266" i="36"/>
  <c r="C263" i="36"/>
  <c r="C261" i="36"/>
  <c r="C258" i="36"/>
  <c r="C250" i="36"/>
  <c r="C1445" i="36"/>
  <c r="C1592" i="36"/>
  <c r="C1600" i="36"/>
  <c r="C1688" i="36"/>
  <c r="C128" i="36"/>
  <c r="C131" i="36"/>
  <c r="C132" i="36"/>
  <c r="C135" i="36"/>
  <c r="C137" i="36"/>
  <c r="C138" i="36"/>
  <c r="C142" i="36"/>
  <c r="C145" i="36"/>
  <c r="C146" i="36"/>
  <c r="C1719" i="36"/>
  <c r="C1721" i="36"/>
  <c r="C151" i="36"/>
  <c r="C1722" i="36"/>
  <c r="C156" i="36"/>
  <c r="C1724" i="36"/>
  <c r="C1725" i="36"/>
  <c r="C162" i="36"/>
  <c r="C163" i="36"/>
  <c r="C166" i="36"/>
  <c r="C168" i="36"/>
  <c r="C169" i="36"/>
  <c r="C173" i="36"/>
  <c r="C176" i="36"/>
  <c r="C177" i="36"/>
  <c r="C181" i="36"/>
  <c r="C1728" i="36"/>
  <c r="C183" i="36"/>
  <c r="C185" i="36"/>
  <c r="C188" i="36"/>
  <c r="C2237" i="36"/>
  <c r="C190" i="36"/>
  <c r="C191" i="36"/>
  <c r="C1735" i="36"/>
  <c r="C1736" i="36"/>
  <c r="C1737" i="36"/>
  <c r="C197" i="36"/>
  <c r="C1738" i="36"/>
  <c r="C202" i="36"/>
  <c r="C203" i="36"/>
  <c r="C1740" i="36"/>
  <c r="C208" i="36"/>
  <c r="C209" i="36"/>
  <c r="C212" i="36"/>
  <c r="C2238" i="36"/>
  <c r="C2239" i="36"/>
  <c r="C216" i="36"/>
  <c r="C2240" i="36"/>
  <c r="C219" i="36"/>
  <c r="C220" i="36"/>
  <c r="C2241" i="36"/>
  <c r="C224" i="36"/>
  <c r="C225" i="36"/>
  <c r="C226" i="36"/>
  <c r="C228" i="36"/>
  <c r="C229" i="36"/>
  <c r="C2533" i="36"/>
  <c r="C230" i="36"/>
  <c r="C232" i="36"/>
  <c r="C2534" i="36"/>
  <c r="C2243" i="36"/>
  <c r="C235" i="36"/>
  <c r="C237" i="36"/>
  <c r="C238" i="36"/>
  <c r="C239" i="36"/>
  <c r="C1746" i="36"/>
  <c r="C241" i="36"/>
  <c r="C1748" i="36"/>
  <c r="C243" i="36"/>
  <c r="C244" i="36"/>
  <c r="C1749" i="36"/>
  <c r="C246" i="36"/>
  <c r="C2247" i="36"/>
  <c r="C247" i="36"/>
  <c r="C1751" i="36"/>
  <c r="C2" i="36"/>
  <c r="C3" i="36"/>
  <c r="C4" i="36"/>
  <c r="C5" i="36"/>
  <c r="C6" i="36"/>
  <c r="C7" i="36"/>
  <c r="C8" i="36"/>
  <c r="C9" i="36"/>
  <c r="C10" i="36"/>
  <c r="C11" i="36"/>
  <c r="C12" i="36"/>
  <c r="C13" i="36"/>
  <c r="C14" i="36"/>
  <c r="C15" i="36"/>
  <c r="C16" i="36"/>
  <c r="C17" i="36"/>
  <c r="C18" i="36"/>
  <c r="C19" i="36"/>
  <c r="C20" i="36"/>
  <c r="C21" i="36"/>
  <c r="C22" i="36"/>
  <c r="C23" i="36"/>
  <c r="C2231" i="36"/>
  <c r="C24" i="36"/>
  <c r="C25" i="36"/>
  <c r="C26" i="36"/>
  <c r="C27" i="36"/>
  <c r="C28" i="36"/>
  <c r="C2232" i="36"/>
  <c r="C29" i="36"/>
  <c r="C1704" i="36"/>
  <c r="C30" i="36"/>
  <c r="C31" i="36"/>
  <c r="C32" i="36"/>
  <c r="C33" i="36"/>
  <c r="C34" i="36"/>
  <c r="C35" i="36"/>
  <c r="C36" i="36"/>
  <c r="C37" i="36"/>
  <c r="C38" i="36"/>
  <c r="C39" i="36"/>
  <c r="C40" i="36"/>
  <c r="C41" i="36"/>
  <c r="C42" i="36"/>
  <c r="C1705" i="36"/>
  <c r="C43" i="36"/>
  <c r="C44" i="36"/>
  <c r="C45" i="36"/>
  <c r="C46" i="36"/>
  <c r="C1706" i="36"/>
  <c r="C47" i="36"/>
  <c r="C1707" i="36"/>
  <c r="C48" i="36"/>
  <c r="C49" i="36"/>
  <c r="C50" i="36"/>
  <c r="C51" i="36"/>
  <c r="C52" i="36"/>
  <c r="C53" i="36"/>
  <c r="C54" i="36"/>
  <c r="C55" i="36"/>
  <c r="C56" i="36"/>
  <c r="C57" i="36"/>
  <c r="C58" i="36"/>
  <c r="C1708" i="36"/>
  <c r="C59" i="36"/>
  <c r="C60" i="36"/>
  <c r="C2233" i="36"/>
  <c r="C61" i="36"/>
  <c r="C62" i="36"/>
  <c r="C63" i="36"/>
  <c r="C64" i="36"/>
  <c r="C65" i="36"/>
  <c r="C66" i="36"/>
  <c r="C2234" i="36"/>
  <c r="C67" i="36"/>
  <c r="C1709" i="36"/>
  <c r="C68" i="36"/>
  <c r="C69" i="36"/>
  <c r="C70" i="36"/>
  <c r="C71" i="36"/>
  <c r="C72" i="36"/>
  <c r="C73" i="36"/>
  <c r="C74" i="36"/>
  <c r="C75" i="36"/>
  <c r="C76" i="36"/>
  <c r="C77" i="36"/>
  <c r="C78" i="36"/>
  <c r="C79" i="36"/>
  <c r="C1710" i="36"/>
  <c r="C80" i="36"/>
  <c r="C81" i="36"/>
  <c r="C82" i="36"/>
  <c r="C83" i="36"/>
  <c r="C84" i="36"/>
  <c r="C85" i="36"/>
  <c r="C86" i="36"/>
  <c r="C1711" i="36"/>
  <c r="C87" i="36"/>
  <c r="C88" i="36"/>
  <c r="C89" i="36"/>
  <c r="C90" i="36"/>
  <c r="C91" i="36"/>
  <c r="C1712" i="36"/>
  <c r="C92" i="36"/>
  <c r="C93" i="36"/>
  <c r="C94" i="36"/>
  <c r="C95" i="36"/>
  <c r="C96" i="36"/>
  <c r="C97" i="36"/>
  <c r="C98" i="36"/>
  <c r="C99" i="36"/>
  <c r="C100" i="36"/>
  <c r="C101" i="36"/>
  <c r="C102" i="36"/>
  <c r="C103" i="36"/>
  <c r="C104" i="36"/>
  <c r="C105" i="36"/>
  <c r="C106" i="36"/>
  <c r="C107" i="36"/>
  <c r="C108" i="36"/>
  <c r="C1713" i="36"/>
  <c r="C109" i="36"/>
  <c r="C110" i="36"/>
  <c r="C111" i="36"/>
  <c r="C112" i="36"/>
  <c r="C113" i="36"/>
  <c r="C114" i="36"/>
  <c r="C115" i="36"/>
  <c r="C2235" i="36"/>
  <c r="C116" i="36"/>
  <c r="C117" i="36"/>
  <c r="C1714" i="36"/>
  <c r="C1715" i="36"/>
  <c r="C118" i="36"/>
  <c r="C119" i="36"/>
  <c r="C120" i="36"/>
  <c r="C121" i="36"/>
  <c r="C1716" i="36"/>
  <c r="C122" i="36"/>
  <c r="C123" i="36"/>
  <c r="C124" i="36"/>
  <c r="C125" i="36"/>
  <c r="C126" i="36"/>
  <c r="C127" i="36"/>
  <c r="C129" i="36"/>
  <c r="C130" i="36"/>
  <c r="C133" i="36"/>
  <c r="C1717" i="36"/>
  <c r="C134" i="36"/>
  <c r="C1718" i="36"/>
  <c r="C136" i="36"/>
  <c r="C139" i="36"/>
  <c r="C140" i="36"/>
  <c r="C141" i="36"/>
  <c r="C143" i="36"/>
  <c r="C144" i="36"/>
  <c r="C147" i="36"/>
  <c r="C148" i="36"/>
  <c r="C149" i="36"/>
  <c r="C1720" i="36"/>
  <c r="C150" i="36"/>
  <c r="C152" i="36"/>
  <c r="C153" i="36"/>
  <c r="C154" i="36"/>
  <c r="C1723" i="36"/>
  <c r="C155" i="36"/>
  <c r="C157" i="36"/>
  <c r="C158" i="36"/>
  <c r="C159" i="36"/>
  <c r="C160" i="36"/>
  <c r="C161" i="36"/>
  <c r="C164" i="36"/>
  <c r="C165" i="36"/>
  <c r="C1726" i="36"/>
  <c r="C1727" i="36"/>
  <c r="C167" i="36"/>
  <c r="C170" i="36"/>
  <c r="C171" i="36"/>
  <c r="C172" i="36"/>
  <c r="C174" i="36"/>
  <c r="C175" i="36"/>
  <c r="C178" i="36"/>
  <c r="C179" i="36"/>
  <c r="C180" i="36"/>
  <c r="C2236" i="36"/>
  <c r="C182" i="36"/>
  <c r="C1729" i="36"/>
  <c r="C184" i="36"/>
  <c r="C1730" i="36"/>
  <c r="C186" i="36"/>
  <c r="C187" i="36"/>
  <c r="C1731" i="36"/>
  <c r="C189" i="36"/>
  <c r="C1732" i="36"/>
  <c r="C1733" i="36"/>
  <c r="C1734" i="36"/>
  <c r="C192" i="36"/>
  <c r="C193" i="36"/>
  <c r="C194" i="36"/>
  <c r="C195" i="36"/>
  <c r="C196" i="36"/>
  <c r="C198" i="36"/>
  <c r="C199" i="36"/>
  <c r="C200" i="36"/>
  <c r="C1739" i="36"/>
  <c r="C201" i="36"/>
  <c r="C204" i="36"/>
  <c r="C205" i="36"/>
  <c r="C206" i="36"/>
  <c r="C207" i="36"/>
  <c r="C2437" i="36"/>
  <c r="C1741" i="36"/>
  <c r="C210" i="36"/>
  <c r="C211" i="36"/>
  <c r="C213" i="36"/>
  <c r="C1742" i="36"/>
  <c r="C1743" i="36"/>
  <c r="C214" i="36"/>
  <c r="C215" i="36"/>
  <c r="C217" i="36"/>
  <c r="C218" i="36"/>
  <c r="C221" i="36"/>
  <c r="C222" i="36"/>
  <c r="C223" i="36"/>
  <c r="C2614" i="36"/>
  <c r="C227" i="36"/>
  <c r="C2242" i="36"/>
  <c r="C2438" i="36"/>
  <c r="C2439" i="36"/>
  <c r="C231" i="36"/>
  <c r="C1744" i="36"/>
  <c r="C233" i="36"/>
  <c r="C234" i="36"/>
  <c r="C2244" i="36"/>
  <c r="C236" i="36"/>
  <c r="C2245" i="36"/>
  <c r="C1745" i="36"/>
  <c r="C240" i="36"/>
  <c r="C1747" i="36"/>
  <c r="C242" i="36"/>
  <c r="C2246" i="36"/>
  <c r="C2535" i="36"/>
  <c r="C245" i="36"/>
  <c r="C1750" i="36"/>
  <c r="C2440" i="36"/>
  <c r="C248" i="36"/>
  <c r="C2629" i="36"/>
  <c r="C2441" i="36"/>
  <c r="C252" i="36"/>
  <c r="C260" i="36"/>
  <c r="C1754" i="36"/>
  <c r="C2253" i="36"/>
  <c r="C271" i="36"/>
  <c r="C275" i="36"/>
  <c r="C284" i="36"/>
  <c r="C289" i="36"/>
  <c r="C290" i="36"/>
  <c r="C291" i="36"/>
  <c r="C293" i="36"/>
  <c r="C301" i="36"/>
  <c r="C303" i="36"/>
  <c r="C304" i="36"/>
  <c r="C305" i="36"/>
  <c r="C308" i="36"/>
  <c r="C1775" i="36"/>
  <c r="C315" i="36"/>
  <c r="C1776" i="36"/>
  <c r="C2259" i="36"/>
  <c r="C1779" i="36"/>
  <c r="C319" i="36"/>
  <c r="C1782" i="36"/>
  <c r="C320" i="36"/>
  <c r="C322" i="36"/>
  <c r="C1784" i="36"/>
  <c r="C1786" i="36"/>
  <c r="C2263" i="36"/>
  <c r="C327" i="36"/>
  <c r="C329" i="36"/>
  <c r="C330" i="36"/>
  <c r="C1789" i="36"/>
  <c r="C1790" i="36"/>
  <c r="C336" i="36"/>
  <c r="C1796" i="36"/>
  <c r="C1797" i="36"/>
  <c r="C2584" i="36"/>
  <c r="C1798" i="36"/>
  <c r="C343" i="36"/>
  <c r="C2269" i="36"/>
  <c r="C1803" i="36"/>
  <c r="C344" i="36"/>
  <c r="C345" i="36"/>
  <c r="C346" i="36"/>
  <c r="C347" i="36"/>
  <c r="C1807" i="36"/>
  <c r="C2540" i="36"/>
  <c r="C351" i="36"/>
  <c r="C352" i="36"/>
  <c r="C2448" i="36"/>
  <c r="C358" i="36"/>
  <c r="C359" i="36"/>
  <c r="C1813" i="36"/>
  <c r="C2450" i="36"/>
  <c r="C361" i="36"/>
  <c r="C1814" i="36"/>
  <c r="C2541" i="36"/>
  <c r="C2452" i="36"/>
  <c r="C2453" i="36"/>
  <c r="C365" i="36"/>
  <c r="C2454" i="36"/>
  <c r="C2275" i="36"/>
  <c r="C368" i="36"/>
  <c r="C1824" i="36"/>
  <c r="C369" i="36"/>
  <c r="C2544" i="36"/>
  <c r="C2276" i="36"/>
  <c r="C372" i="36"/>
  <c r="C1827" i="36"/>
  <c r="C2457" i="36"/>
  <c r="C2621" i="36"/>
  <c r="C376" i="36"/>
  <c r="C1829" i="36"/>
  <c r="C379" i="36"/>
  <c r="C1831" i="36"/>
  <c r="C2458" i="36"/>
  <c r="C380" i="36"/>
  <c r="C2586" i="36"/>
  <c r="C1836" i="36"/>
  <c r="C2615" i="36"/>
  <c r="C383" i="36"/>
  <c r="C386" i="36"/>
  <c r="C2460" i="36"/>
  <c r="C387" i="36"/>
  <c r="C2461" i="36"/>
  <c r="C2281" i="36"/>
  <c r="C1840" i="36"/>
  <c r="C2545" i="36"/>
  <c r="C1841" i="36"/>
  <c r="C2463" i="36"/>
  <c r="C393" i="36"/>
  <c r="C2282" i="36"/>
  <c r="C1842" i="36"/>
  <c r="C1843" i="36"/>
  <c r="C396" i="36"/>
  <c r="C2548" i="36"/>
  <c r="C399" i="36"/>
  <c r="C2464" i="36"/>
  <c r="C400" i="36"/>
  <c r="C2284" i="36"/>
  <c r="C403" i="36"/>
  <c r="C2285" i="36"/>
  <c r="C405" i="36"/>
  <c r="C1847" i="36"/>
  <c r="C407" i="36"/>
  <c r="C408" i="36"/>
  <c r="C411" i="36"/>
  <c r="C413" i="36"/>
  <c r="C414" i="36"/>
  <c r="C415" i="36"/>
  <c r="C2590" i="36"/>
  <c r="C2465" i="36"/>
  <c r="C1850" i="36"/>
  <c r="C2640" i="36"/>
  <c r="C2617" i="36"/>
  <c r="C1851" i="36"/>
  <c r="C2591" i="36"/>
  <c r="C420" i="36"/>
  <c r="C421" i="36"/>
  <c r="C1852" i="36"/>
  <c r="C423" i="36"/>
  <c r="C424" i="36"/>
  <c r="C425" i="36"/>
  <c r="C426" i="36"/>
  <c r="C427" i="36"/>
  <c r="C430" i="36"/>
  <c r="C1855" i="36"/>
  <c r="C2467" i="36"/>
  <c r="C431" i="36"/>
  <c r="C432" i="36"/>
  <c r="C433" i="36"/>
  <c r="C2549" i="36"/>
  <c r="C2287" i="36"/>
  <c r="C435" i="36"/>
  <c r="C436" i="36"/>
  <c r="C1858" i="36"/>
  <c r="C1860" i="36"/>
  <c r="C438" i="36"/>
  <c r="C1862" i="36"/>
  <c r="C2607" i="36"/>
  <c r="C439" i="36"/>
  <c r="C1863" i="36"/>
  <c r="C441" i="36"/>
  <c r="C442" i="36"/>
  <c r="C1864" i="36"/>
  <c r="C443" i="36"/>
  <c r="C2469" i="36"/>
  <c r="C445" i="36"/>
  <c r="C446" i="36"/>
  <c r="C2289" i="36"/>
  <c r="C447" i="36"/>
  <c r="C1866" i="36"/>
  <c r="C1867" i="36"/>
  <c r="C448" i="36"/>
  <c r="C2592" i="36"/>
  <c r="C450" i="36"/>
  <c r="C451" i="36"/>
  <c r="C1869" i="36"/>
  <c r="C452" i="36"/>
  <c r="C1871" i="36"/>
  <c r="C454" i="36"/>
  <c r="C1872" i="36"/>
  <c r="C455" i="36"/>
  <c r="C456" i="36"/>
  <c r="C2593" i="36"/>
  <c r="C1873" i="36"/>
  <c r="C458" i="36"/>
  <c r="C459" i="36"/>
  <c r="C1874" i="36"/>
  <c r="C460" i="36"/>
  <c r="C461" i="36"/>
  <c r="C463" i="36"/>
  <c r="C465" i="36"/>
  <c r="C466" i="36"/>
  <c r="C467" i="36"/>
  <c r="C468" i="36"/>
  <c r="C469" i="36"/>
  <c r="C471" i="36"/>
  <c r="C472" i="36"/>
  <c r="C473" i="36"/>
  <c r="C1876" i="36"/>
  <c r="C1877" i="36"/>
  <c r="C474" i="36"/>
  <c r="C476" i="36"/>
  <c r="C1878" i="36"/>
  <c r="C1879" i="36"/>
  <c r="C478" i="36"/>
  <c r="C479" i="36"/>
  <c r="C1880" i="36"/>
  <c r="C1881" i="36"/>
  <c r="C481" i="36"/>
  <c r="C482" i="36"/>
  <c r="C483" i="36"/>
  <c r="C484" i="36"/>
  <c r="C485" i="36"/>
  <c r="C2291" i="36"/>
  <c r="C487" i="36"/>
  <c r="C488" i="36"/>
  <c r="C2292" i="36"/>
  <c r="C489" i="36"/>
  <c r="C1883" i="36"/>
  <c r="C490" i="36"/>
  <c r="C492" i="36"/>
  <c r="C494" i="36"/>
  <c r="C1884" i="36"/>
  <c r="C2293" i="36"/>
  <c r="C495" i="36"/>
  <c r="C496" i="36"/>
  <c r="C498" i="36"/>
  <c r="C499" i="36"/>
  <c r="C2294" i="36"/>
  <c r="C2295" i="36"/>
  <c r="C500" i="36"/>
  <c r="C1886" i="36"/>
  <c r="C1887" i="36"/>
  <c r="C503" i="36"/>
  <c r="C1888" i="36"/>
  <c r="C504" i="36"/>
  <c r="C1889" i="36"/>
  <c r="C1890" i="36"/>
  <c r="C2470" i="36"/>
  <c r="C506" i="36"/>
  <c r="C507" i="36"/>
  <c r="C1891" i="36"/>
  <c r="C508" i="36"/>
  <c r="C509" i="36"/>
  <c r="C511" i="36"/>
  <c r="C512" i="36"/>
  <c r="C513" i="36"/>
  <c r="C514" i="36"/>
  <c r="C515" i="36"/>
  <c r="C1892" i="36"/>
  <c r="C1893" i="36"/>
  <c r="C517" i="36"/>
  <c r="C2298" i="36"/>
  <c r="C518" i="36"/>
  <c r="C519" i="36"/>
  <c r="C1894" i="36"/>
  <c r="C520" i="36"/>
  <c r="C1895" i="36"/>
  <c r="C2471" i="36"/>
  <c r="C522" i="36"/>
  <c r="C2300" i="36"/>
  <c r="C2472" i="36"/>
  <c r="C524" i="36"/>
  <c r="C525" i="36"/>
  <c r="C2301" i="36"/>
  <c r="C2473" i="36"/>
  <c r="C1896" i="36"/>
  <c r="C1897" i="36"/>
  <c r="C1898" i="36"/>
  <c r="C527" i="36"/>
  <c r="C529" i="36"/>
  <c r="C2302" i="36"/>
  <c r="C1899" i="36"/>
  <c r="C530" i="36"/>
  <c r="C1900" i="36"/>
  <c r="C532" i="36"/>
  <c r="C2303" i="36"/>
  <c r="C533" i="36"/>
  <c r="C534" i="36"/>
  <c r="C535" i="36"/>
  <c r="C536" i="36"/>
  <c r="C1903" i="36"/>
  <c r="C538" i="36"/>
  <c r="C539" i="36"/>
  <c r="C2474" i="36"/>
  <c r="C540" i="36"/>
  <c r="C541" i="36"/>
  <c r="C542" i="36"/>
  <c r="C543" i="36"/>
  <c r="C544" i="36"/>
  <c r="C545" i="36"/>
  <c r="C2305" i="36"/>
  <c r="C546" i="36"/>
  <c r="C548" i="36"/>
  <c r="C1906" i="36"/>
  <c r="C549" i="36"/>
  <c r="C550" i="36"/>
  <c r="C2306" i="36"/>
  <c r="C1907" i="36"/>
  <c r="C1908" i="36"/>
  <c r="C1909" i="36"/>
  <c r="C552" i="36"/>
  <c r="C2594" i="36"/>
  <c r="C553" i="36"/>
  <c r="C1910" i="36"/>
  <c r="C554" i="36"/>
  <c r="C1911" i="36"/>
  <c r="C555" i="36"/>
  <c r="C556" i="36"/>
  <c r="C557" i="36"/>
  <c r="C1912" i="36"/>
  <c r="C1913" i="36"/>
  <c r="C558" i="36"/>
  <c r="C559" i="36"/>
  <c r="C560" i="36"/>
  <c r="C561" i="36"/>
  <c r="C562" i="36"/>
  <c r="C563" i="36"/>
  <c r="C564" i="36"/>
  <c r="C566" i="36"/>
  <c r="C2308" i="36"/>
  <c r="C2476" i="36"/>
  <c r="C567" i="36"/>
  <c r="C568" i="36"/>
  <c r="C569" i="36"/>
  <c r="C570" i="36"/>
  <c r="C2477" i="36"/>
  <c r="C572" i="36"/>
  <c r="C573" i="36"/>
  <c r="C2309" i="36"/>
  <c r="C2310" i="36"/>
  <c r="C2311" i="36"/>
  <c r="C574" i="36"/>
  <c r="C575" i="36"/>
  <c r="C576" i="36"/>
  <c r="C2478" i="36"/>
  <c r="C577" i="36"/>
  <c r="C1915" i="36"/>
  <c r="C2313" i="36"/>
  <c r="C578" i="36"/>
  <c r="C2314" i="36"/>
  <c r="C580" i="36"/>
  <c r="C2315" i="36"/>
  <c r="C1916" i="36"/>
  <c r="C2550" i="36"/>
  <c r="C581" i="36"/>
  <c r="C1917" i="36"/>
  <c r="C1918" i="36"/>
  <c r="C583" i="36"/>
  <c r="C584" i="36"/>
  <c r="C585" i="36"/>
  <c r="C586" i="36"/>
  <c r="C587" i="36"/>
  <c r="C1919" i="36"/>
  <c r="C1920" i="36"/>
  <c r="C589" i="36"/>
  <c r="C590" i="36"/>
  <c r="C1921" i="36"/>
  <c r="C591" i="36"/>
  <c r="C592" i="36"/>
  <c r="C593" i="36"/>
  <c r="C595" i="36"/>
  <c r="C596" i="36"/>
  <c r="C2316" i="36"/>
  <c r="C597" i="36"/>
  <c r="C598" i="36"/>
  <c r="C599" i="36"/>
  <c r="C600" i="36"/>
  <c r="C602" i="36"/>
  <c r="C1922" i="36"/>
  <c r="C603" i="36"/>
  <c r="C604" i="36"/>
  <c r="C605" i="36"/>
  <c r="C606" i="36"/>
  <c r="C607" i="36"/>
  <c r="C608" i="36"/>
  <c r="C609" i="36"/>
  <c r="C610" i="36"/>
  <c r="C1924" i="36"/>
  <c r="C1925" i="36"/>
  <c r="C2317" i="36"/>
  <c r="C611" i="36"/>
  <c r="C612" i="36"/>
  <c r="C2551" i="36"/>
  <c r="C2319" i="36"/>
  <c r="C2552" i="36"/>
  <c r="C613" i="36"/>
  <c r="C614" i="36"/>
  <c r="C615" i="36"/>
  <c r="C1926" i="36"/>
  <c r="C1927" i="36"/>
  <c r="C617" i="36"/>
  <c r="C618" i="36"/>
  <c r="C1928" i="36"/>
  <c r="C619" i="36"/>
  <c r="C620" i="36"/>
  <c r="C621" i="36"/>
  <c r="C1930" i="36"/>
  <c r="C622" i="36"/>
  <c r="C623" i="36"/>
  <c r="C624" i="36"/>
  <c r="C625" i="36"/>
  <c r="C626" i="36"/>
  <c r="C628" i="36"/>
  <c r="C629" i="36"/>
  <c r="C1931" i="36"/>
  <c r="C1932" i="36"/>
  <c r="C630" i="36"/>
  <c r="C631" i="36"/>
  <c r="C632" i="36"/>
  <c r="C634" i="36"/>
  <c r="C635" i="36"/>
  <c r="C1933" i="36"/>
  <c r="C636" i="36"/>
  <c r="C1934" i="36"/>
  <c r="C637" i="36"/>
  <c r="C2320" i="36"/>
  <c r="C2322" i="36"/>
  <c r="C638" i="36"/>
  <c r="C639" i="36"/>
  <c r="C640" i="36"/>
  <c r="C641" i="36"/>
  <c r="C1935" i="36"/>
  <c r="C642" i="36"/>
  <c r="C644" i="36"/>
  <c r="C645" i="36"/>
  <c r="C646" i="36"/>
  <c r="C647" i="36"/>
  <c r="C1936" i="36"/>
  <c r="C648" i="36"/>
  <c r="C649" i="36"/>
  <c r="C651" i="36"/>
  <c r="C1937" i="36"/>
  <c r="C652" i="36"/>
  <c r="C653" i="36"/>
  <c r="C1938" i="36"/>
  <c r="C2479" i="36"/>
  <c r="C1939" i="36"/>
  <c r="C1940" i="36"/>
  <c r="C655" i="36"/>
  <c r="C2608" i="36"/>
  <c r="C2323" i="36"/>
  <c r="C656" i="36"/>
  <c r="C1941" i="36"/>
  <c r="C657" i="36"/>
  <c r="C658" i="36"/>
  <c r="C659" i="36"/>
  <c r="C660" i="36"/>
  <c r="C1942" i="36"/>
  <c r="C661" i="36"/>
  <c r="C2553" i="36"/>
  <c r="C662" i="36"/>
  <c r="C2480" i="36"/>
  <c r="C664" i="36"/>
  <c r="C1943" i="36"/>
  <c r="C665" i="36"/>
  <c r="C2554" i="36"/>
  <c r="C1944" i="36"/>
  <c r="C2618" i="36"/>
  <c r="C1945" i="36"/>
  <c r="C1946" i="36"/>
  <c r="C2595" i="36"/>
  <c r="C667" i="36"/>
  <c r="C668" i="36"/>
  <c r="C1947" i="36"/>
  <c r="C669" i="36"/>
  <c r="C670" i="36"/>
  <c r="C671" i="36"/>
  <c r="C1949" i="36"/>
  <c r="C2324" i="36"/>
  <c r="C672" i="36"/>
  <c r="C673" i="36"/>
  <c r="C674" i="36"/>
  <c r="C675" i="36"/>
  <c r="C676" i="36"/>
  <c r="C677" i="36"/>
  <c r="C2481" i="36"/>
  <c r="C678" i="36"/>
  <c r="C1951" i="36"/>
  <c r="C679" i="36"/>
  <c r="C680" i="36"/>
  <c r="C2596" i="36"/>
  <c r="C2326" i="36"/>
  <c r="C1952" i="36"/>
  <c r="C681" i="36"/>
  <c r="C682" i="36"/>
  <c r="C2482" i="36"/>
  <c r="C684" i="36"/>
  <c r="C685" i="36"/>
  <c r="C2327" i="36"/>
  <c r="C686" i="36"/>
  <c r="C2328" i="36"/>
  <c r="C687" i="36"/>
  <c r="C1953" i="36"/>
  <c r="C689" i="36"/>
  <c r="C690" i="36"/>
  <c r="C2483" i="36"/>
  <c r="C691" i="36"/>
  <c r="C692" i="36"/>
  <c r="C693" i="36"/>
  <c r="C694" i="36"/>
  <c r="C1954" i="36"/>
  <c r="C1955" i="36"/>
  <c r="C1956" i="36"/>
  <c r="C2329" i="36"/>
  <c r="C1957" i="36"/>
  <c r="C696" i="36"/>
  <c r="C1958" i="36"/>
  <c r="C2330" i="36"/>
  <c r="C1959" i="36"/>
  <c r="C698" i="36"/>
  <c r="C699" i="36"/>
  <c r="C700" i="36"/>
  <c r="C701" i="36"/>
  <c r="C702" i="36"/>
  <c r="C1960" i="36"/>
  <c r="C2331" i="36"/>
  <c r="C1961" i="36"/>
  <c r="C704" i="36"/>
  <c r="C1962" i="36"/>
  <c r="C705" i="36"/>
  <c r="C706" i="36"/>
  <c r="C707" i="36"/>
  <c r="C708" i="36"/>
  <c r="C709" i="36"/>
  <c r="C1963" i="36"/>
  <c r="C710" i="36"/>
  <c r="C711" i="36"/>
  <c r="C712" i="36"/>
  <c r="C1964" i="36"/>
  <c r="C714" i="36"/>
  <c r="C715" i="36"/>
  <c r="C716" i="36"/>
  <c r="C2333" i="36"/>
  <c r="C1965" i="36"/>
  <c r="C717" i="36"/>
  <c r="C719" i="36"/>
  <c r="C720" i="36"/>
  <c r="C721" i="36"/>
  <c r="C2555" i="36"/>
  <c r="C722" i="36"/>
  <c r="C723" i="36"/>
  <c r="C724" i="36"/>
  <c r="C726" i="36"/>
  <c r="C2484" i="36"/>
  <c r="C727" i="36"/>
  <c r="C728" i="36"/>
  <c r="C1966" i="36"/>
  <c r="C1967" i="36"/>
  <c r="C1968" i="36"/>
  <c r="C729" i="36"/>
  <c r="C730" i="36"/>
  <c r="C2334" i="36"/>
  <c r="C731" i="36"/>
  <c r="C732" i="36"/>
  <c r="C733" i="36"/>
  <c r="C734" i="36"/>
  <c r="C736" i="36"/>
  <c r="C737" i="36"/>
  <c r="C738" i="36"/>
  <c r="C1970" i="36"/>
  <c r="C739" i="36"/>
  <c r="C740" i="36"/>
  <c r="C741" i="36"/>
  <c r="C1972" i="36"/>
  <c r="C742" i="36"/>
  <c r="C1973" i="36"/>
  <c r="C743" i="36"/>
  <c r="C744" i="36"/>
  <c r="C745" i="36"/>
  <c r="C746" i="36"/>
  <c r="C2335" i="36"/>
  <c r="C1974" i="36"/>
  <c r="C748" i="36"/>
  <c r="C749" i="36"/>
  <c r="C750" i="36"/>
  <c r="C751" i="36"/>
  <c r="C752" i="36"/>
  <c r="C754" i="36"/>
  <c r="C1975" i="36"/>
  <c r="C755" i="36"/>
  <c r="C756" i="36"/>
  <c r="C757" i="36"/>
  <c r="C758" i="36"/>
  <c r="C2336" i="36"/>
  <c r="C1976" i="36"/>
  <c r="C760" i="36"/>
  <c r="C761" i="36"/>
  <c r="C762" i="36"/>
  <c r="C763" i="36"/>
  <c r="C764" i="36"/>
  <c r="C765" i="36"/>
  <c r="C766" i="36"/>
  <c r="C1977" i="36"/>
  <c r="C767" i="36"/>
  <c r="C2337" i="36"/>
  <c r="C1978" i="36"/>
  <c r="C768" i="36"/>
  <c r="C769" i="36"/>
  <c r="C1979" i="36"/>
  <c r="C770" i="36"/>
  <c r="C771" i="36"/>
  <c r="C772" i="36"/>
  <c r="C773" i="36"/>
  <c r="C774" i="36"/>
  <c r="C775" i="36"/>
  <c r="C777" i="36"/>
  <c r="C778" i="36"/>
  <c r="C779" i="36"/>
  <c r="C780" i="36"/>
  <c r="C2339" i="36"/>
  <c r="C781" i="36"/>
  <c r="C1980" i="36"/>
  <c r="C1981" i="36"/>
  <c r="C783" i="36"/>
  <c r="C2340" i="36"/>
  <c r="C2486" i="36"/>
  <c r="C784" i="36"/>
  <c r="C785" i="36"/>
  <c r="C786" i="36"/>
  <c r="C788" i="36"/>
  <c r="C1982" i="36"/>
  <c r="C789" i="36"/>
  <c r="C2341" i="36"/>
  <c r="C2487" i="36"/>
  <c r="C790" i="36"/>
  <c r="C791" i="36"/>
  <c r="C792" i="36"/>
  <c r="C793" i="36"/>
  <c r="C1984" i="36"/>
  <c r="C794" i="36"/>
  <c r="C795" i="36"/>
  <c r="C796" i="36"/>
  <c r="C1985" i="36"/>
  <c r="C798" i="36"/>
  <c r="C2632" i="36"/>
  <c r="C799" i="36"/>
  <c r="C800" i="36"/>
  <c r="C1986" i="36"/>
  <c r="C801" i="36"/>
  <c r="C1987" i="36"/>
  <c r="C802" i="36"/>
  <c r="C803" i="36"/>
  <c r="C804" i="36"/>
  <c r="C1988" i="36"/>
  <c r="C805" i="36"/>
  <c r="C806" i="36"/>
  <c r="C807" i="36"/>
  <c r="C2343" i="36"/>
  <c r="C809" i="36"/>
  <c r="C810" i="36"/>
  <c r="C2488" i="36"/>
  <c r="C1989" i="36"/>
  <c r="C1990" i="36"/>
  <c r="C2489" i="36"/>
  <c r="C812" i="36"/>
  <c r="C813" i="36"/>
  <c r="C1991" i="36"/>
  <c r="C814" i="36"/>
  <c r="C1992" i="36"/>
  <c r="C815" i="36"/>
  <c r="C1993" i="36"/>
  <c r="C816" i="36"/>
  <c r="C2556" i="36"/>
  <c r="C817" i="36"/>
  <c r="C1995" i="36"/>
  <c r="C818" i="36"/>
  <c r="C819" i="36"/>
  <c r="C820" i="36"/>
  <c r="C821" i="36"/>
  <c r="C822" i="36"/>
  <c r="C823" i="36"/>
  <c r="C824" i="36"/>
  <c r="C825" i="36"/>
  <c r="C826" i="36"/>
  <c r="C827" i="36"/>
  <c r="C1997" i="36"/>
  <c r="C829" i="36"/>
  <c r="C830" i="36"/>
  <c r="C2344" i="36"/>
  <c r="C831" i="36"/>
  <c r="C832" i="36"/>
  <c r="C833" i="36"/>
  <c r="C834" i="36"/>
  <c r="C835" i="36"/>
  <c r="C836" i="36"/>
  <c r="C837" i="36"/>
  <c r="C838" i="36"/>
  <c r="C839" i="36"/>
  <c r="C840" i="36"/>
  <c r="C842" i="36"/>
  <c r="C843" i="36"/>
  <c r="C844" i="36"/>
  <c r="C1998" i="36"/>
  <c r="C1999" i="36"/>
  <c r="C845" i="36"/>
  <c r="C846" i="36"/>
  <c r="C848" i="36"/>
  <c r="C2345" i="36"/>
  <c r="C849" i="36"/>
  <c r="C2000" i="36"/>
  <c r="C850" i="36"/>
  <c r="C851" i="36"/>
  <c r="C2346" i="36"/>
  <c r="C2347" i="36"/>
  <c r="C853" i="36"/>
  <c r="C2001" i="36"/>
  <c r="C854" i="36"/>
  <c r="C2002" i="36"/>
  <c r="C2003" i="36"/>
  <c r="C2004" i="36"/>
  <c r="C2557" i="36"/>
  <c r="C2006" i="36"/>
  <c r="C855" i="36"/>
  <c r="C2007" i="36"/>
  <c r="C856" i="36"/>
  <c r="C857" i="36"/>
  <c r="C2008" i="36"/>
  <c r="C858" i="36"/>
  <c r="C2558" i="36"/>
  <c r="C2622" i="36"/>
  <c r="C859" i="36"/>
  <c r="C2009" i="36"/>
  <c r="C860" i="36"/>
  <c r="C2010" i="36"/>
  <c r="C2011" i="36"/>
  <c r="C2348" i="36"/>
  <c r="C2012" i="36"/>
  <c r="C862" i="36"/>
  <c r="C2013" i="36"/>
  <c r="C863" i="36"/>
  <c r="C2014" i="36"/>
  <c r="C864" i="36"/>
  <c r="C865" i="36"/>
  <c r="C866" i="36"/>
  <c r="C2349" i="36"/>
  <c r="C867" i="36"/>
  <c r="C2350" i="36"/>
  <c r="C2351" i="36"/>
  <c r="C2352" i="36"/>
  <c r="C868" i="36"/>
  <c r="C869" i="36"/>
  <c r="C870" i="36"/>
  <c r="C871" i="36"/>
  <c r="C872" i="36"/>
  <c r="C873" i="36"/>
  <c r="C875" i="36"/>
  <c r="C876" i="36"/>
  <c r="C2017" i="36"/>
  <c r="C877" i="36"/>
  <c r="C878" i="36"/>
  <c r="C2353" i="36"/>
  <c r="C879" i="36"/>
  <c r="C881" i="36"/>
  <c r="C882" i="36"/>
  <c r="C883" i="36"/>
  <c r="C884" i="36"/>
  <c r="C885" i="36"/>
  <c r="C2492" i="36"/>
  <c r="C886" i="36"/>
  <c r="C888" i="36"/>
  <c r="C2559" i="36"/>
  <c r="C889" i="36"/>
  <c r="C890" i="36"/>
  <c r="C891" i="36"/>
  <c r="C892" i="36"/>
  <c r="C893" i="36"/>
  <c r="C894" i="36"/>
  <c r="C2018" i="36"/>
  <c r="C895" i="36"/>
  <c r="C896" i="36"/>
  <c r="C897" i="36"/>
  <c r="C898" i="36"/>
  <c r="C899" i="36"/>
  <c r="C2019" i="36"/>
  <c r="C901" i="36"/>
  <c r="C902" i="36"/>
  <c r="C903" i="36"/>
  <c r="C2355" i="36"/>
  <c r="C2356" i="36"/>
  <c r="C2020" i="36"/>
  <c r="C2021" i="36"/>
  <c r="C905" i="36"/>
  <c r="C906" i="36"/>
  <c r="C907" i="36"/>
  <c r="C908" i="36"/>
  <c r="C2022" i="36"/>
  <c r="C2023" i="36"/>
  <c r="C2024" i="36"/>
  <c r="C910" i="36"/>
  <c r="C911" i="36"/>
  <c r="C2357" i="36"/>
  <c r="C912" i="36"/>
  <c r="C913" i="36"/>
  <c r="C914" i="36"/>
  <c r="C2025" i="36"/>
  <c r="C916" i="36"/>
  <c r="C917" i="36"/>
  <c r="C2026" i="36"/>
  <c r="C918" i="36"/>
  <c r="C919" i="36"/>
  <c r="C2027" i="36"/>
  <c r="C2028" i="36"/>
  <c r="C920" i="36"/>
  <c r="C921" i="36"/>
  <c r="C922" i="36"/>
  <c r="C2494" i="36"/>
  <c r="C2029" i="36"/>
  <c r="C2358" i="36"/>
  <c r="C2030" i="36"/>
  <c r="C2031" i="36"/>
  <c r="C923" i="36"/>
  <c r="C2560" i="36"/>
  <c r="C924" i="36"/>
  <c r="C925" i="36"/>
  <c r="C926" i="36"/>
  <c r="C927" i="36"/>
  <c r="C2032" i="36"/>
  <c r="C928" i="36"/>
  <c r="C929" i="36"/>
  <c r="C2610" i="36"/>
  <c r="C2496" i="36"/>
  <c r="C930" i="36"/>
  <c r="C932" i="36"/>
  <c r="C933" i="36"/>
  <c r="C934" i="36"/>
  <c r="C935" i="36"/>
  <c r="C936" i="36"/>
  <c r="C2033" i="36"/>
  <c r="C937" i="36"/>
  <c r="C2034" i="36"/>
  <c r="C2035" i="36"/>
  <c r="C939" i="36"/>
  <c r="C2359" i="36"/>
  <c r="C940" i="36"/>
  <c r="C941" i="36"/>
  <c r="C942" i="36"/>
  <c r="C2036" i="36"/>
  <c r="C943" i="36"/>
  <c r="C2361" i="36"/>
  <c r="C944" i="36"/>
  <c r="C2037" i="36"/>
  <c r="C945" i="36"/>
  <c r="C2038" i="36"/>
  <c r="C946" i="36"/>
  <c r="C2039" i="36"/>
  <c r="C2040" i="36"/>
  <c r="C947" i="36"/>
  <c r="C948" i="36"/>
  <c r="C949" i="36"/>
  <c r="C950" i="36"/>
  <c r="C952" i="36"/>
  <c r="C953" i="36"/>
  <c r="C954" i="36"/>
  <c r="C955" i="36"/>
  <c r="C956" i="36"/>
  <c r="C957" i="36"/>
  <c r="C958" i="36"/>
  <c r="C2041" i="36"/>
  <c r="C960" i="36"/>
  <c r="C961" i="36"/>
  <c r="C962" i="36"/>
  <c r="C2042" i="36"/>
  <c r="C2043" i="36"/>
  <c r="C2363" i="36"/>
  <c r="C964" i="36"/>
  <c r="C965" i="36"/>
  <c r="C966" i="36"/>
  <c r="C2044" i="36"/>
  <c r="C967" i="36"/>
  <c r="C968" i="36"/>
  <c r="C971" i="36"/>
  <c r="C972" i="36"/>
  <c r="C973" i="36"/>
  <c r="C974" i="36"/>
  <c r="C975" i="36"/>
  <c r="C976" i="36"/>
  <c r="C977" i="36"/>
  <c r="C980" i="36"/>
  <c r="C981" i="36"/>
  <c r="C982" i="36"/>
  <c r="C983" i="36"/>
  <c r="C984" i="36"/>
  <c r="C2045" i="36"/>
  <c r="C987" i="36"/>
  <c r="C988" i="36"/>
  <c r="C989" i="36"/>
  <c r="C2364" i="36"/>
  <c r="C990" i="36"/>
  <c r="C991" i="36"/>
  <c r="C994" i="36"/>
  <c r="C995" i="36"/>
  <c r="C996" i="36"/>
  <c r="C997" i="36"/>
  <c r="C998" i="36"/>
  <c r="C999" i="36"/>
  <c r="C1002" i="36"/>
  <c r="C1003" i="36"/>
  <c r="C1004" i="36"/>
  <c r="C1005" i="36"/>
  <c r="C1006" i="36"/>
  <c r="C1007" i="36"/>
  <c r="C1010" i="36"/>
  <c r="C1011" i="36"/>
  <c r="C1012" i="36"/>
  <c r="C1013" i="36"/>
  <c r="C1014" i="36"/>
  <c r="C1015" i="36"/>
  <c r="C1017" i="36"/>
  <c r="C1018" i="36"/>
  <c r="C1019" i="36"/>
  <c r="C1020" i="36"/>
  <c r="C2366" i="36"/>
  <c r="C1021" i="36"/>
  <c r="C1024" i="36"/>
  <c r="C1025" i="36"/>
  <c r="C2046" i="36"/>
  <c r="C1026" i="36"/>
  <c r="C1027" i="36"/>
  <c r="C1028" i="36"/>
  <c r="C1030" i="36"/>
  <c r="C1031" i="36"/>
  <c r="C2497" i="36"/>
  <c r="C1032" i="36"/>
  <c r="C1033" i="36"/>
  <c r="C1034" i="36"/>
  <c r="C1035" i="36"/>
  <c r="C1038" i="36"/>
  <c r="C2367" i="36"/>
  <c r="C1039" i="36"/>
  <c r="C1040" i="36"/>
  <c r="C2368" i="36"/>
  <c r="C1041" i="36"/>
  <c r="C1044" i="36"/>
  <c r="C1045" i="36"/>
  <c r="C1046" i="36"/>
  <c r="C1047" i="36"/>
  <c r="C1048" i="36"/>
  <c r="C1049" i="36"/>
  <c r="C1052" i="36"/>
  <c r="C1053" i="36"/>
  <c r="C1054" i="36"/>
  <c r="C1055" i="36"/>
  <c r="C1056" i="36"/>
  <c r="C1057" i="36"/>
  <c r="C1059" i="36"/>
  <c r="C2370" i="36"/>
  <c r="C1060" i="36"/>
  <c r="C1061" i="36"/>
  <c r="C1062" i="36"/>
  <c r="C1063" i="36"/>
  <c r="C2047" i="36"/>
  <c r="C1066" i="36"/>
  <c r="C1067" i="36"/>
  <c r="C2048" i="36"/>
  <c r="C1068" i="36"/>
  <c r="C1069" i="36"/>
  <c r="C1072" i="36"/>
  <c r="C1073" i="36"/>
  <c r="C2049" i="36"/>
  <c r="C1074" i="36"/>
  <c r="C1075" i="36"/>
  <c r="C1076" i="36"/>
  <c r="C2050" i="36"/>
  <c r="C2371" i="36"/>
  <c r="C1079" i="36"/>
  <c r="C1080" i="36"/>
  <c r="C1081" i="36"/>
  <c r="C1082" i="36"/>
  <c r="C1084" i="36"/>
  <c r="C1085" i="36"/>
  <c r="C1086" i="36"/>
  <c r="C1087" i="36"/>
  <c r="C1088" i="36"/>
  <c r="C1089" i="36"/>
  <c r="C1090" i="36"/>
  <c r="C1093" i="36"/>
  <c r="C1094" i="36"/>
  <c r="C2561" i="36"/>
  <c r="C2498" i="36"/>
  <c r="C1095" i="36"/>
  <c r="C1096" i="36"/>
  <c r="C2051" i="36"/>
  <c r="C1099" i="36"/>
  <c r="C1100" i="36"/>
  <c r="C1101" i="36"/>
  <c r="C1102" i="36"/>
  <c r="C2052" i="36"/>
  <c r="C1105" i="36"/>
  <c r="C2053" i="36"/>
  <c r="C1106" i="36"/>
  <c r="C2054" i="36"/>
  <c r="C2372" i="36"/>
  <c r="C1107" i="36"/>
  <c r="C1109" i="36"/>
  <c r="C2055" i="36"/>
  <c r="C1110" i="36"/>
  <c r="C1111" i="36"/>
  <c r="C2056" i="36"/>
  <c r="C2499" i="36"/>
  <c r="C2374" i="36"/>
  <c r="C2058" i="36"/>
  <c r="C1113" i="36"/>
  <c r="C1114" i="36"/>
  <c r="C1115" i="36"/>
  <c r="C2375" i="36"/>
  <c r="C1118" i="36"/>
  <c r="C2059" i="36"/>
  <c r="C1119" i="36"/>
  <c r="C1120" i="36"/>
  <c r="C1121" i="36"/>
  <c r="C1122" i="36"/>
  <c r="C1124" i="36"/>
  <c r="C1125" i="36"/>
  <c r="C1126" i="36"/>
  <c r="C2061" i="36"/>
  <c r="C1127" i="36"/>
  <c r="C2376" i="36"/>
  <c r="C1128" i="36"/>
  <c r="C2377" i="36"/>
  <c r="C1129" i="36"/>
  <c r="C1130" i="36"/>
  <c r="C1131" i="36"/>
  <c r="C1132" i="36"/>
  <c r="C2500" i="36"/>
  <c r="C1134" i="36"/>
  <c r="C1135" i="36"/>
  <c r="C1136" i="36"/>
  <c r="C1137" i="36"/>
  <c r="C1138" i="36"/>
  <c r="C1139" i="36"/>
  <c r="C1142" i="36"/>
  <c r="C1143" i="36"/>
  <c r="C1144" i="36"/>
  <c r="C1145" i="36"/>
  <c r="C1146" i="36"/>
  <c r="C1147" i="36"/>
  <c r="C1150" i="36"/>
  <c r="C1151" i="36"/>
  <c r="C1152" i="36"/>
  <c r="C1153" i="36"/>
  <c r="C1154" i="36"/>
  <c r="C1155" i="36"/>
  <c r="C1158" i="36"/>
  <c r="C1159" i="36"/>
  <c r="C1160" i="36"/>
  <c r="C1161" i="36"/>
  <c r="C1163" i="36"/>
  <c r="C1162" i="36"/>
  <c r="C1166" i="36"/>
  <c r="C1167" i="36"/>
  <c r="C1168" i="36"/>
  <c r="C1170" i="36"/>
  <c r="C1169" i="36"/>
  <c r="C1171" i="36"/>
  <c r="C1173" i="36"/>
  <c r="C1175" i="36"/>
  <c r="C1176" i="36"/>
  <c r="C1178" i="36"/>
  <c r="C1177" i="36"/>
  <c r="C1179" i="36"/>
  <c r="C1182" i="36"/>
  <c r="C1183" i="36"/>
  <c r="C1184" i="36"/>
  <c r="C1186" i="36"/>
  <c r="C1185" i="36"/>
  <c r="C1187" i="36"/>
  <c r="C1189" i="36"/>
  <c r="C1190" i="36"/>
  <c r="C1191" i="36"/>
  <c r="C1194" i="36"/>
  <c r="C1192" i="36"/>
  <c r="C1193" i="36"/>
  <c r="C1195" i="36"/>
  <c r="C1198" i="36"/>
  <c r="C1200" i="36"/>
  <c r="C1199" i="36"/>
  <c r="C1201" i="36"/>
  <c r="C1202" i="36"/>
  <c r="C1203" i="36"/>
  <c r="C1206" i="36"/>
  <c r="C1207" i="36"/>
  <c r="C1208" i="36"/>
  <c r="C1209" i="36"/>
  <c r="C1210" i="36"/>
  <c r="C1211" i="36"/>
  <c r="C1214" i="36"/>
  <c r="C1215" i="36"/>
  <c r="C1216" i="36"/>
  <c r="C1217" i="36"/>
  <c r="C1218" i="36"/>
  <c r="C1219" i="36"/>
  <c r="C1223" i="36"/>
  <c r="C1225" i="36"/>
  <c r="C1226" i="36"/>
  <c r="C1227" i="36"/>
  <c r="C1232" i="36"/>
  <c r="C1233" i="36"/>
  <c r="C1234" i="36"/>
  <c r="C1235" i="36"/>
  <c r="C1237" i="36"/>
  <c r="C1238" i="36"/>
  <c r="C1239" i="36"/>
  <c r="C1240" i="36"/>
  <c r="C1241" i="36"/>
  <c r="C1242" i="36"/>
  <c r="C1243" i="36"/>
  <c r="C1247" i="36"/>
  <c r="C1248" i="36"/>
  <c r="C1249" i="36"/>
  <c r="C1250" i="36"/>
  <c r="C1251" i="36"/>
  <c r="C1257" i="36"/>
  <c r="C1256" i="36"/>
  <c r="C1258" i="36"/>
  <c r="C1259" i="36"/>
  <c r="C1263" i="36"/>
  <c r="C1264" i="36"/>
  <c r="C1265" i="36"/>
  <c r="C1266" i="36"/>
  <c r="C1267" i="36"/>
  <c r="C1271" i="36"/>
  <c r="C1270" i="36"/>
  <c r="C1272" i="36"/>
  <c r="C1273" i="36"/>
  <c r="C1274" i="36"/>
  <c r="C1275" i="36"/>
  <c r="C1280" i="36"/>
  <c r="C1281" i="36"/>
  <c r="C1279" i="36"/>
  <c r="C1282" i="36"/>
  <c r="C1283" i="36"/>
  <c r="C1288" i="36"/>
  <c r="C1289" i="36"/>
  <c r="C1290" i="36"/>
  <c r="C1292" i="36"/>
  <c r="C1294" i="36"/>
  <c r="C1297" i="36"/>
  <c r="C1296" i="36"/>
  <c r="C1298" i="36"/>
  <c r="C1303" i="36"/>
  <c r="C1304" i="36"/>
  <c r="C1305" i="36"/>
  <c r="C1306" i="36"/>
  <c r="C1311" i="36"/>
  <c r="C1312" i="36"/>
  <c r="C1313" i="36"/>
  <c r="C1314" i="36"/>
  <c r="C1316" i="36"/>
  <c r="C1318" i="36"/>
  <c r="C1319" i="36"/>
  <c r="C1320" i="36"/>
  <c r="C1321" i="36"/>
  <c r="C1322" i="36"/>
  <c r="C1324" i="36"/>
  <c r="C1325" i="36"/>
  <c r="C1326" i="36"/>
  <c r="C1328" i="36"/>
  <c r="C1329" i="36"/>
  <c r="C1330" i="36"/>
  <c r="C1336" i="36"/>
  <c r="C1337" i="36"/>
  <c r="C1447" i="36"/>
  <c r="C1450" i="36"/>
  <c r="C1452" i="36"/>
  <c r="C1453" i="36"/>
  <c r="C1455" i="36"/>
  <c r="C1454" i="36"/>
  <c r="C1460" i="36"/>
  <c r="C1461" i="36"/>
  <c r="C1462" i="36"/>
  <c r="C1463" i="36"/>
  <c r="C1468" i="36"/>
  <c r="C1469" i="36"/>
  <c r="C1470" i="36"/>
  <c r="C1471" i="36"/>
  <c r="C1477" i="36"/>
  <c r="C1478" i="36"/>
  <c r="C1479" i="36"/>
  <c r="C1484" i="36"/>
  <c r="C1485" i="36"/>
  <c r="C1486" i="36"/>
  <c r="C1487" i="36"/>
  <c r="C1490" i="36"/>
  <c r="C1491" i="36"/>
  <c r="C1493" i="36"/>
  <c r="C1494" i="36"/>
  <c r="C1495" i="36"/>
  <c r="C1497" i="36"/>
  <c r="C1500" i="36"/>
  <c r="C1501" i="36"/>
  <c r="C1502" i="36"/>
  <c r="C1503" i="36"/>
  <c r="C1508" i="36"/>
  <c r="C1509" i="36"/>
  <c r="C1510" i="36"/>
  <c r="C1511" i="36"/>
  <c r="C1515" i="36"/>
  <c r="C1517" i="36"/>
  <c r="C1518" i="36"/>
  <c r="C1519" i="36"/>
  <c r="C1522" i="36"/>
  <c r="C1524" i="36"/>
  <c r="C1525" i="36"/>
  <c r="C1526" i="36"/>
  <c r="C1527" i="36"/>
  <c r="C1532" i="36"/>
  <c r="C1533" i="36"/>
  <c r="C1534" i="36"/>
  <c r="C1535" i="36"/>
  <c r="C1540" i="36"/>
  <c r="C1541" i="36"/>
  <c r="C1542" i="36"/>
  <c r="C1543" i="36"/>
  <c r="C1551" i="36"/>
  <c r="C1549" i="36"/>
  <c r="C1550" i="36"/>
  <c r="C1553" i="36"/>
  <c r="C1554" i="36"/>
  <c r="C1338" i="36"/>
  <c r="C2114" i="36"/>
  <c r="C1339" i="36"/>
  <c r="C1340" i="36"/>
  <c r="C1342" i="36"/>
  <c r="C2115" i="36"/>
  <c r="C1343" i="36"/>
  <c r="C1344" i="36"/>
  <c r="C1345" i="36"/>
  <c r="C2116" i="36"/>
  <c r="C1347" i="36"/>
  <c r="C2402" i="36"/>
  <c r="C2117" i="36"/>
  <c r="C1351" i="36"/>
  <c r="C2403" i="36"/>
  <c r="C2119" i="36"/>
  <c r="C1353" i="36"/>
  <c r="C1354" i="36"/>
  <c r="C2404" i="36"/>
  <c r="C1356" i="36"/>
  <c r="C2120" i="36"/>
  <c r="C1358" i="36"/>
  <c r="C2121" i="36"/>
  <c r="C1359" i="36"/>
  <c r="C1360" i="36"/>
  <c r="C1361" i="36"/>
  <c r="C1364" i="36"/>
  <c r="C2405" i="36"/>
  <c r="C2122" i="36"/>
  <c r="C1365" i="36"/>
  <c r="C1367" i="36"/>
  <c r="C1369" i="36"/>
  <c r="C2519" i="36"/>
  <c r="C1370" i="36"/>
  <c r="C2125" i="36"/>
  <c r="C1373" i="36"/>
  <c r="C1374" i="36"/>
  <c r="C1375" i="36"/>
  <c r="C2126" i="36"/>
  <c r="C1379" i="36"/>
  <c r="C2521" i="36"/>
  <c r="C2406" i="36"/>
  <c r="C2643" i="36"/>
  <c r="C1381" i="36"/>
  <c r="C2127" i="36"/>
  <c r="C1383" i="36"/>
  <c r="C1384" i="36"/>
  <c r="C1385" i="36"/>
  <c r="C1386" i="36"/>
  <c r="C1387" i="36"/>
  <c r="C2129" i="36"/>
  <c r="C1388" i="36"/>
  <c r="C2130" i="36"/>
  <c r="C2131" i="36"/>
  <c r="C2522" i="36"/>
  <c r="C2408" i="36"/>
  <c r="C1391" i="36"/>
  <c r="C1392" i="36"/>
  <c r="C2133" i="36"/>
  <c r="C1393" i="36"/>
  <c r="C2523" i="36"/>
  <c r="C1395" i="36"/>
  <c r="C2409" i="36"/>
  <c r="C2134" i="36"/>
  <c r="C2646" i="36"/>
  <c r="C1398" i="36"/>
  <c r="C1399" i="36"/>
  <c r="C1400" i="36"/>
  <c r="C1401" i="36"/>
  <c r="C1403" i="36"/>
  <c r="C2524" i="36"/>
  <c r="C2620" i="36"/>
  <c r="C1405" i="36"/>
  <c r="C2139" i="36"/>
  <c r="C1406" i="36"/>
  <c r="C2140" i="36"/>
  <c r="C1408" i="36"/>
  <c r="C2141" i="36"/>
  <c r="C1411" i="36"/>
  <c r="C2142" i="36"/>
  <c r="C1412" i="36"/>
  <c r="C1414" i="36"/>
  <c r="C2143" i="36"/>
  <c r="C2525" i="36"/>
  <c r="C1416" i="36"/>
  <c r="C2144" i="36"/>
  <c r="C1417" i="36"/>
  <c r="C1418" i="36"/>
  <c r="C1419" i="36"/>
  <c r="C2603" i="36"/>
  <c r="C2412" i="36"/>
  <c r="C1421" i="36"/>
  <c r="C2146" i="36"/>
  <c r="C1425" i="36"/>
  <c r="C2572" i="36"/>
  <c r="C2413" i="36"/>
  <c r="C1426" i="36"/>
  <c r="C2148" i="36"/>
  <c r="C2526" i="36"/>
  <c r="C1429" i="36"/>
  <c r="C1430" i="36"/>
  <c r="C2149" i="36"/>
  <c r="C1431" i="36"/>
  <c r="C1433" i="36"/>
  <c r="C2414" i="36"/>
  <c r="C1436" i="36"/>
  <c r="C2626" i="36"/>
  <c r="C2415" i="36"/>
  <c r="C1439" i="36"/>
  <c r="C2152" i="36"/>
  <c r="C1444" i="36"/>
  <c r="C2154" i="36"/>
  <c r="C1446" i="36"/>
  <c r="C1557" i="36"/>
  <c r="C1559" i="36"/>
  <c r="C1561" i="36"/>
  <c r="C1563" i="36"/>
  <c r="C1568" i="36"/>
  <c r="C1569" i="36"/>
  <c r="C1574" i="36"/>
  <c r="C1576" i="36"/>
  <c r="C1577" i="36"/>
  <c r="C1583" i="36"/>
  <c r="C1585" i="36"/>
  <c r="C1591" i="36"/>
  <c r="C1590" i="36"/>
  <c r="C1594" i="36"/>
  <c r="C1599" i="36"/>
  <c r="C1601" i="36"/>
  <c r="C1603" i="36"/>
  <c r="C1606" i="36"/>
  <c r="C1607" i="36"/>
  <c r="C1610" i="36"/>
  <c r="C1616" i="36"/>
  <c r="C1617" i="36"/>
  <c r="C1619" i="36"/>
  <c r="C1622" i="36"/>
  <c r="C1624" i="36"/>
  <c r="C1625" i="36"/>
  <c r="C1633" i="36"/>
  <c r="C1631" i="36"/>
  <c r="C1639" i="36"/>
  <c r="C1641" i="36"/>
  <c r="C1646" i="36"/>
  <c r="C1648" i="36"/>
  <c r="C1655" i="36"/>
  <c r="C1656" i="36"/>
  <c r="C1663" i="36"/>
  <c r="C1665" i="36"/>
  <c r="C1671" i="36"/>
  <c r="C1673" i="36"/>
  <c r="C1679" i="36"/>
  <c r="C1678" i="36"/>
  <c r="C1685" i="36"/>
  <c r="C1687" i="36"/>
  <c r="C1689" i="36"/>
  <c r="C1697" i="36"/>
  <c r="C2064" i="36"/>
  <c r="C2072" i="36"/>
  <c r="C2078" i="36"/>
  <c r="C2080" i="36"/>
  <c r="C2088" i="36"/>
  <c r="C2097" i="36"/>
  <c r="C2102" i="36"/>
  <c r="C2155" i="36"/>
  <c r="C2160" i="36"/>
  <c r="C2165" i="36"/>
  <c r="C2175" i="36"/>
  <c r="AA2156" i="36"/>
  <c r="AB2156" i="36"/>
  <c r="AC2156" i="36"/>
  <c r="AA2157" i="36"/>
  <c r="AB2157" i="36"/>
  <c r="AC2157" i="36"/>
  <c r="AA2158" i="36"/>
  <c r="AB2158" i="36"/>
  <c r="AC2158" i="36"/>
  <c r="AA2159" i="36"/>
  <c r="AB2159" i="36"/>
  <c r="AC2159" i="36"/>
  <c r="AA2162" i="36"/>
  <c r="AB2162" i="36"/>
  <c r="AC2162" i="36"/>
  <c r="AA2160" i="36"/>
  <c r="AB2160" i="36"/>
  <c r="AC2160" i="36"/>
  <c r="AA2161" i="36"/>
  <c r="AB2161" i="36"/>
  <c r="AC2161" i="36"/>
  <c r="AA2163" i="36"/>
  <c r="AB2163" i="36"/>
  <c r="AC2163" i="36"/>
  <c r="AA2164" i="36"/>
  <c r="AB2164" i="36"/>
  <c r="AC2164" i="36"/>
  <c r="AA2165" i="36"/>
  <c r="AB2165" i="36"/>
  <c r="AC2165" i="36"/>
  <c r="AA2166" i="36"/>
  <c r="AB2166" i="36"/>
  <c r="AC2166" i="36"/>
  <c r="AA2167" i="36"/>
  <c r="AB2167" i="36"/>
  <c r="AC2167" i="36"/>
  <c r="AA2168" i="36"/>
  <c r="AB2168" i="36"/>
  <c r="AC2168" i="36"/>
  <c r="AA2169" i="36"/>
  <c r="AB2169" i="36"/>
  <c r="AC2169" i="36"/>
  <c r="AA2170" i="36"/>
  <c r="AB2170" i="36"/>
  <c r="AC2170" i="36"/>
  <c r="AA2172" i="36"/>
  <c r="AB2172" i="36"/>
  <c r="AC2172" i="36"/>
  <c r="AA2171" i="36"/>
  <c r="AB2171" i="36"/>
  <c r="AC2171" i="36"/>
  <c r="AA2173" i="36"/>
  <c r="AB2173" i="36"/>
  <c r="AC2173" i="36"/>
  <c r="AA2174" i="36"/>
  <c r="AB2174" i="36"/>
  <c r="AC2174" i="36"/>
  <c r="AA2175" i="36"/>
  <c r="AB2175" i="36"/>
  <c r="AC2175" i="36"/>
  <c r="AA2101" i="36"/>
  <c r="AB2101" i="36"/>
  <c r="AC2101" i="36"/>
  <c r="AA2102" i="36"/>
  <c r="AB2102" i="36"/>
  <c r="AC2102" i="36"/>
  <c r="AA2176" i="36"/>
  <c r="AB2176" i="36"/>
  <c r="AC2176" i="36"/>
  <c r="AA2177" i="36"/>
  <c r="AB2177" i="36"/>
  <c r="AC2177" i="36"/>
  <c r="AA2178" i="36"/>
  <c r="AB2178" i="36"/>
  <c r="AC2178" i="36"/>
  <c r="AA2179" i="36"/>
  <c r="AB2179" i="36"/>
  <c r="AC2179" i="36"/>
  <c r="AA2180" i="36"/>
  <c r="AB2180" i="36"/>
  <c r="AC2180" i="36"/>
  <c r="AA2182" i="36"/>
  <c r="AB2182" i="36"/>
  <c r="AC2182" i="36"/>
  <c r="AA2181" i="36"/>
  <c r="AB2181" i="36"/>
  <c r="AC2181" i="36"/>
  <c r="AA2183" i="36"/>
  <c r="AB2183" i="36"/>
  <c r="AA2184" i="36"/>
  <c r="AB2184" i="36"/>
  <c r="AA2185" i="36"/>
  <c r="AB2185" i="36"/>
  <c r="AA2186" i="36"/>
  <c r="AB2186" i="36"/>
  <c r="AA2187" i="36"/>
  <c r="AB2187" i="36"/>
  <c r="AA2189" i="36"/>
  <c r="AB2189" i="36"/>
  <c r="AA2188" i="36"/>
  <c r="AB2188" i="36"/>
  <c r="AA2103" i="36"/>
  <c r="AB2103" i="36"/>
  <c r="AC2103" i="36"/>
  <c r="AA2104" i="36"/>
  <c r="AB2104" i="36"/>
  <c r="AC2104" i="36"/>
  <c r="AA2190" i="36"/>
  <c r="AB2190" i="36"/>
  <c r="AA2191" i="36"/>
  <c r="AB2191" i="36"/>
  <c r="AA2105" i="36"/>
  <c r="AB2105" i="36"/>
  <c r="AC2105" i="36"/>
  <c r="AA2106" i="36"/>
  <c r="AB2106" i="36"/>
  <c r="AC2106" i="36"/>
  <c r="AA2107" i="36"/>
  <c r="AB2107" i="36"/>
  <c r="AC2107" i="36"/>
  <c r="AA2108" i="36"/>
  <c r="AB2108" i="36"/>
  <c r="AC2108" i="36"/>
  <c r="AA2111" i="36"/>
  <c r="AB2111" i="36"/>
  <c r="AC2111" i="36"/>
  <c r="AA2109" i="36"/>
  <c r="AB2109" i="36"/>
  <c r="AC2109" i="36"/>
  <c r="AA2110" i="36"/>
  <c r="AB2110" i="36"/>
  <c r="AC2110" i="36"/>
  <c r="AA2155" i="36"/>
  <c r="AB2155" i="36"/>
  <c r="AC2155" i="36"/>
  <c r="AA2112" i="36"/>
  <c r="AB2112" i="36"/>
  <c r="AC2112" i="36"/>
  <c r="AA2113" i="36"/>
  <c r="AB2113" i="36"/>
  <c r="AC2113" i="36"/>
  <c r="I2156" i="36"/>
  <c r="I2157" i="36"/>
  <c r="I2158" i="36"/>
  <c r="I2159" i="36"/>
  <c r="I2162" i="36"/>
  <c r="I2160" i="36"/>
  <c r="I2161" i="36"/>
  <c r="I2163" i="36"/>
  <c r="I2164" i="36"/>
  <c r="I2165" i="36"/>
  <c r="I2166" i="36"/>
  <c r="I2167" i="36"/>
  <c r="I2168" i="36"/>
  <c r="I2169" i="36"/>
  <c r="I2170" i="36"/>
  <c r="I2172" i="36"/>
  <c r="I2171" i="36"/>
  <c r="I2173" i="36"/>
  <c r="I2174" i="36"/>
  <c r="I2175" i="36"/>
  <c r="I2101" i="36"/>
  <c r="I2102" i="36"/>
  <c r="I2176" i="36"/>
  <c r="I2177" i="36"/>
  <c r="I2178" i="36"/>
  <c r="I2179" i="36"/>
  <c r="I2180" i="36"/>
  <c r="I2182" i="36"/>
  <c r="I2181" i="36"/>
  <c r="I2183" i="36"/>
  <c r="I2184" i="36"/>
  <c r="I2185" i="36"/>
  <c r="I2186" i="36"/>
  <c r="I2187" i="36"/>
  <c r="I2189" i="36"/>
  <c r="I2188" i="36"/>
  <c r="I2103" i="36"/>
  <c r="I2104" i="36"/>
  <c r="I2190" i="36"/>
  <c r="I2191" i="36"/>
  <c r="I2105" i="36"/>
  <c r="I2106" i="36"/>
  <c r="I2107" i="36"/>
  <c r="I2108" i="36"/>
  <c r="I2111" i="36"/>
  <c r="I2109" i="36"/>
  <c r="I2110" i="36"/>
  <c r="I2155" i="36"/>
  <c r="I2112" i="36"/>
  <c r="I2113" i="36"/>
  <c r="M2156" i="36"/>
  <c r="R2156" i="36"/>
  <c r="M2157" i="36"/>
  <c r="R2157" i="36"/>
  <c r="M2158" i="36"/>
  <c r="R2158" i="36"/>
  <c r="M2159" i="36"/>
  <c r="R2159" i="36"/>
  <c r="M2162" i="36"/>
  <c r="R2162" i="36"/>
  <c r="M2160" i="36"/>
  <c r="R2160" i="36"/>
  <c r="M2161" i="36"/>
  <c r="R2161" i="36"/>
  <c r="M2163" i="36"/>
  <c r="R2163" i="36"/>
  <c r="M2164" i="36"/>
  <c r="R2164" i="36"/>
  <c r="M2165" i="36"/>
  <c r="R2165" i="36"/>
  <c r="M2166" i="36"/>
  <c r="R2166" i="36"/>
  <c r="M2167" i="36"/>
  <c r="R2167" i="36"/>
  <c r="M2168" i="36"/>
  <c r="R2168" i="36"/>
  <c r="M2169" i="36"/>
  <c r="R2169" i="36"/>
  <c r="M2170" i="36"/>
  <c r="R2170" i="36"/>
  <c r="M2172" i="36"/>
  <c r="R2172" i="36"/>
  <c r="M2171" i="36"/>
  <c r="R2171" i="36"/>
  <c r="M2173" i="36"/>
  <c r="R2173" i="36"/>
  <c r="M2174" i="36"/>
  <c r="R2174" i="36"/>
  <c r="M2175" i="36"/>
  <c r="R2175" i="36"/>
  <c r="M2101" i="36"/>
  <c r="R2101" i="36"/>
  <c r="M2102" i="36"/>
  <c r="R2102" i="36"/>
  <c r="M2176" i="36"/>
  <c r="R2176" i="36"/>
  <c r="M2177" i="36"/>
  <c r="R2177" i="36"/>
  <c r="M2178" i="36"/>
  <c r="R2178" i="36"/>
  <c r="M2179" i="36"/>
  <c r="R2179" i="36"/>
  <c r="M2180" i="36"/>
  <c r="R2180" i="36"/>
  <c r="M2182" i="36"/>
  <c r="R2182" i="36"/>
  <c r="M2181" i="36"/>
  <c r="R2181" i="36"/>
  <c r="M2183" i="36"/>
  <c r="R2183" i="36"/>
  <c r="M2184" i="36"/>
  <c r="R2184" i="36"/>
  <c r="M2185" i="36"/>
  <c r="R2185" i="36"/>
  <c r="M2186" i="36"/>
  <c r="R2186" i="36"/>
  <c r="M2187" i="36"/>
  <c r="R2187" i="36"/>
  <c r="M2189" i="36"/>
  <c r="R2189" i="36"/>
  <c r="M2188" i="36"/>
  <c r="R2188" i="36"/>
  <c r="M2103" i="36"/>
  <c r="R2103" i="36"/>
  <c r="M2104" i="36"/>
  <c r="R2104" i="36"/>
  <c r="M2190" i="36"/>
  <c r="R2190" i="36"/>
  <c r="M2191" i="36"/>
  <c r="R2191" i="36"/>
  <c r="M2105" i="36"/>
  <c r="R2105" i="36"/>
  <c r="M2106" i="36"/>
  <c r="R2106" i="36"/>
  <c r="M2107" i="36"/>
  <c r="R2107" i="36"/>
  <c r="M2108" i="36"/>
  <c r="R2108" i="36"/>
  <c r="M2111" i="36"/>
  <c r="R2111" i="36"/>
  <c r="M2109" i="36"/>
  <c r="R2109" i="36"/>
  <c r="M2110" i="36"/>
  <c r="R2110" i="36"/>
  <c r="M2155" i="36"/>
  <c r="R2155" i="36"/>
  <c r="M2112" i="36"/>
  <c r="R2112" i="36"/>
  <c r="M2113" i="36"/>
  <c r="R2113" i="36"/>
  <c r="P2156" i="36"/>
  <c r="P2157" i="36"/>
  <c r="P2158" i="36"/>
  <c r="P2159" i="36"/>
  <c r="P2162" i="36"/>
  <c r="P2160" i="36"/>
  <c r="P2161" i="36"/>
  <c r="P2163" i="36"/>
  <c r="P2164" i="36"/>
  <c r="P2165" i="36"/>
  <c r="P2166" i="36"/>
  <c r="P2167" i="36"/>
  <c r="P2168" i="36"/>
  <c r="P2169" i="36"/>
  <c r="P2170" i="36"/>
  <c r="P2172" i="36"/>
  <c r="P2171" i="36"/>
  <c r="P2173" i="36"/>
  <c r="P2174" i="36"/>
  <c r="P2175" i="36"/>
  <c r="P2101" i="36"/>
  <c r="P2102" i="36"/>
  <c r="P2176" i="36"/>
  <c r="P2177" i="36"/>
  <c r="P2178" i="36"/>
  <c r="P2179" i="36"/>
  <c r="P2180" i="36"/>
  <c r="P2182" i="36"/>
  <c r="P2181" i="36"/>
  <c r="P2183" i="36"/>
  <c r="P2184" i="36"/>
  <c r="P2185" i="36"/>
  <c r="P2186" i="36"/>
  <c r="P2187" i="36"/>
  <c r="P2189" i="36"/>
  <c r="P2188" i="36"/>
  <c r="P2103" i="36"/>
  <c r="P2104" i="36"/>
  <c r="P2190" i="36"/>
  <c r="P2191" i="36"/>
  <c r="P2105" i="36"/>
  <c r="P2106" i="36"/>
  <c r="P2107" i="36"/>
  <c r="P2108" i="36"/>
  <c r="P2111" i="36"/>
  <c r="P2109" i="36"/>
  <c r="P2110" i="36"/>
  <c r="P2155" i="36"/>
  <c r="P2112" i="36"/>
  <c r="P2113" i="36"/>
  <c r="Q2156" i="36"/>
  <c r="Q2157" i="36"/>
  <c r="Q2158" i="36"/>
  <c r="Q2159" i="36"/>
  <c r="Q2162" i="36"/>
  <c r="Q2160" i="36"/>
  <c r="Q2161" i="36"/>
  <c r="Q2163" i="36"/>
  <c r="Q2164" i="36"/>
  <c r="Q2165" i="36"/>
  <c r="Q2166" i="36"/>
  <c r="Q2167" i="36"/>
  <c r="Q2168" i="36"/>
  <c r="Q2169" i="36"/>
  <c r="Q2170" i="36"/>
  <c r="Q2172" i="36"/>
  <c r="Q2171" i="36"/>
  <c r="Q2173" i="36"/>
  <c r="Q2174" i="36"/>
  <c r="Q2175" i="36"/>
  <c r="Q2101" i="36"/>
  <c r="Q2102" i="36"/>
  <c r="Q2176" i="36"/>
  <c r="Q2177" i="36"/>
  <c r="Q2178" i="36"/>
  <c r="Q2179" i="36"/>
  <c r="Q2180" i="36"/>
  <c r="Q2182" i="36"/>
  <c r="Q2181" i="36"/>
  <c r="Q2183" i="36"/>
  <c r="Q2184" i="36"/>
  <c r="Q2185" i="36"/>
  <c r="Q2186" i="36"/>
  <c r="Q2187" i="36"/>
  <c r="Q2189" i="36"/>
  <c r="Q2188" i="36"/>
  <c r="Q2103" i="36"/>
  <c r="Q2104" i="36"/>
  <c r="Q2190" i="36"/>
  <c r="Q2191" i="36"/>
  <c r="Q2105" i="36"/>
  <c r="Q2106" i="36"/>
  <c r="Q2107" i="36"/>
  <c r="Q2108" i="36"/>
  <c r="Q2111" i="36"/>
  <c r="Q2109" i="36"/>
  <c r="Q2110" i="36"/>
  <c r="Q2155" i="36"/>
  <c r="Q2112" i="36"/>
  <c r="Q2113" i="36"/>
  <c r="S2156" i="36"/>
  <c r="S2157" i="36"/>
  <c r="S2158" i="36"/>
  <c r="S2159" i="36"/>
  <c r="S2162" i="36"/>
  <c r="S2160" i="36"/>
  <c r="S2161" i="36"/>
  <c r="S2163" i="36"/>
  <c r="S2164" i="36"/>
  <c r="S2165" i="36"/>
  <c r="S2166" i="36"/>
  <c r="S2167" i="36"/>
  <c r="S2168" i="36"/>
  <c r="S2169" i="36"/>
  <c r="S2170" i="36"/>
  <c r="S2172" i="36"/>
  <c r="S2171" i="36"/>
  <c r="S2173" i="36"/>
  <c r="S2174" i="36"/>
  <c r="S2175" i="36"/>
  <c r="S2101" i="36"/>
  <c r="S2102" i="36"/>
  <c r="S2176" i="36"/>
  <c r="S2177" i="36"/>
  <c r="S2178" i="36"/>
  <c r="S2179" i="36"/>
  <c r="S2180" i="36"/>
  <c r="S2182" i="36"/>
  <c r="S2181" i="36"/>
  <c r="S2183" i="36"/>
  <c r="S2184" i="36"/>
  <c r="S2185" i="36"/>
  <c r="S2186" i="36"/>
  <c r="S2187" i="36"/>
  <c r="S2189" i="36"/>
  <c r="S2188" i="36"/>
  <c r="S2103" i="36"/>
  <c r="S2104" i="36"/>
  <c r="S2190" i="36"/>
  <c r="S2191" i="36"/>
  <c r="S2105" i="36"/>
  <c r="S2106" i="36"/>
  <c r="S2107" i="36"/>
  <c r="S2108" i="36"/>
  <c r="S2111" i="36"/>
  <c r="S2109" i="36"/>
  <c r="S2110" i="36"/>
  <c r="S2155" i="36"/>
  <c r="S2112" i="36"/>
  <c r="S2113" i="36"/>
  <c r="T2156" i="36"/>
  <c r="T2157" i="36"/>
  <c r="T2158" i="36"/>
  <c r="T2159" i="36"/>
  <c r="T2162" i="36"/>
  <c r="T2160" i="36"/>
  <c r="T2161" i="36"/>
  <c r="T2163" i="36"/>
  <c r="T2164" i="36"/>
  <c r="T2165" i="36"/>
  <c r="T2166" i="36"/>
  <c r="T2167" i="36"/>
  <c r="T2168" i="36"/>
  <c r="T2169" i="36"/>
  <c r="T2170" i="36"/>
  <c r="T2172" i="36"/>
  <c r="T2171" i="36"/>
  <c r="T2173" i="36"/>
  <c r="T2174" i="36"/>
  <c r="T2175" i="36"/>
  <c r="T2101" i="36"/>
  <c r="T2102" i="36"/>
  <c r="T2176" i="36"/>
  <c r="T2177" i="36"/>
  <c r="T2178" i="36"/>
  <c r="T2179" i="36"/>
  <c r="T2180" i="36"/>
  <c r="T2182" i="36"/>
  <c r="T2181" i="36"/>
  <c r="T2183" i="36"/>
  <c r="T2184" i="36"/>
  <c r="T2185" i="36"/>
  <c r="T2186" i="36"/>
  <c r="T2187" i="36"/>
  <c r="T2189" i="36"/>
  <c r="T2188" i="36"/>
  <c r="T2103" i="36"/>
  <c r="T2104" i="36"/>
  <c r="T2190" i="36"/>
  <c r="T2191" i="36"/>
  <c r="T2105" i="36"/>
  <c r="T2106" i="36"/>
  <c r="T2107" i="36"/>
  <c r="T2108" i="36"/>
  <c r="T2111" i="36"/>
  <c r="T2109" i="36"/>
  <c r="T2110" i="36"/>
  <c r="T2155" i="36"/>
  <c r="T2112" i="36"/>
  <c r="T2113" i="36"/>
  <c r="AA1697" i="36"/>
  <c r="AB1697" i="36"/>
  <c r="AC1697" i="36"/>
  <c r="AA1698" i="36"/>
  <c r="AB1698" i="36"/>
  <c r="AC1698" i="36"/>
  <c r="AA1699" i="36"/>
  <c r="AB1699" i="36"/>
  <c r="AC1699" i="36"/>
  <c r="AA1700" i="36"/>
  <c r="AB1700" i="36"/>
  <c r="AC1700" i="36"/>
  <c r="AA1701" i="36"/>
  <c r="AB1701" i="36"/>
  <c r="AC1701" i="36"/>
  <c r="AA1702" i="36"/>
  <c r="AB1702" i="36"/>
  <c r="AC1702" i="36"/>
  <c r="AA2063" i="36"/>
  <c r="AB2063" i="36"/>
  <c r="AC2063" i="36"/>
  <c r="AA1703" i="36"/>
  <c r="AB1703" i="36"/>
  <c r="AC1703" i="36"/>
  <c r="AA2064" i="36"/>
  <c r="AB2064" i="36"/>
  <c r="AC2064" i="36"/>
  <c r="AA2066" i="36"/>
  <c r="AB2066" i="36"/>
  <c r="AC2066" i="36"/>
  <c r="AA2065" i="36"/>
  <c r="AB2065" i="36"/>
  <c r="AC2065" i="36"/>
  <c r="AA2068" i="36"/>
  <c r="AB2068" i="36"/>
  <c r="AC2068" i="36"/>
  <c r="AA2067" i="36"/>
  <c r="AB2067" i="36"/>
  <c r="AC2067" i="36"/>
  <c r="AA2069" i="36"/>
  <c r="AB2069" i="36"/>
  <c r="AC2069" i="36"/>
  <c r="AA2070" i="36"/>
  <c r="AB2070" i="36"/>
  <c r="AC2070" i="36"/>
  <c r="AA2071" i="36"/>
  <c r="AB2071" i="36"/>
  <c r="AC2071" i="36"/>
  <c r="AA2072" i="36"/>
  <c r="AB2072" i="36"/>
  <c r="AC2072" i="36"/>
  <c r="AA2073" i="36"/>
  <c r="AB2073" i="36"/>
  <c r="AC2073" i="36"/>
  <c r="AA2074" i="36"/>
  <c r="AB2074" i="36"/>
  <c r="AC2074" i="36"/>
  <c r="AA2075" i="36"/>
  <c r="AB2075" i="36"/>
  <c r="AC2075" i="36"/>
  <c r="AA2076" i="36"/>
  <c r="AB2076" i="36"/>
  <c r="AC2076" i="36"/>
  <c r="AA2077" i="36"/>
  <c r="AB2077" i="36"/>
  <c r="AC2077" i="36"/>
  <c r="AA2078" i="36"/>
  <c r="AB2078" i="36"/>
  <c r="AC2078" i="36"/>
  <c r="AA2098" i="36"/>
  <c r="AB2098" i="36"/>
  <c r="AC2098" i="36"/>
  <c r="AA2079" i="36"/>
  <c r="AB2079" i="36"/>
  <c r="AC2079" i="36"/>
  <c r="AA2080" i="36"/>
  <c r="AB2080" i="36"/>
  <c r="AC2080" i="36"/>
  <c r="AA2081" i="36"/>
  <c r="AB2081" i="36"/>
  <c r="AC2081" i="36"/>
  <c r="AA2083" i="36"/>
  <c r="AB2083" i="36"/>
  <c r="AC2083" i="36"/>
  <c r="AA2082" i="36"/>
  <c r="AB2082" i="36"/>
  <c r="AC2082" i="36"/>
  <c r="AA2084" i="36"/>
  <c r="AB2084" i="36"/>
  <c r="AC2084" i="36"/>
  <c r="AA2085" i="36"/>
  <c r="AB2085" i="36"/>
  <c r="AC2085" i="36"/>
  <c r="AA2086" i="36"/>
  <c r="AB2086" i="36"/>
  <c r="AC2086" i="36"/>
  <c r="AA2087" i="36"/>
  <c r="AB2087" i="36"/>
  <c r="AC2087" i="36"/>
  <c r="AA2088" i="36"/>
  <c r="AB2088" i="36"/>
  <c r="AC2088" i="36"/>
  <c r="AA2089" i="36"/>
  <c r="AB2089" i="36"/>
  <c r="AC2089" i="36"/>
  <c r="AA2091" i="36"/>
  <c r="AB2091" i="36"/>
  <c r="AC2091" i="36"/>
  <c r="AA2090" i="36"/>
  <c r="AB2090" i="36"/>
  <c r="AC2090" i="36"/>
  <c r="AA2092" i="36"/>
  <c r="AB2092" i="36"/>
  <c r="AC2092" i="36"/>
  <c r="AA2094" i="36"/>
  <c r="AB2094" i="36"/>
  <c r="AC2094" i="36"/>
  <c r="AA2093" i="36"/>
  <c r="AB2093" i="36"/>
  <c r="AC2093" i="36"/>
  <c r="AA2096" i="36"/>
  <c r="AB2096" i="36"/>
  <c r="AC2096" i="36"/>
  <c r="AA2097" i="36"/>
  <c r="AB2097" i="36"/>
  <c r="AC2097" i="36"/>
  <c r="AA2095" i="36"/>
  <c r="AB2095" i="36"/>
  <c r="AC2095" i="36"/>
  <c r="AA2099" i="36"/>
  <c r="AB2099" i="36"/>
  <c r="AC2099" i="36"/>
  <c r="AA2100" i="36"/>
  <c r="AB2100" i="36"/>
  <c r="AC2100" i="36"/>
  <c r="I1697" i="36"/>
  <c r="I2069" i="36"/>
  <c r="I2070" i="36"/>
  <c r="I2071" i="36"/>
  <c r="I2072" i="36"/>
  <c r="I2073" i="36"/>
  <c r="I2074" i="36"/>
  <c r="I2075" i="36"/>
  <c r="I2076" i="36"/>
  <c r="I2077" i="36"/>
  <c r="I2078" i="36"/>
  <c r="I2079" i="36"/>
  <c r="I2080" i="36"/>
  <c r="I2081" i="36"/>
  <c r="I1698" i="36"/>
  <c r="I1699" i="36"/>
  <c r="I2083" i="36"/>
  <c r="I2082" i="36"/>
  <c r="I2084" i="36"/>
  <c r="I2085" i="36"/>
  <c r="I2086" i="36"/>
  <c r="I2087" i="36"/>
  <c r="I2088" i="36"/>
  <c r="I2089" i="36"/>
  <c r="I2091" i="36"/>
  <c r="I2090" i="36"/>
  <c r="I2092" i="36"/>
  <c r="I2094" i="36"/>
  <c r="I2093" i="36"/>
  <c r="I2096" i="36"/>
  <c r="I2097" i="36"/>
  <c r="I2095" i="36"/>
  <c r="I2098" i="36"/>
  <c r="I2099" i="36"/>
  <c r="I2100" i="36"/>
  <c r="I1700" i="36"/>
  <c r="I1701" i="36"/>
  <c r="I1702" i="36"/>
  <c r="I2063" i="36"/>
  <c r="I1703" i="36"/>
  <c r="I2064" i="36"/>
  <c r="I2066" i="36"/>
  <c r="I2065" i="36"/>
  <c r="I2068" i="36"/>
  <c r="I2067" i="36"/>
  <c r="M1697" i="36"/>
  <c r="R1697" i="36"/>
  <c r="M2069" i="36"/>
  <c r="R2069" i="36"/>
  <c r="M2070" i="36"/>
  <c r="R2070" i="36"/>
  <c r="M2071" i="36"/>
  <c r="R2071" i="36"/>
  <c r="M2072" i="36"/>
  <c r="R2072" i="36"/>
  <c r="M2073" i="36"/>
  <c r="R2073" i="36"/>
  <c r="M2074" i="36"/>
  <c r="R2074" i="36"/>
  <c r="M2075" i="36"/>
  <c r="M2076" i="36"/>
  <c r="R2076" i="36"/>
  <c r="M2077" i="36"/>
  <c r="R2077" i="36"/>
  <c r="M2078" i="36"/>
  <c r="R2078" i="36"/>
  <c r="M2079" i="36"/>
  <c r="R2079" i="36"/>
  <c r="M2080" i="36"/>
  <c r="R2080" i="36"/>
  <c r="M2081" i="36"/>
  <c r="R2081" i="36"/>
  <c r="M1698" i="36"/>
  <c r="R1698" i="36"/>
  <c r="M1699" i="36"/>
  <c r="R1699" i="36"/>
  <c r="M2083" i="36"/>
  <c r="M2082" i="36"/>
  <c r="R2082" i="36"/>
  <c r="M2084" i="36"/>
  <c r="R2084" i="36"/>
  <c r="M2085" i="36"/>
  <c r="R2085" i="36"/>
  <c r="M2086" i="36"/>
  <c r="R2086" i="36"/>
  <c r="M2087" i="36"/>
  <c r="R2087" i="36"/>
  <c r="M2088" i="36"/>
  <c r="R2088" i="36"/>
  <c r="M2089" i="36"/>
  <c r="R2089" i="36"/>
  <c r="M2091" i="36"/>
  <c r="R2091" i="36"/>
  <c r="M2090" i="36"/>
  <c r="R2090" i="36"/>
  <c r="M2092" i="36"/>
  <c r="R2092" i="36"/>
  <c r="M2094" i="36"/>
  <c r="R2094" i="36"/>
  <c r="M2093" i="36"/>
  <c r="R2093" i="36"/>
  <c r="M2096" i="36"/>
  <c r="R2096" i="36"/>
  <c r="M2097" i="36"/>
  <c r="R2097" i="36"/>
  <c r="M2095" i="36"/>
  <c r="R2095" i="36"/>
  <c r="M2098" i="36"/>
  <c r="R2098" i="36"/>
  <c r="M2099" i="36"/>
  <c r="R2099" i="36"/>
  <c r="M2100" i="36"/>
  <c r="R2100" i="36"/>
  <c r="M1700" i="36"/>
  <c r="R1700" i="36"/>
  <c r="M1701" i="36"/>
  <c r="R1701" i="36"/>
  <c r="M1702" i="36"/>
  <c r="R1702" i="36"/>
  <c r="M2063" i="36"/>
  <c r="R2063" i="36"/>
  <c r="M1703" i="36"/>
  <c r="R1703" i="36"/>
  <c r="M2064" i="36"/>
  <c r="R2064" i="36"/>
  <c r="M2066" i="36"/>
  <c r="R2066" i="36"/>
  <c r="M2065" i="36"/>
  <c r="R2065" i="36"/>
  <c r="M2068" i="36"/>
  <c r="R2068" i="36"/>
  <c r="M2067" i="36"/>
  <c r="R2067" i="36"/>
  <c r="P1697" i="36"/>
  <c r="P2069" i="36"/>
  <c r="P2070" i="36"/>
  <c r="P2071" i="36"/>
  <c r="P2072" i="36"/>
  <c r="P2073" i="36"/>
  <c r="P2074" i="36"/>
  <c r="P2075" i="36"/>
  <c r="P2076" i="36"/>
  <c r="P2077" i="36"/>
  <c r="P2078" i="36"/>
  <c r="P2079" i="36"/>
  <c r="P2080" i="36"/>
  <c r="P2081" i="36"/>
  <c r="P1698" i="36"/>
  <c r="P1699" i="36"/>
  <c r="P2083" i="36"/>
  <c r="P2082" i="36"/>
  <c r="P2084" i="36"/>
  <c r="P2085" i="36"/>
  <c r="P2086" i="36"/>
  <c r="P2087" i="36"/>
  <c r="P2088" i="36"/>
  <c r="P2089" i="36"/>
  <c r="P2091" i="36"/>
  <c r="P2090" i="36"/>
  <c r="P2092" i="36"/>
  <c r="P2094" i="36"/>
  <c r="P2093" i="36"/>
  <c r="P2096" i="36"/>
  <c r="P2097" i="36"/>
  <c r="P2095" i="36"/>
  <c r="P2098" i="36"/>
  <c r="P2099" i="36"/>
  <c r="P2100" i="36"/>
  <c r="P1700" i="36"/>
  <c r="P1701" i="36"/>
  <c r="P1702" i="36"/>
  <c r="P2063" i="36"/>
  <c r="P1703" i="36"/>
  <c r="P2064" i="36"/>
  <c r="P2066" i="36"/>
  <c r="P2065" i="36"/>
  <c r="P2068" i="36"/>
  <c r="P2067" i="36"/>
  <c r="Q1697" i="36"/>
  <c r="Q2069" i="36"/>
  <c r="Q2070" i="36"/>
  <c r="Q2071" i="36"/>
  <c r="Q2072" i="36"/>
  <c r="Q2073" i="36"/>
  <c r="Q2074" i="36"/>
  <c r="Q2075" i="36"/>
  <c r="Q2076" i="36"/>
  <c r="Q2077" i="36"/>
  <c r="Q2078" i="36"/>
  <c r="Q2079" i="36"/>
  <c r="Q2080" i="36"/>
  <c r="Q2081" i="36"/>
  <c r="Q1698" i="36"/>
  <c r="Q1699" i="36"/>
  <c r="Q2083" i="36"/>
  <c r="Q2082" i="36"/>
  <c r="Q2084" i="36"/>
  <c r="Q2085" i="36"/>
  <c r="Q2086" i="36"/>
  <c r="Q2087" i="36"/>
  <c r="Q2088" i="36"/>
  <c r="Q2089" i="36"/>
  <c r="Q2091" i="36"/>
  <c r="Q2090" i="36"/>
  <c r="Q2092" i="36"/>
  <c r="Q2094" i="36"/>
  <c r="Q2093" i="36"/>
  <c r="Q2096" i="36"/>
  <c r="Q2097" i="36"/>
  <c r="Q2095" i="36"/>
  <c r="Q2098" i="36"/>
  <c r="Q2099" i="36"/>
  <c r="Q2100" i="36"/>
  <c r="Q1700" i="36"/>
  <c r="Q1701" i="36"/>
  <c r="Q1702" i="36"/>
  <c r="Q2063" i="36"/>
  <c r="Q1703" i="36"/>
  <c r="Q2064" i="36"/>
  <c r="Q2066" i="36"/>
  <c r="Q2065" i="36"/>
  <c r="Q2068" i="36"/>
  <c r="Q2067" i="36"/>
  <c r="R2075" i="36"/>
  <c r="R2083" i="36"/>
  <c r="S1697" i="36"/>
  <c r="S2069" i="36"/>
  <c r="S2070" i="36"/>
  <c r="S2071" i="36"/>
  <c r="S2072" i="36"/>
  <c r="S2073" i="36"/>
  <c r="S2074" i="36"/>
  <c r="S2075" i="36"/>
  <c r="S2076" i="36"/>
  <c r="S2077" i="36"/>
  <c r="S2078" i="36"/>
  <c r="S2079" i="36"/>
  <c r="S2080" i="36"/>
  <c r="S2081" i="36"/>
  <c r="S1698" i="36"/>
  <c r="S1699" i="36"/>
  <c r="S2083" i="36"/>
  <c r="S2082" i="36"/>
  <c r="S2084" i="36"/>
  <c r="S2085" i="36"/>
  <c r="S2086" i="36"/>
  <c r="S2087" i="36"/>
  <c r="S2088" i="36"/>
  <c r="S2089" i="36"/>
  <c r="S2091" i="36"/>
  <c r="S2090" i="36"/>
  <c r="S2092" i="36"/>
  <c r="S2094" i="36"/>
  <c r="S2093" i="36"/>
  <c r="S2096" i="36"/>
  <c r="S2097" i="36"/>
  <c r="S2095" i="36"/>
  <c r="S2098" i="36"/>
  <c r="S2099" i="36"/>
  <c r="S2100" i="36"/>
  <c r="S1700" i="36"/>
  <c r="S1701" i="36"/>
  <c r="S1702" i="36"/>
  <c r="S2063" i="36"/>
  <c r="S1703" i="36"/>
  <c r="S2064" i="36"/>
  <c r="S2066" i="36"/>
  <c r="S2065" i="36"/>
  <c r="S2068" i="36"/>
  <c r="S2067" i="36"/>
  <c r="T1697" i="36"/>
  <c r="T2069" i="36"/>
  <c r="T2070" i="36"/>
  <c r="T2071" i="36"/>
  <c r="T2072" i="36"/>
  <c r="T2073" i="36"/>
  <c r="T2074" i="36"/>
  <c r="T2075" i="36"/>
  <c r="T2076" i="36"/>
  <c r="T2077" i="36"/>
  <c r="T2078" i="36"/>
  <c r="T2079" i="36"/>
  <c r="T2080" i="36"/>
  <c r="T2081" i="36"/>
  <c r="T1698" i="36"/>
  <c r="T1699" i="36"/>
  <c r="T2083" i="36"/>
  <c r="T2082" i="36"/>
  <c r="T2084" i="36"/>
  <c r="T2085" i="36"/>
  <c r="T2086" i="36"/>
  <c r="T2087" i="36"/>
  <c r="T2088" i="36"/>
  <c r="T2089" i="36"/>
  <c r="T2091" i="36"/>
  <c r="T2090" i="36"/>
  <c r="T2092" i="36"/>
  <c r="T2094" i="36"/>
  <c r="T2093" i="36"/>
  <c r="T2096" i="36"/>
  <c r="T2097" i="36"/>
  <c r="T2095" i="36"/>
  <c r="T2098" i="36"/>
  <c r="T2099" i="36"/>
  <c r="T2100" i="36"/>
  <c r="T1700" i="36"/>
  <c r="T1701" i="36"/>
  <c r="T1702" i="36"/>
  <c r="T2063" i="36"/>
  <c r="T1703" i="36"/>
  <c r="T2064" i="36"/>
  <c r="T2066" i="36"/>
  <c r="T2065" i="36"/>
  <c r="T2068" i="36"/>
  <c r="T2067" i="36"/>
  <c r="E32" i="47"/>
  <c r="E31" i="47"/>
  <c r="E29" i="47"/>
  <c r="C31" i="47"/>
  <c r="C22" i="47"/>
  <c r="C21" i="47"/>
  <c r="C20" i="47"/>
  <c r="C19" i="47"/>
  <c r="C18" i="47"/>
  <c r="C17" i="47"/>
  <c r="E30" i="47"/>
  <c r="E20" i="47"/>
  <c r="E17" i="47"/>
  <c r="E18" i="47"/>
  <c r="E21" i="47"/>
  <c r="E19" i="47"/>
  <c r="E22" i="47"/>
  <c r="H32" i="47"/>
  <c r="G32" i="47"/>
  <c r="F32" i="47"/>
  <c r="D32" i="47"/>
  <c r="B32" i="47"/>
  <c r="C30" i="47"/>
  <c r="K23" i="47"/>
  <c r="J23" i="47"/>
  <c r="I23" i="47"/>
  <c r="H23" i="47"/>
  <c r="G23" i="47"/>
  <c r="F23" i="47"/>
  <c r="D23" i="47"/>
  <c r="B23" i="47"/>
  <c r="E23" i="47"/>
  <c r="Z2110" i="36"/>
  <c r="Z2190" i="36"/>
  <c r="Z2184" i="36"/>
  <c r="Z2176" i="36"/>
  <c r="Z2170" i="36"/>
  <c r="Z2159" i="36"/>
  <c r="Z2161" i="36"/>
  <c r="Z2109" i="36"/>
  <c r="Z2104" i="36"/>
  <c r="Z2183" i="36"/>
  <c r="Z2102" i="36"/>
  <c r="Z2169" i="36"/>
  <c r="Z2065" i="36"/>
  <c r="Z2173" i="36"/>
  <c r="Z2160" i="36"/>
  <c r="Z2106" i="36"/>
  <c r="Z2187" i="36"/>
  <c r="Z2179" i="36"/>
  <c r="Z2107" i="36"/>
  <c r="Z2068" i="36"/>
  <c r="Z2079" i="36"/>
  <c r="Z2094" i="36"/>
  <c r="Z2085" i="36"/>
  <c r="Z2071" i="36"/>
  <c r="Z2100" i="36"/>
  <c r="Z2092" i="36"/>
  <c r="Z2112" i="36"/>
  <c r="Z2084" i="36"/>
  <c r="Z2174" i="36"/>
  <c r="Z2113" i="36"/>
  <c r="Z2165" i="36"/>
  <c r="Z2105" i="36"/>
  <c r="Z2182" i="36"/>
  <c r="Z2166" i="36"/>
  <c r="Z2189" i="36"/>
  <c r="Z2180" i="36"/>
  <c r="Z2111" i="36"/>
  <c r="Z2103" i="36"/>
  <c r="Z2181" i="36"/>
  <c r="Z2101" i="36"/>
  <c r="Z2168" i="36"/>
  <c r="Z2162" i="36"/>
  <c r="Z2108" i="36"/>
  <c r="Z2175" i="36"/>
  <c r="Z2158" i="36"/>
  <c r="Z1702" i="36"/>
  <c r="Z2096" i="36"/>
  <c r="Z2087" i="36"/>
  <c r="Z2081" i="36"/>
  <c r="Z2073" i="36"/>
  <c r="Z2157" i="36"/>
  <c r="Z2167" i="36"/>
  <c r="Z2186" i="36"/>
  <c r="Z2178" i="36"/>
  <c r="Z2171" i="36"/>
  <c r="Z2164" i="36"/>
  <c r="Z2156" i="36"/>
  <c r="Z2188" i="36"/>
  <c r="Z2155" i="36"/>
  <c r="Z2191" i="36"/>
  <c r="Z2185" i="36"/>
  <c r="Z2177" i="36"/>
  <c r="Z2172" i="36"/>
  <c r="Z2163" i="36"/>
  <c r="Z2078" i="36"/>
  <c r="Z1699" i="36"/>
  <c r="Z2075" i="36"/>
  <c r="Z2095" i="36"/>
  <c r="Z1703" i="36"/>
  <c r="Z2089" i="36"/>
  <c r="Z2091" i="36"/>
  <c r="Z2067" i="36"/>
  <c r="Z2097" i="36"/>
  <c r="Z1698" i="36"/>
  <c r="Z2072" i="36"/>
  <c r="Z2098" i="36"/>
  <c r="Z2064" i="36"/>
  <c r="Z2070" i="36"/>
  <c r="Z2083" i="36"/>
  <c r="Z2093" i="36"/>
  <c r="Z2066" i="36"/>
  <c r="Z2099" i="36"/>
  <c r="Z2090" i="36"/>
  <c r="Z2082" i="36"/>
  <c r="Z2077" i="36"/>
  <c r="Z2069" i="36"/>
  <c r="Z1700" i="36"/>
  <c r="Z1697" i="36"/>
  <c r="Z2063" i="36"/>
  <c r="Z2074" i="36"/>
  <c r="Z2088" i="36"/>
  <c r="Z2076" i="36"/>
  <c r="Z1701" i="36"/>
  <c r="Z2086" i="36"/>
  <c r="Z2080" i="36"/>
  <c r="C29" i="47"/>
  <c r="AC1650" i="36"/>
  <c r="AC1651" i="36"/>
  <c r="AC1652" i="36"/>
  <c r="AC1665" i="36"/>
  <c r="AC1666" i="36"/>
  <c r="AC1667" i="36"/>
  <c r="AC1668" i="36"/>
  <c r="AC1670" i="36"/>
  <c r="AC1669" i="36"/>
  <c r="AC1672" i="36"/>
  <c r="AC1671" i="36"/>
  <c r="AC1673" i="36"/>
  <c r="AC1674" i="36"/>
  <c r="AC1675" i="36"/>
  <c r="AC1677" i="36"/>
  <c r="AC1676" i="36"/>
  <c r="AC1679" i="36"/>
  <c r="AC1678" i="36"/>
  <c r="AC1680" i="36"/>
  <c r="AC1681" i="36"/>
  <c r="AC1654" i="36"/>
  <c r="AC1653" i="36"/>
  <c r="AC1682" i="36"/>
  <c r="AC1683" i="36"/>
  <c r="AC1685" i="36"/>
  <c r="AC1684" i="36"/>
  <c r="AC1686" i="36"/>
  <c r="AC1687" i="36"/>
  <c r="AC1690" i="36"/>
  <c r="AC1689" i="36"/>
  <c r="AC1688" i="36"/>
  <c r="AC1691" i="36"/>
  <c r="AC1692" i="36"/>
  <c r="AC1693" i="36"/>
  <c r="AC1655" i="36"/>
  <c r="AC1694" i="36"/>
  <c r="AC1696" i="36"/>
  <c r="AC1695" i="36"/>
  <c r="AC1657" i="36"/>
  <c r="AC1656" i="36"/>
  <c r="AC1658" i="36"/>
  <c r="AC1659" i="36"/>
  <c r="AC1660" i="36"/>
  <c r="AC1661" i="36"/>
  <c r="AC1662" i="36"/>
  <c r="AC1663" i="36"/>
  <c r="AC1664" i="36"/>
  <c r="AB1652" i="36"/>
  <c r="AB1665" i="36"/>
  <c r="AB1666" i="36"/>
  <c r="AB1667" i="36"/>
  <c r="AB1668" i="36"/>
  <c r="AB1670" i="36"/>
  <c r="AB1669" i="36"/>
  <c r="AB1672" i="36"/>
  <c r="AB1671" i="36"/>
  <c r="AB1673" i="36"/>
  <c r="AB1674" i="36"/>
  <c r="AB1675" i="36"/>
  <c r="AB1677" i="36"/>
  <c r="AB1676" i="36"/>
  <c r="AB1679" i="36"/>
  <c r="AB1678" i="36"/>
  <c r="AB1680" i="36"/>
  <c r="AB1681" i="36"/>
  <c r="AB1654" i="36"/>
  <c r="AB1653" i="36"/>
  <c r="AB1682" i="36"/>
  <c r="AB1683" i="36"/>
  <c r="AB1685" i="36"/>
  <c r="AB1684" i="36"/>
  <c r="AB1686" i="36"/>
  <c r="AB1687" i="36"/>
  <c r="AB1690" i="36"/>
  <c r="AB1689" i="36"/>
  <c r="AB1688" i="36"/>
  <c r="AB1691" i="36"/>
  <c r="AB1692" i="36"/>
  <c r="AB1693" i="36"/>
  <c r="AB1655" i="36"/>
  <c r="AB1694" i="36"/>
  <c r="AB1696" i="36"/>
  <c r="AB1695" i="36"/>
  <c r="AB1657" i="36"/>
  <c r="AB1656" i="36"/>
  <c r="AB1658" i="36"/>
  <c r="AB1659" i="36"/>
  <c r="AB1660" i="36"/>
  <c r="AB1661" i="36"/>
  <c r="AB1662" i="36"/>
  <c r="AB1663" i="36"/>
  <c r="AB1664" i="36"/>
  <c r="AA1652" i="36"/>
  <c r="AA1665" i="36"/>
  <c r="AA1666" i="36"/>
  <c r="AA1667" i="36"/>
  <c r="AA1668" i="36"/>
  <c r="AA1670" i="36"/>
  <c r="AA1669" i="36"/>
  <c r="AA1672" i="36"/>
  <c r="AA1671" i="36"/>
  <c r="AA1673" i="36"/>
  <c r="AA1674" i="36"/>
  <c r="AA1675" i="36"/>
  <c r="AA1677" i="36"/>
  <c r="AA1676" i="36"/>
  <c r="AA1679" i="36"/>
  <c r="AA1678" i="36"/>
  <c r="AA1680" i="36"/>
  <c r="AA1681" i="36"/>
  <c r="AA1654" i="36"/>
  <c r="AA1653" i="36"/>
  <c r="AA1682" i="36"/>
  <c r="AA1683" i="36"/>
  <c r="AA1685" i="36"/>
  <c r="AA1684" i="36"/>
  <c r="AA1686" i="36"/>
  <c r="AA1687" i="36"/>
  <c r="AA1690" i="36"/>
  <c r="AA1689" i="36"/>
  <c r="AA1688" i="36"/>
  <c r="AA1691" i="36"/>
  <c r="AA1692" i="36"/>
  <c r="AA1693" i="36"/>
  <c r="AA1655" i="36"/>
  <c r="AA1694" i="36"/>
  <c r="AA1696" i="36"/>
  <c r="AA1695" i="36"/>
  <c r="AA1657" i="36"/>
  <c r="AA1656" i="36"/>
  <c r="AA1658" i="36"/>
  <c r="AA1659" i="36"/>
  <c r="AA1660" i="36"/>
  <c r="AA1661" i="36"/>
  <c r="AA1662" i="36"/>
  <c r="AA1663" i="36"/>
  <c r="AA1664" i="36"/>
  <c r="I1652" i="36"/>
  <c r="I1665" i="36"/>
  <c r="I1666" i="36"/>
  <c r="I1667" i="36"/>
  <c r="I1668" i="36"/>
  <c r="I1670" i="36"/>
  <c r="I1669" i="36"/>
  <c r="I1672" i="36"/>
  <c r="I1671" i="36"/>
  <c r="I1673" i="36"/>
  <c r="I1674" i="36"/>
  <c r="I1675" i="36"/>
  <c r="I1677" i="36"/>
  <c r="I1676" i="36"/>
  <c r="I1679" i="36"/>
  <c r="I1678" i="36"/>
  <c r="I1680" i="36"/>
  <c r="I1681" i="36"/>
  <c r="I1654" i="36"/>
  <c r="I1653" i="36"/>
  <c r="I1682" i="36"/>
  <c r="I1683" i="36"/>
  <c r="I1685" i="36"/>
  <c r="I1684" i="36"/>
  <c r="I1686" i="36"/>
  <c r="I1687" i="36"/>
  <c r="I1690" i="36"/>
  <c r="I1689" i="36"/>
  <c r="I1688" i="36"/>
  <c r="I1691" i="36"/>
  <c r="I1692" i="36"/>
  <c r="I1693" i="36"/>
  <c r="I1655" i="36"/>
  <c r="I1694" i="36"/>
  <c r="I1696" i="36"/>
  <c r="I1695" i="36"/>
  <c r="I1657" i="36"/>
  <c r="I1656" i="36"/>
  <c r="I1658" i="36"/>
  <c r="I1659" i="36"/>
  <c r="I1660" i="36"/>
  <c r="I1661" i="36"/>
  <c r="I1662" i="36"/>
  <c r="I1663" i="36"/>
  <c r="I1664" i="36"/>
  <c r="M1652" i="36"/>
  <c r="R1652" i="36"/>
  <c r="M1665" i="36"/>
  <c r="R1665" i="36"/>
  <c r="M1666" i="36"/>
  <c r="R1666" i="36"/>
  <c r="M1667" i="36"/>
  <c r="R1667" i="36"/>
  <c r="M1668" i="36"/>
  <c r="R1668" i="36"/>
  <c r="M1670" i="36"/>
  <c r="R1670" i="36"/>
  <c r="M1669" i="36"/>
  <c r="R1669" i="36"/>
  <c r="M1672" i="36"/>
  <c r="R1672" i="36"/>
  <c r="M1671" i="36"/>
  <c r="R1671" i="36"/>
  <c r="M1673" i="36"/>
  <c r="R1673" i="36"/>
  <c r="M1674" i="36"/>
  <c r="R1674" i="36"/>
  <c r="M1675" i="36"/>
  <c r="R1675" i="36"/>
  <c r="M1677" i="36"/>
  <c r="R1677" i="36"/>
  <c r="M1676" i="36"/>
  <c r="R1676" i="36"/>
  <c r="M1679" i="36"/>
  <c r="R1679" i="36"/>
  <c r="M1678" i="36"/>
  <c r="R1678" i="36"/>
  <c r="M1680" i="36"/>
  <c r="R1680" i="36"/>
  <c r="M1681" i="36"/>
  <c r="R1681" i="36"/>
  <c r="M1654" i="36"/>
  <c r="R1654" i="36"/>
  <c r="M1653" i="36"/>
  <c r="R1653" i="36"/>
  <c r="M1682" i="36"/>
  <c r="R1682" i="36"/>
  <c r="M1683" i="36"/>
  <c r="R1683" i="36"/>
  <c r="M1685" i="36"/>
  <c r="R1685" i="36"/>
  <c r="M1684" i="36"/>
  <c r="R1684" i="36"/>
  <c r="M1686" i="36"/>
  <c r="R1686" i="36"/>
  <c r="M1687" i="36"/>
  <c r="R1687" i="36"/>
  <c r="M1690" i="36"/>
  <c r="R1690" i="36"/>
  <c r="M1689" i="36"/>
  <c r="R1689" i="36"/>
  <c r="M1688" i="36"/>
  <c r="R1688" i="36"/>
  <c r="M1691" i="36"/>
  <c r="R1691" i="36"/>
  <c r="M1692" i="36"/>
  <c r="R1692" i="36"/>
  <c r="M1693" i="36"/>
  <c r="R1693" i="36"/>
  <c r="M1655" i="36"/>
  <c r="R1655" i="36"/>
  <c r="M1694" i="36"/>
  <c r="R1694" i="36"/>
  <c r="M1696" i="36"/>
  <c r="R1696" i="36"/>
  <c r="M1695" i="36"/>
  <c r="R1695" i="36"/>
  <c r="M1657" i="36"/>
  <c r="R1657" i="36"/>
  <c r="M1656" i="36"/>
  <c r="R1656" i="36"/>
  <c r="M1658" i="36"/>
  <c r="R1658" i="36"/>
  <c r="M1659" i="36"/>
  <c r="R1659" i="36"/>
  <c r="M1660" i="36"/>
  <c r="R1660" i="36"/>
  <c r="M1661" i="36"/>
  <c r="R1661" i="36"/>
  <c r="M1662" i="36"/>
  <c r="R1662" i="36"/>
  <c r="M1663" i="36"/>
  <c r="R1663" i="36"/>
  <c r="M1664" i="36"/>
  <c r="R1664" i="36"/>
  <c r="P1652" i="36"/>
  <c r="P1665" i="36"/>
  <c r="P1666" i="36"/>
  <c r="P1667" i="36"/>
  <c r="P1668" i="36"/>
  <c r="P1670" i="36"/>
  <c r="P1669" i="36"/>
  <c r="P1672" i="36"/>
  <c r="P1671" i="36"/>
  <c r="P1673" i="36"/>
  <c r="P1674" i="36"/>
  <c r="P1675" i="36"/>
  <c r="P1677" i="36"/>
  <c r="P1676" i="36"/>
  <c r="P1679" i="36"/>
  <c r="P1678" i="36"/>
  <c r="P1680" i="36"/>
  <c r="P1681" i="36"/>
  <c r="P1654" i="36"/>
  <c r="P1653" i="36"/>
  <c r="P1682" i="36"/>
  <c r="P1683" i="36"/>
  <c r="P1685" i="36"/>
  <c r="P1684" i="36"/>
  <c r="P1686" i="36"/>
  <c r="P1687" i="36"/>
  <c r="P1690" i="36"/>
  <c r="P1689" i="36"/>
  <c r="P1688" i="36"/>
  <c r="P1691" i="36"/>
  <c r="P1692" i="36"/>
  <c r="P1693" i="36"/>
  <c r="P1655" i="36"/>
  <c r="P1694" i="36"/>
  <c r="P1696" i="36"/>
  <c r="P1695" i="36"/>
  <c r="P1657" i="36"/>
  <c r="P1656" i="36"/>
  <c r="P1658" i="36"/>
  <c r="P1659" i="36"/>
  <c r="P1660" i="36"/>
  <c r="P1661" i="36"/>
  <c r="P1662" i="36"/>
  <c r="P1663" i="36"/>
  <c r="P1664" i="36"/>
  <c r="Q1652" i="36"/>
  <c r="Q1665" i="36"/>
  <c r="Q1666" i="36"/>
  <c r="Q1667" i="36"/>
  <c r="Q1668" i="36"/>
  <c r="Q1670" i="36"/>
  <c r="Q1669" i="36"/>
  <c r="Q1672" i="36"/>
  <c r="Q1671" i="36"/>
  <c r="Q1673" i="36"/>
  <c r="Q1674" i="36"/>
  <c r="Q1675" i="36"/>
  <c r="Q1677" i="36"/>
  <c r="Q1676" i="36"/>
  <c r="Q1679" i="36"/>
  <c r="Q1678" i="36"/>
  <c r="Q1680" i="36"/>
  <c r="Q1681" i="36"/>
  <c r="Q1654" i="36"/>
  <c r="Q1653" i="36"/>
  <c r="Q1682" i="36"/>
  <c r="Q1683" i="36"/>
  <c r="Q1685" i="36"/>
  <c r="Q1684" i="36"/>
  <c r="Q1686" i="36"/>
  <c r="Q1687" i="36"/>
  <c r="Q1690" i="36"/>
  <c r="Q1689" i="36"/>
  <c r="Q1688" i="36"/>
  <c r="Q1691" i="36"/>
  <c r="Q1692" i="36"/>
  <c r="Q1693" i="36"/>
  <c r="Q1655" i="36"/>
  <c r="Q1694" i="36"/>
  <c r="Q1696" i="36"/>
  <c r="Q1695" i="36"/>
  <c r="Q1657" i="36"/>
  <c r="Q1656" i="36"/>
  <c r="Q1658" i="36"/>
  <c r="Q1659" i="36"/>
  <c r="Q1660" i="36"/>
  <c r="Q1661" i="36"/>
  <c r="Q1662" i="36"/>
  <c r="Q1663" i="36"/>
  <c r="Q1664" i="36"/>
  <c r="S1652" i="36"/>
  <c r="S1665" i="36"/>
  <c r="S1666" i="36"/>
  <c r="S1667" i="36"/>
  <c r="S1668" i="36"/>
  <c r="S1670" i="36"/>
  <c r="S1669" i="36"/>
  <c r="S1672" i="36"/>
  <c r="S1671" i="36"/>
  <c r="S1673" i="36"/>
  <c r="S1674" i="36"/>
  <c r="S1675" i="36"/>
  <c r="S1677" i="36"/>
  <c r="S1676" i="36"/>
  <c r="S1679" i="36"/>
  <c r="S1678" i="36"/>
  <c r="S1680" i="36"/>
  <c r="S1681" i="36"/>
  <c r="S1654" i="36"/>
  <c r="S1653" i="36"/>
  <c r="S1682" i="36"/>
  <c r="S1683" i="36"/>
  <c r="S1685" i="36"/>
  <c r="S1684" i="36"/>
  <c r="S1686" i="36"/>
  <c r="S1687" i="36"/>
  <c r="S1690" i="36"/>
  <c r="S1689" i="36"/>
  <c r="S1688" i="36"/>
  <c r="S1691" i="36"/>
  <c r="S1692" i="36"/>
  <c r="S1693" i="36"/>
  <c r="S1655" i="36"/>
  <c r="S1694" i="36"/>
  <c r="S1696" i="36"/>
  <c r="S1695" i="36"/>
  <c r="S1657" i="36"/>
  <c r="S1656" i="36"/>
  <c r="S1658" i="36"/>
  <c r="S1659" i="36"/>
  <c r="S1660" i="36"/>
  <c r="S1661" i="36"/>
  <c r="S1662" i="36"/>
  <c r="S1663" i="36"/>
  <c r="S1664" i="36"/>
  <c r="T1652" i="36"/>
  <c r="T1665" i="36"/>
  <c r="T1666" i="36"/>
  <c r="T1667" i="36"/>
  <c r="T1668" i="36"/>
  <c r="T1670" i="36"/>
  <c r="T1669" i="36"/>
  <c r="T1672" i="36"/>
  <c r="T1671" i="36"/>
  <c r="T1673" i="36"/>
  <c r="T1674" i="36"/>
  <c r="T1675" i="36"/>
  <c r="T1677" i="36"/>
  <c r="T1676" i="36"/>
  <c r="T1679" i="36"/>
  <c r="T1678" i="36"/>
  <c r="T1680" i="36"/>
  <c r="T1681" i="36"/>
  <c r="T1654" i="36"/>
  <c r="T1653" i="36"/>
  <c r="T1682" i="36"/>
  <c r="T1683" i="36"/>
  <c r="T1685" i="36"/>
  <c r="T1684" i="36"/>
  <c r="T1686" i="36"/>
  <c r="T1687" i="36"/>
  <c r="T1690" i="36"/>
  <c r="T1689" i="36"/>
  <c r="T1688" i="36"/>
  <c r="T1691" i="36"/>
  <c r="T1692" i="36"/>
  <c r="T1693" i="36"/>
  <c r="T1655" i="36"/>
  <c r="T1694" i="36"/>
  <c r="T1696" i="36"/>
  <c r="T1695" i="36"/>
  <c r="T1657" i="36"/>
  <c r="T1656" i="36"/>
  <c r="T1658" i="36"/>
  <c r="T1659" i="36"/>
  <c r="T1660" i="36"/>
  <c r="T1661" i="36"/>
  <c r="T1662" i="36"/>
  <c r="T1663" i="36"/>
  <c r="T1664" i="36"/>
  <c r="AA1600" i="36"/>
  <c r="AB1600" i="36"/>
  <c r="AC1600" i="36"/>
  <c r="AA1602" i="36"/>
  <c r="AB1602" i="36"/>
  <c r="AC1602" i="36"/>
  <c r="AA1601" i="36"/>
  <c r="AB1601" i="36"/>
  <c r="AC1601" i="36"/>
  <c r="AA1603" i="36"/>
  <c r="AB1603" i="36"/>
  <c r="AC1603" i="36"/>
  <c r="AA1605" i="36"/>
  <c r="AB1605" i="36"/>
  <c r="AC1605" i="36"/>
  <c r="AA1604" i="36"/>
  <c r="AB1604" i="36"/>
  <c r="AC1604" i="36"/>
  <c r="AA1606" i="36"/>
  <c r="AB1606" i="36"/>
  <c r="AC1606" i="36"/>
  <c r="AA1608" i="36"/>
  <c r="AB1608" i="36"/>
  <c r="AC1608" i="36"/>
  <c r="AA1607" i="36"/>
  <c r="AB1607" i="36"/>
  <c r="AC1607" i="36"/>
  <c r="AA1609" i="36"/>
  <c r="AB1609" i="36"/>
  <c r="AC1609" i="36"/>
  <c r="AA1610" i="36"/>
  <c r="AB1610" i="36"/>
  <c r="AC1610" i="36"/>
  <c r="AA1611" i="36"/>
  <c r="AB1611" i="36"/>
  <c r="AC1611" i="36"/>
  <c r="AA1613" i="36"/>
  <c r="AB1613" i="36"/>
  <c r="AC1613" i="36"/>
  <c r="AA1612" i="36"/>
  <c r="AB1612" i="36"/>
  <c r="AC1612" i="36"/>
  <c r="AA1614" i="36"/>
  <c r="AB1614" i="36"/>
  <c r="AC1614" i="36"/>
  <c r="AA1615" i="36"/>
  <c r="AB1615" i="36"/>
  <c r="AC1615" i="36"/>
  <c r="AA1616" i="36"/>
  <c r="AB1616" i="36"/>
  <c r="AC1616" i="36"/>
  <c r="AA1617" i="36"/>
  <c r="AB1617" i="36"/>
  <c r="AC1617" i="36"/>
  <c r="AA1619" i="36"/>
  <c r="AB1619" i="36"/>
  <c r="AC1619" i="36"/>
  <c r="AA1618" i="36"/>
  <c r="AB1618" i="36"/>
  <c r="AC1618" i="36"/>
  <c r="AA1621" i="36"/>
  <c r="AB1621" i="36"/>
  <c r="AC1621" i="36"/>
  <c r="AA1622" i="36"/>
  <c r="AB1622" i="36"/>
  <c r="AC1622" i="36"/>
  <c r="AA1620" i="36"/>
  <c r="AB1620" i="36"/>
  <c r="AC1620" i="36"/>
  <c r="AA1624" i="36"/>
  <c r="AB1624" i="36"/>
  <c r="AC1624" i="36"/>
  <c r="AA1623" i="36"/>
  <c r="AB1623" i="36"/>
  <c r="AC1623" i="36"/>
  <c r="AA1627" i="36"/>
  <c r="AB1627" i="36"/>
  <c r="AC1627" i="36"/>
  <c r="AA1626" i="36"/>
  <c r="AB1626" i="36"/>
  <c r="AC1626" i="36"/>
  <c r="AA1625" i="36"/>
  <c r="AB1625" i="36"/>
  <c r="AC1625" i="36"/>
  <c r="AA1628" i="36"/>
  <c r="AB1628" i="36"/>
  <c r="AC1628" i="36"/>
  <c r="AA1630" i="36"/>
  <c r="AB1630" i="36"/>
  <c r="AC1630" i="36"/>
  <c r="AA1629" i="36"/>
  <c r="AB1629" i="36"/>
  <c r="AC1629" i="36"/>
  <c r="AA1632" i="36"/>
  <c r="AB1632" i="36"/>
  <c r="AC1632" i="36"/>
  <c r="AA1633" i="36"/>
  <c r="AB1633" i="36"/>
  <c r="AC1633" i="36"/>
  <c r="AA1631" i="36"/>
  <c r="AB1631" i="36"/>
  <c r="AC1631" i="36"/>
  <c r="AA1635" i="36"/>
  <c r="AB1635" i="36"/>
  <c r="AC1635" i="36"/>
  <c r="AA1634" i="36"/>
  <c r="AB1634" i="36"/>
  <c r="AC1634" i="36"/>
  <c r="AA1636" i="36"/>
  <c r="AB1636" i="36"/>
  <c r="AC1636" i="36"/>
  <c r="AA1637" i="36"/>
  <c r="AB1637" i="36"/>
  <c r="AC1637" i="36"/>
  <c r="AA1639" i="36"/>
  <c r="AB1639" i="36"/>
  <c r="AC1639" i="36"/>
  <c r="AA1638" i="36"/>
  <c r="AB1638" i="36"/>
  <c r="AC1638" i="36"/>
  <c r="AA1640" i="36"/>
  <c r="AB1640" i="36"/>
  <c r="AC1640" i="36"/>
  <c r="AA1642" i="36"/>
  <c r="AB1642" i="36"/>
  <c r="AC1642" i="36"/>
  <c r="AA1641" i="36"/>
  <c r="AB1641" i="36"/>
  <c r="AC1641" i="36"/>
  <c r="AA1643" i="36"/>
  <c r="AB1643" i="36"/>
  <c r="AC1643" i="36"/>
  <c r="AA1644" i="36"/>
  <c r="AB1644" i="36"/>
  <c r="AC1644" i="36"/>
  <c r="AA1647" i="36"/>
  <c r="AB1647" i="36"/>
  <c r="AC1647" i="36"/>
  <c r="AA1646" i="36"/>
  <c r="AB1646" i="36"/>
  <c r="AC1646" i="36"/>
  <c r="AA1645" i="36"/>
  <c r="AB1645" i="36"/>
  <c r="AC1645" i="36"/>
  <c r="AA1648" i="36"/>
  <c r="AB1648" i="36"/>
  <c r="AC1648" i="36"/>
  <c r="AA1649" i="36"/>
  <c r="AB1649" i="36"/>
  <c r="AC1649" i="36"/>
  <c r="AA1650" i="36"/>
  <c r="AB1650" i="36"/>
  <c r="AA1651" i="36"/>
  <c r="AB1651" i="36"/>
  <c r="I1616" i="36"/>
  <c r="I1603" i="36"/>
  <c r="I1617" i="36"/>
  <c r="I1619" i="36"/>
  <c r="I1618" i="36"/>
  <c r="I1621" i="36"/>
  <c r="I1622" i="36"/>
  <c r="I1620" i="36"/>
  <c r="I1624" i="36"/>
  <c r="I1623" i="36"/>
  <c r="I1627" i="36"/>
  <c r="I1626" i="36"/>
  <c r="I1625" i="36"/>
  <c r="I1628" i="36"/>
  <c r="I1630" i="36"/>
  <c r="I1629" i="36"/>
  <c r="I1632" i="36"/>
  <c r="I1633" i="36"/>
  <c r="I1631" i="36"/>
  <c r="I1635" i="36"/>
  <c r="I1634" i="36"/>
  <c r="I1636" i="36"/>
  <c r="I1637" i="36"/>
  <c r="I1605" i="36"/>
  <c r="I1604" i="36"/>
  <c r="I1639" i="36"/>
  <c r="I1638" i="36"/>
  <c r="I1640" i="36"/>
  <c r="I1642" i="36"/>
  <c r="I1641" i="36"/>
  <c r="I1643" i="36"/>
  <c r="I1644" i="36"/>
  <c r="I1647" i="36"/>
  <c r="I1646" i="36"/>
  <c r="I1645" i="36"/>
  <c r="I1648" i="36"/>
  <c r="I1649" i="36"/>
  <c r="I1650" i="36"/>
  <c r="I1651" i="36"/>
  <c r="I1606" i="36"/>
  <c r="I1608" i="36"/>
  <c r="I1607" i="36"/>
  <c r="I1609" i="36"/>
  <c r="I1610" i="36"/>
  <c r="I1611" i="36"/>
  <c r="I1613" i="36"/>
  <c r="I1612" i="36"/>
  <c r="I1614" i="36"/>
  <c r="I1615" i="36"/>
  <c r="M1603" i="36"/>
  <c r="R1603" i="36"/>
  <c r="M1617" i="36"/>
  <c r="R1617" i="36"/>
  <c r="M1619" i="36"/>
  <c r="R1619" i="36"/>
  <c r="M1618" i="36"/>
  <c r="M1621" i="36"/>
  <c r="R1621" i="36"/>
  <c r="M1622" i="36"/>
  <c r="R1622" i="36"/>
  <c r="M1620" i="36"/>
  <c r="R1620" i="36"/>
  <c r="M1624" i="36"/>
  <c r="R1624" i="36"/>
  <c r="M1623" i="36"/>
  <c r="R1623" i="36"/>
  <c r="M1627" i="36"/>
  <c r="R1627" i="36"/>
  <c r="M1626" i="36"/>
  <c r="R1626" i="36"/>
  <c r="M1625" i="36"/>
  <c r="R1625" i="36"/>
  <c r="M1628" i="36"/>
  <c r="R1628" i="36"/>
  <c r="M1630" i="36"/>
  <c r="R1630" i="36"/>
  <c r="M1629" i="36"/>
  <c r="R1629" i="36"/>
  <c r="M1632" i="36"/>
  <c r="R1632" i="36"/>
  <c r="M1633" i="36"/>
  <c r="R1633" i="36"/>
  <c r="M1631" i="36"/>
  <c r="R1631" i="36"/>
  <c r="M1635" i="36"/>
  <c r="R1635" i="36"/>
  <c r="M1634" i="36"/>
  <c r="R1634" i="36"/>
  <c r="M1636" i="36"/>
  <c r="R1636" i="36"/>
  <c r="M1637" i="36"/>
  <c r="R1637" i="36"/>
  <c r="M1605" i="36"/>
  <c r="R1605" i="36"/>
  <c r="M1604" i="36"/>
  <c r="R1604" i="36"/>
  <c r="M1639" i="36"/>
  <c r="R1639" i="36"/>
  <c r="M1638" i="36"/>
  <c r="R1638" i="36"/>
  <c r="M1640" i="36"/>
  <c r="R1640" i="36"/>
  <c r="M1642" i="36"/>
  <c r="R1642" i="36"/>
  <c r="M1641" i="36"/>
  <c r="R1641" i="36"/>
  <c r="M1643" i="36"/>
  <c r="R1643" i="36"/>
  <c r="M1644" i="36"/>
  <c r="R1644" i="36"/>
  <c r="M1647" i="36"/>
  <c r="R1647" i="36"/>
  <c r="M1646" i="36"/>
  <c r="R1646" i="36"/>
  <c r="M1645" i="36"/>
  <c r="R1645" i="36"/>
  <c r="M1648" i="36"/>
  <c r="R1648" i="36"/>
  <c r="M1649" i="36"/>
  <c r="R1649" i="36"/>
  <c r="M1650" i="36"/>
  <c r="R1650" i="36"/>
  <c r="M1651" i="36"/>
  <c r="R1651" i="36"/>
  <c r="M1606" i="36"/>
  <c r="R1606" i="36"/>
  <c r="M1608" i="36"/>
  <c r="R1608" i="36"/>
  <c r="M1607" i="36"/>
  <c r="R1607" i="36"/>
  <c r="M1609" i="36"/>
  <c r="R1609" i="36"/>
  <c r="M1610" i="36"/>
  <c r="R1610" i="36"/>
  <c r="M1611" i="36"/>
  <c r="R1611" i="36"/>
  <c r="M1613" i="36"/>
  <c r="R1613" i="36"/>
  <c r="M1612" i="36"/>
  <c r="R1612" i="36"/>
  <c r="M1614" i="36"/>
  <c r="R1614" i="36"/>
  <c r="M1615" i="36"/>
  <c r="R1615" i="36"/>
  <c r="M1616" i="36"/>
  <c r="R1616" i="36"/>
  <c r="P1603" i="36"/>
  <c r="P1617" i="36"/>
  <c r="P1619" i="36"/>
  <c r="P1618" i="36"/>
  <c r="P1621" i="36"/>
  <c r="P1622" i="36"/>
  <c r="P1620" i="36"/>
  <c r="P1624" i="36"/>
  <c r="P1623" i="36"/>
  <c r="P1627" i="36"/>
  <c r="P1626" i="36"/>
  <c r="P1625" i="36"/>
  <c r="P1628" i="36"/>
  <c r="P1630" i="36"/>
  <c r="P1629" i="36"/>
  <c r="P1632" i="36"/>
  <c r="P1633" i="36"/>
  <c r="P1631" i="36"/>
  <c r="P1635" i="36"/>
  <c r="P1634" i="36"/>
  <c r="P1636" i="36"/>
  <c r="P1637" i="36"/>
  <c r="P1605" i="36"/>
  <c r="P1604" i="36"/>
  <c r="P1639" i="36"/>
  <c r="P1638" i="36"/>
  <c r="P1640" i="36"/>
  <c r="P1642" i="36"/>
  <c r="P1641" i="36"/>
  <c r="P1643" i="36"/>
  <c r="P1644" i="36"/>
  <c r="P1647" i="36"/>
  <c r="P1646" i="36"/>
  <c r="P1645" i="36"/>
  <c r="P1648" i="36"/>
  <c r="P1649" i="36"/>
  <c r="P1650" i="36"/>
  <c r="P1651" i="36"/>
  <c r="P1606" i="36"/>
  <c r="P1608" i="36"/>
  <c r="P1607" i="36"/>
  <c r="P1609" i="36"/>
  <c r="P1610" i="36"/>
  <c r="P1611" i="36"/>
  <c r="P1613" i="36"/>
  <c r="P1612" i="36"/>
  <c r="P1614" i="36"/>
  <c r="P1615" i="36"/>
  <c r="P1616" i="36"/>
  <c r="Q1603" i="36"/>
  <c r="Q1617" i="36"/>
  <c r="Q1619" i="36"/>
  <c r="Q1618" i="36"/>
  <c r="Q1621" i="36"/>
  <c r="Q1622" i="36"/>
  <c r="Q1620" i="36"/>
  <c r="Q1624" i="36"/>
  <c r="Q1623" i="36"/>
  <c r="Q1627" i="36"/>
  <c r="Q1626" i="36"/>
  <c r="Q1625" i="36"/>
  <c r="Q1628" i="36"/>
  <c r="Q1630" i="36"/>
  <c r="Q1629" i="36"/>
  <c r="Q1632" i="36"/>
  <c r="Q1633" i="36"/>
  <c r="Q1631" i="36"/>
  <c r="Q1635" i="36"/>
  <c r="Q1634" i="36"/>
  <c r="Q1636" i="36"/>
  <c r="Q1637" i="36"/>
  <c r="Q1605" i="36"/>
  <c r="Q1604" i="36"/>
  <c r="Q1639" i="36"/>
  <c r="Q1638" i="36"/>
  <c r="Q1640" i="36"/>
  <c r="Q1642" i="36"/>
  <c r="Q1641" i="36"/>
  <c r="Q1643" i="36"/>
  <c r="Q1644" i="36"/>
  <c r="Q1647" i="36"/>
  <c r="Q1646" i="36"/>
  <c r="Q1645" i="36"/>
  <c r="Q1648" i="36"/>
  <c r="Q1649" i="36"/>
  <c r="Q1650" i="36"/>
  <c r="Q1651" i="36"/>
  <c r="Q1606" i="36"/>
  <c r="Q1608" i="36"/>
  <c r="Q1607" i="36"/>
  <c r="Q1609" i="36"/>
  <c r="Q1610" i="36"/>
  <c r="Q1611" i="36"/>
  <c r="Q1613" i="36"/>
  <c r="Q1612" i="36"/>
  <c r="Q1614" i="36"/>
  <c r="Q1615" i="36"/>
  <c r="Q1616" i="36"/>
  <c r="R1618" i="36"/>
  <c r="S1603" i="36"/>
  <c r="S1617" i="36"/>
  <c r="S1619" i="36"/>
  <c r="S1618" i="36"/>
  <c r="S1621" i="36"/>
  <c r="S1622" i="36"/>
  <c r="S1620" i="36"/>
  <c r="S1624" i="36"/>
  <c r="S1623" i="36"/>
  <c r="S1627" i="36"/>
  <c r="S1626" i="36"/>
  <c r="S1625" i="36"/>
  <c r="S1628" i="36"/>
  <c r="S1630" i="36"/>
  <c r="S1629" i="36"/>
  <c r="S1632" i="36"/>
  <c r="S1633" i="36"/>
  <c r="S1631" i="36"/>
  <c r="S1635" i="36"/>
  <c r="S1634" i="36"/>
  <c r="S1636" i="36"/>
  <c r="S1637" i="36"/>
  <c r="S1605" i="36"/>
  <c r="S1604" i="36"/>
  <c r="S1639" i="36"/>
  <c r="S1638" i="36"/>
  <c r="S1640" i="36"/>
  <c r="S1642" i="36"/>
  <c r="S1641" i="36"/>
  <c r="S1643" i="36"/>
  <c r="S1644" i="36"/>
  <c r="S1647" i="36"/>
  <c r="S1646" i="36"/>
  <c r="S1645" i="36"/>
  <c r="S1648" i="36"/>
  <c r="S1649" i="36"/>
  <c r="S1650" i="36"/>
  <c r="S1651" i="36"/>
  <c r="S1606" i="36"/>
  <c r="S1608" i="36"/>
  <c r="S1607" i="36"/>
  <c r="S1609" i="36"/>
  <c r="S1610" i="36"/>
  <c r="S1611" i="36"/>
  <c r="S1613" i="36"/>
  <c r="S1612" i="36"/>
  <c r="S1614" i="36"/>
  <c r="S1615" i="36"/>
  <c r="S1616" i="36"/>
  <c r="T1603" i="36"/>
  <c r="T1617" i="36"/>
  <c r="T1619" i="36"/>
  <c r="T1618" i="36"/>
  <c r="T1621" i="36"/>
  <c r="T1622" i="36"/>
  <c r="T1620" i="36"/>
  <c r="T1624" i="36"/>
  <c r="T1623" i="36"/>
  <c r="T1627" i="36"/>
  <c r="T1626" i="36"/>
  <c r="T1625" i="36"/>
  <c r="T1628" i="36"/>
  <c r="T1630" i="36"/>
  <c r="T1629" i="36"/>
  <c r="T1632" i="36"/>
  <c r="T1633" i="36"/>
  <c r="T1631" i="36"/>
  <c r="T1635" i="36"/>
  <c r="T1634" i="36"/>
  <c r="T1636" i="36"/>
  <c r="T1637" i="36"/>
  <c r="T1605" i="36"/>
  <c r="T1604" i="36"/>
  <c r="T1639" i="36"/>
  <c r="T1638" i="36"/>
  <c r="T1640" i="36"/>
  <c r="T1642" i="36"/>
  <c r="T1641" i="36"/>
  <c r="T1643" i="36"/>
  <c r="T1644" i="36"/>
  <c r="T1647" i="36"/>
  <c r="T1646" i="36"/>
  <c r="T1645" i="36"/>
  <c r="T1648" i="36"/>
  <c r="T1649" i="36"/>
  <c r="T1650" i="36"/>
  <c r="T1651" i="36"/>
  <c r="T1606" i="36"/>
  <c r="T1608" i="36"/>
  <c r="T1607" i="36"/>
  <c r="T1609" i="36"/>
  <c r="T1610" i="36"/>
  <c r="T1611" i="36"/>
  <c r="T1613" i="36"/>
  <c r="T1612" i="36"/>
  <c r="T1614" i="36"/>
  <c r="T1615" i="36"/>
  <c r="T1616" i="36"/>
  <c r="I1561" i="36"/>
  <c r="AA1556" i="36"/>
  <c r="AB1556" i="36"/>
  <c r="AC1556" i="36"/>
  <c r="AA1557" i="36"/>
  <c r="AB1557" i="36"/>
  <c r="AC1557" i="36"/>
  <c r="AA1558" i="36"/>
  <c r="AB1558" i="36"/>
  <c r="AC1558" i="36"/>
  <c r="AA1560" i="36"/>
  <c r="AB1560" i="36"/>
  <c r="AC1560" i="36"/>
  <c r="AA1559" i="36"/>
  <c r="AB1559" i="36"/>
  <c r="AC1559" i="36"/>
  <c r="AA1561" i="36"/>
  <c r="AB1561" i="36"/>
  <c r="AC1561" i="36"/>
  <c r="AA1562" i="36"/>
  <c r="AB1562" i="36"/>
  <c r="AC1562" i="36"/>
  <c r="AA1563" i="36"/>
  <c r="AB1563" i="36"/>
  <c r="AC1563" i="36"/>
  <c r="AA1564" i="36"/>
  <c r="AB1564" i="36"/>
  <c r="AC1564" i="36"/>
  <c r="AA1566" i="36"/>
  <c r="AB1566" i="36"/>
  <c r="AC1566" i="36"/>
  <c r="AA1565" i="36"/>
  <c r="AB1565" i="36"/>
  <c r="AC1565" i="36"/>
  <c r="AA1568" i="36"/>
  <c r="AB1568" i="36"/>
  <c r="AC1568" i="36"/>
  <c r="AA1569" i="36"/>
  <c r="AB1569" i="36"/>
  <c r="AC1569" i="36"/>
  <c r="AA1567" i="36"/>
  <c r="AB1567" i="36"/>
  <c r="AC1567" i="36"/>
  <c r="AA1571" i="36"/>
  <c r="AB1571" i="36"/>
  <c r="AC1571" i="36"/>
  <c r="AA1570" i="36"/>
  <c r="AB1570" i="36"/>
  <c r="AC1570" i="36"/>
  <c r="AA1572" i="36"/>
  <c r="AB1572" i="36"/>
  <c r="AC1572" i="36"/>
  <c r="AA1573" i="36"/>
  <c r="AB1573" i="36"/>
  <c r="AC1573" i="36"/>
  <c r="AA1574" i="36"/>
  <c r="AB1574" i="36"/>
  <c r="AC1574" i="36"/>
  <c r="AA1576" i="36"/>
  <c r="AB1576" i="36"/>
  <c r="AC1576" i="36"/>
  <c r="AA1575" i="36"/>
  <c r="AB1575" i="36"/>
  <c r="AC1575" i="36"/>
  <c r="AA1577" i="36"/>
  <c r="AB1577" i="36"/>
  <c r="AC1577" i="36"/>
  <c r="AA1578" i="36"/>
  <c r="AB1578" i="36"/>
  <c r="AC1578" i="36"/>
  <c r="AA1579" i="36"/>
  <c r="AB1579" i="36"/>
  <c r="AC1579" i="36"/>
  <c r="AA1580" i="36"/>
  <c r="AB1580" i="36"/>
  <c r="AC1580" i="36"/>
  <c r="AA1581" i="36"/>
  <c r="AB1581" i="36"/>
  <c r="AC1581" i="36"/>
  <c r="AA1582" i="36"/>
  <c r="AB1582" i="36"/>
  <c r="AC1582" i="36"/>
  <c r="AA1583" i="36"/>
  <c r="AB1583" i="36"/>
  <c r="AC1583" i="36"/>
  <c r="AA1584" i="36"/>
  <c r="AB1584" i="36"/>
  <c r="AC1584" i="36"/>
  <c r="AA1585" i="36"/>
  <c r="AB1585" i="36"/>
  <c r="AC1585" i="36"/>
  <c r="AA1586" i="36"/>
  <c r="AB1586" i="36"/>
  <c r="AC1586" i="36"/>
  <c r="AA1587" i="36"/>
  <c r="AB1587" i="36"/>
  <c r="AC1587" i="36"/>
  <c r="AA1589" i="36"/>
  <c r="AB1589" i="36"/>
  <c r="AC1589" i="36"/>
  <c r="AA1588" i="36"/>
  <c r="AB1588" i="36"/>
  <c r="AC1588" i="36"/>
  <c r="AA1591" i="36"/>
  <c r="AB1591" i="36"/>
  <c r="AC1591" i="36"/>
  <c r="AA1590" i="36"/>
  <c r="AB1590" i="36"/>
  <c r="AC1590" i="36"/>
  <c r="AA1592" i="36"/>
  <c r="AB1592" i="36"/>
  <c r="AC1592" i="36"/>
  <c r="AA1594" i="36"/>
  <c r="AB1594" i="36"/>
  <c r="AC1594" i="36"/>
  <c r="AA1593" i="36"/>
  <c r="AB1593" i="36"/>
  <c r="AC1593" i="36"/>
  <c r="AA1595" i="36"/>
  <c r="AB1595" i="36"/>
  <c r="AC1595" i="36"/>
  <c r="AA1596" i="36"/>
  <c r="AB1596" i="36"/>
  <c r="AC1596" i="36"/>
  <c r="AA1597" i="36"/>
  <c r="AB1597" i="36"/>
  <c r="AC1597" i="36"/>
  <c r="AA1598" i="36"/>
  <c r="AB1598" i="36"/>
  <c r="AC1598" i="36"/>
  <c r="AA1599" i="36"/>
  <c r="AB1599" i="36"/>
  <c r="AC1599" i="36"/>
  <c r="I1556" i="36"/>
  <c r="I1557" i="36"/>
  <c r="I1558" i="36"/>
  <c r="I1571" i="36"/>
  <c r="I1570" i="36"/>
  <c r="I1572" i="36"/>
  <c r="I1573" i="36"/>
  <c r="I1574" i="36"/>
  <c r="I1576" i="36"/>
  <c r="I1575" i="36"/>
  <c r="I1577" i="36"/>
  <c r="I1578" i="36"/>
  <c r="I1579" i="36"/>
  <c r="I1580" i="36"/>
  <c r="I1581" i="36"/>
  <c r="I1582" i="36"/>
  <c r="I1583" i="36"/>
  <c r="I1584" i="36"/>
  <c r="I1585" i="36"/>
  <c r="I1586" i="36"/>
  <c r="I1587" i="36"/>
  <c r="I1589" i="36"/>
  <c r="I1588" i="36"/>
  <c r="I1591" i="36"/>
  <c r="I1590" i="36"/>
  <c r="I1592" i="36"/>
  <c r="I1594" i="36"/>
  <c r="I1593" i="36"/>
  <c r="I1595" i="36"/>
  <c r="I1596" i="36"/>
  <c r="I1597" i="36"/>
  <c r="I1598" i="36"/>
  <c r="I1599" i="36"/>
  <c r="I1600" i="36"/>
  <c r="I1560" i="36"/>
  <c r="I1559" i="36"/>
  <c r="I1602" i="36"/>
  <c r="I1601" i="36"/>
  <c r="I1562" i="36"/>
  <c r="I1563" i="36"/>
  <c r="I1564" i="36"/>
  <c r="I1566" i="36"/>
  <c r="I1565" i="36"/>
  <c r="I1568" i="36"/>
  <c r="I1569" i="36"/>
  <c r="I1567" i="36"/>
  <c r="M1556" i="36"/>
  <c r="R1556" i="36"/>
  <c r="M1557" i="36"/>
  <c r="R1557" i="36"/>
  <c r="M1558" i="36"/>
  <c r="R1558" i="36"/>
  <c r="M1571" i="36"/>
  <c r="R1571" i="36"/>
  <c r="M1570" i="36"/>
  <c r="R1570" i="36"/>
  <c r="M1572" i="36"/>
  <c r="R1572" i="36"/>
  <c r="M1573" i="36"/>
  <c r="R1573" i="36"/>
  <c r="M1574" i="36"/>
  <c r="R1574" i="36"/>
  <c r="M1576" i="36"/>
  <c r="R1576" i="36"/>
  <c r="M1575" i="36"/>
  <c r="R1575" i="36"/>
  <c r="M1577" i="36"/>
  <c r="R1577" i="36"/>
  <c r="M1578" i="36"/>
  <c r="R1578" i="36"/>
  <c r="M1579" i="36"/>
  <c r="R1579" i="36"/>
  <c r="M1580" i="36"/>
  <c r="M1581" i="36"/>
  <c r="R1581" i="36"/>
  <c r="M1582" i="36"/>
  <c r="R1582" i="36"/>
  <c r="M1583" i="36"/>
  <c r="R1583" i="36"/>
  <c r="M1584" i="36"/>
  <c r="R1584" i="36"/>
  <c r="M1585" i="36"/>
  <c r="R1585" i="36"/>
  <c r="M1586" i="36"/>
  <c r="R1586" i="36"/>
  <c r="M1587" i="36"/>
  <c r="R1587" i="36"/>
  <c r="M1589" i="36"/>
  <c r="R1589" i="36"/>
  <c r="M1588" i="36"/>
  <c r="R1588" i="36"/>
  <c r="M1591" i="36"/>
  <c r="R1591" i="36"/>
  <c r="M1590" i="36"/>
  <c r="R1590" i="36"/>
  <c r="M1592" i="36"/>
  <c r="R1592" i="36"/>
  <c r="M1594" i="36"/>
  <c r="R1594" i="36"/>
  <c r="M1593" i="36"/>
  <c r="R1593" i="36"/>
  <c r="M1595" i="36"/>
  <c r="R1595" i="36"/>
  <c r="M1596" i="36"/>
  <c r="R1596" i="36"/>
  <c r="M1597" i="36"/>
  <c r="R1597" i="36"/>
  <c r="M1598" i="36"/>
  <c r="R1598" i="36"/>
  <c r="M1599" i="36"/>
  <c r="R1599" i="36"/>
  <c r="M1600" i="36"/>
  <c r="R1600" i="36"/>
  <c r="M1560" i="36"/>
  <c r="R1560" i="36"/>
  <c r="M1559" i="36"/>
  <c r="R1559" i="36"/>
  <c r="M1602" i="36"/>
  <c r="R1602" i="36"/>
  <c r="M1601" i="36"/>
  <c r="R1601" i="36"/>
  <c r="M1561" i="36"/>
  <c r="R1561" i="36"/>
  <c r="M1562" i="36"/>
  <c r="R1562" i="36"/>
  <c r="M1563" i="36"/>
  <c r="R1563" i="36"/>
  <c r="M1564" i="36"/>
  <c r="R1564" i="36"/>
  <c r="M1566" i="36"/>
  <c r="R1566" i="36"/>
  <c r="M1565" i="36"/>
  <c r="R1565" i="36"/>
  <c r="M1568" i="36"/>
  <c r="R1568" i="36"/>
  <c r="M1569" i="36"/>
  <c r="R1569" i="36"/>
  <c r="M1567" i="36"/>
  <c r="R1567" i="36"/>
  <c r="P1556" i="36"/>
  <c r="P1557" i="36"/>
  <c r="P1558" i="36"/>
  <c r="P1571" i="36"/>
  <c r="P1570" i="36"/>
  <c r="P1572" i="36"/>
  <c r="P1573" i="36"/>
  <c r="P1574" i="36"/>
  <c r="P1576" i="36"/>
  <c r="P1575" i="36"/>
  <c r="P1577" i="36"/>
  <c r="P1578" i="36"/>
  <c r="P1579" i="36"/>
  <c r="P1580" i="36"/>
  <c r="P1581" i="36"/>
  <c r="P1582" i="36"/>
  <c r="P1583" i="36"/>
  <c r="P1584" i="36"/>
  <c r="P1585" i="36"/>
  <c r="P1586" i="36"/>
  <c r="P1587" i="36"/>
  <c r="P1589" i="36"/>
  <c r="P1588" i="36"/>
  <c r="P1591" i="36"/>
  <c r="P1590" i="36"/>
  <c r="P1592" i="36"/>
  <c r="P1594" i="36"/>
  <c r="P1593" i="36"/>
  <c r="P1595" i="36"/>
  <c r="P1596" i="36"/>
  <c r="P1597" i="36"/>
  <c r="P1598" i="36"/>
  <c r="P1599" i="36"/>
  <c r="P1600" i="36"/>
  <c r="P1560" i="36"/>
  <c r="P1559" i="36"/>
  <c r="P1602" i="36"/>
  <c r="P1601" i="36"/>
  <c r="P1561" i="36"/>
  <c r="P1562" i="36"/>
  <c r="P1563" i="36"/>
  <c r="P1564" i="36"/>
  <c r="P1566" i="36"/>
  <c r="P1565" i="36"/>
  <c r="P1568" i="36"/>
  <c r="P1569" i="36"/>
  <c r="P1567" i="36"/>
  <c r="Q1556" i="36"/>
  <c r="Q1557" i="36"/>
  <c r="Q1558" i="36"/>
  <c r="Q1571" i="36"/>
  <c r="Q1570" i="36"/>
  <c r="Q1572" i="36"/>
  <c r="Q1573" i="36"/>
  <c r="Q1574" i="36"/>
  <c r="Q1576" i="36"/>
  <c r="Q1575" i="36"/>
  <c r="Q1577" i="36"/>
  <c r="Q1578" i="36"/>
  <c r="Q1579" i="36"/>
  <c r="Q1580" i="36"/>
  <c r="Q1581" i="36"/>
  <c r="Q1582" i="36"/>
  <c r="Q1583" i="36"/>
  <c r="Q1584" i="36"/>
  <c r="Q1585" i="36"/>
  <c r="Q1586" i="36"/>
  <c r="Q1587" i="36"/>
  <c r="Q1589" i="36"/>
  <c r="Q1588" i="36"/>
  <c r="Q1591" i="36"/>
  <c r="Q1590" i="36"/>
  <c r="Q1592" i="36"/>
  <c r="Q1594" i="36"/>
  <c r="Q1593" i="36"/>
  <c r="Q1595" i="36"/>
  <c r="Q1596" i="36"/>
  <c r="Q1597" i="36"/>
  <c r="Q1598" i="36"/>
  <c r="Q1599" i="36"/>
  <c r="Q1600" i="36"/>
  <c r="Q1560" i="36"/>
  <c r="Q1559" i="36"/>
  <c r="Q1602" i="36"/>
  <c r="Q1601" i="36"/>
  <c r="Q1561" i="36"/>
  <c r="Q1562" i="36"/>
  <c r="Q1563" i="36"/>
  <c r="Q1564" i="36"/>
  <c r="Q1566" i="36"/>
  <c r="Q1565" i="36"/>
  <c r="Q1568" i="36"/>
  <c r="Q1569" i="36"/>
  <c r="Q1567" i="36"/>
  <c r="R1580" i="36"/>
  <c r="S1556" i="36"/>
  <c r="S1557" i="36"/>
  <c r="S1558" i="36"/>
  <c r="S1571" i="36"/>
  <c r="S1570" i="36"/>
  <c r="S1572" i="36"/>
  <c r="S1573" i="36"/>
  <c r="S1574" i="36"/>
  <c r="S1576" i="36"/>
  <c r="S1575" i="36"/>
  <c r="S1577" i="36"/>
  <c r="S1578" i="36"/>
  <c r="S1579" i="36"/>
  <c r="S1580" i="36"/>
  <c r="S1581" i="36"/>
  <c r="S1582" i="36"/>
  <c r="S1583" i="36"/>
  <c r="S1584" i="36"/>
  <c r="S1585" i="36"/>
  <c r="S1586" i="36"/>
  <c r="S1587" i="36"/>
  <c r="S1589" i="36"/>
  <c r="S1588" i="36"/>
  <c r="S1591" i="36"/>
  <c r="S1590" i="36"/>
  <c r="S1592" i="36"/>
  <c r="S1594" i="36"/>
  <c r="S1593" i="36"/>
  <c r="S1595" i="36"/>
  <c r="S1596" i="36"/>
  <c r="S1597" i="36"/>
  <c r="S1598" i="36"/>
  <c r="S1599" i="36"/>
  <c r="S1600" i="36"/>
  <c r="S1560" i="36"/>
  <c r="S1559" i="36"/>
  <c r="S1602" i="36"/>
  <c r="S1601" i="36"/>
  <c r="S1561" i="36"/>
  <c r="S1562" i="36"/>
  <c r="S1563" i="36"/>
  <c r="S1564" i="36"/>
  <c r="S1566" i="36"/>
  <c r="S1565" i="36"/>
  <c r="S1568" i="36"/>
  <c r="S1569" i="36"/>
  <c r="S1567" i="36"/>
  <c r="T1556" i="36"/>
  <c r="T1557" i="36"/>
  <c r="T1558" i="36"/>
  <c r="T1571" i="36"/>
  <c r="T1570" i="36"/>
  <c r="T1572" i="36"/>
  <c r="T1573" i="36"/>
  <c r="T1574" i="36"/>
  <c r="T1576" i="36"/>
  <c r="T1575" i="36"/>
  <c r="T1577" i="36"/>
  <c r="T1578" i="36"/>
  <c r="T1579" i="36"/>
  <c r="T1580" i="36"/>
  <c r="T1581" i="36"/>
  <c r="T1582" i="36"/>
  <c r="T1583" i="36"/>
  <c r="T1584" i="36"/>
  <c r="T1585" i="36"/>
  <c r="T1586" i="36"/>
  <c r="T1587" i="36"/>
  <c r="T1589" i="36"/>
  <c r="T1588" i="36"/>
  <c r="T1591" i="36"/>
  <c r="T1590" i="36"/>
  <c r="T1592" i="36"/>
  <c r="T1594" i="36"/>
  <c r="T1593" i="36"/>
  <c r="T1595" i="36"/>
  <c r="T1596" i="36"/>
  <c r="T1597" i="36"/>
  <c r="T1598" i="36"/>
  <c r="T1599" i="36"/>
  <c r="T1600" i="36"/>
  <c r="T1560" i="36"/>
  <c r="T1559" i="36"/>
  <c r="T1602" i="36"/>
  <c r="T1601" i="36"/>
  <c r="T1561" i="36"/>
  <c r="T1562" i="36"/>
  <c r="T1563" i="36"/>
  <c r="T1564" i="36"/>
  <c r="T1566" i="36"/>
  <c r="T1565" i="36"/>
  <c r="T1568" i="36"/>
  <c r="T1569" i="36"/>
  <c r="T1567" i="36"/>
  <c r="AB1208" i="36"/>
  <c r="AC2407" i="36"/>
  <c r="AC1386" i="36"/>
  <c r="AC2630" i="36"/>
  <c r="AC2624" i="36"/>
  <c r="AC1387" i="36"/>
  <c r="AC2128" i="36"/>
  <c r="AC2129" i="36"/>
  <c r="AC1389" i="36"/>
  <c r="AC1388" i="36"/>
  <c r="AC2130" i="36"/>
  <c r="AC2131" i="36"/>
  <c r="AC1390" i="36"/>
  <c r="AC2408" i="36"/>
  <c r="AC1391" i="36"/>
  <c r="AC2522" i="36"/>
  <c r="AC2132" i="36"/>
  <c r="AC1392" i="36"/>
  <c r="AC2133" i="36"/>
  <c r="AC1393" i="36"/>
  <c r="AC2523" i="36"/>
  <c r="AC1394" i="36"/>
  <c r="AC1395" i="36"/>
  <c r="AC2409" i="36"/>
  <c r="AC1396" i="36"/>
  <c r="AC2134" i="36"/>
  <c r="AC2646" i="36"/>
  <c r="AC2136" i="36"/>
  <c r="AC2135" i="36"/>
  <c r="AC1397" i="36"/>
  <c r="AC1398" i="36"/>
  <c r="AC1399" i="36"/>
  <c r="AC1400" i="36"/>
  <c r="AC2137" i="36"/>
  <c r="AC2138" i="36"/>
  <c r="AC1401" i="36"/>
  <c r="AC1402" i="36"/>
  <c r="AC2602" i="36"/>
  <c r="AC2524" i="36"/>
  <c r="AC1403" i="36"/>
  <c r="AC2620" i="36"/>
  <c r="AC1404" i="36"/>
  <c r="AC1405" i="36"/>
  <c r="AC2410" i="36"/>
  <c r="AC2411" i="36"/>
  <c r="AC2625" i="36"/>
  <c r="AC2139" i="36"/>
  <c r="AC1406" i="36"/>
  <c r="AC1407" i="36"/>
  <c r="AC2140" i="36"/>
  <c r="AC1408" i="36"/>
  <c r="AC1409" i="36"/>
  <c r="AC1410" i="36"/>
  <c r="AC2141" i="36"/>
  <c r="AC2142" i="36"/>
  <c r="AC1411" i="36"/>
  <c r="AC1412" i="36"/>
  <c r="AC1413" i="36"/>
  <c r="AC1414" i="36"/>
  <c r="AC2143" i="36"/>
  <c r="AC2525" i="36"/>
  <c r="AC1415" i="36"/>
  <c r="AC1416" i="36"/>
  <c r="AC2144" i="36"/>
  <c r="AC2145" i="36"/>
  <c r="AC1417" i="36"/>
  <c r="AC2571" i="36"/>
  <c r="AC1418" i="36"/>
  <c r="AC1419" i="36"/>
  <c r="AC1420" i="36"/>
  <c r="AC2412" i="36"/>
  <c r="AC2603" i="36"/>
  <c r="AC1422" i="36"/>
  <c r="AC1421" i="36"/>
  <c r="AC2146" i="36"/>
  <c r="AC1423" i="36"/>
  <c r="AC1425" i="36"/>
  <c r="AC1424" i="36"/>
  <c r="AC2572" i="36"/>
  <c r="AC2413" i="36"/>
  <c r="AC1426" i="36"/>
  <c r="AC2147" i="36"/>
  <c r="AC2148" i="36"/>
  <c r="AC1427" i="36"/>
  <c r="AC1428" i="36"/>
  <c r="AC2526" i="36"/>
  <c r="AC1429" i="36"/>
  <c r="AC1430" i="36"/>
  <c r="AC2149" i="36"/>
  <c r="AC2150" i="36"/>
  <c r="AC2639" i="36"/>
  <c r="AC1432" i="36"/>
  <c r="AC1431" i="36"/>
  <c r="AC2527" i="36"/>
  <c r="AC1433" i="36"/>
  <c r="AC1434" i="36"/>
  <c r="AC2414" i="36"/>
  <c r="AC1435" i="36"/>
  <c r="AC1436" i="36"/>
  <c r="AC2151" i="36"/>
  <c r="AC2626" i="36"/>
  <c r="AC1437" i="36"/>
  <c r="AC2415" i="36"/>
  <c r="AC1438" i="36"/>
  <c r="AC1440" i="36"/>
  <c r="AC1439" i="36"/>
  <c r="AC2152" i="36"/>
  <c r="AC1441" i="36"/>
  <c r="AC1442" i="36"/>
  <c r="AC1443" i="36"/>
  <c r="AC2153" i="36"/>
  <c r="AC1444" i="36"/>
  <c r="AC2154" i="36"/>
  <c r="AC1445" i="36"/>
  <c r="AC1446" i="36"/>
  <c r="AB2407" i="36"/>
  <c r="AB2630" i="36"/>
  <c r="AB2624" i="36"/>
  <c r="AB1387" i="36"/>
  <c r="AB2128" i="36"/>
  <c r="AB1389" i="36"/>
  <c r="AB1388" i="36"/>
  <c r="AB2130" i="36"/>
  <c r="AB2131" i="36"/>
  <c r="AB1390" i="36"/>
  <c r="AB2408" i="36"/>
  <c r="AB2522" i="36"/>
  <c r="AB2132" i="36"/>
  <c r="AB1392" i="36"/>
  <c r="AB2133" i="36"/>
  <c r="AB1393" i="36"/>
  <c r="AB2523" i="36"/>
  <c r="AB1394" i="36"/>
  <c r="AB1395" i="36"/>
  <c r="AB2409" i="36"/>
  <c r="AB1396" i="36"/>
  <c r="AB2134" i="36"/>
  <c r="AB2646" i="36"/>
  <c r="AB2136" i="36"/>
  <c r="AB2135" i="36"/>
  <c r="AB1397" i="36"/>
  <c r="AB1398" i="36"/>
  <c r="AB1399" i="36"/>
  <c r="AB1400" i="36"/>
  <c r="AB2137" i="36"/>
  <c r="AB2138" i="36"/>
  <c r="AB1401" i="36"/>
  <c r="AB1402" i="36"/>
  <c r="AB2602" i="36"/>
  <c r="AB2524" i="36"/>
  <c r="AB1403" i="36"/>
  <c r="AB2620" i="36"/>
  <c r="AB1404" i="36"/>
  <c r="AB1405" i="36"/>
  <c r="AB2410" i="36"/>
  <c r="AB2411" i="36"/>
  <c r="AB2625" i="36"/>
  <c r="AB2139" i="36"/>
  <c r="AB1406" i="36"/>
  <c r="AB1407" i="36"/>
  <c r="AB2140" i="36"/>
  <c r="AB1408" i="36"/>
  <c r="AB1409" i="36"/>
  <c r="AB1410" i="36"/>
  <c r="AB2141" i="36"/>
  <c r="AB2142" i="36"/>
  <c r="AB1411" i="36"/>
  <c r="AB1412" i="36"/>
  <c r="AB1413" i="36"/>
  <c r="AB1414" i="36"/>
  <c r="AB2143" i="36"/>
  <c r="AB2525" i="36"/>
  <c r="AB1415" i="36"/>
  <c r="AB1416" i="36"/>
  <c r="AB2144" i="36"/>
  <c r="AB2145" i="36"/>
  <c r="AB1417" i="36"/>
  <c r="AB2571" i="36"/>
  <c r="AB1418" i="36"/>
  <c r="AB1419" i="36"/>
  <c r="AB1420" i="36"/>
  <c r="AB2412" i="36"/>
  <c r="AB2603" i="36"/>
  <c r="AB1422" i="36"/>
  <c r="AB1421" i="36"/>
  <c r="AB2146" i="36"/>
  <c r="AB1423" i="36"/>
  <c r="AB1425" i="36"/>
  <c r="AB1424" i="36"/>
  <c r="AB2572" i="36"/>
  <c r="AB2413" i="36"/>
  <c r="AB1426" i="36"/>
  <c r="AB2147" i="36"/>
  <c r="AB2148" i="36"/>
  <c r="AB1427" i="36"/>
  <c r="AB1428" i="36"/>
  <c r="AB2526" i="36"/>
  <c r="AB1429" i="36"/>
  <c r="AB1430" i="36"/>
  <c r="AB2149" i="36"/>
  <c r="AB2150" i="36"/>
  <c r="AB2639" i="36"/>
  <c r="AB1432" i="36"/>
  <c r="AB1431" i="36"/>
  <c r="AB2527" i="36"/>
  <c r="AB1433" i="36"/>
  <c r="AB1434" i="36"/>
  <c r="AB2414" i="36"/>
  <c r="AB1435" i="36"/>
  <c r="AB1436" i="36"/>
  <c r="AB2151" i="36"/>
  <c r="AB2626" i="36"/>
  <c r="AB1437" i="36"/>
  <c r="AB2415" i="36"/>
  <c r="AB1438" i="36"/>
  <c r="AB1440" i="36"/>
  <c r="AB1439" i="36"/>
  <c r="AB2152" i="36"/>
  <c r="AB1441" i="36"/>
  <c r="AB1442" i="36"/>
  <c r="AB1443" i="36"/>
  <c r="AB2153" i="36"/>
  <c r="AB1444" i="36"/>
  <c r="AB2154" i="36"/>
  <c r="AB1445" i="36"/>
  <c r="AB1446" i="36"/>
  <c r="AA2407" i="36"/>
  <c r="AA1386" i="36"/>
  <c r="AA2630" i="36"/>
  <c r="AA2624" i="36"/>
  <c r="AA1387" i="36"/>
  <c r="AA2128" i="36"/>
  <c r="AA2129" i="36"/>
  <c r="AA1389" i="36"/>
  <c r="AA1388" i="36"/>
  <c r="AA2130" i="36"/>
  <c r="AA2131" i="36"/>
  <c r="AA1390" i="36"/>
  <c r="AA2408" i="36"/>
  <c r="AA1391" i="36"/>
  <c r="AA2522" i="36"/>
  <c r="AA2132" i="36"/>
  <c r="AA1392" i="36"/>
  <c r="AA2133" i="36"/>
  <c r="AA1393" i="36"/>
  <c r="AA2523" i="36"/>
  <c r="AA1394" i="36"/>
  <c r="AA1395" i="36"/>
  <c r="AA2409" i="36"/>
  <c r="AA1396" i="36"/>
  <c r="AA2134" i="36"/>
  <c r="AA2646" i="36"/>
  <c r="AA2136" i="36"/>
  <c r="AA2135" i="36"/>
  <c r="AA1397" i="36"/>
  <c r="AA1398" i="36"/>
  <c r="AA1399" i="36"/>
  <c r="AA1400" i="36"/>
  <c r="AA2137" i="36"/>
  <c r="AA2138" i="36"/>
  <c r="AA1401" i="36"/>
  <c r="AA1402" i="36"/>
  <c r="AA2602" i="36"/>
  <c r="AA2524" i="36"/>
  <c r="AA1403" i="36"/>
  <c r="AA2620" i="36"/>
  <c r="AA1404" i="36"/>
  <c r="AA1405" i="36"/>
  <c r="AA2410" i="36"/>
  <c r="AA2411" i="36"/>
  <c r="AA2625" i="36"/>
  <c r="AA2139" i="36"/>
  <c r="AA1406" i="36"/>
  <c r="AA1407" i="36"/>
  <c r="AA2140" i="36"/>
  <c r="AA1408" i="36"/>
  <c r="AA1409" i="36"/>
  <c r="AA1410" i="36"/>
  <c r="AA2141" i="36"/>
  <c r="AA2142" i="36"/>
  <c r="AA1411" i="36"/>
  <c r="AA1412" i="36"/>
  <c r="AA1413" i="36"/>
  <c r="AA1414" i="36"/>
  <c r="AA2143" i="36"/>
  <c r="AA2525" i="36"/>
  <c r="AA1415" i="36"/>
  <c r="AA1416" i="36"/>
  <c r="AA2144" i="36"/>
  <c r="AA2145" i="36"/>
  <c r="AA1417" i="36"/>
  <c r="AA2571" i="36"/>
  <c r="AA1418" i="36"/>
  <c r="AA1419" i="36"/>
  <c r="AA1420" i="36"/>
  <c r="AA2412" i="36"/>
  <c r="AA2603" i="36"/>
  <c r="AA1422" i="36"/>
  <c r="AA1421" i="36"/>
  <c r="AA2146" i="36"/>
  <c r="AA1423" i="36"/>
  <c r="AA1425" i="36"/>
  <c r="AA1424" i="36"/>
  <c r="AA2572" i="36"/>
  <c r="AA2413" i="36"/>
  <c r="AA1426" i="36"/>
  <c r="AA2147" i="36"/>
  <c r="AA2148" i="36"/>
  <c r="AA1427" i="36"/>
  <c r="AA1428" i="36"/>
  <c r="AA2526" i="36"/>
  <c r="AA1429" i="36"/>
  <c r="AA1430" i="36"/>
  <c r="AA2149" i="36"/>
  <c r="AA2150" i="36"/>
  <c r="AA2639" i="36"/>
  <c r="AA1432" i="36"/>
  <c r="AA1431" i="36"/>
  <c r="AA2527" i="36"/>
  <c r="AA1433" i="36"/>
  <c r="AA1434" i="36"/>
  <c r="AA2414" i="36"/>
  <c r="AA1435" i="36"/>
  <c r="AA1436" i="36"/>
  <c r="AA2151" i="36"/>
  <c r="AA2626" i="36"/>
  <c r="AA1437" i="36"/>
  <c r="AA2415" i="36"/>
  <c r="AA1438" i="36"/>
  <c r="AA1440" i="36"/>
  <c r="AA1439" i="36"/>
  <c r="AA2152" i="36"/>
  <c r="AA1441" i="36"/>
  <c r="AA1442" i="36"/>
  <c r="AA1443" i="36"/>
  <c r="AA2153" i="36"/>
  <c r="AA1444" i="36"/>
  <c r="AA2154" i="36"/>
  <c r="AA1445" i="36"/>
  <c r="AA1446" i="36"/>
  <c r="I2525" i="36"/>
  <c r="I1415" i="36"/>
  <c r="I1398" i="36"/>
  <c r="I1399" i="36"/>
  <c r="I1425" i="36"/>
  <c r="I1424" i="36"/>
  <c r="I2572" i="36"/>
  <c r="I1400" i="36"/>
  <c r="I2137" i="36"/>
  <c r="I2413" i="36"/>
  <c r="I1426" i="36"/>
  <c r="I2138" i="36"/>
  <c r="I1401" i="36"/>
  <c r="I1402" i="36"/>
  <c r="I2602" i="36"/>
  <c r="I2147" i="36"/>
  <c r="I2148" i="36"/>
  <c r="I1427" i="36"/>
  <c r="I1428" i="36"/>
  <c r="I2524" i="36"/>
  <c r="I1403" i="36"/>
  <c r="I2526" i="36"/>
  <c r="I1429" i="36"/>
  <c r="I2620" i="36"/>
  <c r="I1430" i="36"/>
  <c r="I1404" i="36"/>
  <c r="I1405" i="36"/>
  <c r="I2410" i="36"/>
  <c r="I2149" i="36"/>
  <c r="I2150" i="36"/>
  <c r="I2639" i="36"/>
  <c r="I1432" i="36"/>
  <c r="I1431" i="36"/>
  <c r="I2411" i="36"/>
  <c r="I2625" i="36"/>
  <c r="I2132" i="36"/>
  <c r="I1392" i="36"/>
  <c r="I1416" i="36"/>
  <c r="I2144" i="36"/>
  <c r="I2139" i="36"/>
  <c r="I1406" i="36"/>
  <c r="I2527" i="36"/>
  <c r="I1433" i="36"/>
  <c r="I1434" i="36"/>
  <c r="I2414" i="36"/>
  <c r="I1407" i="36"/>
  <c r="I2140" i="36"/>
  <c r="I1436" i="36"/>
  <c r="I2151" i="36"/>
  <c r="I1408" i="36"/>
  <c r="I2626" i="36"/>
  <c r="I1437" i="36"/>
  <c r="I1409" i="36"/>
  <c r="I1410" i="36"/>
  <c r="I2415" i="36"/>
  <c r="I1438" i="36"/>
  <c r="I2141" i="36"/>
  <c r="I1440" i="36"/>
  <c r="I1439" i="36"/>
  <c r="I2152" i="36"/>
  <c r="I2142" i="36"/>
  <c r="I1411" i="36"/>
  <c r="I1412" i="36"/>
  <c r="I1413" i="36"/>
  <c r="I1441" i="36"/>
  <c r="I1442" i="36"/>
  <c r="I1443" i="36"/>
  <c r="I1435" i="36"/>
  <c r="I1414" i="36"/>
  <c r="I2153" i="36"/>
  <c r="I1444" i="36"/>
  <c r="I2133" i="36"/>
  <c r="I1393" i="36"/>
  <c r="I2145" i="36"/>
  <c r="I1417" i="36"/>
  <c r="I2143" i="36"/>
  <c r="I2154" i="36"/>
  <c r="I1445" i="36"/>
  <c r="I1446" i="36"/>
  <c r="I2523" i="36"/>
  <c r="I1394" i="36"/>
  <c r="I2571" i="36"/>
  <c r="I1418" i="36"/>
  <c r="I1395" i="36"/>
  <c r="I2409" i="36"/>
  <c r="I1396" i="36"/>
  <c r="I2134" i="36"/>
  <c r="I2646" i="36"/>
  <c r="I1419" i="36"/>
  <c r="I1420" i="36"/>
  <c r="I2412" i="36"/>
  <c r="I2603" i="36"/>
  <c r="I2136" i="36"/>
  <c r="I2135" i="36"/>
  <c r="I1422" i="36"/>
  <c r="I1421" i="36"/>
  <c r="I1397" i="36"/>
  <c r="I1208" i="36"/>
  <c r="I2146" i="36"/>
  <c r="I1423" i="36"/>
  <c r="M2525" i="36"/>
  <c r="R2525" i="36"/>
  <c r="M1415" i="36"/>
  <c r="R1415" i="36"/>
  <c r="M1398" i="36"/>
  <c r="R1398" i="36"/>
  <c r="M1399" i="36"/>
  <c r="R1399" i="36"/>
  <c r="M1425" i="36"/>
  <c r="R1425" i="36"/>
  <c r="M1424" i="36"/>
  <c r="R1424" i="36"/>
  <c r="M2572" i="36"/>
  <c r="R2572" i="36"/>
  <c r="M1400" i="36"/>
  <c r="R1400" i="36"/>
  <c r="M2137" i="36"/>
  <c r="R2137" i="36"/>
  <c r="M2413" i="36"/>
  <c r="R2413" i="36"/>
  <c r="M1426" i="36"/>
  <c r="R1426" i="36"/>
  <c r="M2138" i="36"/>
  <c r="R2138" i="36"/>
  <c r="M1401" i="36"/>
  <c r="R1401" i="36"/>
  <c r="M1402" i="36"/>
  <c r="R1402" i="36"/>
  <c r="M2602" i="36"/>
  <c r="R2602" i="36"/>
  <c r="M2147" i="36"/>
  <c r="R2147" i="36"/>
  <c r="M2148" i="36"/>
  <c r="R2148" i="36"/>
  <c r="M1427" i="36"/>
  <c r="R1427" i="36"/>
  <c r="M1428" i="36"/>
  <c r="R1428" i="36"/>
  <c r="M2524" i="36"/>
  <c r="R2524" i="36"/>
  <c r="M1403" i="36"/>
  <c r="R1403" i="36"/>
  <c r="M2526" i="36"/>
  <c r="R2526" i="36"/>
  <c r="M1429" i="36"/>
  <c r="R1429" i="36"/>
  <c r="M2620" i="36"/>
  <c r="R2620" i="36"/>
  <c r="M1430" i="36"/>
  <c r="R1430" i="36"/>
  <c r="M1404" i="36"/>
  <c r="R1404" i="36"/>
  <c r="M1405" i="36"/>
  <c r="R1405" i="36"/>
  <c r="M2410" i="36"/>
  <c r="R2410" i="36"/>
  <c r="M2149" i="36"/>
  <c r="R2149" i="36"/>
  <c r="M2150" i="36"/>
  <c r="R2150" i="36"/>
  <c r="M2639" i="36"/>
  <c r="R2639" i="36"/>
  <c r="M1432" i="36"/>
  <c r="R1432" i="36"/>
  <c r="M1431" i="36"/>
  <c r="R1431" i="36"/>
  <c r="M2411" i="36"/>
  <c r="R2411" i="36"/>
  <c r="M2625" i="36"/>
  <c r="R2625" i="36"/>
  <c r="M2132" i="36"/>
  <c r="R2132" i="36"/>
  <c r="M1392" i="36"/>
  <c r="R1392" i="36"/>
  <c r="M1416" i="36"/>
  <c r="R1416" i="36"/>
  <c r="M2144" i="36"/>
  <c r="R2144" i="36"/>
  <c r="M2139" i="36"/>
  <c r="R2139" i="36"/>
  <c r="M1406" i="36"/>
  <c r="R1406" i="36"/>
  <c r="M2527" i="36"/>
  <c r="R2527" i="36"/>
  <c r="M1433" i="36"/>
  <c r="R1433" i="36"/>
  <c r="M1434" i="36"/>
  <c r="R1434" i="36"/>
  <c r="M2414" i="36"/>
  <c r="R2414" i="36"/>
  <c r="M1407" i="36"/>
  <c r="R1407" i="36"/>
  <c r="M2140" i="36"/>
  <c r="R2140" i="36"/>
  <c r="M1436" i="36"/>
  <c r="R1436" i="36"/>
  <c r="M2151" i="36"/>
  <c r="R2151" i="36"/>
  <c r="M1408" i="36"/>
  <c r="R1408" i="36"/>
  <c r="M2626" i="36"/>
  <c r="R2626" i="36"/>
  <c r="M1437" i="36"/>
  <c r="R1437" i="36"/>
  <c r="M1409" i="36"/>
  <c r="R1409" i="36"/>
  <c r="M1410" i="36"/>
  <c r="R1410" i="36"/>
  <c r="M2415" i="36"/>
  <c r="R2415" i="36"/>
  <c r="M1438" i="36"/>
  <c r="R1438" i="36"/>
  <c r="M2141" i="36"/>
  <c r="R2141" i="36"/>
  <c r="M1440" i="36"/>
  <c r="R1440" i="36"/>
  <c r="M1439" i="36"/>
  <c r="R1439" i="36"/>
  <c r="M2152" i="36"/>
  <c r="R2152" i="36"/>
  <c r="M2142" i="36"/>
  <c r="R2142" i="36"/>
  <c r="M1411" i="36"/>
  <c r="R1411" i="36"/>
  <c r="M1412" i="36"/>
  <c r="R1412" i="36"/>
  <c r="M1413" i="36"/>
  <c r="R1413" i="36"/>
  <c r="M1441" i="36"/>
  <c r="R1441" i="36"/>
  <c r="M1442" i="36"/>
  <c r="R1442" i="36"/>
  <c r="M1443" i="36"/>
  <c r="R1443" i="36"/>
  <c r="M1435" i="36"/>
  <c r="R1435" i="36"/>
  <c r="M1414" i="36"/>
  <c r="R1414" i="36"/>
  <c r="M2153" i="36"/>
  <c r="R2153" i="36"/>
  <c r="M1444" i="36"/>
  <c r="R1444" i="36"/>
  <c r="M2133" i="36"/>
  <c r="R2133" i="36"/>
  <c r="M1393" i="36"/>
  <c r="R1393" i="36"/>
  <c r="M2145" i="36"/>
  <c r="R2145" i="36"/>
  <c r="M1417" i="36"/>
  <c r="R1417" i="36"/>
  <c r="M2143" i="36"/>
  <c r="R2143" i="36"/>
  <c r="M2154" i="36"/>
  <c r="R2154" i="36"/>
  <c r="M1445" i="36"/>
  <c r="R1445" i="36"/>
  <c r="M1446" i="36"/>
  <c r="R1446" i="36"/>
  <c r="M2523" i="36"/>
  <c r="R2523" i="36"/>
  <c r="M1394" i="36"/>
  <c r="R1394" i="36"/>
  <c r="M2571" i="36"/>
  <c r="R2571" i="36"/>
  <c r="M1418" i="36"/>
  <c r="R1418" i="36"/>
  <c r="M1395" i="36"/>
  <c r="R1395" i="36"/>
  <c r="M2409" i="36"/>
  <c r="R2409" i="36"/>
  <c r="M1396" i="36"/>
  <c r="R1396" i="36"/>
  <c r="M2134" i="36"/>
  <c r="R2134" i="36"/>
  <c r="M2646" i="36"/>
  <c r="R2646" i="36"/>
  <c r="M1419" i="36"/>
  <c r="R1419" i="36"/>
  <c r="M1420" i="36"/>
  <c r="R1420" i="36"/>
  <c r="M2412" i="36"/>
  <c r="R2412" i="36"/>
  <c r="M2603" i="36"/>
  <c r="R2603" i="36"/>
  <c r="M2136" i="36"/>
  <c r="R2136" i="36"/>
  <c r="M2135" i="36"/>
  <c r="R2135" i="36"/>
  <c r="M1422" i="36"/>
  <c r="R1422" i="36"/>
  <c r="M1421" i="36"/>
  <c r="R1421" i="36"/>
  <c r="M1397" i="36"/>
  <c r="R1397" i="36"/>
  <c r="M1208" i="36"/>
  <c r="R1208" i="36"/>
  <c r="M2146" i="36"/>
  <c r="R2146" i="36"/>
  <c r="M1423" i="36"/>
  <c r="R1423" i="36"/>
  <c r="P2525" i="36"/>
  <c r="P1415" i="36"/>
  <c r="P1398" i="36"/>
  <c r="P1399" i="36"/>
  <c r="P1425" i="36"/>
  <c r="P1424" i="36"/>
  <c r="P2572" i="36"/>
  <c r="P1400" i="36"/>
  <c r="P2137" i="36"/>
  <c r="P2413" i="36"/>
  <c r="P1426" i="36"/>
  <c r="P2138" i="36"/>
  <c r="P1401" i="36"/>
  <c r="P1402" i="36"/>
  <c r="P2602" i="36"/>
  <c r="P2147" i="36"/>
  <c r="P2148" i="36"/>
  <c r="P1427" i="36"/>
  <c r="P1428" i="36"/>
  <c r="P2524" i="36"/>
  <c r="P1403" i="36"/>
  <c r="P2526" i="36"/>
  <c r="P1429" i="36"/>
  <c r="P2620" i="36"/>
  <c r="P1430" i="36"/>
  <c r="P1404" i="36"/>
  <c r="P1405" i="36"/>
  <c r="P2410" i="36"/>
  <c r="P2149" i="36"/>
  <c r="P2150" i="36"/>
  <c r="P2639" i="36"/>
  <c r="P1432" i="36"/>
  <c r="P1431" i="36"/>
  <c r="P2411" i="36"/>
  <c r="P2625" i="36"/>
  <c r="P2132" i="36"/>
  <c r="P1392" i="36"/>
  <c r="P1416" i="36"/>
  <c r="P2144" i="36"/>
  <c r="P2139" i="36"/>
  <c r="P1406" i="36"/>
  <c r="P2527" i="36"/>
  <c r="P1433" i="36"/>
  <c r="P1434" i="36"/>
  <c r="P2414" i="36"/>
  <c r="P1407" i="36"/>
  <c r="P2140" i="36"/>
  <c r="P1436" i="36"/>
  <c r="P2151" i="36"/>
  <c r="P1408" i="36"/>
  <c r="P2626" i="36"/>
  <c r="P1437" i="36"/>
  <c r="P1409" i="36"/>
  <c r="P1410" i="36"/>
  <c r="P2415" i="36"/>
  <c r="P1438" i="36"/>
  <c r="P2141" i="36"/>
  <c r="P1440" i="36"/>
  <c r="P1439" i="36"/>
  <c r="P2152" i="36"/>
  <c r="P2142" i="36"/>
  <c r="P1411" i="36"/>
  <c r="P1412" i="36"/>
  <c r="P1413" i="36"/>
  <c r="P1441" i="36"/>
  <c r="P1442" i="36"/>
  <c r="P1443" i="36"/>
  <c r="P1435" i="36"/>
  <c r="P1414" i="36"/>
  <c r="P2153" i="36"/>
  <c r="P1444" i="36"/>
  <c r="P2133" i="36"/>
  <c r="P1393" i="36"/>
  <c r="P2145" i="36"/>
  <c r="P1417" i="36"/>
  <c r="P2143" i="36"/>
  <c r="P2154" i="36"/>
  <c r="P1445" i="36"/>
  <c r="P1446" i="36"/>
  <c r="P2523" i="36"/>
  <c r="P1394" i="36"/>
  <c r="P2571" i="36"/>
  <c r="P1418" i="36"/>
  <c r="P1395" i="36"/>
  <c r="P2409" i="36"/>
  <c r="P1396" i="36"/>
  <c r="P2134" i="36"/>
  <c r="P2646" i="36"/>
  <c r="P1419" i="36"/>
  <c r="P1420" i="36"/>
  <c r="P2412" i="36"/>
  <c r="P2603" i="36"/>
  <c r="P2136" i="36"/>
  <c r="P2135" i="36"/>
  <c r="P1422" i="36"/>
  <c r="P1421" i="36"/>
  <c r="P1397" i="36"/>
  <c r="P1208" i="36"/>
  <c r="P2146" i="36"/>
  <c r="P1423" i="36"/>
  <c r="Q2525" i="36"/>
  <c r="Q1415" i="36"/>
  <c r="Q1398" i="36"/>
  <c r="Q1399" i="36"/>
  <c r="Q1425" i="36"/>
  <c r="Q1424" i="36"/>
  <c r="Q2572" i="36"/>
  <c r="Q1400" i="36"/>
  <c r="Q2137" i="36"/>
  <c r="Q2413" i="36"/>
  <c r="Q1426" i="36"/>
  <c r="Q2138" i="36"/>
  <c r="Q1401" i="36"/>
  <c r="Q1402" i="36"/>
  <c r="Q2602" i="36"/>
  <c r="Q2147" i="36"/>
  <c r="Q2148" i="36"/>
  <c r="Q1427" i="36"/>
  <c r="Q1428" i="36"/>
  <c r="Q2524" i="36"/>
  <c r="Q1403" i="36"/>
  <c r="Q2526" i="36"/>
  <c r="Q1429" i="36"/>
  <c r="Q2620" i="36"/>
  <c r="Q1430" i="36"/>
  <c r="Q1404" i="36"/>
  <c r="Q1405" i="36"/>
  <c r="Q2410" i="36"/>
  <c r="Q2149" i="36"/>
  <c r="Q2150" i="36"/>
  <c r="Q2639" i="36"/>
  <c r="Q1432" i="36"/>
  <c r="Q1431" i="36"/>
  <c r="Q2411" i="36"/>
  <c r="Q2625" i="36"/>
  <c r="Q2132" i="36"/>
  <c r="Q1392" i="36"/>
  <c r="Q1416" i="36"/>
  <c r="Q2144" i="36"/>
  <c r="Q2139" i="36"/>
  <c r="Q1406" i="36"/>
  <c r="Q2527" i="36"/>
  <c r="Q1433" i="36"/>
  <c r="Q1434" i="36"/>
  <c r="Q2414" i="36"/>
  <c r="Q1407" i="36"/>
  <c r="Q2140" i="36"/>
  <c r="Q1436" i="36"/>
  <c r="Q2151" i="36"/>
  <c r="Q1408" i="36"/>
  <c r="Q2626" i="36"/>
  <c r="Q1437" i="36"/>
  <c r="Q1409" i="36"/>
  <c r="Q1410" i="36"/>
  <c r="Q2415" i="36"/>
  <c r="Q1438" i="36"/>
  <c r="Q2141" i="36"/>
  <c r="Q1440" i="36"/>
  <c r="Q1439" i="36"/>
  <c r="Q2152" i="36"/>
  <c r="Q2142" i="36"/>
  <c r="Q1411" i="36"/>
  <c r="Q1412" i="36"/>
  <c r="Q1413" i="36"/>
  <c r="Q1441" i="36"/>
  <c r="Q1442" i="36"/>
  <c r="Q1443" i="36"/>
  <c r="Q1435" i="36"/>
  <c r="Q1414" i="36"/>
  <c r="Q2153" i="36"/>
  <c r="Q1444" i="36"/>
  <c r="Q2133" i="36"/>
  <c r="Q1393" i="36"/>
  <c r="Q2145" i="36"/>
  <c r="Q1417" i="36"/>
  <c r="Q2143" i="36"/>
  <c r="Q2154" i="36"/>
  <c r="Q1445" i="36"/>
  <c r="Q1446" i="36"/>
  <c r="Q2523" i="36"/>
  <c r="Q1394" i="36"/>
  <c r="Q2571" i="36"/>
  <c r="Q1418" i="36"/>
  <c r="Q1395" i="36"/>
  <c r="Q2409" i="36"/>
  <c r="Q1396" i="36"/>
  <c r="Q2134" i="36"/>
  <c r="Q2646" i="36"/>
  <c r="Q1419" i="36"/>
  <c r="Q1420" i="36"/>
  <c r="Q2412" i="36"/>
  <c r="Q2603" i="36"/>
  <c r="Q2136" i="36"/>
  <c r="Q2135" i="36"/>
  <c r="Q1422" i="36"/>
  <c r="Q1421" i="36"/>
  <c r="Q1397" i="36"/>
  <c r="Q1208" i="36"/>
  <c r="Q2146" i="36"/>
  <c r="Q1423" i="36"/>
  <c r="S2525" i="36"/>
  <c r="S1415" i="36"/>
  <c r="S1398" i="36"/>
  <c r="S1399" i="36"/>
  <c r="S1425" i="36"/>
  <c r="S1424" i="36"/>
  <c r="S2572" i="36"/>
  <c r="S1400" i="36"/>
  <c r="S2137" i="36"/>
  <c r="S2413" i="36"/>
  <c r="S1426" i="36"/>
  <c r="S2138" i="36"/>
  <c r="S1401" i="36"/>
  <c r="S1402" i="36"/>
  <c r="S2602" i="36"/>
  <c r="S2147" i="36"/>
  <c r="S2148" i="36"/>
  <c r="S1427" i="36"/>
  <c r="S1428" i="36"/>
  <c r="S2524" i="36"/>
  <c r="S1403" i="36"/>
  <c r="S2526" i="36"/>
  <c r="S1429" i="36"/>
  <c r="S2620" i="36"/>
  <c r="S1430" i="36"/>
  <c r="S1404" i="36"/>
  <c r="S1405" i="36"/>
  <c r="S2410" i="36"/>
  <c r="S2149" i="36"/>
  <c r="S2150" i="36"/>
  <c r="S2639" i="36"/>
  <c r="S1432" i="36"/>
  <c r="S1431" i="36"/>
  <c r="S2411" i="36"/>
  <c r="S2625" i="36"/>
  <c r="S2132" i="36"/>
  <c r="S1392" i="36"/>
  <c r="S1416" i="36"/>
  <c r="S2144" i="36"/>
  <c r="S2139" i="36"/>
  <c r="S1406" i="36"/>
  <c r="S2527" i="36"/>
  <c r="S1433" i="36"/>
  <c r="S1434" i="36"/>
  <c r="S2414" i="36"/>
  <c r="S1407" i="36"/>
  <c r="S2140" i="36"/>
  <c r="S1436" i="36"/>
  <c r="S2151" i="36"/>
  <c r="S1408" i="36"/>
  <c r="S2626" i="36"/>
  <c r="S1437" i="36"/>
  <c r="S1409" i="36"/>
  <c r="S1410" i="36"/>
  <c r="S2415" i="36"/>
  <c r="S1438" i="36"/>
  <c r="S2141" i="36"/>
  <c r="S1440" i="36"/>
  <c r="S1439" i="36"/>
  <c r="S2152" i="36"/>
  <c r="S2142" i="36"/>
  <c r="S1411" i="36"/>
  <c r="S1412" i="36"/>
  <c r="S1413" i="36"/>
  <c r="S1441" i="36"/>
  <c r="S1442" i="36"/>
  <c r="S1443" i="36"/>
  <c r="S1435" i="36"/>
  <c r="S1414" i="36"/>
  <c r="S2153" i="36"/>
  <c r="S1444" i="36"/>
  <c r="S2133" i="36"/>
  <c r="S1393" i="36"/>
  <c r="S2145" i="36"/>
  <c r="S1417" i="36"/>
  <c r="S2143" i="36"/>
  <c r="S2154" i="36"/>
  <c r="S1445" i="36"/>
  <c r="S1446" i="36"/>
  <c r="S2523" i="36"/>
  <c r="S1394" i="36"/>
  <c r="S2571" i="36"/>
  <c r="S1418" i="36"/>
  <c r="S1395" i="36"/>
  <c r="S2409" i="36"/>
  <c r="S1396" i="36"/>
  <c r="S2134" i="36"/>
  <c r="S2646" i="36"/>
  <c r="S1419" i="36"/>
  <c r="S1420" i="36"/>
  <c r="S2412" i="36"/>
  <c r="S2603" i="36"/>
  <c r="S2136" i="36"/>
  <c r="S2135" i="36"/>
  <c r="S1422" i="36"/>
  <c r="S1421" i="36"/>
  <c r="S1397" i="36"/>
  <c r="S1208" i="36"/>
  <c r="S2146" i="36"/>
  <c r="S1423" i="36"/>
  <c r="T2525" i="36"/>
  <c r="T1415" i="36"/>
  <c r="T1398" i="36"/>
  <c r="T1399" i="36"/>
  <c r="T1425" i="36"/>
  <c r="T1424" i="36"/>
  <c r="T2572" i="36"/>
  <c r="T1400" i="36"/>
  <c r="T2137" i="36"/>
  <c r="T2413" i="36"/>
  <c r="T1426" i="36"/>
  <c r="T2138" i="36"/>
  <c r="T1401" i="36"/>
  <c r="T1402" i="36"/>
  <c r="T2602" i="36"/>
  <c r="T2147" i="36"/>
  <c r="T2148" i="36"/>
  <c r="T1427" i="36"/>
  <c r="T1428" i="36"/>
  <c r="T2524" i="36"/>
  <c r="T1403" i="36"/>
  <c r="T2526" i="36"/>
  <c r="T1429" i="36"/>
  <c r="T2620" i="36"/>
  <c r="T1430" i="36"/>
  <c r="T1404" i="36"/>
  <c r="T1405" i="36"/>
  <c r="T2410" i="36"/>
  <c r="T2149" i="36"/>
  <c r="T2150" i="36"/>
  <c r="T2639" i="36"/>
  <c r="T1432" i="36"/>
  <c r="T1431" i="36"/>
  <c r="T2411" i="36"/>
  <c r="T2625" i="36"/>
  <c r="T2132" i="36"/>
  <c r="T1392" i="36"/>
  <c r="T1416" i="36"/>
  <c r="T2144" i="36"/>
  <c r="T2139" i="36"/>
  <c r="T1406" i="36"/>
  <c r="T2527" i="36"/>
  <c r="T1433" i="36"/>
  <c r="T1434" i="36"/>
  <c r="T2414" i="36"/>
  <c r="T1407" i="36"/>
  <c r="T2140" i="36"/>
  <c r="T1436" i="36"/>
  <c r="T2151" i="36"/>
  <c r="T1408" i="36"/>
  <c r="T2626" i="36"/>
  <c r="T1437" i="36"/>
  <c r="T1409" i="36"/>
  <c r="T1410" i="36"/>
  <c r="T2415" i="36"/>
  <c r="T1438" i="36"/>
  <c r="T2141" i="36"/>
  <c r="T1440" i="36"/>
  <c r="T1439" i="36"/>
  <c r="T2152" i="36"/>
  <c r="T2142" i="36"/>
  <c r="T1411" i="36"/>
  <c r="T1412" i="36"/>
  <c r="T1413" i="36"/>
  <c r="T1441" i="36"/>
  <c r="T1442" i="36"/>
  <c r="T1443" i="36"/>
  <c r="T1435" i="36"/>
  <c r="T1414" i="36"/>
  <c r="T2153" i="36"/>
  <c r="T1444" i="36"/>
  <c r="T2133" i="36"/>
  <c r="T1393" i="36"/>
  <c r="T2145" i="36"/>
  <c r="T1417" i="36"/>
  <c r="T2143" i="36"/>
  <c r="T2154" i="36"/>
  <c r="T1445" i="36"/>
  <c r="T1446" i="36"/>
  <c r="T2523" i="36"/>
  <c r="T1394" i="36"/>
  <c r="T2571" i="36"/>
  <c r="T1418" i="36"/>
  <c r="T1395" i="36"/>
  <c r="T2409" i="36"/>
  <c r="T1396" i="36"/>
  <c r="T2134" i="36"/>
  <c r="T2646" i="36"/>
  <c r="T1419" i="36"/>
  <c r="T1420" i="36"/>
  <c r="T2412" i="36"/>
  <c r="T2603" i="36"/>
  <c r="T2136" i="36"/>
  <c r="T2135" i="36"/>
  <c r="T1422" i="36"/>
  <c r="T1421" i="36"/>
  <c r="T1397" i="36"/>
  <c r="T1208" i="36"/>
  <c r="T2146" i="36"/>
  <c r="T1423" i="36"/>
  <c r="AC1208" i="36"/>
  <c r="AA2405" i="36"/>
  <c r="AB2405" i="36"/>
  <c r="AC2405" i="36"/>
  <c r="AA1364" i="36"/>
  <c r="AB1364" i="36"/>
  <c r="AC1364" i="36"/>
  <c r="AA2122" i="36"/>
  <c r="AB2122" i="36"/>
  <c r="AC2122" i="36"/>
  <c r="AA1366" i="36"/>
  <c r="AB1366" i="36"/>
  <c r="AC1366" i="36"/>
  <c r="AA1365" i="36"/>
  <c r="AB1365" i="36"/>
  <c r="AC1365" i="36"/>
  <c r="AA1367" i="36"/>
  <c r="AB1367" i="36"/>
  <c r="AC1367" i="36"/>
  <c r="AA2124" i="36"/>
  <c r="AB2124" i="36"/>
  <c r="AC2124" i="36"/>
  <c r="AA2123" i="36"/>
  <c r="AB2123" i="36"/>
  <c r="AC2123" i="36"/>
  <c r="AA1368" i="36"/>
  <c r="AB1368" i="36"/>
  <c r="AC1368" i="36"/>
  <c r="AA1369" i="36"/>
  <c r="AB1369" i="36"/>
  <c r="AC1369" i="36"/>
  <c r="AA2519" i="36"/>
  <c r="AB2519" i="36"/>
  <c r="AC2519" i="36"/>
  <c r="AA1370" i="36"/>
  <c r="AB1370" i="36"/>
  <c r="AC1370" i="36"/>
  <c r="AA2619" i="36"/>
  <c r="AB2619" i="36"/>
  <c r="AC2619" i="36"/>
  <c r="AA2125" i="36"/>
  <c r="AB2125" i="36"/>
  <c r="AC2125" i="36"/>
  <c r="AA2520" i="36"/>
  <c r="AC2520" i="36"/>
  <c r="AA1371" i="36"/>
  <c r="AB1371" i="36"/>
  <c r="AC1371" i="36"/>
  <c r="AA1373" i="36"/>
  <c r="AB1373" i="36"/>
  <c r="AC1373" i="36"/>
  <c r="AA1372" i="36"/>
  <c r="AB1372" i="36"/>
  <c r="AC1372" i="36"/>
  <c r="AA1374" i="36"/>
  <c r="AB1374" i="36"/>
  <c r="AC1374" i="36"/>
  <c r="AA1376" i="36"/>
  <c r="AB1376" i="36"/>
  <c r="AC1376" i="36"/>
  <c r="AA1375" i="36"/>
  <c r="AB1375" i="36"/>
  <c r="AC1375" i="36"/>
  <c r="AA2126" i="36"/>
  <c r="AC2126" i="36"/>
  <c r="AA1378" i="36"/>
  <c r="AB1378" i="36"/>
  <c r="AC1378" i="36"/>
  <c r="AA1377" i="36"/>
  <c r="AB1377" i="36"/>
  <c r="AC1377" i="36"/>
  <c r="AA1379" i="36"/>
  <c r="AB1379" i="36"/>
  <c r="AC1379" i="36"/>
  <c r="AA2406" i="36"/>
  <c r="AC2406" i="36"/>
  <c r="AA2521" i="36"/>
  <c r="AB2521" i="36"/>
  <c r="AC2521" i="36"/>
  <c r="AA1380" i="36"/>
  <c r="AB1380" i="36"/>
  <c r="AC1380" i="36"/>
  <c r="AA1381" i="36"/>
  <c r="AB1381" i="36"/>
  <c r="AC1381" i="36"/>
  <c r="AA2644" i="36"/>
  <c r="AB2644" i="36"/>
  <c r="AC2644" i="36"/>
  <c r="AA1382" i="36"/>
  <c r="AB1382" i="36"/>
  <c r="AC1382" i="36"/>
  <c r="AA2127" i="36"/>
  <c r="AB2127" i="36"/>
  <c r="AC2127" i="36"/>
  <c r="AA1385" i="36"/>
  <c r="AB1385" i="36"/>
  <c r="AC1385" i="36"/>
  <c r="AA1384" i="36"/>
  <c r="AB1384" i="36"/>
  <c r="AC1384" i="36"/>
  <c r="AA1383" i="36"/>
  <c r="AB1383" i="36"/>
  <c r="AC1383" i="36"/>
  <c r="AA1360" i="36"/>
  <c r="AB1360" i="36"/>
  <c r="AC1360" i="36"/>
  <c r="K2520" i="36"/>
  <c r="L2520" i="36"/>
  <c r="Q2520" i="36"/>
  <c r="K1391" i="36"/>
  <c r="L1391" i="36"/>
  <c r="K2129" i="36"/>
  <c r="L2129" i="36"/>
  <c r="K1386" i="36"/>
  <c r="P1386" i="36"/>
  <c r="M1385" i="36"/>
  <c r="R1385" i="36"/>
  <c r="M1384" i="36"/>
  <c r="R1384" i="36"/>
  <c r="K2643" i="36"/>
  <c r="L2643" i="36"/>
  <c r="K2406" i="36"/>
  <c r="L2406" i="36"/>
  <c r="K2126" i="36"/>
  <c r="L2126" i="36"/>
  <c r="Q2126" i="36"/>
  <c r="I2124" i="36"/>
  <c r="I2123" i="36"/>
  <c r="I1368" i="36"/>
  <c r="I1376" i="36"/>
  <c r="I1375" i="36"/>
  <c r="I2126" i="36"/>
  <c r="I1378" i="36"/>
  <c r="I1377" i="36"/>
  <c r="I1379" i="36"/>
  <c r="I2406" i="36"/>
  <c r="I2521" i="36"/>
  <c r="I2643" i="36"/>
  <c r="I1380" i="36"/>
  <c r="I1381" i="36"/>
  <c r="I2644" i="36"/>
  <c r="I1382" i="36"/>
  <c r="I2127" i="36"/>
  <c r="I1369" i="36"/>
  <c r="I1385" i="36"/>
  <c r="I1384" i="36"/>
  <c r="I1383" i="36"/>
  <c r="I2407" i="36"/>
  <c r="I1386" i="36"/>
  <c r="I2630" i="36"/>
  <c r="I2624" i="36"/>
  <c r="I1387" i="36"/>
  <c r="I2128" i="36"/>
  <c r="I2129" i="36"/>
  <c r="I1388" i="36"/>
  <c r="I1389" i="36"/>
  <c r="I2130" i="36"/>
  <c r="I1390" i="36"/>
  <c r="I2131" i="36"/>
  <c r="I2408" i="36"/>
  <c r="I1391" i="36"/>
  <c r="I2522" i="36"/>
  <c r="I2519" i="36"/>
  <c r="I1370" i="36"/>
  <c r="I2619" i="36"/>
  <c r="I2125" i="36"/>
  <c r="I2520" i="36"/>
  <c r="I1371" i="36"/>
  <c r="I1373" i="36"/>
  <c r="I1372" i="36"/>
  <c r="I1374" i="36"/>
  <c r="M2124" i="36"/>
  <c r="R2124" i="36"/>
  <c r="M2123" i="36"/>
  <c r="R2123" i="36"/>
  <c r="M1368" i="36"/>
  <c r="R1368" i="36"/>
  <c r="M1376" i="36"/>
  <c r="R1376" i="36"/>
  <c r="M1375" i="36"/>
  <c r="R1375" i="36"/>
  <c r="M1378" i="36"/>
  <c r="R1378" i="36"/>
  <c r="M1377" i="36"/>
  <c r="R1377" i="36"/>
  <c r="M1379" i="36"/>
  <c r="R1379" i="36"/>
  <c r="M2521" i="36"/>
  <c r="R2521" i="36"/>
  <c r="M1380" i="36"/>
  <c r="R1380" i="36"/>
  <c r="M1381" i="36"/>
  <c r="R1381" i="36"/>
  <c r="M2644" i="36"/>
  <c r="R2644" i="36"/>
  <c r="M1382" i="36"/>
  <c r="R1382" i="36"/>
  <c r="M2127" i="36"/>
  <c r="R2127" i="36"/>
  <c r="M1369" i="36"/>
  <c r="R1369" i="36"/>
  <c r="M1383" i="36"/>
  <c r="R1383" i="36"/>
  <c r="M2407" i="36"/>
  <c r="R2407" i="36"/>
  <c r="M2630" i="36"/>
  <c r="R2630" i="36"/>
  <c r="M2624" i="36"/>
  <c r="R2624" i="36"/>
  <c r="M1387" i="36"/>
  <c r="R1387" i="36"/>
  <c r="M2128" i="36"/>
  <c r="R2128" i="36"/>
  <c r="M1388" i="36"/>
  <c r="R1388" i="36"/>
  <c r="M1389" i="36"/>
  <c r="R1389" i="36"/>
  <c r="M2130" i="36"/>
  <c r="R2130" i="36"/>
  <c r="M1390" i="36"/>
  <c r="R1390" i="36"/>
  <c r="M2131" i="36"/>
  <c r="R2131" i="36"/>
  <c r="M2408" i="36"/>
  <c r="R2408" i="36"/>
  <c r="M2522" i="36"/>
  <c r="R2522" i="36"/>
  <c r="M2519" i="36"/>
  <c r="R2519" i="36"/>
  <c r="M1370" i="36"/>
  <c r="R1370" i="36"/>
  <c r="M2619" i="36"/>
  <c r="R2619" i="36"/>
  <c r="M2125" i="36"/>
  <c r="R2125" i="36"/>
  <c r="M1371" i="36"/>
  <c r="R1371" i="36"/>
  <c r="M1373" i="36"/>
  <c r="R1373" i="36"/>
  <c r="M1372" i="36"/>
  <c r="R1372" i="36"/>
  <c r="M1374" i="36"/>
  <c r="R1374" i="36"/>
  <c r="P2124" i="36"/>
  <c r="P2123" i="36"/>
  <c r="P1368" i="36"/>
  <c r="P1376" i="36"/>
  <c r="P1375" i="36"/>
  <c r="P1378" i="36"/>
  <c r="P1377" i="36"/>
  <c r="P1379" i="36"/>
  <c r="P2521" i="36"/>
  <c r="P1380" i="36"/>
  <c r="P1381" i="36"/>
  <c r="P2644" i="36"/>
  <c r="P1382" i="36"/>
  <c r="P2127" i="36"/>
  <c r="P1369" i="36"/>
  <c r="P1385" i="36"/>
  <c r="P1384" i="36"/>
  <c r="P1383" i="36"/>
  <c r="P2407" i="36"/>
  <c r="P2630" i="36"/>
  <c r="P2624" i="36"/>
  <c r="P1387" i="36"/>
  <c r="P2128" i="36"/>
  <c r="P1388" i="36"/>
  <c r="P1389" i="36"/>
  <c r="P2130" i="36"/>
  <c r="P1390" i="36"/>
  <c r="P2131" i="36"/>
  <c r="P2408" i="36"/>
  <c r="P2522" i="36"/>
  <c r="P2519" i="36"/>
  <c r="P1370" i="36"/>
  <c r="P2619" i="36"/>
  <c r="P2125" i="36"/>
  <c r="P1371" i="36"/>
  <c r="P1373" i="36"/>
  <c r="P1372" i="36"/>
  <c r="P1374" i="36"/>
  <c r="Q2124" i="36"/>
  <c r="Q2123" i="36"/>
  <c r="Q1368" i="36"/>
  <c r="Q1376" i="36"/>
  <c r="Q1375" i="36"/>
  <c r="Q1378" i="36"/>
  <c r="Q1377" i="36"/>
  <c r="Q1379" i="36"/>
  <c r="Q2521" i="36"/>
  <c r="Q1380" i="36"/>
  <c r="Q1381" i="36"/>
  <c r="Q2644" i="36"/>
  <c r="Q1382" i="36"/>
  <c r="Q2127" i="36"/>
  <c r="Q1369" i="36"/>
  <c r="Q1385" i="36"/>
  <c r="Q1384" i="36"/>
  <c r="Q1383" i="36"/>
  <c r="Q2407" i="36"/>
  <c r="Q2630" i="36"/>
  <c r="Q2624" i="36"/>
  <c r="Q1387" i="36"/>
  <c r="Q2128" i="36"/>
  <c r="Q1388" i="36"/>
  <c r="Q1389" i="36"/>
  <c r="Q2130" i="36"/>
  <c r="Q1390" i="36"/>
  <c r="Q2131" i="36"/>
  <c r="Q2408" i="36"/>
  <c r="Q2522" i="36"/>
  <c r="Q2519" i="36"/>
  <c r="Q1370" i="36"/>
  <c r="Q2619" i="36"/>
  <c r="Q2125" i="36"/>
  <c r="Q1371" i="36"/>
  <c r="Q1373" i="36"/>
  <c r="Q1372" i="36"/>
  <c r="Q1374" i="36"/>
  <c r="S2124" i="36"/>
  <c r="S2123" i="36"/>
  <c r="S1368" i="36"/>
  <c r="S1376" i="36"/>
  <c r="S1375" i="36"/>
  <c r="S2126" i="36"/>
  <c r="S1378" i="36"/>
  <c r="S1377" i="36"/>
  <c r="S1379" i="36"/>
  <c r="S2406" i="36"/>
  <c r="S2521" i="36"/>
  <c r="S1380" i="36"/>
  <c r="S1381" i="36"/>
  <c r="S2644" i="36"/>
  <c r="S1382" i="36"/>
  <c r="S2127" i="36"/>
  <c r="S1369" i="36"/>
  <c r="S1385" i="36"/>
  <c r="S1384" i="36"/>
  <c r="S1383" i="36"/>
  <c r="S2407" i="36"/>
  <c r="S1386" i="36"/>
  <c r="S2630" i="36"/>
  <c r="S2624" i="36"/>
  <c r="S1387" i="36"/>
  <c r="S2128" i="36"/>
  <c r="S2129" i="36"/>
  <c r="S1388" i="36"/>
  <c r="S1389" i="36"/>
  <c r="S2130" i="36"/>
  <c r="S1390" i="36"/>
  <c r="S2131" i="36"/>
  <c r="S2408" i="36"/>
  <c r="S1391" i="36"/>
  <c r="S2522" i="36"/>
  <c r="S2519" i="36"/>
  <c r="S1370" i="36"/>
  <c r="S2619" i="36"/>
  <c r="S2125" i="36"/>
  <c r="S2520" i="36"/>
  <c r="S1371" i="36"/>
  <c r="S1373" i="36"/>
  <c r="S1372" i="36"/>
  <c r="S1374" i="36"/>
  <c r="T2124" i="36"/>
  <c r="T2123" i="36"/>
  <c r="T1368" i="36"/>
  <c r="T1376" i="36"/>
  <c r="T1375" i="36"/>
  <c r="T2126" i="36"/>
  <c r="T1378" i="36"/>
  <c r="T1377" i="36"/>
  <c r="T1379" i="36"/>
  <c r="T2406" i="36"/>
  <c r="T2521" i="36"/>
  <c r="T1380" i="36"/>
  <c r="T1381" i="36"/>
  <c r="T2644" i="36"/>
  <c r="T1382" i="36"/>
  <c r="T2127" i="36"/>
  <c r="T1369" i="36"/>
  <c r="T1385" i="36"/>
  <c r="T1384" i="36"/>
  <c r="T1383" i="36"/>
  <c r="T2407" i="36"/>
  <c r="T1386" i="36"/>
  <c r="T2630" i="36"/>
  <c r="T2624" i="36"/>
  <c r="T1387" i="36"/>
  <c r="T2128" i="36"/>
  <c r="T2129" i="36"/>
  <c r="T1388" i="36"/>
  <c r="T1389" i="36"/>
  <c r="T2130" i="36"/>
  <c r="T1390" i="36"/>
  <c r="T2131" i="36"/>
  <c r="T2408" i="36"/>
  <c r="T1391" i="36"/>
  <c r="T2522" i="36"/>
  <c r="T2519" i="36"/>
  <c r="T1370" i="36"/>
  <c r="T2619" i="36"/>
  <c r="T2125" i="36"/>
  <c r="T2520" i="36"/>
  <c r="T1371" i="36"/>
  <c r="T1373" i="36"/>
  <c r="T1372" i="36"/>
  <c r="T1374" i="36"/>
  <c r="I1338" i="36"/>
  <c r="I1342" i="36"/>
  <c r="I1344" i="36"/>
  <c r="I1346" i="36"/>
  <c r="I1350" i="36"/>
  <c r="I1351" i="36"/>
  <c r="I1352" i="36"/>
  <c r="I1354" i="36"/>
  <c r="I1356" i="36"/>
  <c r="I1358" i="36"/>
  <c r="I1360" i="36"/>
  <c r="I1364" i="36"/>
  <c r="I1365" i="36"/>
  <c r="M1338" i="36"/>
  <c r="R1338" i="36"/>
  <c r="M1342" i="36"/>
  <c r="R1342" i="36"/>
  <c r="M1344" i="36"/>
  <c r="R1344" i="36"/>
  <c r="M1346" i="36"/>
  <c r="R1346" i="36"/>
  <c r="M1350" i="36"/>
  <c r="R1350" i="36"/>
  <c r="M1351" i="36"/>
  <c r="R1351" i="36"/>
  <c r="M1352" i="36"/>
  <c r="R1352" i="36"/>
  <c r="M1354" i="36"/>
  <c r="R1354" i="36"/>
  <c r="M1356" i="36"/>
  <c r="R1356" i="36"/>
  <c r="M1358" i="36"/>
  <c r="R1358" i="36"/>
  <c r="M1360" i="36"/>
  <c r="R1360" i="36"/>
  <c r="M1364" i="36"/>
  <c r="R1364" i="36"/>
  <c r="M1365" i="36"/>
  <c r="R1365" i="36"/>
  <c r="P1338" i="36"/>
  <c r="P1342" i="36"/>
  <c r="P1344" i="36"/>
  <c r="P1346" i="36"/>
  <c r="P1350" i="36"/>
  <c r="P1351" i="36"/>
  <c r="P1352" i="36"/>
  <c r="P1354" i="36"/>
  <c r="P1356" i="36"/>
  <c r="P1358" i="36"/>
  <c r="P1360" i="36"/>
  <c r="P1364" i="36"/>
  <c r="P1365" i="36"/>
  <c r="Q1338" i="36"/>
  <c r="Q1342" i="36"/>
  <c r="Q1344" i="36"/>
  <c r="Q1346" i="36"/>
  <c r="Q1350" i="36"/>
  <c r="Q1351" i="36"/>
  <c r="Q1352" i="36"/>
  <c r="Q1354" i="36"/>
  <c r="Q1356" i="36"/>
  <c r="Q1358" i="36"/>
  <c r="Q1360" i="36"/>
  <c r="Q1364" i="36"/>
  <c r="Q1365" i="36"/>
  <c r="S1338" i="36"/>
  <c r="S1342" i="36"/>
  <c r="S1344" i="36"/>
  <c r="S1346" i="36"/>
  <c r="S1350" i="36"/>
  <c r="S1351" i="36"/>
  <c r="S1352" i="36"/>
  <c r="S1354" i="36"/>
  <c r="S1356" i="36"/>
  <c r="S1358" i="36"/>
  <c r="S1360" i="36"/>
  <c r="S1364" i="36"/>
  <c r="S1365" i="36"/>
  <c r="T1338" i="36"/>
  <c r="T1342" i="36"/>
  <c r="T1344" i="36"/>
  <c r="T1346" i="36"/>
  <c r="T1350" i="36"/>
  <c r="T1351" i="36"/>
  <c r="T1352" i="36"/>
  <c r="T1354" i="36"/>
  <c r="T1356" i="36"/>
  <c r="T1358" i="36"/>
  <c r="T1360" i="36"/>
  <c r="T1364" i="36"/>
  <c r="T1365" i="36"/>
  <c r="AA1338" i="36"/>
  <c r="AA1342" i="36"/>
  <c r="AA1344" i="36"/>
  <c r="AA1346" i="36"/>
  <c r="AA1350" i="36"/>
  <c r="AA1351" i="36"/>
  <c r="AA1352" i="36"/>
  <c r="AA1354" i="36"/>
  <c r="AA1356" i="36"/>
  <c r="AA1358" i="36"/>
  <c r="AB1338" i="36"/>
  <c r="AB1342" i="36"/>
  <c r="AB1344" i="36"/>
  <c r="AB1346" i="36"/>
  <c r="AB1350" i="36"/>
  <c r="AB1351" i="36"/>
  <c r="AB1352" i="36"/>
  <c r="AB1354" i="36"/>
  <c r="AB1356" i="36"/>
  <c r="AB1358" i="36"/>
  <c r="AC1338" i="36"/>
  <c r="AC1342" i="36"/>
  <c r="AC1344" i="36"/>
  <c r="AC1346" i="36"/>
  <c r="AC1350" i="36"/>
  <c r="AC1351" i="36"/>
  <c r="AC1352" i="36"/>
  <c r="AC1354" i="36"/>
  <c r="AC1356" i="36"/>
  <c r="AC1358" i="36"/>
  <c r="I2114" i="36"/>
  <c r="I1339" i="36"/>
  <c r="I1341" i="36"/>
  <c r="I1340" i="36"/>
  <c r="I2401" i="36"/>
  <c r="I2115" i="36"/>
  <c r="I1343" i="36"/>
  <c r="I1345" i="36"/>
  <c r="I2116" i="36"/>
  <c r="I1347" i="36"/>
  <c r="I1349" i="36"/>
  <c r="I1348" i="36"/>
  <c r="I2402" i="36"/>
  <c r="I2117" i="36"/>
  <c r="I2118" i="36"/>
  <c r="I2517" i="36"/>
  <c r="I2403" i="36"/>
  <c r="I2119" i="36"/>
  <c r="I1353" i="36"/>
  <c r="I2404" i="36"/>
  <c r="I1355" i="36"/>
  <c r="I1357" i="36"/>
  <c r="I2120" i="36"/>
  <c r="I2121" i="36"/>
  <c r="I1359" i="36"/>
  <c r="I2518" i="36"/>
  <c r="I1361" i="36"/>
  <c r="I1362" i="36"/>
  <c r="I1363" i="36"/>
  <c r="I2405" i="36"/>
  <c r="I2122" i="36"/>
  <c r="I1366" i="36"/>
  <c r="I1367" i="36"/>
  <c r="M2114" i="36"/>
  <c r="R2114" i="36"/>
  <c r="M1339" i="36"/>
  <c r="R1339" i="36"/>
  <c r="M1341" i="36"/>
  <c r="R1341" i="36"/>
  <c r="M1340" i="36"/>
  <c r="R1340" i="36"/>
  <c r="M2401" i="36"/>
  <c r="R2401" i="36"/>
  <c r="M2115" i="36"/>
  <c r="R2115" i="36"/>
  <c r="M1343" i="36"/>
  <c r="R1343" i="36"/>
  <c r="M1345" i="36"/>
  <c r="R1345" i="36"/>
  <c r="M2116" i="36"/>
  <c r="R2116" i="36"/>
  <c r="M1347" i="36"/>
  <c r="R1347" i="36"/>
  <c r="M1349" i="36"/>
  <c r="R1349" i="36"/>
  <c r="M1348" i="36"/>
  <c r="R1348" i="36"/>
  <c r="M2402" i="36"/>
  <c r="R2402" i="36"/>
  <c r="M2117" i="36"/>
  <c r="R2117" i="36"/>
  <c r="M2118" i="36"/>
  <c r="R2118" i="36"/>
  <c r="M2517" i="36"/>
  <c r="R2517" i="36"/>
  <c r="M2403" i="36"/>
  <c r="R2403" i="36"/>
  <c r="M2119" i="36"/>
  <c r="R2119" i="36"/>
  <c r="M1353" i="36"/>
  <c r="R1353" i="36"/>
  <c r="M2404" i="36"/>
  <c r="R2404" i="36"/>
  <c r="M1355" i="36"/>
  <c r="R1355" i="36"/>
  <c r="M1357" i="36"/>
  <c r="R1357" i="36"/>
  <c r="M2120" i="36"/>
  <c r="R2120" i="36"/>
  <c r="M2121" i="36"/>
  <c r="R2121" i="36"/>
  <c r="M1359" i="36"/>
  <c r="R1359" i="36"/>
  <c r="M2518" i="36"/>
  <c r="R2518" i="36"/>
  <c r="M1361" i="36"/>
  <c r="R1361" i="36"/>
  <c r="M1362" i="36"/>
  <c r="R1362" i="36"/>
  <c r="M1363" i="36"/>
  <c r="R1363" i="36"/>
  <c r="M2405" i="36"/>
  <c r="R2405" i="36"/>
  <c r="M2122" i="36"/>
  <c r="R2122" i="36"/>
  <c r="M1366" i="36"/>
  <c r="R1366" i="36"/>
  <c r="M1367" i="36"/>
  <c r="R1367" i="36"/>
  <c r="P2114" i="36"/>
  <c r="P1339" i="36"/>
  <c r="P1341" i="36"/>
  <c r="P1340" i="36"/>
  <c r="P2401" i="36"/>
  <c r="P2115" i="36"/>
  <c r="P1343" i="36"/>
  <c r="P1345" i="36"/>
  <c r="P2116" i="36"/>
  <c r="P1347" i="36"/>
  <c r="P1349" i="36"/>
  <c r="P1348" i="36"/>
  <c r="P2402" i="36"/>
  <c r="P2117" i="36"/>
  <c r="P2118" i="36"/>
  <c r="P2517" i="36"/>
  <c r="P2403" i="36"/>
  <c r="P2119" i="36"/>
  <c r="P1353" i="36"/>
  <c r="P2404" i="36"/>
  <c r="P1355" i="36"/>
  <c r="P1357" i="36"/>
  <c r="P2120" i="36"/>
  <c r="P2121" i="36"/>
  <c r="P1359" i="36"/>
  <c r="P2518" i="36"/>
  <c r="P1361" i="36"/>
  <c r="P1362" i="36"/>
  <c r="P1363" i="36"/>
  <c r="P2405" i="36"/>
  <c r="P2122" i="36"/>
  <c r="P1366" i="36"/>
  <c r="P1367" i="36"/>
  <c r="Q2114" i="36"/>
  <c r="Q1339" i="36"/>
  <c r="Q1341" i="36"/>
  <c r="Q1340" i="36"/>
  <c r="Q2401" i="36"/>
  <c r="Q2115" i="36"/>
  <c r="Q1343" i="36"/>
  <c r="Q1345" i="36"/>
  <c r="Q2116" i="36"/>
  <c r="Q1347" i="36"/>
  <c r="Q1349" i="36"/>
  <c r="Q1348" i="36"/>
  <c r="Q2402" i="36"/>
  <c r="Q2117" i="36"/>
  <c r="Q2118" i="36"/>
  <c r="Q2517" i="36"/>
  <c r="Q2403" i="36"/>
  <c r="Q2119" i="36"/>
  <c r="Q1353" i="36"/>
  <c r="Q2404" i="36"/>
  <c r="Q1355" i="36"/>
  <c r="Q1357" i="36"/>
  <c r="Q2120" i="36"/>
  <c r="Q2121" i="36"/>
  <c r="Q1359" i="36"/>
  <c r="Q2518" i="36"/>
  <c r="Q1361" i="36"/>
  <c r="Q1362" i="36"/>
  <c r="Q1363" i="36"/>
  <c r="Q2405" i="36"/>
  <c r="Q2122" i="36"/>
  <c r="Q1366" i="36"/>
  <c r="Q1367" i="36"/>
  <c r="S2114" i="36"/>
  <c r="S1339" i="36"/>
  <c r="S1341" i="36"/>
  <c r="S1340" i="36"/>
  <c r="S2401" i="36"/>
  <c r="S2115" i="36"/>
  <c r="S1343" i="36"/>
  <c r="S1345" i="36"/>
  <c r="S2116" i="36"/>
  <c r="S1347" i="36"/>
  <c r="S1349" i="36"/>
  <c r="S1348" i="36"/>
  <c r="S2402" i="36"/>
  <c r="S2117" i="36"/>
  <c r="S2118" i="36"/>
  <c r="S2517" i="36"/>
  <c r="S2403" i="36"/>
  <c r="S2119" i="36"/>
  <c r="S1353" i="36"/>
  <c r="S2404" i="36"/>
  <c r="S1355" i="36"/>
  <c r="S1357" i="36"/>
  <c r="S2120" i="36"/>
  <c r="S2121" i="36"/>
  <c r="S1359" i="36"/>
  <c r="S2518" i="36"/>
  <c r="S1361" i="36"/>
  <c r="S1362" i="36"/>
  <c r="S1363" i="36"/>
  <c r="S2405" i="36"/>
  <c r="S2122" i="36"/>
  <c r="S1366" i="36"/>
  <c r="S1367" i="36"/>
  <c r="T2114" i="36"/>
  <c r="T1339" i="36"/>
  <c r="T1341" i="36"/>
  <c r="T1340" i="36"/>
  <c r="T2401" i="36"/>
  <c r="T2115" i="36"/>
  <c r="T1343" i="36"/>
  <c r="T1345" i="36"/>
  <c r="T2116" i="36"/>
  <c r="T1347" i="36"/>
  <c r="T1349" i="36"/>
  <c r="T1348" i="36"/>
  <c r="T2402" i="36"/>
  <c r="T2117" i="36"/>
  <c r="T2118" i="36"/>
  <c r="T2517" i="36"/>
  <c r="T2403" i="36"/>
  <c r="T2119" i="36"/>
  <c r="T1353" i="36"/>
  <c r="T2404" i="36"/>
  <c r="T1355" i="36"/>
  <c r="T1357" i="36"/>
  <c r="T2120" i="36"/>
  <c r="T2121" i="36"/>
  <c r="T1359" i="36"/>
  <c r="T2518" i="36"/>
  <c r="T1361" i="36"/>
  <c r="T1362" i="36"/>
  <c r="T1363" i="36"/>
  <c r="T2405" i="36"/>
  <c r="T2122" i="36"/>
  <c r="T1366" i="36"/>
  <c r="T1367" i="36"/>
  <c r="AA2114" i="36"/>
  <c r="AA1339" i="36"/>
  <c r="AA1341" i="36"/>
  <c r="AA1340" i="36"/>
  <c r="AA2401" i="36"/>
  <c r="AA2115" i="36"/>
  <c r="AA1343" i="36"/>
  <c r="AA1345" i="36"/>
  <c r="AA2116" i="36"/>
  <c r="AA1347" i="36"/>
  <c r="AA1349" i="36"/>
  <c r="AA1348" i="36"/>
  <c r="AA2402" i="36"/>
  <c r="AA2117" i="36"/>
  <c r="AA2118" i="36"/>
  <c r="AA2517" i="36"/>
  <c r="AA2403" i="36"/>
  <c r="AA2119" i="36"/>
  <c r="AA1353" i="36"/>
  <c r="AA2404" i="36"/>
  <c r="AA1355" i="36"/>
  <c r="AA1357" i="36"/>
  <c r="AA2120" i="36"/>
  <c r="AA2121" i="36"/>
  <c r="AA1359" i="36"/>
  <c r="AA2518" i="36"/>
  <c r="AA1361" i="36"/>
  <c r="AA1362" i="36"/>
  <c r="AA1363" i="36"/>
  <c r="AB2114" i="36"/>
  <c r="AB1339" i="36"/>
  <c r="AB1341" i="36"/>
  <c r="AB1340" i="36"/>
  <c r="AB2401" i="36"/>
  <c r="AB2115" i="36"/>
  <c r="AB1343" i="36"/>
  <c r="AB1345" i="36"/>
  <c r="AB2116" i="36"/>
  <c r="AB1347" i="36"/>
  <c r="AB1349" i="36"/>
  <c r="AB1348" i="36"/>
  <c r="AB2402" i="36"/>
  <c r="AB2117" i="36"/>
  <c r="AB2118" i="36"/>
  <c r="AB2517" i="36"/>
  <c r="AB2403" i="36"/>
  <c r="AB2119" i="36"/>
  <c r="AB1353" i="36"/>
  <c r="AB2404" i="36"/>
  <c r="AB1355" i="36"/>
  <c r="AB1357" i="36"/>
  <c r="AB2120" i="36"/>
  <c r="AB2121" i="36"/>
  <c r="AB1359" i="36"/>
  <c r="AB2518" i="36"/>
  <c r="AB1361" i="36"/>
  <c r="AB1362" i="36"/>
  <c r="AB1363" i="36"/>
  <c r="AC2114" i="36"/>
  <c r="AC1339" i="36"/>
  <c r="AC1341" i="36"/>
  <c r="AC1340" i="36"/>
  <c r="AC2401" i="36"/>
  <c r="AC2115" i="36"/>
  <c r="AC1343" i="36"/>
  <c r="AC1345" i="36"/>
  <c r="AC2116" i="36"/>
  <c r="AC1347" i="36"/>
  <c r="AC1349" i="36"/>
  <c r="AC1348" i="36"/>
  <c r="AC2402" i="36"/>
  <c r="AC2117" i="36"/>
  <c r="AC2118" i="36"/>
  <c r="AC2517" i="36"/>
  <c r="AC2403" i="36"/>
  <c r="AC2119" i="36"/>
  <c r="AC1353" i="36"/>
  <c r="AC2404" i="36"/>
  <c r="AC1355" i="36"/>
  <c r="AC1357" i="36"/>
  <c r="AC2120" i="36"/>
  <c r="AC2121" i="36"/>
  <c r="AC1359" i="36"/>
  <c r="AC2518" i="36"/>
  <c r="AC1361" i="36"/>
  <c r="AC1362" i="36"/>
  <c r="AC1363" i="36"/>
  <c r="AC1510" i="36"/>
  <c r="AC1511" i="36"/>
  <c r="AC1512" i="36"/>
  <c r="AC1513" i="36"/>
  <c r="AC1514" i="36"/>
  <c r="AC1515" i="36"/>
  <c r="AC1516" i="36"/>
  <c r="AC1517" i="36"/>
  <c r="AC1518" i="36"/>
  <c r="AC1520" i="36"/>
  <c r="AC1519" i="36"/>
  <c r="AC1521" i="36"/>
  <c r="AC1523" i="36"/>
  <c r="AC1522" i="36"/>
  <c r="AC1524" i="36"/>
  <c r="AC1526" i="36"/>
  <c r="AC1525" i="36"/>
  <c r="AC1527" i="36"/>
  <c r="AC1529" i="36"/>
  <c r="AC1528" i="36"/>
  <c r="AC1530" i="36"/>
  <c r="AC1532" i="36"/>
  <c r="AC1531" i="36"/>
  <c r="AC1533" i="36"/>
  <c r="AC1535" i="36"/>
  <c r="AC1534" i="36"/>
  <c r="AC1536" i="36"/>
  <c r="AC1539" i="36"/>
  <c r="AC1538" i="36"/>
  <c r="AC1537" i="36"/>
  <c r="AC1540" i="36"/>
  <c r="AC1541" i="36"/>
  <c r="AC1542" i="36"/>
  <c r="AC1543" i="36"/>
  <c r="AC1544" i="36"/>
  <c r="AC1545" i="36"/>
  <c r="AC1546" i="36"/>
  <c r="AC1547" i="36"/>
  <c r="AC1548" i="36"/>
  <c r="AC1549" i="36"/>
  <c r="AC1551" i="36"/>
  <c r="AC1550" i="36"/>
  <c r="AC1553" i="36"/>
  <c r="AC1552" i="36"/>
  <c r="AC1554" i="36"/>
  <c r="AC1555" i="36"/>
  <c r="AB1510" i="36"/>
  <c r="AB1511" i="36"/>
  <c r="AB1512" i="36"/>
  <c r="AB1514" i="36"/>
  <c r="AB1515" i="36"/>
  <c r="AB1516" i="36"/>
  <c r="AB1517" i="36"/>
  <c r="AB1518" i="36"/>
  <c r="AB1520" i="36"/>
  <c r="AB1519" i="36"/>
  <c r="AB1521" i="36"/>
  <c r="AB1523" i="36"/>
  <c r="AB1522" i="36"/>
  <c r="AB1524" i="36"/>
  <c r="AB1526" i="36"/>
  <c r="AB1525" i="36"/>
  <c r="AB1529" i="36"/>
  <c r="AB1528" i="36"/>
  <c r="AB1530" i="36"/>
  <c r="AB1532" i="36"/>
  <c r="AB1531" i="36"/>
  <c r="AB1535" i="36"/>
  <c r="AB1534" i="36"/>
  <c r="AB1539" i="36"/>
  <c r="AB1538" i="36"/>
  <c r="AB1537" i="36"/>
  <c r="AB1540" i="36"/>
  <c r="AB1541" i="36"/>
  <c r="AB1543" i="36"/>
  <c r="AB1544" i="36"/>
  <c r="AB1545" i="36"/>
  <c r="AB1546" i="36"/>
  <c r="AB1547" i="36"/>
  <c r="AB1548" i="36"/>
  <c r="AB1549" i="36"/>
  <c r="AB1551" i="36"/>
  <c r="AB1553" i="36"/>
  <c r="AB1552" i="36"/>
  <c r="AA1510" i="36"/>
  <c r="AA1511" i="36"/>
  <c r="AA1512" i="36"/>
  <c r="AA1513" i="36"/>
  <c r="AA1514" i="36"/>
  <c r="AA1515" i="36"/>
  <c r="AA1516" i="36"/>
  <c r="AA1517" i="36"/>
  <c r="AA1518" i="36"/>
  <c r="AA1520" i="36"/>
  <c r="AA1519" i="36"/>
  <c r="AA1521" i="36"/>
  <c r="AA1523" i="36"/>
  <c r="AA1522" i="36"/>
  <c r="AA1524" i="36"/>
  <c r="AA1526" i="36"/>
  <c r="AA1525" i="36"/>
  <c r="AA1527" i="36"/>
  <c r="AA1529" i="36"/>
  <c r="AA1528" i="36"/>
  <c r="AA1530" i="36"/>
  <c r="AA1532" i="36"/>
  <c r="AA1531" i="36"/>
  <c r="AA1533" i="36"/>
  <c r="AA1535" i="36"/>
  <c r="AA1534" i="36"/>
  <c r="AA1536" i="36"/>
  <c r="AA1539" i="36"/>
  <c r="AA1538" i="36"/>
  <c r="AA1537" i="36"/>
  <c r="AA1540" i="36"/>
  <c r="AA1541" i="36"/>
  <c r="AA1542" i="36"/>
  <c r="AA1543" i="36"/>
  <c r="AA1544" i="36"/>
  <c r="AA1545" i="36"/>
  <c r="AA1546" i="36"/>
  <c r="AA1547" i="36"/>
  <c r="AA1548" i="36"/>
  <c r="AA1549" i="36"/>
  <c r="AA1551" i="36"/>
  <c r="AA1550" i="36"/>
  <c r="AA1553" i="36"/>
  <c r="AA1552" i="36"/>
  <c r="AA1554" i="36"/>
  <c r="AA1555" i="36"/>
  <c r="L1555" i="36"/>
  <c r="Q1555" i="36"/>
  <c r="L1554" i="36"/>
  <c r="Q1554" i="36"/>
  <c r="K1555" i="36"/>
  <c r="AB1555" i="36"/>
  <c r="K1554" i="36"/>
  <c r="AB1554" i="36"/>
  <c r="L1550" i="36"/>
  <c r="Q1550" i="36"/>
  <c r="K1550" i="36"/>
  <c r="P1550" i="36"/>
  <c r="L1542" i="36"/>
  <c r="Q1542" i="36"/>
  <c r="K1542" i="36"/>
  <c r="AB1542" i="36"/>
  <c r="L1536" i="36"/>
  <c r="Q1536" i="36"/>
  <c r="K1536" i="36"/>
  <c r="P1536" i="36"/>
  <c r="L1533" i="36"/>
  <c r="Q1533" i="36"/>
  <c r="K1533" i="36"/>
  <c r="L1527" i="36"/>
  <c r="Q1527" i="36"/>
  <c r="K1527" i="36"/>
  <c r="AB1527" i="36"/>
  <c r="K1513" i="36"/>
  <c r="P1513" i="36"/>
  <c r="L1513" i="36"/>
  <c r="Q1513" i="36"/>
  <c r="I1523" i="36"/>
  <c r="I1522" i="36"/>
  <c r="I1524" i="36"/>
  <c r="I1526" i="36"/>
  <c r="I1525" i="36"/>
  <c r="I1527" i="36"/>
  <c r="I1529" i="36"/>
  <c r="I1528" i="36"/>
  <c r="I1530" i="36"/>
  <c r="I1532" i="36"/>
  <c r="I1531" i="36"/>
  <c r="I1533" i="36"/>
  <c r="I1535" i="36"/>
  <c r="I1534" i="36"/>
  <c r="I1513" i="36"/>
  <c r="I1536" i="36"/>
  <c r="I1539" i="36"/>
  <c r="I1538" i="36"/>
  <c r="I1537" i="36"/>
  <c r="I1540" i="36"/>
  <c r="I1541" i="36"/>
  <c r="I1542" i="36"/>
  <c r="I1543" i="36"/>
  <c r="I1544" i="36"/>
  <c r="I1545" i="36"/>
  <c r="I1546" i="36"/>
  <c r="I1547" i="36"/>
  <c r="I1548" i="36"/>
  <c r="I1549" i="36"/>
  <c r="I1551" i="36"/>
  <c r="I1550" i="36"/>
  <c r="I1514" i="36"/>
  <c r="I1553" i="36"/>
  <c r="I1552" i="36"/>
  <c r="I1554" i="36"/>
  <c r="I1555" i="36"/>
  <c r="I1515" i="36"/>
  <c r="I1516" i="36"/>
  <c r="I1517" i="36"/>
  <c r="I1518" i="36"/>
  <c r="I1520" i="36"/>
  <c r="I1519" i="36"/>
  <c r="I1521" i="36"/>
  <c r="M1523" i="36"/>
  <c r="R1523" i="36"/>
  <c r="M1522" i="36"/>
  <c r="R1522" i="36"/>
  <c r="M1524" i="36"/>
  <c r="R1524" i="36"/>
  <c r="M1526" i="36"/>
  <c r="R1526" i="36"/>
  <c r="M1525" i="36"/>
  <c r="R1525" i="36"/>
  <c r="M1529" i="36"/>
  <c r="R1529" i="36"/>
  <c r="M1528" i="36"/>
  <c r="R1528" i="36"/>
  <c r="M1530" i="36"/>
  <c r="R1530" i="36"/>
  <c r="M1532" i="36"/>
  <c r="R1532" i="36"/>
  <c r="M1531" i="36"/>
  <c r="R1531" i="36"/>
  <c r="M1535" i="36"/>
  <c r="R1535" i="36"/>
  <c r="M1534" i="36"/>
  <c r="R1534" i="36"/>
  <c r="M1539" i="36"/>
  <c r="R1539" i="36"/>
  <c r="M1538" i="36"/>
  <c r="R1538" i="36"/>
  <c r="M1537" i="36"/>
  <c r="R1537" i="36"/>
  <c r="M1540" i="36"/>
  <c r="R1540" i="36"/>
  <c r="M1541" i="36"/>
  <c r="R1541" i="36"/>
  <c r="M1543" i="36"/>
  <c r="R1543" i="36"/>
  <c r="M1544" i="36"/>
  <c r="R1544" i="36"/>
  <c r="M1545" i="36"/>
  <c r="R1545" i="36"/>
  <c r="M1546" i="36"/>
  <c r="R1546" i="36"/>
  <c r="M1547" i="36"/>
  <c r="R1547" i="36"/>
  <c r="M1548" i="36"/>
  <c r="R1548" i="36"/>
  <c r="M1549" i="36"/>
  <c r="R1549" i="36"/>
  <c r="M1551" i="36"/>
  <c r="R1551" i="36"/>
  <c r="M1514" i="36"/>
  <c r="R1514" i="36"/>
  <c r="M1553" i="36"/>
  <c r="R1553" i="36"/>
  <c r="M1552" i="36"/>
  <c r="R1552" i="36"/>
  <c r="M1515" i="36"/>
  <c r="R1515" i="36"/>
  <c r="M1516" i="36"/>
  <c r="R1516" i="36"/>
  <c r="M1517" i="36"/>
  <c r="R1517" i="36"/>
  <c r="M1518" i="36"/>
  <c r="R1518" i="36"/>
  <c r="M1520" i="36"/>
  <c r="R1520" i="36"/>
  <c r="M1519" i="36"/>
  <c r="R1519" i="36"/>
  <c r="M1521" i="36"/>
  <c r="R1521" i="36"/>
  <c r="P1523" i="36"/>
  <c r="P1522" i="36"/>
  <c r="P1524" i="36"/>
  <c r="P1526" i="36"/>
  <c r="P1525" i="36"/>
  <c r="P1529" i="36"/>
  <c r="P1528" i="36"/>
  <c r="P1530" i="36"/>
  <c r="P1532" i="36"/>
  <c r="P1531" i="36"/>
  <c r="P1535" i="36"/>
  <c r="P1534" i="36"/>
  <c r="P1539" i="36"/>
  <c r="P1538" i="36"/>
  <c r="P1537" i="36"/>
  <c r="P1540" i="36"/>
  <c r="P1541" i="36"/>
  <c r="P1543" i="36"/>
  <c r="P1544" i="36"/>
  <c r="P1545" i="36"/>
  <c r="P1546" i="36"/>
  <c r="P1547" i="36"/>
  <c r="P1548" i="36"/>
  <c r="P1549" i="36"/>
  <c r="P1551" i="36"/>
  <c r="P1514" i="36"/>
  <c r="P1553" i="36"/>
  <c r="P1552" i="36"/>
  <c r="P1515" i="36"/>
  <c r="P1516" i="36"/>
  <c r="P1517" i="36"/>
  <c r="P1518" i="36"/>
  <c r="P1520" i="36"/>
  <c r="P1519" i="36"/>
  <c r="P1521" i="36"/>
  <c r="Q1523" i="36"/>
  <c r="Q1522" i="36"/>
  <c r="Q1524" i="36"/>
  <c r="Q1526" i="36"/>
  <c r="Q1525" i="36"/>
  <c r="Q1529" i="36"/>
  <c r="Q1528" i="36"/>
  <c r="Q1530" i="36"/>
  <c r="Q1532" i="36"/>
  <c r="Q1531" i="36"/>
  <c r="Q1535" i="36"/>
  <c r="Q1534" i="36"/>
  <c r="Q1539" i="36"/>
  <c r="Q1538" i="36"/>
  <c r="Q1537" i="36"/>
  <c r="Q1540" i="36"/>
  <c r="Q1541" i="36"/>
  <c r="Q1543" i="36"/>
  <c r="Q1544" i="36"/>
  <c r="Q1545" i="36"/>
  <c r="Q1546" i="36"/>
  <c r="Q1547" i="36"/>
  <c r="Q1548" i="36"/>
  <c r="Q1549" i="36"/>
  <c r="Q1551" i="36"/>
  <c r="Q1514" i="36"/>
  <c r="Q1553" i="36"/>
  <c r="Q1552" i="36"/>
  <c r="Q1515" i="36"/>
  <c r="Q1516" i="36"/>
  <c r="Q1517" i="36"/>
  <c r="Q1518" i="36"/>
  <c r="Q1520" i="36"/>
  <c r="Q1519" i="36"/>
  <c r="Q1521" i="36"/>
  <c r="S1523" i="36"/>
  <c r="S1522" i="36"/>
  <c r="S1524" i="36"/>
  <c r="S1526" i="36"/>
  <c r="S1525" i="36"/>
  <c r="S1527" i="36"/>
  <c r="S1529" i="36"/>
  <c r="S1528" i="36"/>
  <c r="S1530" i="36"/>
  <c r="S1532" i="36"/>
  <c r="S1531" i="36"/>
  <c r="S1533" i="36"/>
  <c r="S1535" i="36"/>
  <c r="S1534" i="36"/>
  <c r="S1513" i="36"/>
  <c r="S1536" i="36"/>
  <c r="S1539" i="36"/>
  <c r="S1538" i="36"/>
  <c r="S1537" i="36"/>
  <c r="S1540" i="36"/>
  <c r="S1541" i="36"/>
  <c r="S1542" i="36"/>
  <c r="S1543" i="36"/>
  <c r="S1544" i="36"/>
  <c r="S1545" i="36"/>
  <c r="S1546" i="36"/>
  <c r="S1547" i="36"/>
  <c r="S1548" i="36"/>
  <c r="S1549" i="36"/>
  <c r="S1551" i="36"/>
  <c r="S1550" i="36"/>
  <c r="S1514" i="36"/>
  <c r="S1553" i="36"/>
  <c r="S1552" i="36"/>
  <c r="S1554" i="36"/>
  <c r="S1555" i="36"/>
  <c r="S1515" i="36"/>
  <c r="S1516" i="36"/>
  <c r="S1517" i="36"/>
  <c r="S1518" i="36"/>
  <c r="S1520" i="36"/>
  <c r="S1519" i="36"/>
  <c r="S1521" i="36"/>
  <c r="T1523" i="36"/>
  <c r="T1522" i="36"/>
  <c r="T1524" i="36"/>
  <c r="T1526" i="36"/>
  <c r="T1525" i="36"/>
  <c r="T1527" i="36"/>
  <c r="T1529" i="36"/>
  <c r="T1528" i="36"/>
  <c r="T1530" i="36"/>
  <c r="T1532" i="36"/>
  <c r="T1531" i="36"/>
  <c r="T1533" i="36"/>
  <c r="T1535" i="36"/>
  <c r="T1534" i="36"/>
  <c r="T1513" i="36"/>
  <c r="T1536" i="36"/>
  <c r="T1539" i="36"/>
  <c r="T1538" i="36"/>
  <c r="T1537" i="36"/>
  <c r="T1540" i="36"/>
  <c r="T1541" i="36"/>
  <c r="T1542" i="36"/>
  <c r="T1543" i="36"/>
  <c r="T1544" i="36"/>
  <c r="T1545" i="36"/>
  <c r="T1546" i="36"/>
  <c r="T1547" i="36"/>
  <c r="T1548" i="36"/>
  <c r="T1549" i="36"/>
  <c r="T1551" i="36"/>
  <c r="T1550" i="36"/>
  <c r="T1514" i="36"/>
  <c r="T1553" i="36"/>
  <c r="T1552" i="36"/>
  <c r="T1554" i="36"/>
  <c r="T1555" i="36"/>
  <c r="T1515" i="36"/>
  <c r="T1516" i="36"/>
  <c r="T1517" i="36"/>
  <c r="T1518" i="36"/>
  <c r="T1520" i="36"/>
  <c r="T1519" i="36"/>
  <c r="T1521" i="36"/>
  <c r="AA1507" i="36"/>
  <c r="AB1507" i="36"/>
  <c r="AC1507" i="36"/>
  <c r="AA1509" i="36"/>
  <c r="AB1509" i="36"/>
  <c r="AC1509" i="36"/>
  <c r="AA1508" i="36"/>
  <c r="AB1508" i="36"/>
  <c r="AC1508" i="36"/>
  <c r="AA1501" i="36"/>
  <c r="AB1501" i="36"/>
  <c r="AC1501" i="36"/>
  <c r="AA1503" i="36"/>
  <c r="AB1503" i="36"/>
  <c r="AC1503" i="36"/>
  <c r="AA1502" i="36"/>
  <c r="AB1502" i="36"/>
  <c r="AC1502" i="36"/>
  <c r="AA1506" i="36"/>
  <c r="AB1506" i="36"/>
  <c r="AC1506" i="36"/>
  <c r="M1500" i="36"/>
  <c r="M1504" i="36"/>
  <c r="M1505" i="36"/>
  <c r="M1507" i="36"/>
  <c r="M1509" i="36"/>
  <c r="M1508" i="36"/>
  <c r="M1510" i="36"/>
  <c r="M1511" i="36"/>
  <c r="M1512" i="36"/>
  <c r="M1501" i="36"/>
  <c r="M1503" i="36"/>
  <c r="M1502" i="36"/>
  <c r="M1506" i="36"/>
  <c r="M1499" i="36"/>
  <c r="I1510" i="36"/>
  <c r="I1511" i="36"/>
  <c r="I1512" i="36"/>
  <c r="I1501" i="36"/>
  <c r="I1503" i="36"/>
  <c r="I1502" i="36"/>
  <c r="I1506" i="36"/>
  <c r="Z1656" i="36"/>
  <c r="Z1660" i="36"/>
  <c r="Z1655" i="36"/>
  <c r="Z1686" i="36"/>
  <c r="Z1680" i="36"/>
  <c r="Z1671" i="36"/>
  <c r="Z1652" i="36"/>
  <c r="Z1691" i="36"/>
  <c r="Z1676" i="36"/>
  <c r="Z1664" i="36"/>
  <c r="Z1657" i="36"/>
  <c r="Z1663" i="36"/>
  <c r="Z1695" i="36"/>
  <c r="Z1689" i="36"/>
  <c r="Z1653" i="36"/>
  <c r="Z1675" i="36"/>
  <c r="Z1688" i="36"/>
  <c r="Z1692" i="36"/>
  <c r="Z1685" i="36"/>
  <c r="Z1669" i="36"/>
  <c r="Z1682" i="36"/>
  <c r="Z1677" i="36"/>
  <c r="Z1668" i="36"/>
  <c r="Z1667" i="36"/>
  <c r="Z1616" i="36"/>
  <c r="Z1607" i="36"/>
  <c r="Z1662" i="36"/>
  <c r="Z1696" i="36"/>
  <c r="Z1690" i="36"/>
  <c r="Z1654" i="36"/>
  <c r="Z1674" i="36"/>
  <c r="Z1661" i="36"/>
  <c r="Z1694" i="36"/>
  <c r="Z1687" i="36"/>
  <c r="Z1681" i="36"/>
  <c r="Z1673" i="36"/>
  <c r="Z1665" i="36"/>
  <c r="Z1648" i="36"/>
  <c r="Z1635" i="36"/>
  <c r="Z1634" i="36"/>
  <c r="Z1683" i="36"/>
  <c r="Z1670" i="36"/>
  <c r="Z1672" i="36"/>
  <c r="Z1693" i="36"/>
  <c r="Z1666" i="36"/>
  <c r="Z1678" i="36"/>
  <c r="Z1659" i="36"/>
  <c r="Z1679" i="36"/>
  <c r="Z1658" i="36"/>
  <c r="Z1684" i="36"/>
  <c r="Z1646" i="36"/>
  <c r="Z1639" i="36"/>
  <c r="Z1633" i="36"/>
  <c r="Z1623" i="36"/>
  <c r="Z1618" i="36"/>
  <c r="Z1603" i="36"/>
  <c r="Z1640" i="36"/>
  <c r="Z1614" i="36"/>
  <c r="Z1606" i="36"/>
  <c r="Z1644" i="36"/>
  <c r="Z1605" i="36"/>
  <c r="Z1629" i="36"/>
  <c r="Z1626" i="36"/>
  <c r="Z1600" i="36"/>
  <c r="Z1612" i="36"/>
  <c r="Z1651" i="36"/>
  <c r="Z1643" i="36"/>
  <c r="Z1637" i="36"/>
  <c r="Z1630" i="36"/>
  <c r="Z1622" i="36"/>
  <c r="Z1610" i="36"/>
  <c r="Z1619" i="36"/>
  <c r="Z1609" i="36"/>
  <c r="Z1620" i="36"/>
  <c r="Z1601" i="36"/>
  <c r="Z1602" i="36"/>
  <c r="Z1613" i="36"/>
  <c r="Z1650" i="36"/>
  <c r="Z1641" i="36"/>
  <c r="Z1636" i="36"/>
  <c r="Z1628" i="36"/>
  <c r="Z1621" i="36"/>
  <c r="Z1611" i="36"/>
  <c r="Z1649" i="36"/>
  <c r="Z1642" i="36"/>
  <c r="Z1625" i="36"/>
  <c r="Z1645" i="36"/>
  <c r="Z1638" i="36"/>
  <c r="Z1631" i="36"/>
  <c r="Z1627" i="36"/>
  <c r="Z1617" i="36"/>
  <c r="Z1615" i="36"/>
  <c r="Z1608" i="36"/>
  <c r="Z1647" i="36"/>
  <c r="Z1604" i="36"/>
  <c r="Z1632" i="36"/>
  <c r="Z1624" i="36"/>
  <c r="AB1536" i="36"/>
  <c r="Z1595" i="36"/>
  <c r="Z1580" i="36"/>
  <c r="Z1563" i="36"/>
  <c r="Z1599" i="36"/>
  <c r="Z1590" i="36"/>
  <c r="Z1583" i="36"/>
  <c r="Z1576" i="36"/>
  <c r="Z1567" i="36"/>
  <c r="Z1561" i="36"/>
  <c r="Z1597" i="36"/>
  <c r="Z1588" i="36"/>
  <c r="Z1581" i="36"/>
  <c r="Z1573" i="36"/>
  <c r="Z1579" i="36"/>
  <c r="Z1565" i="36"/>
  <c r="Z1586" i="36"/>
  <c r="Z1578" i="36"/>
  <c r="Z1571" i="36"/>
  <c r="Z1559" i="36"/>
  <c r="Z1562" i="36"/>
  <c r="Z1598" i="36"/>
  <c r="Z1591" i="36"/>
  <c r="Z1582" i="36"/>
  <c r="Z1574" i="36"/>
  <c r="Z1593" i="36"/>
  <c r="Z1569" i="36"/>
  <c r="Z1596" i="36"/>
  <c r="Z1589" i="36"/>
  <c r="Z1572" i="36"/>
  <c r="Z1568" i="36"/>
  <c r="Z1587" i="36"/>
  <c r="Z1570" i="36"/>
  <c r="Z1566" i="36"/>
  <c r="Z1560" i="36"/>
  <c r="Z1594" i="36"/>
  <c r="Z1585" i="36"/>
  <c r="Z1577" i="36"/>
  <c r="Z1558" i="36"/>
  <c r="Z1564" i="36"/>
  <c r="Z1592" i="36"/>
  <c r="Z1584" i="36"/>
  <c r="Z1575" i="36"/>
  <c r="Z1557" i="36"/>
  <c r="Z1556" i="36"/>
  <c r="Z1393" i="36"/>
  <c r="Z1394" i="36"/>
  <c r="Z1441" i="36"/>
  <c r="Z2151" i="36"/>
  <c r="Z1431" i="36"/>
  <c r="Z2148" i="36"/>
  <c r="Z2137" i="36"/>
  <c r="Z2525" i="36"/>
  <c r="Z2153" i="36"/>
  <c r="Z1419" i="36"/>
  <c r="Z1406" i="36"/>
  <c r="Z2138" i="36"/>
  <c r="Z1397" i="36"/>
  <c r="Z2141" i="36"/>
  <c r="Z1430" i="36"/>
  <c r="Z2135" i="36"/>
  <c r="Z1421" i="36"/>
  <c r="Z2646" i="36"/>
  <c r="Z2523" i="36"/>
  <c r="Z2133" i="36"/>
  <c r="Z1413" i="36"/>
  <c r="Z1438" i="36"/>
  <c r="Z1436" i="36"/>
  <c r="Z1432" i="36"/>
  <c r="Z2620" i="36"/>
  <c r="Z2139" i="36"/>
  <c r="Z1410" i="36"/>
  <c r="Z2150" i="36"/>
  <c r="Z2154" i="36"/>
  <c r="Z1414" i="36"/>
  <c r="Z2414" i="36"/>
  <c r="Z1404" i="36"/>
  <c r="Z1392" i="36"/>
  <c r="Z2149" i="36"/>
  <c r="Z1425" i="36"/>
  <c r="Z1388" i="36"/>
  <c r="Z1442" i="36"/>
  <c r="Z2527" i="36"/>
  <c r="Z1435" i="36"/>
  <c r="Z2132" i="36"/>
  <c r="Z2407" i="36"/>
  <c r="Z2147" i="36"/>
  <c r="Z1400" i="36"/>
  <c r="Z1389" i="36"/>
  <c r="Z2413" i="36"/>
  <c r="Z1444" i="36"/>
  <c r="Z2415" i="36"/>
  <c r="Z2144" i="36"/>
  <c r="Z1429" i="36"/>
  <c r="Z2602" i="36"/>
  <c r="Z2572" i="36"/>
  <c r="Z1405" i="36"/>
  <c r="Z1445" i="36"/>
  <c r="Z1411" i="36"/>
  <c r="Z1407" i="36"/>
  <c r="Z1416" i="36"/>
  <c r="Z2526" i="36"/>
  <c r="Z1402" i="36"/>
  <c r="Z1424" i="36"/>
  <c r="Z2128" i="36"/>
  <c r="Z1443" i="36"/>
  <c r="Z2136" i="36"/>
  <c r="Z2409" i="36"/>
  <c r="Z2142" i="36"/>
  <c r="Z1409" i="36"/>
  <c r="Z1403" i="36"/>
  <c r="Z1401" i="36"/>
  <c r="Z2522" i="36"/>
  <c r="Z1387" i="36"/>
  <c r="Z1423" i="36"/>
  <c r="Z2603" i="36"/>
  <c r="Z1395" i="36"/>
  <c r="Z2143" i="36"/>
  <c r="Z1437" i="36"/>
  <c r="Z1434" i="36"/>
  <c r="Z2410" i="36"/>
  <c r="Z2524" i="36"/>
  <c r="Z1399" i="36"/>
  <c r="Z2408" i="36"/>
  <c r="Z2624" i="36"/>
  <c r="Z1422" i="36"/>
  <c r="Z2134" i="36"/>
  <c r="Z1446" i="36"/>
  <c r="Z1412" i="36"/>
  <c r="Z2140" i="36"/>
  <c r="Z2639" i="36"/>
  <c r="Z2146" i="36"/>
  <c r="Z2412" i="36"/>
  <c r="Z1418" i="36"/>
  <c r="Z1417" i="36"/>
  <c r="Z1439" i="36"/>
  <c r="Z2626" i="36"/>
  <c r="Z1433" i="36"/>
  <c r="Z2625" i="36"/>
  <c r="Z1428" i="36"/>
  <c r="Z1398" i="36"/>
  <c r="Z2131" i="36"/>
  <c r="Z2630" i="36"/>
  <c r="Z1396" i="36"/>
  <c r="Z1420" i="36"/>
  <c r="Z2571" i="36"/>
  <c r="Z2145" i="36"/>
  <c r="Z1440" i="36"/>
  <c r="Z1408" i="36"/>
  <c r="Z2411" i="36"/>
  <c r="Z1427" i="36"/>
  <c r="Z1415" i="36"/>
  <c r="Z1390" i="36"/>
  <c r="Z2130" i="36"/>
  <c r="Z1426" i="36"/>
  <c r="Z2152" i="36"/>
  <c r="AB1391" i="36"/>
  <c r="AB1386" i="36"/>
  <c r="AB2129" i="36"/>
  <c r="M1550" i="36"/>
  <c r="R1550" i="36"/>
  <c r="Z1550" i="36"/>
  <c r="M1533" i="36"/>
  <c r="R1533" i="36"/>
  <c r="P1527" i="36"/>
  <c r="P1555" i="36"/>
  <c r="Z1371" i="36"/>
  <c r="M1554" i="36"/>
  <c r="R1554" i="36"/>
  <c r="P1554" i="36"/>
  <c r="AB1513" i="36"/>
  <c r="Z1370" i="36"/>
  <c r="Z1376" i="36"/>
  <c r="Z2519" i="36"/>
  <c r="Z1382" i="36"/>
  <c r="Z1375" i="36"/>
  <c r="Z2405" i="36"/>
  <c r="AB2520" i="36"/>
  <c r="Z2122" i="36"/>
  <c r="Z2619" i="36"/>
  <c r="Z1369" i="36"/>
  <c r="Z1377" i="36"/>
  <c r="Z2127" i="36"/>
  <c r="Z1378" i="36"/>
  <c r="Z1364" i="36"/>
  <c r="Z1385" i="36"/>
  <c r="Z1381" i="36"/>
  <c r="Z1368" i="36"/>
  <c r="Z2521" i="36"/>
  <c r="Z2124" i="36"/>
  <c r="Z1367" i="36"/>
  <c r="Z1366" i="36"/>
  <c r="Z2644" i="36"/>
  <c r="AB2126" i="36"/>
  <c r="Z1372" i="36"/>
  <c r="Z1373" i="36"/>
  <c r="Z1380" i="36"/>
  <c r="Z2123" i="36"/>
  <c r="Z1365" i="36"/>
  <c r="Z2125" i="36"/>
  <c r="Z1383" i="36"/>
  <c r="Z1379" i="36"/>
  <c r="Z1384" i="36"/>
  <c r="Z1374" i="36"/>
  <c r="P2520" i="36"/>
  <c r="AB2406" i="36"/>
  <c r="Z1360" i="36"/>
  <c r="P2406" i="36"/>
  <c r="P1391" i="36"/>
  <c r="P2126" i="36"/>
  <c r="L1386" i="36"/>
  <c r="M2520" i="36"/>
  <c r="R2520" i="36"/>
  <c r="Q1391" i="36"/>
  <c r="M1391" i="36"/>
  <c r="R1391" i="36"/>
  <c r="M2129" i="36"/>
  <c r="R2129" i="36"/>
  <c r="Q2129" i="36"/>
  <c r="P2129" i="36"/>
  <c r="M2643" i="36"/>
  <c r="M2406" i="36"/>
  <c r="R2406" i="36"/>
  <c r="Q2406" i="36"/>
  <c r="M2126" i="36"/>
  <c r="R2126" i="36"/>
  <c r="Z1356" i="36"/>
  <c r="AB1550" i="36"/>
  <c r="AB1533" i="36"/>
  <c r="P1542" i="36"/>
  <c r="Z1338" i="36"/>
  <c r="Z1346" i="36"/>
  <c r="Z1344" i="36"/>
  <c r="Z1354" i="36"/>
  <c r="Z1352" i="36"/>
  <c r="Z1350" i="36"/>
  <c r="Z1351" i="36"/>
  <c r="Z1359" i="36"/>
  <c r="Z1358" i="36"/>
  <c r="Z1342" i="36"/>
  <c r="Z2403" i="36"/>
  <c r="Z2116" i="36"/>
  <c r="Z2114" i="36"/>
  <c r="Z1521" i="36"/>
  <c r="Z2119" i="36"/>
  <c r="Z1530" i="36"/>
  <c r="Z1553" i="36"/>
  <c r="Z1520" i="36"/>
  <c r="Z1544" i="36"/>
  <c r="Z1531" i="36"/>
  <c r="Z1535" i="36"/>
  <c r="Z1524" i="36"/>
  <c r="Z1517" i="36"/>
  <c r="Z1551" i="36"/>
  <c r="Z1515" i="36"/>
  <c r="Z1363" i="36"/>
  <c r="Z1341" i="36"/>
  <c r="Z1362" i="36"/>
  <c r="Z1353" i="36"/>
  <c r="Z1361" i="36"/>
  <c r="Z1347" i="36"/>
  <c r="Z1357" i="36"/>
  <c r="Z2117" i="36"/>
  <c r="Z2115" i="36"/>
  <c r="Z1339" i="36"/>
  <c r="Z2518" i="36"/>
  <c r="Z2121" i="36"/>
  <c r="Z2517" i="36"/>
  <c r="Z1345" i="36"/>
  <c r="Z1348" i="36"/>
  <c r="Z2404" i="36"/>
  <c r="Z2401" i="36"/>
  <c r="Z1340" i="36"/>
  <c r="Z2120" i="36"/>
  <c r="Z2118" i="36"/>
  <c r="Z1343" i="36"/>
  <c r="Z2402" i="36"/>
  <c r="Z1349" i="36"/>
  <c r="Z1355" i="36"/>
  <c r="Z1539" i="36"/>
  <c r="Z1525" i="36"/>
  <c r="Z1514" i="36"/>
  <c r="Z1541" i="36"/>
  <c r="Z1523" i="36"/>
  <c r="Z1545" i="36"/>
  <c r="Z1516" i="36"/>
  <c r="Z1540" i="36"/>
  <c r="Z1548" i="36"/>
  <c r="Z1537" i="36"/>
  <c r="Z1528" i="36"/>
  <c r="Z1543" i="36"/>
  <c r="Z1547" i="36"/>
  <c r="Z1538" i="36"/>
  <c r="Z1529" i="36"/>
  <c r="Z1549" i="36"/>
  <c r="Z1552" i="36"/>
  <c r="Z1546" i="36"/>
  <c r="Z1519" i="36"/>
  <c r="Z1534" i="36"/>
  <c r="Z1526" i="36"/>
  <c r="Z1518" i="36"/>
  <c r="Z1522" i="36"/>
  <c r="Z1532" i="36"/>
  <c r="M1555" i="36"/>
  <c r="R1555" i="36"/>
  <c r="M1542" i="36"/>
  <c r="R1542" i="36"/>
  <c r="M1536" i="36"/>
  <c r="R1536" i="36"/>
  <c r="Z1536" i="36"/>
  <c r="P1533" i="36"/>
  <c r="M1527" i="36"/>
  <c r="R1527" i="36"/>
  <c r="M1513" i="36"/>
  <c r="R1513" i="36"/>
  <c r="Z1513" i="36"/>
  <c r="P1501" i="36"/>
  <c r="P1503" i="36"/>
  <c r="P1502" i="36"/>
  <c r="P1506" i="36"/>
  <c r="Q1501" i="36"/>
  <c r="Q1503" i="36"/>
  <c r="Q1502" i="36"/>
  <c r="Q1506" i="36"/>
  <c r="R1501" i="36"/>
  <c r="R1503" i="36"/>
  <c r="Z1503" i="36"/>
  <c r="R1502" i="36"/>
  <c r="R1506" i="36"/>
  <c r="Z1506" i="36"/>
  <c r="S1501" i="36"/>
  <c r="S1503" i="36"/>
  <c r="S1502" i="36"/>
  <c r="S1506" i="36"/>
  <c r="T1501" i="36"/>
  <c r="T1503" i="36"/>
  <c r="T1502" i="36"/>
  <c r="T1506" i="36"/>
  <c r="S1510" i="36"/>
  <c r="S1504" i="36"/>
  <c r="S1505" i="36"/>
  <c r="S1507" i="36"/>
  <c r="S1509" i="36"/>
  <c r="S1508" i="36"/>
  <c r="S1484" i="36"/>
  <c r="S1511" i="36"/>
  <c r="S1512" i="36"/>
  <c r="S1485" i="36"/>
  <c r="S1486" i="36"/>
  <c r="S1487" i="36"/>
  <c r="S1488" i="36"/>
  <c r="AA1478" i="36"/>
  <c r="AA1477" i="36"/>
  <c r="AA1479" i="36"/>
  <c r="AA1480" i="36"/>
  <c r="AA1481" i="36"/>
  <c r="AA1482" i="36"/>
  <c r="AA1489" i="36"/>
  <c r="AA1490" i="36"/>
  <c r="AA1491" i="36"/>
  <c r="AA1492" i="36"/>
  <c r="AA1494" i="36"/>
  <c r="AA1493" i="36"/>
  <c r="AA1495" i="36"/>
  <c r="AA1496" i="36"/>
  <c r="AA1497" i="36"/>
  <c r="AA1498" i="36"/>
  <c r="AA1483" i="36"/>
  <c r="AA1499" i="36"/>
  <c r="AA1500" i="36"/>
  <c r="AA1504" i="36"/>
  <c r="AA1505" i="36"/>
  <c r="AA1484" i="36"/>
  <c r="AA1485" i="36"/>
  <c r="AA1486" i="36"/>
  <c r="AA1487" i="36"/>
  <c r="AA1488" i="36"/>
  <c r="AB1481" i="36"/>
  <c r="AB1489" i="36"/>
  <c r="AB1490" i="36"/>
  <c r="AB1494" i="36"/>
  <c r="AB1493" i="36"/>
  <c r="AB1495" i="36"/>
  <c r="AB1496" i="36"/>
  <c r="AB1497" i="36"/>
  <c r="AB1498" i="36"/>
  <c r="AB1483" i="36"/>
  <c r="AB1499" i="36"/>
  <c r="AB1500" i="36"/>
  <c r="AB1504" i="36"/>
  <c r="AB1505" i="36"/>
  <c r="AB1484" i="36"/>
  <c r="AB1485" i="36"/>
  <c r="AB1486" i="36"/>
  <c r="AB1487" i="36"/>
  <c r="AC1482" i="36"/>
  <c r="AC1489" i="36"/>
  <c r="AC1490" i="36"/>
  <c r="AC1491" i="36"/>
  <c r="AC1492" i="36"/>
  <c r="AC1494" i="36"/>
  <c r="AC1493" i="36"/>
  <c r="AC1495" i="36"/>
  <c r="AC1496" i="36"/>
  <c r="AC1497" i="36"/>
  <c r="AC1498" i="36"/>
  <c r="AC1483" i="36"/>
  <c r="AC1499" i="36"/>
  <c r="AC1500" i="36"/>
  <c r="AC1504" i="36"/>
  <c r="AC1505" i="36"/>
  <c r="AC1484" i="36"/>
  <c r="AC1485" i="36"/>
  <c r="AC1486" i="36"/>
  <c r="AC1487" i="36"/>
  <c r="AC1488" i="36"/>
  <c r="Z2129" i="36"/>
  <c r="Z1533" i="36"/>
  <c r="Z1391" i="36"/>
  <c r="Z1527" i="36"/>
  <c r="Z1554" i="36"/>
  <c r="Z1555" i="36"/>
  <c r="Z2520" i="36"/>
  <c r="Z2406" i="36"/>
  <c r="Z2126" i="36"/>
  <c r="Z1502" i="36"/>
  <c r="Z1542" i="36"/>
  <c r="Q1386" i="36"/>
  <c r="M1386" i="36"/>
  <c r="R1386" i="36"/>
  <c r="Z1386" i="36"/>
  <c r="Z1501" i="36"/>
  <c r="L1488" i="36"/>
  <c r="Q1488" i="36"/>
  <c r="K1488" i="36"/>
  <c r="AB1488" i="36"/>
  <c r="L1492" i="36"/>
  <c r="Q1492" i="36"/>
  <c r="L1491" i="36"/>
  <c r="Q1491" i="36"/>
  <c r="K1492" i="36"/>
  <c r="K1491" i="36"/>
  <c r="L1482" i="36"/>
  <c r="Q1482" i="36"/>
  <c r="K1482" i="36"/>
  <c r="AB1482" i="36"/>
  <c r="I1489" i="36"/>
  <c r="I1490" i="36"/>
  <c r="I1491" i="36"/>
  <c r="I1492" i="36"/>
  <c r="I1494" i="36"/>
  <c r="I1493" i="36"/>
  <c r="I1495" i="36"/>
  <c r="I1496" i="36"/>
  <c r="I1497" i="36"/>
  <c r="I1498" i="36"/>
  <c r="I1483" i="36"/>
  <c r="I1499" i="36"/>
  <c r="I1500" i="36"/>
  <c r="I1504" i="36"/>
  <c r="I1505" i="36"/>
  <c r="I1507" i="36"/>
  <c r="I1509" i="36"/>
  <c r="I1508" i="36"/>
  <c r="I1484" i="36"/>
  <c r="I1485" i="36"/>
  <c r="I1486" i="36"/>
  <c r="I1487" i="36"/>
  <c r="I1488" i="36"/>
  <c r="I1482" i="36"/>
  <c r="M1489" i="36"/>
  <c r="R1489" i="36"/>
  <c r="M1490" i="36"/>
  <c r="R1490" i="36"/>
  <c r="M1494" i="36"/>
  <c r="R1494" i="36"/>
  <c r="M1493" i="36"/>
  <c r="R1493" i="36"/>
  <c r="M1495" i="36"/>
  <c r="R1495" i="36"/>
  <c r="M1496" i="36"/>
  <c r="R1496" i="36"/>
  <c r="M1497" i="36"/>
  <c r="R1497" i="36"/>
  <c r="M1498" i="36"/>
  <c r="R1498" i="36"/>
  <c r="M1483" i="36"/>
  <c r="R1483" i="36"/>
  <c r="R1508" i="36"/>
  <c r="M1484" i="36"/>
  <c r="R1484" i="36"/>
  <c r="M1485" i="36"/>
  <c r="R1485" i="36"/>
  <c r="M1486" i="36"/>
  <c r="R1486" i="36"/>
  <c r="M1487" i="36"/>
  <c r="R1487" i="36"/>
  <c r="P1489" i="36"/>
  <c r="P1490" i="36"/>
  <c r="P1494" i="36"/>
  <c r="P1493" i="36"/>
  <c r="P1495" i="36"/>
  <c r="P1496" i="36"/>
  <c r="P1497" i="36"/>
  <c r="P1498" i="36"/>
  <c r="P1483" i="36"/>
  <c r="P1499" i="36"/>
  <c r="P1500" i="36"/>
  <c r="P1504" i="36"/>
  <c r="P1505" i="36"/>
  <c r="P1507" i="36"/>
  <c r="P1509" i="36"/>
  <c r="P1508" i="36"/>
  <c r="P1484" i="36"/>
  <c r="P1510" i="36"/>
  <c r="P1511" i="36"/>
  <c r="P1512" i="36"/>
  <c r="P1485" i="36"/>
  <c r="P1486" i="36"/>
  <c r="P1487" i="36"/>
  <c r="Q1489" i="36"/>
  <c r="Q1490" i="36"/>
  <c r="Q1494" i="36"/>
  <c r="Q1493" i="36"/>
  <c r="Q1495" i="36"/>
  <c r="Q1496" i="36"/>
  <c r="Q1497" i="36"/>
  <c r="Q1498" i="36"/>
  <c r="Q1483" i="36"/>
  <c r="Q1499" i="36"/>
  <c r="Q1500" i="36"/>
  <c r="Q1504" i="36"/>
  <c r="Q1505" i="36"/>
  <c r="Q1507" i="36"/>
  <c r="Q1509" i="36"/>
  <c r="Q1508" i="36"/>
  <c r="Q1484" i="36"/>
  <c r="Q1510" i="36"/>
  <c r="Q1511" i="36"/>
  <c r="Q1512" i="36"/>
  <c r="Q1485" i="36"/>
  <c r="Q1486" i="36"/>
  <c r="Q1487" i="36"/>
  <c r="R1499" i="36"/>
  <c r="R1500" i="36"/>
  <c r="R1504" i="36"/>
  <c r="R1505" i="36"/>
  <c r="R1507" i="36"/>
  <c r="R1509" i="36"/>
  <c r="R1510" i="36"/>
  <c r="R1511" i="36"/>
  <c r="R1512" i="36"/>
  <c r="S1482" i="36"/>
  <c r="S1489" i="36"/>
  <c r="S1490" i="36"/>
  <c r="S1491" i="36"/>
  <c r="S1492" i="36"/>
  <c r="S1494" i="36"/>
  <c r="S1493" i="36"/>
  <c r="S1495" i="36"/>
  <c r="S1496" i="36"/>
  <c r="S1497" i="36"/>
  <c r="S1498" i="36"/>
  <c r="S1483" i="36"/>
  <c r="S1499" i="36"/>
  <c r="S1500" i="36"/>
  <c r="T1482" i="36"/>
  <c r="T1489" i="36"/>
  <c r="T1490" i="36"/>
  <c r="T1491" i="36"/>
  <c r="T1492" i="36"/>
  <c r="T1494" i="36"/>
  <c r="T1493" i="36"/>
  <c r="T1495" i="36"/>
  <c r="T1496" i="36"/>
  <c r="T1497" i="36"/>
  <c r="T1498" i="36"/>
  <c r="T1483" i="36"/>
  <c r="T1499" i="36"/>
  <c r="T1500" i="36"/>
  <c r="T1504" i="36"/>
  <c r="T1505" i="36"/>
  <c r="T1507" i="36"/>
  <c r="T1509" i="36"/>
  <c r="T1508" i="36"/>
  <c r="T1484" i="36"/>
  <c r="T1510" i="36"/>
  <c r="T1511" i="36"/>
  <c r="T1512" i="36"/>
  <c r="T1485" i="36"/>
  <c r="T1486" i="36"/>
  <c r="T1487" i="36"/>
  <c r="T1488" i="36"/>
  <c r="M1461" i="36"/>
  <c r="R1461" i="36"/>
  <c r="P1461" i="36"/>
  <c r="Q1461" i="36"/>
  <c r="S1461" i="36"/>
  <c r="T1461" i="36"/>
  <c r="M1462" i="36"/>
  <c r="R1462" i="36"/>
  <c r="P1462" i="36"/>
  <c r="Q1462" i="36"/>
  <c r="S1462" i="36"/>
  <c r="T1462" i="36"/>
  <c r="M1463" i="36"/>
  <c r="R1463" i="36"/>
  <c r="P1463" i="36"/>
  <c r="Q1463" i="36"/>
  <c r="S1463" i="36"/>
  <c r="T1463" i="36"/>
  <c r="M1464" i="36"/>
  <c r="R1464" i="36"/>
  <c r="P1464" i="36"/>
  <c r="Q1464" i="36"/>
  <c r="S1464" i="36"/>
  <c r="T1464" i="36"/>
  <c r="M1465" i="36"/>
  <c r="R1465" i="36"/>
  <c r="P1465" i="36"/>
  <c r="Q1465" i="36"/>
  <c r="S1465" i="36"/>
  <c r="T1465" i="36"/>
  <c r="M1466" i="36"/>
  <c r="R1466" i="36"/>
  <c r="P1466" i="36"/>
  <c r="Q1466" i="36"/>
  <c r="S1466" i="36"/>
  <c r="T1466" i="36"/>
  <c r="M1467" i="36"/>
  <c r="R1467" i="36"/>
  <c r="P1467" i="36"/>
  <c r="Q1467" i="36"/>
  <c r="S1467" i="36"/>
  <c r="T1467" i="36"/>
  <c r="M1468" i="36"/>
  <c r="R1468" i="36"/>
  <c r="P1468" i="36"/>
  <c r="Q1468" i="36"/>
  <c r="S1468" i="36"/>
  <c r="T1468" i="36"/>
  <c r="M1469" i="36"/>
  <c r="R1469" i="36"/>
  <c r="P1469" i="36"/>
  <c r="Q1469" i="36"/>
  <c r="S1469" i="36"/>
  <c r="T1469" i="36"/>
  <c r="M1470" i="36"/>
  <c r="R1470" i="36"/>
  <c r="P1470" i="36"/>
  <c r="Q1470" i="36"/>
  <c r="S1470" i="36"/>
  <c r="T1470" i="36"/>
  <c r="M1471" i="36"/>
  <c r="M1472" i="36"/>
  <c r="M1473" i="36"/>
  <c r="M1474" i="36"/>
  <c r="M1475" i="36"/>
  <c r="M1476" i="36"/>
  <c r="M1478" i="36"/>
  <c r="M1477" i="36"/>
  <c r="M1479" i="36"/>
  <c r="M1480" i="36"/>
  <c r="M1481" i="36"/>
  <c r="M1332" i="36"/>
  <c r="M1333" i="36"/>
  <c r="M1334" i="36"/>
  <c r="M1335" i="36"/>
  <c r="M1336" i="36"/>
  <c r="M1447" i="36"/>
  <c r="M1337" i="36"/>
  <c r="M1448" i="36"/>
  <c r="M1449" i="36"/>
  <c r="M1450" i="36"/>
  <c r="M1451" i="36"/>
  <c r="M1452" i="36"/>
  <c r="M1453" i="36"/>
  <c r="M1455" i="36"/>
  <c r="M1454" i="36"/>
  <c r="M1457" i="36"/>
  <c r="M1456" i="36"/>
  <c r="M1458" i="36"/>
  <c r="M1459" i="36"/>
  <c r="M1460" i="36"/>
  <c r="Z1512" i="36"/>
  <c r="Z1511" i="36"/>
  <c r="Z1495" i="36"/>
  <c r="P1488" i="36"/>
  <c r="Z1493" i="36"/>
  <c r="Z1504" i="36"/>
  <c r="Z1509" i="36"/>
  <c r="Z1487" i="36"/>
  <c r="Z1485" i="36"/>
  <c r="Z1494" i="36"/>
  <c r="Z1499" i="36"/>
  <c r="Z1507" i="36"/>
  <c r="Z1498" i="36"/>
  <c r="Z1505" i="36"/>
  <c r="Z1500" i="36"/>
  <c r="Z1510" i="36"/>
  <c r="Z1508" i="36"/>
  <c r="Z1497" i="36"/>
  <c r="Z1496" i="36"/>
  <c r="Z1484" i="36"/>
  <c r="Z1483" i="36"/>
  <c r="Z1489" i="36"/>
  <c r="Z1486" i="36"/>
  <c r="Z1490" i="36"/>
  <c r="M1492" i="36"/>
  <c r="R1492" i="36"/>
  <c r="AB1492" i="36"/>
  <c r="P1491" i="36"/>
  <c r="AB1491" i="36"/>
  <c r="M1488" i="36"/>
  <c r="R1488" i="36"/>
  <c r="P1492" i="36"/>
  <c r="M1491" i="36"/>
  <c r="R1491" i="36"/>
  <c r="M1482" i="36"/>
  <c r="R1482" i="36"/>
  <c r="P1482" i="36"/>
  <c r="I1481" i="36"/>
  <c r="P1481" i="36"/>
  <c r="Q1481" i="36"/>
  <c r="R1481" i="36"/>
  <c r="S1481" i="36"/>
  <c r="T1481" i="36"/>
  <c r="AC1481" i="36"/>
  <c r="Z1488" i="36"/>
  <c r="Z1481" i="36"/>
  <c r="Z1482" i="36"/>
  <c r="Z1491" i="36"/>
  <c r="Z1492" i="36"/>
  <c r="I1480" i="36"/>
  <c r="P1480" i="36"/>
  <c r="Q1480" i="36"/>
  <c r="R1480" i="36"/>
  <c r="S1480" i="36"/>
  <c r="T1480" i="36"/>
  <c r="AB1480" i="36"/>
  <c r="AC1480" i="36"/>
  <c r="Z1480" i="36"/>
  <c r="I1479" i="36"/>
  <c r="R1479" i="36"/>
  <c r="P1479" i="36"/>
  <c r="Q1479" i="36"/>
  <c r="S1479" i="36"/>
  <c r="T1479" i="36"/>
  <c r="AB1479" i="36"/>
  <c r="AC1479" i="36"/>
  <c r="Z1479" i="36"/>
  <c r="I1477" i="36"/>
  <c r="R1477" i="36"/>
  <c r="P1477" i="36"/>
  <c r="Q1477" i="36"/>
  <c r="S1477" i="36"/>
  <c r="T1477" i="36"/>
  <c r="AB1477" i="36"/>
  <c r="AC1477" i="36"/>
  <c r="Z1477" i="36"/>
  <c r="I1478" i="36"/>
  <c r="R1478" i="36"/>
  <c r="P1478" i="36"/>
  <c r="Q1478" i="36"/>
  <c r="S1478" i="36"/>
  <c r="T1478" i="36"/>
  <c r="AB1478" i="36"/>
  <c r="AC1478" i="36"/>
  <c r="Z1478" i="36"/>
  <c r="I1476" i="36"/>
  <c r="R1476" i="36"/>
  <c r="P1476" i="36"/>
  <c r="Q1476" i="36"/>
  <c r="S1476" i="36"/>
  <c r="T1476" i="36"/>
  <c r="AA1476" i="36"/>
  <c r="AB1476" i="36"/>
  <c r="AC1476" i="36"/>
  <c r="Z1476" i="36"/>
  <c r="I1475" i="36"/>
  <c r="R1475" i="36"/>
  <c r="P1475" i="36"/>
  <c r="Q1475" i="36"/>
  <c r="S1475" i="36"/>
  <c r="T1475" i="36"/>
  <c r="AA1475" i="36"/>
  <c r="AB1475" i="36"/>
  <c r="AC1475" i="36"/>
  <c r="Z1475" i="36"/>
  <c r="I1474" i="36"/>
  <c r="R1474" i="36"/>
  <c r="P1474" i="36"/>
  <c r="Q1474" i="36"/>
  <c r="S1474" i="36"/>
  <c r="T1474" i="36"/>
  <c r="AA1474" i="36"/>
  <c r="AB1474" i="36"/>
  <c r="AC1474" i="36"/>
  <c r="Z1474" i="36"/>
  <c r="I1473" i="36"/>
  <c r="R1473" i="36"/>
  <c r="P1473" i="36"/>
  <c r="Q1473" i="36"/>
  <c r="S1473" i="36"/>
  <c r="T1473" i="36"/>
  <c r="AA1473" i="36"/>
  <c r="AB1473" i="36"/>
  <c r="AC1473" i="36"/>
  <c r="Z1473" i="36"/>
  <c r="I1472" i="36"/>
  <c r="R1472" i="36"/>
  <c r="P1472" i="36"/>
  <c r="Q1472" i="36"/>
  <c r="S1472" i="36"/>
  <c r="T1472" i="36"/>
  <c r="AA1472" i="36"/>
  <c r="AB1472" i="36"/>
  <c r="AC1472" i="36"/>
  <c r="Z1472" i="36"/>
  <c r="I1471" i="36"/>
  <c r="R1471" i="36"/>
  <c r="P1471" i="36"/>
  <c r="Q1471" i="36"/>
  <c r="S1471" i="36"/>
  <c r="T1471" i="36"/>
  <c r="AA1471" i="36"/>
  <c r="AB1471" i="36"/>
  <c r="AC1471" i="36"/>
  <c r="Z1471" i="36"/>
  <c r="I1470" i="36"/>
  <c r="AA1470" i="36"/>
  <c r="AB1470" i="36"/>
  <c r="AC1470" i="36"/>
  <c r="Z1470" i="36"/>
  <c r="I1469" i="36"/>
  <c r="Z1469" i="36"/>
  <c r="AA1469" i="36"/>
  <c r="AB1469" i="36"/>
  <c r="AC1469" i="36"/>
  <c r="I1468" i="36"/>
  <c r="AA1468" i="36"/>
  <c r="AB1468" i="36"/>
  <c r="AC1468" i="36"/>
  <c r="I1467" i="36"/>
  <c r="Z1468" i="36"/>
  <c r="I1460" i="36"/>
  <c r="I1461" i="36"/>
  <c r="I1462" i="36"/>
  <c r="I1463" i="36"/>
  <c r="I1464" i="36"/>
  <c r="I1465" i="36"/>
  <c r="I1466" i="36"/>
  <c r="AA1467" i="36"/>
  <c r="AB1467" i="36"/>
  <c r="AC1467" i="36"/>
  <c r="AA1466" i="36"/>
  <c r="AB1466" i="36"/>
  <c r="AC1466" i="36"/>
  <c r="Z1466" i="36"/>
  <c r="Z1467" i="36"/>
  <c r="AA1465" i="36"/>
  <c r="AB1465" i="36"/>
  <c r="AC1465" i="36"/>
  <c r="Z1465" i="36"/>
  <c r="AA1464" i="36"/>
  <c r="AB1464" i="36"/>
  <c r="AC1464" i="36"/>
  <c r="Z1464" i="36"/>
  <c r="AA1463" i="36"/>
  <c r="AB1463" i="36"/>
  <c r="AC1463" i="36"/>
  <c r="I1456" i="36"/>
  <c r="I1458" i="36"/>
  <c r="I1459" i="36"/>
  <c r="Z1463" i="36"/>
  <c r="AA1462" i="36"/>
  <c r="AB1462" i="36"/>
  <c r="AC1462" i="36"/>
  <c r="Z1462" i="36"/>
  <c r="AA1461" i="36"/>
  <c r="AB1461" i="36"/>
  <c r="AC1461" i="36"/>
  <c r="Z1461" i="36"/>
  <c r="P1460" i="36"/>
  <c r="Q1460" i="36"/>
  <c r="R1460" i="36"/>
  <c r="S1460" i="36"/>
  <c r="T1460" i="36"/>
  <c r="AA1460" i="36"/>
  <c r="AB1460" i="36"/>
  <c r="AC1460" i="36"/>
  <c r="Z1460" i="36"/>
  <c r="R1459" i="36"/>
  <c r="P1459" i="36"/>
  <c r="Q1459" i="36"/>
  <c r="S1459" i="36"/>
  <c r="T1459" i="36"/>
  <c r="AA1459" i="36"/>
  <c r="AB1459" i="36"/>
  <c r="AC1459" i="36"/>
  <c r="Z1459" i="36"/>
  <c r="P1458" i="36"/>
  <c r="Q1458" i="36"/>
  <c r="R1458" i="36"/>
  <c r="S1458" i="36"/>
  <c r="T1458" i="36"/>
  <c r="AA1458" i="36"/>
  <c r="AB1458" i="36"/>
  <c r="AC1458" i="36"/>
  <c r="Z1458" i="36"/>
  <c r="R1456" i="36"/>
  <c r="P1456" i="36"/>
  <c r="Q1456" i="36"/>
  <c r="S1456" i="36"/>
  <c r="T1456" i="36"/>
  <c r="AA1456" i="36"/>
  <c r="AB1456" i="36"/>
  <c r="AC1456" i="36"/>
  <c r="Z1456" i="36"/>
  <c r="I1457" i="36"/>
  <c r="P1457" i="36"/>
  <c r="Q1457" i="36"/>
  <c r="R1457" i="36"/>
  <c r="S1457" i="36"/>
  <c r="T1457" i="36"/>
  <c r="AA1457" i="36"/>
  <c r="AB1457" i="36"/>
  <c r="AC1457" i="36"/>
  <c r="Z1457" i="36"/>
  <c r="I1454" i="36"/>
  <c r="R1454" i="36"/>
  <c r="P1454" i="36"/>
  <c r="Q1454" i="36"/>
  <c r="S1454" i="36"/>
  <c r="T1454" i="36"/>
  <c r="AA1454" i="36"/>
  <c r="AB1454" i="36"/>
  <c r="AC1454" i="36"/>
  <c r="I1455" i="36"/>
  <c r="P1455" i="36"/>
  <c r="Q1455" i="36"/>
  <c r="R1455" i="36"/>
  <c r="S1455" i="36"/>
  <c r="T1455" i="36"/>
  <c r="AA1455" i="36"/>
  <c r="AB1455" i="36"/>
  <c r="AC1455" i="36"/>
  <c r="Z1454" i="36"/>
  <c r="Z1455" i="36"/>
  <c r="M1254" i="36"/>
  <c r="M1257" i="36"/>
  <c r="M1256" i="36"/>
  <c r="M1258" i="36"/>
  <c r="M1259" i="36"/>
  <c r="M1260" i="36"/>
  <c r="M1261" i="36"/>
  <c r="M1262" i="36"/>
  <c r="M1263" i="36"/>
  <c r="M1264" i="36"/>
  <c r="M1265" i="36"/>
  <c r="M1266" i="36"/>
  <c r="M1267" i="36"/>
  <c r="M1268" i="36"/>
  <c r="M1269" i="36"/>
  <c r="M1271" i="36"/>
  <c r="M1270" i="36"/>
  <c r="M1272" i="36"/>
  <c r="M1274" i="36"/>
  <c r="M1273" i="36"/>
  <c r="M1275" i="36"/>
  <c r="M1276" i="36"/>
  <c r="M1278" i="36"/>
  <c r="M1277" i="36"/>
  <c r="M1280" i="36"/>
  <c r="M1281" i="36"/>
  <c r="M1279" i="36"/>
  <c r="M1282" i="36"/>
  <c r="M1283" i="36"/>
  <c r="M1284" i="36"/>
  <c r="M1285" i="36"/>
  <c r="M1286" i="36"/>
  <c r="M1287" i="36"/>
  <c r="M1288" i="36"/>
  <c r="M1289" i="36"/>
  <c r="M1292" i="36"/>
  <c r="M1290" i="36"/>
  <c r="M1291" i="36"/>
  <c r="M1293" i="36"/>
  <c r="M1294" i="36"/>
  <c r="M1297" i="36"/>
  <c r="M1296" i="36"/>
  <c r="M1295" i="36"/>
  <c r="M1298" i="36"/>
  <c r="M1299" i="36"/>
  <c r="M1300" i="36"/>
  <c r="M1302" i="36"/>
  <c r="M1301" i="36"/>
  <c r="M1304" i="36"/>
  <c r="M1303" i="36"/>
  <c r="M1305" i="36"/>
  <c r="M1308" i="36"/>
  <c r="M1307" i="36"/>
  <c r="M1306" i="36"/>
  <c r="M1309" i="36"/>
  <c r="M1310" i="36"/>
  <c r="M1311" i="36"/>
  <c r="M1312" i="36"/>
  <c r="M1314" i="36"/>
  <c r="M1313" i="36"/>
  <c r="M1315" i="36"/>
  <c r="M1316" i="36"/>
  <c r="M1318" i="36"/>
  <c r="M1317" i="36"/>
  <c r="M1319" i="36"/>
  <c r="M1320" i="36"/>
  <c r="M1321" i="36"/>
  <c r="M1322" i="36"/>
  <c r="M1323" i="36"/>
  <c r="M1324" i="36"/>
  <c r="M1325" i="36"/>
  <c r="M1327" i="36"/>
  <c r="M1326" i="36"/>
  <c r="M1328" i="36"/>
  <c r="M1329" i="36"/>
  <c r="M1330" i="36"/>
  <c r="M1331" i="36"/>
  <c r="I1453" i="36"/>
  <c r="P1453" i="36"/>
  <c r="Q1453" i="36"/>
  <c r="R1453" i="36"/>
  <c r="S1453" i="36"/>
  <c r="T1453" i="36"/>
  <c r="AA1453" i="36"/>
  <c r="AB1453" i="36"/>
  <c r="AC1453" i="36"/>
  <c r="Z1453" i="36"/>
  <c r="I1452" i="36"/>
  <c r="P1452" i="36"/>
  <c r="Q1452" i="36"/>
  <c r="R1452" i="36"/>
  <c r="S1452" i="36"/>
  <c r="T1452" i="36"/>
  <c r="AA1452" i="36"/>
  <c r="AB1452" i="36"/>
  <c r="AC1452" i="36"/>
  <c r="Z1452" i="36"/>
  <c r="I1451" i="36"/>
  <c r="P1451" i="36"/>
  <c r="Q1451" i="36"/>
  <c r="R1451" i="36"/>
  <c r="S1451" i="36"/>
  <c r="T1451" i="36"/>
  <c r="AA1451" i="36"/>
  <c r="AB1451" i="36"/>
  <c r="AC1451" i="36"/>
  <c r="Z1451" i="36"/>
  <c r="I1450" i="36"/>
  <c r="P1450" i="36"/>
  <c r="Q1450" i="36"/>
  <c r="R1450" i="36"/>
  <c r="S1450" i="36"/>
  <c r="T1450" i="36"/>
  <c r="AA1450" i="36"/>
  <c r="AB1450" i="36"/>
  <c r="AC1450" i="36"/>
  <c r="Z1450" i="36"/>
  <c r="I1449" i="36"/>
  <c r="P1449" i="36"/>
  <c r="Q1449" i="36"/>
  <c r="R1449" i="36"/>
  <c r="S1449" i="36"/>
  <c r="T1449" i="36"/>
  <c r="AA1449" i="36"/>
  <c r="AB1449" i="36"/>
  <c r="AC1449" i="36"/>
  <c r="Z1449" i="36"/>
  <c r="I1448" i="36"/>
  <c r="P1448" i="36"/>
  <c r="Q1448" i="36"/>
  <c r="R1448" i="36"/>
  <c r="S1448" i="36"/>
  <c r="T1448" i="36"/>
  <c r="AA1448" i="36"/>
  <c r="AB1448" i="36"/>
  <c r="AC1448" i="36"/>
  <c r="Z1448" i="36"/>
  <c r="I1337" i="36"/>
  <c r="P1337" i="36"/>
  <c r="Q1337" i="36"/>
  <c r="R1337" i="36"/>
  <c r="S1337" i="36"/>
  <c r="T1337" i="36"/>
  <c r="AA1337" i="36"/>
  <c r="AB1337" i="36"/>
  <c r="AC1337" i="36"/>
  <c r="Z1337" i="36"/>
  <c r="I1447" i="36"/>
  <c r="R1447" i="36"/>
  <c r="P1447" i="36"/>
  <c r="Q1447" i="36"/>
  <c r="S1447" i="36"/>
  <c r="T1447" i="36"/>
  <c r="AA1447" i="36"/>
  <c r="AB1447" i="36"/>
  <c r="AC1447" i="36"/>
  <c r="Z1447" i="36"/>
  <c r="I1336" i="36"/>
  <c r="R1336" i="36"/>
  <c r="P1336" i="36"/>
  <c r="Q1336" i="36"/>
  <c r="S1336" i="36"/>
  <c r="T1336" i="36"/>
  <c r="AA1336" i="36"/>
  <c r="AB1336" i="36"/>
  <c r="AC1336" i="36"/>
  <c r="Z1336" i="36"/>
  <c r="I1335" i="36"/>
  <c r="P1335" i="36"/>
  <c r="Q1335" i="36"/>
  <c r="R1335" i="36"/>
  <c r="S1335" i="36"/>
  <c r="T1335" i="36"/>
  <c r="AA1335" i="36"/>
  <c r="AB1335" i="36"/>
  <c r="AC1335" i="36"/>
  <c r="Z1335" i="36"/>
  <c r="I1334" i="36"/>
  <c r="P1334" i="36"/>
  <c r="Q1334" i="36"/>
  <c r="R1334" i="36"/>
  <c r="S1334" i="36"/>
  <c r="T1334" i="36"/>
  <c r="AA1334" i="36"/>
  <c r="AB1334" i="36"/>
  <c r="AC1334" i="36"/>
  <c r="I1333" i="36"/>
  <c r="P1333" i="36"/>
  <c r="Q1333" i="36"/>
  <c r="R1333" i="36"/>
  <c r="S1333" i="36"/>
  <c r="T1333" i="36"/>
  <c r="AA1333" i="36"/>
  <c r="AB1333" i="36"/>
  <c r="AC1333" i="36"/>
  <c r="Z1333" i="36"/>
  <c r="Z1334" i="36"/>
  <c r="I1332" i="36"/>
  <c r="P1332" i="36"/>
  <c r="Q1332" i="36"/>
  <c r="R1332" i="36"/>
  <c r="S1332" i="36"/>
  <c r="T1332" i="36"/>
  <c r="AA1332" i="36"/>
  <c r="AB1332" i="36"/>
  <c r="AC1332" i="36"/>
  <c r="Z1332" i="36"/>
  <c r="I1331" i="36"/>
  <c r="P1331" i="36"/>
  <c r="Q1331" i="36"/>
  <c r="R1331" i="36"/>
  <c r="S1331" i="36"/>
  <c r="T1331" i="36"/>
  <c r="AA1331" i="36"/>
  <c r="AB1331" i="36"/>
  <c r="AC1331" i="36"/>
  <c r="Z1331" i="36"/>
  <c r="I1330" i="36"/>
  <c r="R1330" i="36"/>
  <c r="P1330" i="36"/>
  <c r="Q1330" i="36"/>
  <c r="S1330" i="36"/>
  <c r="T1330" i="36"/>
  <c r="AA1330" i="36"/>
  <c r="AB1330" i="36"/>
  <c r="AC1330" i="36"/>
  <c r="Z1330" i="36"/>
  <c r="I1329" i="36"/>
  <c r="R1329" i="36"/>
  <c r="P1329" i="36"/>
  <c r="Q1329" i="36"/>
  <c r="S1329" i="36"/>
  <c r="T1329" i="36"/>
  <c r="AA1329" i="36"/>
  <c r="AB1329" i="36"/>
  <c r="AC1329" i="36"/>
  <c r="Z1329" i="36"/>
  <c r="I1328" i="36"/>
  <c r="P1328" i="36"/>
  <c r="Q1328" i="36"/>
  <c r="R1328" i="36"/>
  <c r="S1328" i="36"/>
  <c r="T1328" i="36"/>
  <c r="AA1328" i="36"/>
  <c r="AB1328" i="36"/>
  <c r="AC1328" i="36"/>
  <c r="Z1328" i="36"/>
  <c r="I1326" i="36"/>
  <c r="P1326" i="36"/>
  <c r="Q1326" i="36"/>
  <c r="R1326" i="36"/>
  <c r="S1326" i="36"/>
  <c r="T1326" i="36"/>
  <c r="AA1326" i="36"/>
  <c r="AB1326" i="36"/>
  <c r="AC1326" i="36"/>
  <c r="Z1326" i="36"/>
  <c r="I1327" i="36"/>
  <c r="P1327" i="36"/>
  <c r="Q1327" i="36"/>
  <c r="R1327" i="36"/>
  <c r="S1327" i="36"/>
  <c r="T1327" i="36"/>
  <c r="AA1327" i="36"/>
  <c r="AB1327" i="36"/>
  <c r="AC1327" i="36"/>
  <c r="Z1327" i="36"/>
  <c r="I1325" i="36"/>
  <c r="R1325" i="36"/>
  <c r="P1325" i="36"/>
  <c r="Q1325" i="36"/>
  <c r="S1325" i="36"/>
  <c r="T1325" i="36"/>
  <c r="AA1325" i="36"/>
  <c r="AB1325" i="36"/>
  <c r="AC1325" i="36"/>
  <c r="Z1325" i="36"/>
  <c r="I1324" i="36"/>
  <c r="R1324" i="36"/>
  <c r="P1324" i="36"/>
  <c r="Q1324" i="36"/>
  <c r="S1324" i="36"/>
  <c r="T1324" i="36"/>
  <c r="AA1324" i="36"/>
  <c r="AB1324" i="36"/>
  <c r="AC1324" i="36"/>
  <c r="Z1324" i="36"/>
  <c r="I1323" i="36"/>
  <c r="P1323" i="36"/>
  <c r="Q1323" i="36"/>
  <c r="R1323" i="36"/>
  <c r="S1323" i="36"/>
  <c r="T1323" i="36"/>
  <c r="AA1323" i="36"/>
  <c r="AB1323" i="36"/>
  <c r="AC1323" i="36"/>
  <c r="Z1323" i="36"/>
  <c r="I1322" i="36"/>
  <c r="P1322" i="36"/>
  <c r="Q1322" i="36"/>
  <c r="R1322" i="36"/>
  <c r="S1322" i="36"/>
  <c r="T1322" i="36"/>
  <c r="AA1322" i="36"/>
  <c r="AB1322" i="36"/>
  <c r="AC1322" i="36"/>
  <c r="Z1322" i="36"/>
  <c r="I1321" i="36"/>
  <c r="P1321" i="36"/>
  <c r="Q1321" i="36"/>
  <c r="R1321" i="36"/>
  <c r="S1321" i="36"/>
  <c r="T1321" i="36"/>
  <c r="AA1321" i="36"/>
  <c r="AB1321" i="36"/>
  <c r="AC1321" i="36"/>
  <c r="Z1321" i="36"/>
  <c r="I1320" i="36"/>
  <c r="P1320" i="36"/>
  <c r="Q1320" i="36"/>
  <c r="R1320" i="36"/>
  <c r="S1320" i="36"/>
  <c r="T1320" i="36"/>
  <c r="AA1320" i="36"/>
  <c r="AB1320" i="36"/>
  <c r="AC1320" i="36"/>
  <c r="Z1320" i="36"/>
  <c r="I1319" i="36"/>
  <c r="P1319" i="36"/>
  <c r="Q1319" i="36"/>
  <c r="R1319" i="36"/>
  <c r="S1319" i="36"/>
  <c r="T1319" i="36"/>
  <c r="AA1319" i="36"/>
  <c r="AB1319" i="36"/>
  <c r="AC1319" i="36"/>
  <c r="Z1319" i="36"/>
  <c r="I1317" i="36"/>
  <c r="R1317" i="36"/>
  <c r="P1317" i="36"/>
  <c r="Q1317" i="36"/>
  <c r="S1317" i="36"/>
  <c r="T1317" i="36"/>
  <c r="AA1317" i="36"/>
  <c r="AB1317" i="36"/>
  <c r="AC1317" i="36"/>
  <c r="Z1317" i="36"/>
  <c r="I1318" i="36"/>
  <c r="P1318" i="36"/>
  <c r="Q1318" i="36"/>
  <c r="R1318" i="36"/>
  <c r="S1318" i="36"/>
  <c r="T1318" i="36"/>
  <c r="AA1318" i="36"/>
  <c r="AB1318" i="36"/>
  <c r="AC1318" i="36"/>
  <c r="Z1318" i="36"/>
  <c r="I1316" i="36"/>
  <c r="P1316" i="36"/>
  <c r="Q1316" i="36"/>
  <c r="R1316" i="36"/>
  <c r="S1316" i="36"/>
  <c r="T1316" i="36"/>
  <c r="AA1316" i="36"/>
  <c r="AB1316" i="36"/>
  <c r="AC1316" i="36"/>
  <c r="Z1316" i="36"/>
  <c r="I1315" i="36"/>
  <c r="P1315" i="36"/>
  <c r="Q1315" i="36"/>
  <c r="R1315" i="36"/>
  <c r="S1315" i="36"/>
  <c r="T1315" i="36"/>
  <c r="AA1315" i="36"/>
  <c r="AB1315" i="36"/>
  <c r="AC1315" i="36"/>
  <c r="Z1315" i="36"/>
  <c r="I1313" i="36"/>
  <c r="P1313" i="36"/>
  <c r="Q1313" i="36"/>
  <c r="R1313" i="36"/>
  <c r="S1313" i="36"/>
  <c r="T1313" i="36"/>
  <c r="AA1313" i="36"/>
  <c r="AB1313" i="36"/>
  <c r="AC1313" i="36"/>
  <c r="Z1313" i="36"/>
  <c r="I1314" i="36"/>
  <c r="P1314" i="36"/>
  <c r="Q1314" i="36"/>
  <c r="R1314" i="36"/>
  <c r="S1314" i="36"/>
  <c r="T1314" i="36"/>
  <c r="AA1314" i="36"/>
  <c r="AB1314" i="36"/>
  <c r="AC1314" i="36"/>
  <c r="Z1314" i="36"/>
  <c r="I1312" i="36"/>
  <c r="P1312" i="36"/>
  <c r="Q1312" i="36"/>
  <c r="R1312" i="36"/>
  <c r="S1312" i="36"/>
  <c r="T1312" i="36"/>
  <c r="AA1312" i="36"/>
  <c r="AB1312" i="36"/>
  <c r="AC1312" i="36"/>
  <c r="Z1312" i="36"/>
  <c r="I1311" i="36"/>
  <c r="R1311" i="36"/>
  <c r="P1311" i="36"/>
  <c r="Q1311" i="36"/>
  <c r="S1311" i="36"/>
  <c r="T1311" i="36"/>
  <c r="AA1311" i="36"/>
  <c r="AB1311" i="36"/>
  <c r="AC1311" i="36"/>
  <c r="Z1311" i="36"/>
  <c r="I1310" i="36"/>
  <c r="R1310" i="36"/>
  <c r="P1310" i="36"/>
  <c r="Q1310" i="36"/>
  <c r="S1310" i="36"/>
  <c r="T1310" i="36"/>
  <c r="AA1310" i="36"/>
  <c r="AB1310" i="36"/>
  <c r="AC1310" i="36"/>
  <c r="Z1310" i="36"/>
  <c r="I1309" i="36"/>
  <c r="P1309" i="36"/>
  <c r="Q1309" i="36"/>
  <c r="R1309" i="36"/>
  <c r="S1309" i="36"/>
  <c r="T1309" i="36"/>
  <c r="AA1309" i="36"/>
  <c r="AB1309" i="36"/>
  <c r="AC1309" i="36"/>
  <c r="Z1309" i="36"/>
  <c r="I1306" i="36"/>
  <c r="P1306" i="36"/>
  <c r="Q1306" i="36"/>
  <c r="R1306" i="36"/>
  <c r="S1306" i="36"/>
  <c r="T1306" i="36"/>
  <c r="AA1306" i="36"/>
  <c r="AB1306" i="36"/>
  <c r="AC1306" i="36"/>
  <c r="I1307" i="36"/>
  <c r="R1307" i="36"/>
  <c r="P1307" i="36"/>
  <c r="Q1307" i="36"/>
  <c r="S1307" i="36"/>
  <c r="T1307" i="36"/>
  <c r="AA1307" i="36"/>
  <c r="AB1307" i="36"/>
  <c r="AC1307" i="36"/>
  <c r="Z1306" i="36"/>
  <c r="Z1307" i="36"/>
  <c r="I1308" i="36"/>
  <c r="R1308" i="36"/>
  <c r="P1308" i="36"/>
  <c r="Q1308" i="36"/>
  <c r="S1308" i="36"/>
  <c r="T1308" i="36"/>
  <c r="AA1308" i="36"/>
  <c r="AB1308" i="36"/>
  <c r="AC1308" i="36"/>
  <c r="Z1308" i="36"/>
  <c r="I1305" i="36"/>
  <c r="P1305" i="36"/>
  <c r="Q1305" i="36"/>
  <c r="R1305" i="36"/>
  <c r="S1305" i="36"/>
  <c r="T1305" i="36"/>
  <c r="AA1305" i="36"/>
  <c r="AB1305" i="36"/>
  <c r="AC1305" i="36"/>
  <c r="Z1305" i="36"/>
  <c r="I1303" i="36"/>
  <c r="R1303" i="36"/>
  <c r="P1303" i="36"/>
  <c r="Q1303" i="36"/>
  <c r="S1303" i="36"/>
  <c r="T1303" i="36"/>
  <c r="AA1303" i="36"/>
  <c r="AB1303" i="36"/>
  <c r="AC1303" i="36"/>
  <c r="Z1303" i="36"/>
  <c r="I1304" i="36"/>
  <c r="R1304" i="36"/>
  <c r="P1304" i="36"/>
  <c r="Q1304" i="36"/>
  <c r="S1304" i="36"/>
  <c r="T1304" i="36"/>
  <c r="AA1304" i="36"/>
  <c r="AB1304" i="36"/>
  <c r="AC1304" i="36"/>
  <c r="Z1304" i="36"/>
  <c r="I1301" i="36"/>
  <c r="P1301" i="36"/>
  <c r="Q1301" i="36"/>
  <c r="R1301" i="36"/>
  <c r="S1301" i="36"/>
  <c r="T1301" i="36"/>
  <c r="AA1301" i="36"/>
  <c r="AB1301" i="36"/>
  <c r="AC1301" i="36"/>
  <c r="Z1301" i="36"/>
  <c r="I1302" i="36"/>
  <c r="P1302" i="36"/>
  <c r="Q1302" i="36"/>
  <c r="R1302" i="36"/>
  <c r="S1302" i="36"/>
  <c r="T1302" i="36"/>
  <c r="AA1302" i="36"/>
  <c r="AB1302" i="36"/>
  <c r="AC1302" i="36"/>
  <c r="Z1302" i="36"/>
  <c r="I1300" i="36"/>
  <c r="R1300" i="36"/>
  <c r="P1300" i="36"/>
  <c r="Q1300" i="36"/>
  <c r="S1300" i="36"/>
  <c r="T1300" i="36"/>
  <c r="AA1300" i="36"/>
  <c r="AB1300" i="36"/>
  <c r="AC1300" i="36"/>
  <c r="Z1300" i="36"/>
  <c r="I1299" i="36"/>
  <c r="P1299" i="36"/>
  <c r="Q1299" i="36"/>
  <c r="R1299" i="36"/>
  <c r="S1299" i="36"/>
  <c r="T1299" i="36"/>
  <c r="AA1299" i="36"/>
  <c r="AB1299" i="36"/>
  <c r="AC1299" i="36"/>
  <c r="Z1299" i="36"/>
  <c r="I1298" i="36"/>
  <c r="R1298" i="36"/>
  <c r="P1298" i="36"/>
  <c r="Q1298" i="36"/>
  <c r="S1298" i="36"/>
  <c r="T1298" i="36"/>
  <c r="AA1298" i="36"/>
  <c r="AB1298" i="36"/>
  <c r="AC1298" i="36"/>
  <c r="Z1298" i="36"/>
  <c r="I1295" i="36"/>
  <c r="P1295" i="36"/>
  <c r="Q1295" i="36"/>
  <c r="R1295" i="36"/>
  <c r="S1295" i="36"/>
  <c r="T1295" i="36"/>
  <c r="AA1295" i="36"/>
  <c r="AB1295" i="36"/>
  <c r="AC1295" i="36"/>
  <c r="Z1295" i="36"/>
  <c r="I1296" i="36"/>
  <c r="P1296" i="36"/>
  <c r="Q1296" i="36"/>
  <c r="R1296" i="36"/>
  <c r="S1296" i="36"/>
  <c r="T1296" i="36"/>
  <c r="AA1296" i="36"/>
  <c r="AB1296" i="36"/>
  <c r="AC1296" i="36"/>
  <c r="I1297" i="36"/>
  <c r="R1297" i="36"/>
  <c r="P1297" i="36"/>
  <c r="Q1297" i="36"/>
  <c r="S1297" i="36"/>
  <c r="T1297" i="36"/>
  <c r="AA1297" i="36"/>
  <c r="AB1297" i="36"/>
  <c r="AC1297" i="36"/>
  <c r="O1287" i="36"/>
  <c r="Z1296" i="36"/>
  <c r="Z1297" i="36"/>
  <c r="I1294" i="36"/>
  <c r="R1294" i="36"/>
  <c r="P1294" i="36"/>
  <c r="Q1294" i="36"/>
  <c r="S1294" i="36"/>
  <c r="T1294" i="36"/>
  <c r="AA1294" i="36"/>
  <c r="AB1294" i="36"/>
  <c r="AC1294" i="36"/>
  <c r="Z1294" i="36"/>
  <c r="I1293" i="36"/>
  <c r="P1293" i="36"/>
  <c r="Q1293" i="36"/>
  <c r="R1293" i="36"/>
  <c r="S1293" i="36"/>
  <c r="T1293" i="36"/>
  <c r="AA1293" i="36"/>
  <c r="AB1293" i="36"/>
  <c r="AC1293" i="36"/>
  <c r="Z1293" i="36"/>
  <c r="I1291" i="36"/>
  <c r="P1291" i="36"/>
  <c r="Q1291" i="36"/>
  <c r="R1291" i="36"/>
  <c r="S1291" i="36"/>
  <c r="T1291" i="36"/>
  <c r="AA1291" i="36"/>
  <c r="AB1291" i="36"/>
  <c r="AC1291" i="36"/>
  <c r="Z1291" i="36"/>
  <c r="I1290" i="36"/>
  <c r="R1290" i="36"/>
  <c r="P1290" i="36"/>
  <c r="Q1290" i="36"/>
  <c r="S1290" i="36"/>
  <c r="T1290" i="36"/>
  <c r="AA1290" i="36"/>
  <c r="AB1290" i="36"/>
  <c r="AC1290" i="36"/>
  <c r="Z1290" i="36"/>
  <c r="I1292" i="36"/>
  <c r="P1292" i="36"/>
  <c r="Q1292" i="36"/>
  <c r="R1292" i="36"/>
  <c r="S1292" i="36"/>
  <c r="T1292" i="36"/>
  <c r="AA1292" i="36"/>
  <c r="AB1292" i="36"/>
  <c r="AC1292" i="36"/>
  <c r="Z1292" i="36"/>
  <c r="I1289" i="36"/>
  <c r="P1289" i="36"/>
  <c r="Q1289" i="36"/>
  <c r="R1289" i="36"/>
  <c r="S1289" i="36"/>
  <c r="T1289" i="36"/>
  <c r="AA1289" i="36"/>
  <c r="AB1289" i="36"/>
  <c r="AC1289" i="36"/>
  <c r="I1288" i="36"/>
  <c r="P1288" i="36"/>
  <c r="Q1288" i="36"/>
  <c r="R1288" i="36"/>
  <c r="S1288" i="36"/>
  <c r="T1288" i="36"/>
  <c r="AA1288" i="36"/>
  <c r="AB1288" i="36"/>
  <c r="AC1288" i="36"/>
  <c r="Z1289" i="36"/>
  <c r="Z1288" i="36"/>
  <c r="I1287" i="36"/>
  <c r="P1287" i="36"/>
  <c r="Q1287" i="36"/>
  <c r="R1287" i="36"/>
  <c r="S1287" i="36"/>
  <c r="T1287" i="36"/>
  <c r="AA1287" i="36"/>
  <c r="AB1287" i="36"/>
  <c r="AC1287" i="36"/>
  <c r="Z1287" i="36"/>
  <c r="I1286" i="36"/>
  <c r="R1286" i="36"/>
  <c r="P1286" i="36"/>
  <c r="Q1286" i="36"/>
  <c r="S1286" i="36"/>
  <c r="T1286" i="36"/>
  <c r="AA1286" i="36"/>
  <c r="AB1286" i="36"/>
  <c r="AC1286" i="36"/>
  <c r="Z1286" i="36"/>
  <c r="I1285" i="36"/>
  <c r="P1285" i="36"/>
  <c r="Q1285" i="36"/>
  <c r="R1285" i="36"/>
  <c r="S1285" i="36"/>
  <c r="T1285" i="36"/>
  <c r="AA1285" i="36"/>
  <c r="AB1285" i="36"/>
  <c r="AC1285" i="36"/>
  <c r="Z1285" i="36"/>
  <c r="I1284" i="36"/>
  <c r="R1284" i="36"/>
  <c r="P1284" i="36"/>
  <c r="Q1284" i="36"/>
  <c r="S1284" i="36"/>
  <c r="T1284" i="36"/>
  <c r="AA1284" i="36"/>
  <c r="AB1284" i="36"/>
  <c r="AC1284" i="36"/>
  <c r="Z1284" i="36"/>
  <c r="I1283" i="36"/>
  <c r="R1283" i="36"/>
  <c r="P1283" i="36"/>
  <c r="Q1283" i="36"/>
  <c r="S1283" i="36"/>
  <c r="T1283" i="36"/>
  <c r="AA1283" i="36"/>
  <c r="AB1283" i="36"/>
  <c r="AC1283" i="36"/>
  <c r="Z1283" i="36"/>
  <c r="I1282" i="36"/>
  <c r="P1282" i="36"/>
  <c r="Q1282" i="36"/>
  <c r="R1282" i="36"/>
  <c r="S1282" i="36"/>
  <c r="T1282" i="36"/>
  <c r="AA1282" i="36"/>
  <c r="AB1282" i="36"/>
  <c r="AC1282" i="36"/>
  <c r="Z1282" i="36"/>
  <c r="I1279" i="36"/>
  <c r="P1279" i="36"/>
  <c r="Q1279" i="36"/>
  <c r="R1279" i="36"/>
  <c r="S1279" i="36"/>
  <c r="T1279" i="36"/>
  <c r="AA1279" i="36"/>
  <c r="AB1279" i="36"/>
  <c r="AC1279" i="36"/>
  <c r="Z1279" i="36"/>
  <c r="I1281" i="36"/>
  <c r="R1281" i="36"/>
  <c r="P1281" i="36"/>
  <c r="Q1281" i="36"/>
  <c r="S1281" i="36"/>
  <c r="T1281" i="36"/>
  <c r="AA1281" i="36"/>
  <c r="AB1281" i="36"/>
  <c r="AC1281" i="36"/>
  <c r="Z1281" i="36"/>
  <c r="I1280" i="36"/>
  <c r="P1280" i="36"/>
  <c r="Q1280" i="36"/>
  <c r="R1280" i="36"/>
  <c r="S1280" i="36"/>
  <c r="T1280" i="36"/>
  <c r="AA1280" i="36"/>
  <c r="AB1280" i="36"/>
  <c r="AC1280" i="36"/>
  <c r="Z1280" i="36"/>
  <c r="I1277" i="36"/>
  <c r="R1277" i="36"/>
  <c r="P1277" i="36"/>
  <c r="Q1277" i="36"/>
  <c r="S1277" i="36"/>
  <c r="T1277" i="36"/>
  <c r="AA1277" i="36"/>
  <c r="AB1277" i="36"/>
  <c r="AC1277" i="36"/>
  <c r="Z1277" i="36"/>
  <c r="I1278" i="36"/>
  <c r="P1278" i="36"/>
  <c r="Q1278" i="36"/>
  <c r="R1278" i="36"/>
  <c r="S1278" i="36"/>
  <c r="T1278" i="36"/>
  <c r="AA1278" i="36"/>
  <c r="AB1278" i="36"/>
  <c r="AC1278" i="36"/>
  <c r="Z1278" i="36"/>
  <c r="I1276" i="36"/>
  <c r="R1276" i="36"/>
  <c r="P1276" i="36"/>
  <c r="Q1276" i="36"/>
  <c r="S1276" i="36"/>
  <c r="T1276" i="36"/>
  <c r="AA1276" i="36"/>
  <c r="AB1276" i="36"/>
  <c r="AC1276" i="36"/>
  <c r="Z1276" i="36"/>
  <c r="I1275" i="36"/>
  <c r="P1275" i="36"/>
  <c r="Q1275" i="36"/>
  <c r="R1275" i="36"/>
  <c r="S1275" i="36"/>
  <c r="T1275" i="36"/>
  <c r="AA1275" i="36"/>
  <c r="AB1275" i="36"/>
  <c r="AC1275" i="36"/>
  <c r="Z1275" i="36"/>
  <c r="I1273" i="36"/>
  <c r="R1273" i="36"/>
  <c r="P1273" i="36"/>
  <c r="Q1273" i="36"/>
  <c r="S1273" i="36"/>
  <c r="T1273" i="36"/>
  <c r="AA1273" i="36"/>
  <c r="AB1273" i="36"/>
  <c r="AC1273" i="36"/>
  <c r="Z1273" i="36"/>
  <c r="I1274" i="36"/>
  <c r="R1274" i="36"/>
  <c r="P1274" i="36"/>
  <c r="Q1274" i="36"/>
  <c r="S1274" i="36"/>
  <c r="T1274" i="36"/>
  <c r="AA1274" i="36"/>
  <c r="AB1274" i="36"/>
  <c r="AC1274" i="36"/>
  <c r="Z1274" i="36"/>
  <c r="I1272" i="36"/>
  <c r="R1272" i="36"/>
  <c r="P1272" i="36"/>
  <c r="Q1272" i="36"/>
  <c r="S1272" i="36"/>
  <c r="T1272" i="36"/>
  <c r="AA1272" i="36"/>
  <c r="AB1272" i="36"/>
  <c r="AC1272" i="36"/>
  <c r="Z1272" i="36"/>
  <c r="I1270" i="36"/>
  <c r="R1270" i="36"/>
  <c r="P1270" i="36"/>
  <c r="Q1270" i="36"/>
  <c r="S1270" i="36"/>
  <c r="T1270" i="36"/>
  <c r="AA1270" i="36"/>
  <c r="AB1270" i="36"/>
  <c r="AC1270" i="36"/>
  <c r="Z1270" i="36"/>
  <c r="I1271" i="36"/>
  <c r="R1271" i="36"/>
  <c r="P1271" i="36"/>
  <c r="Q1271" i="36"/>
  <c r="S1271" i="36"/>
  <c r="T1271" i="36"/>
  <c r="AA1271" i="36"/>
  <c r="AB1271" i="36"/>
  <c r="AC1271" i="36"/>
  <c r="Z1271" i="36"/>
  <c r="I1269" i="36"/>
  <c r="P1269" i="36"/>
  <c r="Q1269" i="36"/>
  <c r="R1269" i="36"/>
  <c r="S1269" i="36"/>
  <c r="T1269" i="36"/>
  <c r="AA1269" i="36"/>
  <c r="AB1269" i="36"/>
  <c r="AC1269" i="36"/>
  <c r="Z1269" i="36"/>
  <c r="I1268" i="36"/>
  <c r="R1268" i="36"/>
  <c r="P1268" i="36"/>
  <c r="Q1268" i="36"/>
  <c r="S1268" i="36"/>
  <c r="T1268" i="36"/>
  <c r="AA1268" i="36"/>
  <c r="AB1268" i="36"/>
  <c r="AC1268" i="36"/>
  <c r="Z1268" i="36"/>
  <c r="I1267" i="36"/>
  <c r="R1267" i="36"/>
  <c r="P1267" i="36"/>
  <c r="Q1267" i="36"/>
  <c r="S1267" i="36"/>
  <c r="T1267" i="36"/>
  <c r="AA1267" i="36"/>
  <c r="AB1267" i="36"/>
  <c r="AC1267" i="36"/>
  <c r="Z1267" i="36"/>
  <c r="I1266" i="36"/>
  <c r="R1266" i="36"/>
  <c r="P1266" i="36"/>
  <c r="Q1266" i="36"/>
  <c r="S1266" i="36"/>
  <c r="T1266" i="36"/>
  <c r="AA1266" i="36"/>
  <c r="AB1266" i="36"/>
  <c r="AC1266" i="36"/>
  <c r="Z1266" i="36"/>
  <c r="I1265" i="36"/>
  <c r="R1265" i="36"/>
  <c r="P1265" i="36"/>
  <c r="Q1265" i="36"/>
  <c r="S1265" i="36"/>
  <c r="T1265" i="36"/>
  <c r="AA1265" i="36"/>
  <c r="AB1265" i="36"/>
  <c r="AC1265" i="36"/>
  <c r="Z1265" i="36"/>
  <c r="I1264" i="36"/>
  <c r="R1264" i="36"/>
  <c r="P1264" i="36"/>
  <c r="Q1264" i="36"/>
  <c r="S1264" i="36"/>
  <c r="T1264" i="36"/>
  <c r="AA1264" i="36"/>
  <c r="AB1264" i="36"/>
  <c r="AC1264" i="36"/>
  <c r="Z1264" i="36"/>
  <c r="I1263" i="36"/>
  <c r="R1263" i="36"/>
  <c r="P1263" i="36"/>
  <c r="Q1263" i="36"/>
  <c r="S1263" i="36"/>
  <c r="T1263" i="36"/>
  <c r="AA1263" i="36"/>
  <c r="AB1263" i="36"/>
  <c r="AC1263" i="36"/>
  <c r="Z1263" i="36"/>
  <c r="I1262" i="36"/>
  <c r="R1262" i="36"/>
  <c r="P1262" i="36"/>
  <c r="Q1262" i="36"/>
  <c r="S1262" i="36"/>
  <c r="T1262" i="36"/>
  <c r="AA1262" i="36"/>
  <c r="AB1262" i="36"/>
  <c r="AC1262" i="36"/>
  <c r="Z1262" i="36"/>
  <c r="I1261" i="36"/>
  <c r="R1261" i="36"/>
  <c r="P1261" i="36"/>
  <c r="Q1261" i="36"/>
  <c r="S1261" i="36"/>
  <c r="T1261" i="36"/>
  <c r="AA1261" i="36"/>
  <c r="AB1261" i="36"/>
  <c r="AC1261" i="36"/>
  <c r="Z1261" i="36"/>
  <c r="I1259" i="36"/>
  <c r="I1260" i="36"/>
  <c r="P1259" i="36"/>
  <c r="P1260" i="36"/>
  <c r="Q1259" i="36"/>
  <c r="Q1260" i="36"/>
  <c r="R1259" i="36"/>
  <c r="R1260" i="36"/>
  <c r="S1259" i="36"/>
  <c r="S1260" i="36"/>
  <c r="T1259" i="36"/>
  <c r="T1260" i="36"/>
  <c r="AA1259" i="36"/>
  <c r="AA1260" i="36"/>
  <c r="AB1259" i="36"/>
  <c r="AB1260" i="36"/>
  <c r="AC1259" i="36"/>
  <c r="AC1260" i="36"/>
  <c r="Z1259" i="36"/>
  <c r="Z1260" i="36"/>
  <c r="M1075" i="36"/>
  <c r="M1076" i="36"/>
  <c r="M1077" i="36"/>
  <c r="M1078" i="36"/>
  <c r="M2050" i="36"/>
  <c r="M2371" i="36"/>
  <c r="M1080" i="36"/>
  <c r="M1079" i="36"/>
  <c r="M1081" i="36"/>
  <c r="M1083" i="36"/>
  <c r="M1082" i="36"/>
  <c r="M1084" i="36"/>
  <c r="M1085" i="36"/>
  <c r="M1086" i="36"/>
  <c r="M1087" i="36"/>
  <c r="M1088" i="36"/>
  <c r="M1090" i="36"/>
  <c r="M1091" i="36"/>
  <c r="M1089" i="36"/>
  <c r="M1092" i="36"/>
  <c r="M1093" i="36"/>
  <c r="M1094" i="36"/>
  <c r="M2561" i="36"/>
  <c r="M2498" i="36"/>
  <c r="M1096" i="36"/>
  <c r="M1095" i="36"/>
  <c r="M1097" i="36"/>
  <c r="M2051" i="36"/>
  <c r="M1098" i="36"/>
  <c r="M1099" i="36"/>
  <c r="M1101" i="36"/>
  <c r="M1100" i="36"/>
  <c r="M1102" i="36"/>
  <c r="M1103" i="36"/>
  <c r="M2052" i="36"/>
  <c r="M1105" i="36"/>
  <c r="M1104" i="36"/>
  <c r="M2053" i="36"/>
  <c r="M2054" i="36"/>
  <c r="M1106" i="36"/>
  <c r="M2372" i="36"/>
  <c r="M1107" i="36"/>
  <c r="M2373" i="36"/>
  <c r="M1108" i="36"/>
  <c r="M1109" i="36"/>
  <c r="M1110" i="36"/>
  <c r="M1111" i="36"/>
  <c r="M2055" i="36"/>
  <c r="M2056" i="36"/>
  <c r="M2499" i="36"/>
  <c r="M2374" i="36"/>
  <c r="M2057" i="36"/>
  <c r="M1112" i="36"/>
  <c r="M2058" i="36"/>
  <c r="M1113" i="36"/>
  <c r="M1114" i="36"/>
  <c r="M1115" i="36"/>
  <c r="M2375" i="36"/>
  <c r="M1116" i="36"/>
  <c r="M2059" i="36"/>
  <c r="M1118" i="36"/>
  <c r="M1117" i="36"/>
  <c r="M1119" i="36"/>
  <c r="M1120" i="36"/>
  <c r="M1121" i="36"/>
  <c r="M1122" i="36"/>
  <c r="M2060" i="36"/>
  <c r="M1123" i="36"/>
  <c r="M1126" i="36"/>
  <c r="M1125" i="36"/>
  <c r="M2061" i="36"/>
  <c r="M2376" i="36"/>
  <c r="M1127" i="36"/>
  <c r="M2062" i="36"/>
  <c r="M1128" i="36"/>
  <c r="M2377" i="36"/>
  <c r="M1130" i="36"/>
  <c r="M1129" i="36"/>
  <c r="M1131" i="36"/>
  <c r="M2500" i="36"/>
  <c r="M1132" i="36"/>
  <c r="M2378" i="36"/>
  <c r="M1133" i="36"/>
  <c r="M1134" i="36"/>
  <c r="M1135" i="36"/>
  <c r="M1136" i="36"/>
  <c r="M1137" i="36"/>
  <c r="M1138" i="36"/>
  <c r="M1139" i="36"/>
  <c r="M1140" i="36"/>
  <c r="M1141" i="36"/>
  <c r="M1142" i="36"/>
  <c r="M1143" i="36"/>
  <c r="M1144" i="36"/>
  <c r="M1145" i="36"/>
  <c r="M1146" i="36"/>
  <c r="M1147" i="36"/>
  <c r="M1148" i="36"/>
  <c r="M1149" i="36"/>
  <c r="M1150" i="36"/>
  <c r="M1151" i="36"/>
  <c r="M1152" i="36"/>
  <c r="M1153" i="36"/>
  <c r="M1154" i="36"/>
  <c r="M1155" i="36"/>
  <c r="M1156" i="36"/>
  <c r="M1157" i="36"/>
  <c r="M1158" i="36"/>
  <c r="M1160" i="36"/>
  <c r="M1159" i="36"/>
  <c r="M1161" i="36"/>
  <c r="M1163" i="36"/>
  <c r="M1162" i="36"/>
  <c r="M1164" i="36"/>
  <c r="M1165" i="36"/>
  <c r="M1166" i="36"/>
  <c r="M1168" i="36"/>
  <c r="M1167" i="36"/>
  <c r="M1170" i="36"/>
  <c r="M1169" i="36"/>
  <c r="M1172" i="36"/>
  <c r="M1171" i="36"/>
  <c r="M1174" i="36"/>
  <c r="M1173" i="36"/>
  <c r="M1175" i="36"/>
  <c r="M1176" i="36"/>
  <c r="M1177" i="36"/>
  <c r="M1178" i="36"/>
  <c r="M1179" i="36"/>
  <c r="M1181" i="36"/>
  <c r="M1180" i="36"/>
  <c r="M1182" i="36"/>
  <c r="M1183" i="36"/>
  <c r="M1184" i="36"/>
  <c r="M1185" i="36"/>
  <c r="M1186" i="36"/>
  <c r="M1187" i="36"/>
  <c r="M1188" i="36"/>
  <c r="M1189" i="36"/>
  <c r="M1190" i="36"/>
  <c r="M1191" i="36"/>
  <c r="M1192" i="36"/>
  <c r="M1194" i="36"/>
  <c r="M1193" i="36"/>
  <c r="M1195" i="36"/>
  <c r="M1196" i="36"/>
  <c r="M1197" i="36"/>
  <c r="M1198" i="36"/>
  <c r="M1200" i="36"/>
  <c r="M1199" i="36"/>
  <c r="M1201" i="36"/>
  <c r="M1202" i="36"/>
  <c r="M1203" i="36"/>
  <c r="M1204" i="36"/>
  <c r="M1205" i="36"/>
  <c r="M1207" i="36"/>
  <c r="M1206" i="36"/>
  <c r="M1210" i="36"/>
  <c r="M1209" i="36"/>
  <c r="M1211" i="36"/>
  <c r="M1212" i="36"/>
  <c r="M1213" i="36"/>
  <c r="M1214" i="36"/>
  <c r="M1215" i="36"/>
  <c r="M1217" i="36"/>
  <c r="M1216" i="36"/>
  <c r="M1218" i="36"/>
  <c r="M1219" i="36"/>
  <c r="M1220" i="36"/>
  <c r="M1222" i="36"/>
  <c r="M1221" i="36"/>
  <c r="M1224" i="36"/>
  <c r="M1223" i="36"/>
  <c r="M1226" i="36"/>
  <c r="M1225" i="36"/>
  <c r="M1227" i="36"/>
  <c r="M1228" i="36"/>
  <c r="M1229" i="36"/>
  <c r="M1230" i="36"/>
  <c r="M1231" i="36"/>
  <c r="M1232" i="36"/>
  <c r="M1234" i="36"/>
  <c r="M1233" i="36"/>
  <c r="M1235" i="36"/>
  <c r="M1236" i="36"/>
  <c r="M1237" i="36"/>
  <c r="M1238" i="36"/>
  <c r="M1239" i="36"/>
  <c r="M1240" i="36"/>
  <c r="M1241" i="36"/>
  <c r="M1242" i="36"/>
  <c r="M1243" i="36"/>
  <c r="M1244" i="36"/>
  <c r="M1245" i="36"/>
  <c r="M1246" i="36"/>
  <c r="M1247" i="36"/>
  <c r="M1248" i="36"/>
  <c r="M1250" i="36"/>
  <c r="M1249" i="36"/>
  <c r="M1251" i="36"/>
  <c r="M1253" i="36"/>
  <c r="M1252" i="36"/>
  <c r="M1255" i="36"/>
  <c r="I1258" i="36"/>
  <c r="R1258" i="36"/>
  <c r="P1258" i="36"/>
  <c r="Q1258" i="36"/>
  <c r="S1258" i="36"/>
  <c r="T1258" i="36"/>
  <c r="AA1258" i="36"/>
  <c r="AB1258" i="36"/>
  <c r="AC1258" i="36"/>
  <c r="Z1258" i="36"/>
  <c r="I1256" i="36"/>
  <c r="R1256" i="36"/>
  <c r="P1256" i="36"/>
  <c r="Q1256" i="36"/>
  <c r="S1256" i="36"/>
  <c r="T1256" i="36"/>
  <c r="AA1256" i="36"/>
  <c r="AB1256" i="36"/>
  <c r="AC1256" i="36"/>
  <c r="Z1256" i="36"/>
  <c r="I1257" i="36"/>
  <c r="R1257" i="36"/>
  <c r="P1257" i="36"/>
  <c r="Q1257" i="36"/>
  <c r="S1257" i="36"/>
  <c r="T1257" i="36"/>
  <c r="AA1257" i="36"/>
  <c r="AB1257" i="36"/>
  <c r="AC1257" i="36"/>
  <c r="Z1257" i="36"/>
  <c r="I1254" i="36"/>
  <c r="R1254" i="36"/>
  <c r="P1254" i="36"/>
  <c r="Q1254" i="36"/>
  <c r="S1254" i="36"/>
  <c r="T1254" i="36"/>
  <c r="AA1254" i="36"/>
  <c r="AB1254" i="36"/>
  <c r="AC1254" i="36"/>
  <c r="Z1254" i="36"/>
  <c r="I1255" i="36"/>
  <c r="R1255" i="36"/>
  <c r="P1255" i="36"/>
  <c r="Q1255" i="36"/>
  <c r="S1255" i="36"/>
  <c r="T1255" i="36"/>
  <c r="AA1255" i="36"/>
  <c r="AB1255" i="36"/>
  <c r="AC1255" i="36"/>
  <c r="Z1255" i="36"/>
  <c r="I1252" i="36"/>
  <c r="R1252" i="36"/>
  <c r="P1252" i="36"/>
  <c r="Q1252" i="36"/>
  <c r="S1252" i="36"/>
  <c r="T1252" i="36"/>
  <c r="AA1252" i="36"/>
  <c r="AB1252" i="36"/>
  <c r="AC1252" i="36"/>
  <c r="Z1252" i="36"/>
  <c r="I1253" i="36"/>
  <c r="R1253" i="36"/>
  <c r="P1253" i="36"/>
  <c r="Q1253" i="36"/>
  <c r="S1253" i="36"/>
  <c r="T1253" i="36"/>
  <c r="AA1253" i="36"/>
  <c r="AB1253" i="36"/>
  <c r="AC1253" i="36"/>
  <c r="Z1253" i="36"/>
  <c r="I1251" i="36"/>
  <c r="P1251" i="36"/>
  <c r="Q1251" i="36"/>
  <c r="R1251" i="36"/>
  <c r="S1251" i="36"/>
  <c r="T1251" i="36"/>
  <c r="AA1251" i="36"/>
  <c r="AB1251" i="36"/>
  <c r="AC1251" i="36"/>
  <c r="Z1251" i="36"/>
  <c r="I1249" i="36"/>
  <c r="R1249" i="36"/>
  <c r="P1249" i="36"/>
  <c r="Q1249" i="36"/>
  <c r="S1249" i="36"/>
  <c r="T1249" i="36"/>
  <c r="AA1249" i="36"/>
  <c r="AB1249" i="36"/>
  <c r="AC1249" i="36"/>
  <c r="Z1249" i="36"/>
  <c r="I1250" i="36"/>
  <c r="P1250" i="36"/>
  <c r="Q1250" i="36"/>
  <c r="R1250" i="36"/>
  <c r="S1250" i="36"/>
  <c r="T1250" i="36"/>
  <c r="AA1250" i="36"/>
  <c r="AB1250" i="36"/>
  <c r="AC1250" i="36"/>
  <c r="Z1250" i="36"/>
  <c r="I1248" i="36"/>
  <c r="R1248" i="36"/>
  <c r="P1248" i="36"/>
  <c r="Q1248" i="36"/>
  <c r="S1248" i="36"/>
  <c r="T1248" i="36"/>
  <c r="AA1248" i="36"/>
  <c r="AB1248" i="36"/>
  <c r="AC1248" i="36"/>
  <c r="Z1248" i="36"/>
  <c r="I1247" i="36"/>
  <c r="R1247" i="36"/>
  <c r="P1247" i="36"/>
  <c r="Q1247" i="36"/>
  <c r="S1247" i="36"/>
  <c r="T1247" i="36"/>
  <c r="AA1247" i="36"/>
  <c r="AB1247" i="36"/>
  <c r="AC1247" i="36"/>
  <c r="Z1247" i="36"/>
  <c r="I1246" i="36"/>
  <c r="P1246" i="36"/>
  <c r="Q1246" i="36"/>
  <c r="R1246" i="36"/>
  <c r="S1246" i="36"/>
  <c r="T1246" i="36"/>
  <c r="AA1246" i="36"/>
  <c r="AB1246" i="36"/>
  <c r="AC1246" i="36"/>
  <c r="Z1246" i="36"/>
  <c r="I1245" i="36"/>
  <c r="R1245" i="36"/>
  <c r="P1245" i="36"/>
  <c r="Q1245" i="36"/>
  <c r="S1245" i="36"/>
  <c r="T1245" i="36"/>
  <c r="AA1245" i="36"/>
  <c r="AB1245" i="36"/>
  <c r="AC1245" i="36"/>
  <c r="Z1245" i="36"/>
  <c r="I1244" i="36"/>
  <c r="P1244" i="36"/>
  <c r="Q1244" i="36"/>
  <c r="R1244" i="36"/>
  <c r="S1244" i="36"/>
  <c r="T1244" i="36"/>
  <c r="AA1244" i="36"/>
  <c r="AB1244" i="36"/>
  <c r="AC1244" i="36"/>
  <c r="Z1244" i="36"/>
  <c r="I1243" i="36"/>
  <c r="R1243" i="36"/>
  <c r="P1243" i="36"/>
  <c r="Q1243" i="36"/>
  <c r="S1243" i="36"/>
  <c r="T1243" i="36"/>
  <c r="AA1243" i="36"/>
  <c r="AB1243" i="36"/>
  <c r="AC1243" i="36"/>
  <c r="Z1243" i="36"/>
  <c r="I1242" i="36"/>
  <c r="R1242" i="36"/>
  <c r="P1242" i="36"/>
  <c r="Q1242" i="36"/>
  <c r="S1242" i="36"/>
  <c r="T1242" i="36"/>
  <c r="AA1242" i="36"/>
  <c r="AB1242" i="36"/>
  <c r="AC1242" i="36"/>
  <c r="Z1242" i="36"/>
  <c r="I1241" i="36"/>
  <c r="R1241" i="36"/>
  <c r="P1241" i="36"/>
  <c r="Q1241" i="36"/>
  <c r="S1241" i="36"/>
  <c r="T1241" i="36"/>
  <c r="AA1241" i="36"/>
  <c r="AB1241" i="36"/>
  <c r="AC1241" i="36"/>
  <c r="Z1241" i="36"/>
  <c r="I1240" i="36"/>
  <c r="R1240" i="36"/>
  <c r="P1240" i="36"/>
  <c r="Q1240" i="36"/>
  <c r="S1240" i="36"/>
  <c r="T1240" i="36"/>
  <c r="AA1240" i="36"/>
  <c r="AB1240" i="36"/>
  <c r="AC1240" i="36"/>
  <c r="Z1240" i="36"/>
  <c r="I1239" i="36"/>
  <c r="P1239" i="36"/>
  <c r="Q1239" i="36"/>
  <c r="R1239" i="36"/>
  <c r="S1239" i="36"/>
  <c r="T1239" i="36"/>
  <c r="AA1239" i="36"/>
  <c r="AB1239" i="36"/>
  <c r="AC1239" i="36"/>
  <c r="Z1239" i="36"/>
  <c r="I1238" i="36"/>
  <c r="P1238" i="36"/>
  <c r="Q1238" i="36"/>
  <c r="R1238" i="36"/>
  <c r="S1238" i="36"/>
  <c r="T1238" i="36"/>
  <c r="AA1238" i="36"/>
  <c r="AB1238" i="36"/>
  <c r="AC1238" i="36"/>
  <c r="Z1238" i="36"/>
  <c r="I1237" i="36"/>
  <c r="P1237" i="36"/>
  <c r="Q1237" i="36"/>
  <c r="R1237" i="36"/>
  <c r="S1237" i="36"/>
  <c r="T1237" i="36"/>
  <c r="AA1237" i="36"/>
  <c r="AB1237" i="36"/>
  <c r="AC1237" i="36"/>
  <c r="Z1237" i="36"/>
  <c r="I1236" i="36"/>
  <c r="P1236" i="36"/>
  <c r="Q1236" i="36"/>
  <c r="R1236" i="36"/>
  <c r="S1236" i="36"/>
  <c r="T1236" i="36"/>
  <c r="AA1236" i="36"/>
  <c r="AB1236" i="36"/>
  <c r="AC1236" i="36"/>
  <c r="Z1236" i="36"/>
  <c r="I1235" i="36"/>
  <c r="R1235" i="36"/>
  <c r="P1235" i="36"/>
  <c r="Q1235" i="36"/>
  <c r="S1235" i="36"/>
  <c r="T1235" i="36"/>
  <c r="AA1235" i="36"/>
  <c r="AB1235" i="36"/>
  <c r="AC1235" i="36"/>
  <c r="Z1235" i="36"/>
  <c r="I1233" i="36"/>
  <c r="R1233" i="36"/>
  <c r="P1233" i="36"/>
  <c r="Q1233" i="36"/>
  <c r="S1233" i="36"/>
  <c r="T1233" i="36"/>
  <c r="AA1233" i="36"/>
  <c r="AB1233" i="36"/>
  <c r="AC1233" i="36"/>
  <c r="Z1233" i="36"/>
  <c r="I1234" i="36"/>
  <c r="P1234" i="36"/>
  <c r="Q1234" i="36"/>
  <c r="R1234" i="36"/>
  <c r="S1234" i="36"/>
  <c r="T1234" i="36"/>
  <c r="AA1234" i="36"/>
  <c r="AB1234" i="36"/>
  <c r="AC1234" i="36"/>
  <c r="Z1234" i="36"/>
  <c r="I1232" i="36"/>
  <c r="R1232" i="36"/>
  <c r="P1232" i="36"/>
  <c r="Q1232" i="36"/>
  <c r="S1232" i="36"/>
  <c r="T1232" i="36"/>
  <c r="AA1232" i="36"/>
  <c r="AB1232" i="36"/>
  <c r="AC1232" i="36"/>
  <c r="Z1232" i="36"/>
  <c r="I1231" i="36"/>
  <c r="R1231" i="36"/>
  <c r="P1231" i="36"/>
  <c r="Q1231" i="36"/>
  <c r="S1231" i="36"/>
  <c r="T1231" i="36"/>
  <c r="AA1231" i="36"/>
  <c r="AB1231" i="36"/>
  <c r="AC1231" i="36"/>
  <c r="Z1231" i="36"/>
  <c r="I1230" i="36"/>
  <c r="R1230" i="36"/>
  <c r="P1230" i="36"/>
  <c r="Q1230" i="36"/>
  <c r="S1230" i="36"/>
  <c r="T1230" i="36"/>
  <c r="AA1230" i="36"/>
  <c r="AB1230" i="36"/>
  <c r="AC1230" i="36"/>
  <c r="Z1230" i="36"/>
  <c r="I1229" i="36"/>
  <c r="R1229" i="36"/>
  <c r="P1229" i="36"/>
  <c r="Q1229" i="36"/>
  <c r="S1229" i="36"/>
  <c r="T1229" i="36"/>
  <c r="AA1229" i="36"/>
  <c r="AB1229" i="36"/>
  <c r="AC1229" i="36"/>
  <c r="Z1229" i="36"/>
  <c r="I1228" i="36"/>
  <c r="R1228" i="36"/>
  <c r="P1228" i="36"/>
  <c r="Q1228" i="36"/>
  <c r="S1228" i="36"/>
  <c r="T1228" i="36"/>
  <c r="AA1228" i="36"/>
  <c r="AB1228" i="36"/>
  <c r="AC1228" i="36"/>
  <c r="Z1228" i="36"/>
  <c r="I1227" i="36"/>
  <c r="P1227" i="36"/>
  <c r="Q1227" i="36"/>
  <c r="R1227" i="36"/>
  <c r="S1227" i="36"/>
  <c r="T1227" i="36"/>
  <c r="AA1227" i="36"/>
  <c r="AB1227" i="36"/>
  <c r="AC1227" i="36"/>
  <c r="Z1227" i="36"/>
  <c r="I1225" i="36"/>
  <c r="R1225" i="36"/>
  <c r="P1225" i="36"/>
  <c r="Q1225" i="36"/>
  <c r="S1225" i="36"/>
  <c r="T1225" i="36"/>
  <c r="AA1225" i="36"/>
  <c r="AB1225" i="36"/>
  <c r="AC1225" i="36"/>
  <c r="Z1225" i="36"/>
  <c r="I1226" i="36"/>
  <c r="P1226" i="36"/>
  <c r="Q1226" i="36"/>
  <c r="R1226" i="36"/>
  <c r="S1226" i="36"/>
  <c r="T1226" i="36"/>
  <c r="AA1226" i="36"/>
  <c r="AB1226" i="36"/>
  <c r="AC1226" i="36"/>
  <c r="Z1226" i="36"/>
  <c r="I1223" i="36"/>
  <c r="P1223" i="36"/>
  <c r="Q1223" i="36"/>
  <c r="R1223" i="36"/>
  <c r="S1223" i="36"/>
  <c r="T1223" i="36"/>
  <c r="AA1223" i="36"/>
  <c r="AB1223" i="36"/>
  <c r="AC1223" i="36"/>
  <c r="Z1223" i="36"/>
  <c r="I1224" i="36"/>
  <c r="P1224" i="36"/>
  <c r="Q1224" i="36"/>
  <c r="R1224" i="36"/>
  <c r="S1224" i="36"/>
  <c r="T1224" i="36"/>
  <c r="AA1224" i="36"/>
  <c r="AB1224" i="36"/>
  <c r="AC1224" i="36"/>
  <c r="Z1224" i="36"/>
  <c r="I1221" i="36"/>
  <c r="P1221" i="36"/>
  <c r="Q1221" i="36"/>
  <c r="R1221" i="36"/>
  <c r="S1221" i="36"/>
  <c r="T1221" i="36"/>
  <c r="AA1221" i="36"/>
  <c r="AB1221" i="36"/>
  <c r="AC1221" i="36"/>
  <c r="Z1221" i="36"/>
  <c r="I1222" i="36"/>
  <c r="P1222" i="36"/>
  <c r="Q1222" i="36"/>
  <c r="R1222" i="36"/>
  <c r="S1222" i="36"/>
  <c r="T1222" i="36"/>
  <c r="AA1222" i="36"/>
  <c r="AB1222" i="36"/>
  <c r="AC1222" i="36"/>
  <c r="Z1222" i="36"/>
  <c r="I1220" i="36"/>
  <c r="R1220" i="36"/>
  <c r="P1220" i="36"/>
  <c r="Q1220" i="36"/>
  <c r="S1220" i="36"/>
  <c r="T1220" i="36"/>
  <c r="AA1220" i="36"/>
  <c r="AB1220" i="36"/>
  <c r="AC1220" i="36"/>
  <c r="Z1220" i="36"/>
  <c r="I1219" i="36"/>
  <c r="R1219" i="36"/>
  <c r="P1219" i="36"/>
  <c r="Q1219" i="36"/>
  <c r="S1219" i="36"/>
  <c r="T1219" i="36"/>
  <c r="AA1219" i="36"/>
  <c r="AB1219" i="36"/>
  <c r="AC1219" i="36"/>
  <c r="Z1219" i="36"/>
  <c r="I1218" i="36"/>
  <c r="P1218" i="36"/>
  <c r="Q1218" i="36"/>
  <c r="R1218" i="36"/>
  <c r="S1218" i="36"/>
  <c r="T1218" i="36"/>
  <c r="AA1218" i="36"/>
  <c r="AB1218" i="36"/>
  <c r="AC1218" i="36"/>
  <c r="Z1218" i="36"/>
  <c r="I1216" i="36"/>
  <c r="P1216" i="36"/>
  <c r="Q1216" i="36"/>
  <c r="R1216" i="36"/>
  <c r="S1216" i="36"/>
  <c r="T1216" i="36"/>
  <c r="AA1216" i="36"/>
  <c r="AB1216" i="36"/>
  <c r="AC1216" i="36"/>
  <c r="Z1216" i="36"/>
  <c r="I1217" i="36"/>
  <c r="P1217" i="36"/>
  <c r="Q1217" i="36"/>
  <c r="R1217" i="36"/>
  <c r="S1217" i="36"/>
  <c r="T1217" i="36"/>
  <c r="AA1217" i="36"/>
  <c r="AB1217" i="36"/>
  <c r="AC1217" i="36"/>
  <c r="I1215" i="36"/>
  <c r="P1215" i="36"/>
  <c r="Q1215" i="36"/>
  <c r="R1215" i="36"/>
  <c r="S1215" i="36"/>
  <c r="T1215" i="36"/>
  <c r="AA1215" i="36"/>
  <c r="AB1215" i="36"/>
  <c r="AC1215" i="36"/>
  <c r="I1214" i="36"/>
  <c r="R1214" i="36"/>
  <c r="P1214" i="36"/>
  <c r="Q1214" i="36"/>
  <c r="S1214" i="36"/>
  <c r="T1214" i="36"/>
  <c r="AA1214" i="36"/>
  <c r="AB1214" i="36"/>
  <c r="AC1214" i="36"/>
  <c r="Z1215" i="36"/>
  <c r="Z1217" i="36"/>
  <c r="Z1214" i="36"/>
  <c r="I1213" i="36"/>
  <c r="R1213" i="36"/>
  <c r="P1213" i="36"/>
  <c r="Q1213" i="36"/>
  <c r="S1213" i="36"/>
  <c r="T1213" i="36"/>
  <c r="AA1213" i="36"/>
  <c r="AB1213" i="36"/>
  <c r="AC1213" i="36"/>
  <c r="Z1213" i="36"/>
  <c r="I1212" i="36"/>
  <c r="P1212" i="36"/>
  <c r="Q1212" i="36"/>
  <c r="R1212" i="36"/>
  <c r="S1212" i="36"/>
  <c r="T1212" i="36"/>
  <c r="AA1212" i="36"/>
  <c r="AB1212" i="36"/>
  <c r="AC1212" i="36"/>
  <c r="Z1212" i="36"/>
  <c r="I1211" i="36"/>
  <c r="P1211" i="36"/>
  <c r="Q1211" i="36"/>
  <c r="R1211" i="36"/>
  <c r="S1211" i="36"/>
  <c r="T1211" i="36"/>
  <c r="AA1211" i="36"/>
  <c r="AB1211" i="36"/>
  <c r="AC1211" i="36"/>
  <c r="Z1211" i="36"/>
  <c r="I1209" i="36"/>
  <c r="R1209" i="36"/>
  <c r="P1209" i="36"/>
  <c r="Q1209" i="36"/>
  <c r="S1209" i="36"/>
  <c r="T1209" i="36"/>
  <c r="AA1209" i="36"/>
  <c r="AB1209" i="36"/>
  <c r="AC1209" i="36"/>
  <c r="Z1209" i="36"/>
  <c r="I1210" i="36"/>
  <c r="P1210" i="36"/>
  <c r="Q1210" i="36"/>
  <c r="R1210" i="36"/>
  <c r="S1210" i="36"/>
  <c r="T1210" i="36"/>
  <c r="AA1210" i="36"/>
  <c r="AB1210" i="36"/>
  <c r="AC1210" i="36"/>
  <c r="Z1210" i="36"/>
  <c r="I1206" i="36"/>
  <c r="P1206" i="36"/>
  <c r="Q1206" i="36"/>
  <c r="R1206" i="36"/>
  <c r="S1206" i="36"/>
  <c r="T1206" i="36"/>
  <c r="AA1206" i="36"/>
  <c r="AB1206" i="36"/>
  <c r="AC1206" i="36"/>
  <c r="Z1206" i="36"/>
  <c r="I1207" i="36"/>
  <c r="P1207" i="36"/>
  <c r="Q1207" i="36"/>
  <c r="R1207" i="36"/>
  <c r="S1207" i="36"/>
  <c r="T1207" i="36"/>
  <c r="AA1207" i="36"/>
  <c r="AB1207" i="36"/>
  <c r="AC1207" i="36"/>
  <c r="Z1207" i="36"/>
  <c r="I1205" i="36"/>
  <c r="R1205" i="36"/>
  <c r="P1205" i="36"/>
  <c r="Q1205" i="36"/>
  <c r="S1205" i="36"/>
  <c r="T1205" i="36"/>
  <c r="AA1205" i="36"/>
  <c r="AB1205" i="36"/>
  <c r="AC1205" i="36"/>
  <c r="Z1205" i="36"/>
  <c r="I1204" i="36"/>
  <c r="P1204" i="36"/>
  <c r="Q1204" i="36"/>
  <c r="R1204" i="36"/>
  <c r="S1204" i="36"/>
  <c r="T1204" i="36"/>
  <c r="AA1204" i="36"/>
  <c r="AB1204" i="36"/>
  <c r="AC1204" i="36"/>
  <c r="Z1204" i="36"/>
  <c r="I1203" i="36"/>
  <c r="R1203" i="36"/>
  <c r="P1203" i="36"/>
  <c r="Q1203" i="36"/>
  <c r="S1203" i="36"/>
  <c r="T1203" i="36"/>
  <c r="AA1203" i="36"/>
  <c r="AB1203" i="36"/>
  <c r="AC1203" i="36"/>
  <c r="I1202" i="36"/>
  <c r="R1202" i="36"/>
  <c r="P1202" i="36"/>
  <c r="Q1202" i="36"/>
  <c r="S1202" i="36"/>
  <c r="T1202" i="36"/>
  <c r="AA1202" i="36"/>
  <c r="AB1202" i="36"/>
  <c r="AC1202" i="36"/>
  <c r="Z1203" i="36"/>
  <c r="Z1202" i="36"/>
  <c r="I1201" i="36"/>
  <c r="R1201" i="36"/>
  <c r="P1201" i="36"/>
  <c r="Q1201" i="36"/>
  <c r="S1201" i="36"/>
  <c r="T1201" i="36"/>
  <c r="AA1201" i="36"/>
  <c r="AB1201" i="36"/>
  <c r="AC1201" i="36"/>
  <c r="Z1201" i="36"/>
  <c r="I1199" i="36"/>
  <c r="P1199" i="36"/>
  <c r="Q1199" i="36"/>
  <c r="R1199" i="36"/>
  <c r="S1199" i="36"/>
  <c r="T1199" i="36"/>
  <c r="AA1199" i="36"/>
  <c r="AB1199" i="36"/>
  <c r="AC1199" i="36"/>
  <c r="Z1199" i="36"/>
  <c r="I1200" i="36"/>
  <c r="R1200" i="36"/>
  <c r="P1200" i="36"/>
  <c r="Q1200" i="36"/>
  <c r="S1200" i="36"/>
  <c r="T1200" i="36"/>
  <c r="AA1200" i="36"/>
  <c r="AB1200" i="36"/>
  <c r="AC1200" i="36"/>
  <c r="Z1200" i="36"/>
  <c r="I1198" i="36"/>
  <c r="R1198" i="36"/>
  <c r="P1198" i="36"/>
  <c r="Q1198" i="36"/>
  <c r="S1198" i="36"/>
  <c r="T1198" i="36"/>
  <c r="AA1198" i="36"/>
  <c r="AB1198" i="36"/>
  <c r="AC1198" i="36"/>
  <c r="Z1198" i="36"/>
  <c r="I1197" i="36"/>
  <c r="P1197" i="36"/>
  <c r="Q1197" i="36"/>
  <c r="R1197" i="36"/>
  <c r="S1197" i="36"/>
  <c r="T1197" i="36"/>
  <c r="AA1197" i="36"/>
  <c r="AB1197" i="36"/>
  <c r="AC1197" i="36"/>
  <c r="Z1197" i="36"/>
  <c r="I1196" i="36"/>
  <c r="R1196" i="36"/>
  <c r="P1196" i="36"/>
  <c r="Q1196" i="36"/>
  <c r="S1196" i="36"/>
  <c r="T1196" i="36"/>
  <c r="AA1196" i="36"/>
  <c r="AB1196" i="36"/>
  <c r="AC1196" i="36"/>
  <c r="Z1196" i="36"/>
  <c r="I1195" i="36"/>
  <c r="R1195" i="36"/>
  <c r="P1195" i="36"/>
  <c r="Q1195" i="36"/>
  <c r="S1195" i="36"/>
  <c r="T1195" i="36"/>
  <c r="AA1195" i="36"/>
  <c r="AB1195" i="36"/>
  <c r="AC1195" i="36"/>
  <c r="Z1195" i="36"/>
  <c r="I1193" i="36"/>
  <c r="P1193" i="36"/>
  <c r="Q1193" i="36"/>
  <c r="R1193" i="36"/>
  <c r="S1193" i="36"/>
  <c r="T1193" i="36"/>
  <c r="AA1193" i="36"/>
  <c r="AB1193" i="36"/>
  <c r="AC1193" i="36"/>
  <c r="Z1193" i="36"/>
  <c r="I1194" i="36"/>
  <c r="R1194" i="36"/>
  <c r="P1194" i="36"/>
  <c r="Q1194" i="36"/>
  <c r="S1194" i="36"/>
  <c r="T1194" i="36"/>
  <c r="AA1194" i="36"/>
  <c r="AB1194" i="36"/>
  <c r="AC1194" i="36"/>
  <c r="Z1194" i="36"/>
  <c r="I1192" i="36"/>
  <c r="R1192" i="36"/>
  <c r="P1192" i="36"/>
  <c r="Q1192" i="36"/>
  <c r="S1192" i="36"/>
  <c r="T1192" i="36"/>
  <c r="AA1192" i="36"/>
  <c r="AB1192" i="36"/>
  <c r="AC1192" i="36"/>
  <c r="Z1192" i="36"/>
  <c r="I1191" i="36"/>
  <c r="R1191" i="36"/>
  <c r="P1191" i="36"/>
  <c r="Q1191" i="36"/>
  <c r="S1191" i="36"/>
  <c r="T1191" i="36"/>
  <c r="AA1191" i="36"/>
  <c r="AB1191" i="36"/>
  <c r="AC1191" i="36"/>
  <c r="Z1191" i="36"/>
  <c r="I1190" i="36"/>
  <c r="R1190" i="36"/>
  <c r="P1190" i="36"/>
  <c r="Q1190" i="36"/>
  <c r="S1190" i="36"/>
  <c r="T1190" i="36"/>
  <c r="AA1190" i="36"/>
  <c r="AB1190" i="36"/>
  <c r="AC1190" i="36"/>
  <c r="Z1190" i="36"/>
  <c r="I1189" i="36"/>
  <c r="R1189" i="36"/>
  <c r="P1189" i="36"/>
  <c r="Q1189" i="36"/>
  <c r="S1189" i="36"/>
  <c r="T1189" i="36"/>
  <c r="AA1189" i="36"/>
  <c r="AB1189" i="36"/>
  <c r="AC1189" i="36"/>
  <c r="Z1189" i="36"/>
  <c r="I1188" i="36"/>
  <c r="R1188" i="36"/>
  <c r="P1188" i="36"/>
  <c r="Q1188" i="36"/>
  <c r="S1188" i="36"/>
  <c r="T1188" i="36"/>
  <c r="AA1188" i="36"/>
  <c r="AB1188" i="36"/>
  <c r="AC1188" i="36"/>
  <c r="Z1188" i="36"/>
  <c r="I1187" i="36"/>
  <c r="P1187" i="36"/>
  <c r="Q1187" i="36"/>
  <c r="R1187" i="36"/>
  <c r="S1187" i="36"/>
  <c r="T1187" i="36"/>
  <c r="AA1187" i="36"/>
  <c r="AB1187" i="36"/>
  <c r="AC1187" i="36"/>
  <c r="Z1187" i="36"/>
  <c r="I1186" i="36"/>
  <c r="P1186" i="36"/>
  <c r="Q1186" i="36"/>
  <c r="R1186" i="36"/>
  <c r="S1186" i="36"/>
  <c r="T1186" i="36"/>
  <c r="AA1186" i="36"/>
  <c r="AB1186" i="36"/>
  <c r="AC1186" i="36"/>
  <c r="Z1186" i="36"/>
  <c r="I1185" i="36"/>
  <c r="R1185" i="36"/>
  <c r="P1185" i="36"/>
  <c r="Q1185" i="36"/>
  <c r="S1185" i="36"/>
  <c r="T1185" i="36"/>
  <c r="AA1185" i="36"/>
  <c r="AB1185" i="36"/>
  <c r="AC1185" i="36"/>
  <c r="Z1185" i="36"/>
  <c r="I1184" i="36"/>
  <c r="P1184" i="36"/>
  <c r="Q1184" i="36"/>
  <c r="R1184" i="36"/>
  <c r="S1184" i="36"/>
  <c r="T1184" i="36"/>
  <c r="AA1184" i="36"/>
  <c r="AB1184" i="36"/>
  <c r="AC1184" i="36"/>
  <c r="Z1184" i="36"/>
  <c r="I1183" i="36"/>
  <c r="R1183" i="36"/>
  <c r="P1183" i="36"/>
  <c r="Q1183" i="36"/>
  <c r="S1183" i="36"/>
  <c r="T1183" i="36"/>
  <c r="AA1183" i="36"/>
  <c r="AB1183" i="36"/>
  <c r="AC1183" i="36"/>
  <c r="I1182" i="36"/>
  <c r="R1182" i="36"/>
  <c r="P1182" i="36"/>
  <c r="Q1182" i="36"/>
  <c r="S1182" i="36"/>
  <c r="T1182" i="36"/>
  <c r="AA1182" i="36"/>
  <c r="AB1182" i="36"/>
  <c r="AC1182" i="36"/>
  <c r="I1180" i="36"/>
  <c r="R1180" i="36"/>
  <c r="P1180" i="36"/>
  <c r="Q1180" i="36"/>
  <c r="S1180" i="36"/>
  <c r="T1180" i="36"/>
  <c r="AA1180" i="36"/>
  <c r="AB1180" i="36"/>
  <c r="AC1180" i="36"/>
  <c r="Z1183" i="36"/>
  <c r="Z1182" i="36"/>
  <c r="Z1180" i="36"/>
  <c r="I1181" i="36"/>
  <c r="R1181" i="36"/>
  <c r="P1181" i="36"/>
  <c r="Q1181" i="36"/>
  <c r="S1181" i="36"/>
  <c r="T1181" i="36"/>
  <c r="AA1181" i="36"/>
  <c r="AB1181" i="36"/>
  <c r="AC1181" i="36"/>
  <c r="Z1181" i="36"/>
  <c r="I1179" i="36"/>
  <c r="P1179" i="36"/>
  <c r="Q1179" i="36"/>
  <c r="R1179" i="36"/>
  <c r="S1179" i="36"/>
  <c r="T1179" i="36"/>
  <c r="AA1179" i="36"/>
  <c r="AB1179" i="36"/>
  <c r="AC1179" i="36"/>
  <c r="Z1179" i="36"/>
  <c r="I1178" i="36"/>
  <c r="P1178" i="36"/>
  <c r="Q1178" i="36"/>
  <c r="R1178" i="36"/>
  <c r="S1178" i="36"/>
  <c r="T1178" i="36"/>
  <c r="AA1178" i="36"/>
  <c r="AB1178" i="36"/>
  <c r="AC1178" i="36"/>
  <c r="Z1178" i="36"/>
  <c r="I1177" i="36"/>
  <c r="P1177" i="36"/>
  <c r="Q1177" i="36"/>
  <c r="R1177" i="36"/>
  <c r="S1177" i="36"/>
  <c r="T1177" i="36"/>
  <c r="AA1177" i="36"/>
  <c r="AB1177" i="36"/>
  <c r="AC1177" i="36"/>
  <c r="Z1177" i="36"/>
  <c r="I1176" i="36"/>
  <c r="P1176" i="36"/>
  <c r="Q1176" i="36"/>
  <c r="R1176" i="36"/>
  <c r="S1176" i="36"/>
  <c r="T1176" i="36"/>
  <c r="AA1176" i="36"/>
  <c r="AB1176" i="36"/>
  <c r="AC1176" i="36"/>
  <c r="Z1176" i="36"/>
  <c r="I1175" i="36"/>
  <c r="R1175" i="36"/>
  <c r="P1175" i="36"/>
  <c r="Q1175" i="36"/>
  <c r="S1175" i="36"/>
  <c r="T1175" i="36"/>
  <c r="AA1175" i="36"/>
  <c r="AB1175" i="36"/>
  <c r="AC1175" i="36"/>
  <c r="Z1175" i="36"/>
  <c r="I1173" i="36"/>
  <c r="R1173" i="36"/>
  <c r="P1173" i="36"/>
  <c r="Q1173" i="36"/>
  <c r="S1173" i="36"/>
  <c r="T1173" i="36"/>
  <c r="AA1173" i="36"/>
  <c r="AB1173" i="36"/>
  <c r="AC1173" i="36"/>
  <c r="I1174" i="36"/>
  <c r="P1174" i="36"/>
  <c r="Q1174" i="36"/>
  <c r="R1174" i="36"/>
  <c r="S1174" i="36"/>
  <c r="T1174" i="36"/>
  <c r="AA1174" i="36"/>
  <c r="AB1174" i="36"/>
  <c r="AC1174" i="36"/>
  <c r="Z1173" i="36"/>
  <c r="Z1174" i="36"/>
  <c r="I1171" i="36"/>
  <c r="R1171" i="36"/>
  <c r="P1171" i="36"/>
  <c r="Q1171" i="36"/>
  <c r="S1171" i="36"/>
  <c r="T1171" i="36"/>
  <c r="AA1171" i="36"/>
  <c r="AB1171" i="36"/>
  <c r="AC1171" i="36"/>
  <c r="Z1171" i="36"/>
  <c r="I1172" i="36"/>
  <c r="P1172" i="36"/>
  <c r="Q1172" i="36"/>
  <c r="R1172" i="36"/>
  <c r="S1172" i="36"/>
  <c r="T1172" i="36"/>
  <c r="AA1172" i="36"/>
  <c r="AB1172" i="36"/>
  <c r="AC1172" i="36"/>
  <c r="Z1172" i="36"/>
  <c r="I1169" i="36"/>
  <c r="P1169" i="36"/>
  <c r="Q1169" i="36"/>
  <c r="R1169" i="36"/>
  <c r="S1169" i="36"/>
  <c r="T1169" i="36"/>
  <c r="AA1169" i="36"/>
  <c r="AB1169" i="36"/>
  <c r="AC1169" i="36"/>
  <c r="Z1169" i="36"/>
  <c r="AA1164" i="36"/>
  <c r="AB1164" i="36"/>
  <c r="AC1164" i="36"/>
  <c r="AA1165" i="36"/>
  <c r="AB1165" i="36"/>
  <c r="AC1165" i="36"/>
  <c r="AA1166" i="36"/>
  <c r="AB1166" i="36"/>
  <c r="AC1166" i="36"/>
  <c r="AA1168" i="36"/>
  <c r="AB1168" i="36"/>
  <c r="AC1168" i="36"/>
  <c r="AA1167" i="36"/>
  <c r="AB1167" i="36"/>
  <c r="AC1167" i="36"/>
  <c r="AA1170" i="36"/>
  <c r="AB1170" i="36"/>
  <c r="AC1170" i="36"/>
  <c r="I1170" i="36"/>
  <c r="P1170" i="36"/>
  <c r="Q1170" i="36"/>
  <c r="R1170" i="36"/>
  <c r="S1170" i="36"/>
  <c r="T1170" i="36"/>
  <c r="AB1151" i="36"/>
  <c r="AB1152" i="36"/>
  <c r="AB1153" i="36"/>
  <c r="AB1154" i="36"/>
  <c r="AB1155" i="36"/>
  <c r="AB1156" i="36"/>
  <c r="AB1157" i="36"/>
  <c r="AB1158" i="36"/>
  <c r="AB1160" i="36"/>
  <c r="AB1159" i="36"/>
  <c r="AB1161" i="36"/>
  <c r="AB1163" i="36"/>
  <c r="AB1162" i="36"/>
  <c r="Z1170" i="36"/>
  <c r="I1167" i="36"/>
  <c r="R1167" i="36"/>
  <c r="P1167" i="36"/>
  <c r="Q1167" i="36"/>
  <c r="S1167" i="36"/>
  <c r="T1167" i="36"/>
  <c r="Z1167" i="36"/>
  <c r="I1168" i="36"/>
  <c r="R1168" i="36"/>
  <c r="P1168" i="36"/>
  <c r="Q1168" i="36"/>
  <c r="S1168" i="36"/>
  <c r="T1168" i="36"/>
  <c r="I1166" i="36"/>
  <c r="R1166" i="36"/>
  <c r="P1166" i="36"/>
  <c r="Q1166" i="36"/>
  <c r="S1166" i="36"/>
  <c r="T1166" i="36"/>
  <c r="Z1166" i="36"/>
  <c r="Z1168" i="36"/>
  <c r="I1165" i="36"/>
  <c r="P1165" i="36"/>
  <c r="Q1165" i="36"/>
  <c r="R1165" i="36"/>
  <c r="S1165" i="36"/>
  <c r="T1165" i="36"/>
  <c r="Z1165" i="36"/>
  <c r="I1164" i="36"/>
  <c r="R1164" i="36"/>
  <c r="P1164" i="36"/>
  <c r="Q1164" i="36"/>
  <c r="S1164" i="36"/>
  <c r="T1164" i="36"/>
  <c r="Z1164" i="36"/>
  <c r="I1162" i="36"/>
  <c r="R1162" i="36"/>
  <c r="P1162" i="36"/>
  <c r="Q1162" i="36"/>
  <c r="S1162" i="36"/>
  <c r="T1162" i="36"/>
  <c r="AA1162" i="36"/>
  <c r="AC1162" i="36"/>
  <c r="Z1162" i="36"/>
  <c r="I1163" i="36"/>
  <c r="R1163" i="36"/>
  <c r="P1163" i="36"/>
  <c r="Q1163" i="36"/>
  <c r="S1163" i="36"/>
  <c r="T1163" i="36"/>
  <c r="AA1163" i="36"/>
  <c r="AC1163" i="36"/>
  <c r="Z1163" i="36"/>
  <c r="I1161" i="36"/>
  <c r="R1161" i="36"/>
  <c r="P1161" i="36"/>
  <c r="Q1161" i="36"/>
  <c r="S1161" i="36"/>
  <c r="T1161" i="36"/>
  <c r="AA1161" i="36"/>
  <c r="AC1161" i="36"/>
  <c r="I1156" i="36"/>
  <c r="I1157" i="36"/>
  <c r="I1158" i="36"/>
  <c r="I1160" i="36"/>
  <c r="I1159" i="36"/>
  <c r="Z1161" i="36"/>
  <c r="R1159" i="36"/>
  <c r="P1159" i="36"/>
  <c r="Q1159" i="36"/>
  <c r="S1159" i="36"/>
  <c r="T1159" i="36"/>
  <c r="AA1159" i="36"/>
  <c r="AC1159" i="36"/>
  <c r="Z1159" i="36"/>
  <c r="R1160" i="36"/>
  <c r="P1160" i="36"/>
  <c r="Q1160" i="36"/>
  <c r="S1160" i="36"/>
  <c r="T1160" i="36"/>
  <c r="AA1160" i="36"/>
  <c r="AC1160" i="36"/>
  <c r="Z1160" i="36"/>
  <c r="P1158" i="36"/>
  <c r="Q1158" i="36"/>
  <c r="R1158" i="36"/>
  <c r="S1158" i="36"/>
  <c r="T1158" i="36"/>
  <c r="AA1158" i="36"/>
  <c r="AC1158" i="36"/>
  <c r="Z1158" i="36"/>
  <c r="P1157" i="36"/>
  <c r="Q1157" i="36"/>
  <c r="R1157" i="36"/>
  <c r="S1157" i="36"/>
  <c r="T1157" i="36"/>
  <c r="AA1157" i="36"/>
  <c r="AC1157" i="36"/>
  <c r="Z1157" i="36"/>
  <c r="R1156" i="36"/>
  <c r="P1156" i="36"/>
  <c r="Q1156" i="36"/>
  <c r="S1156" i="36"/>
  <c r="T1156" i="36"/>
  <c r="AA1156" i="36"/>
  <c r="AC1156" i="36"/>
  <c r="Z1156" i="36"/>
  <c r="I1155" i="36"/>
  <c r="P1155" i="36"/>
  <c r="Q1155" i="36"/>
  <c r="R1155" i="36"/>
  <c r="S1155" i="36"/>
  <c r="T1155" i="36"/>
  <c r="AA1155" i="36"/>
  <c r="AC1155" i="36"/>
  <c r="Z1155" i="36"/>
  <c r="I1154" i="36"/>
  <c r="R1154" i="36"/>
  <c r="P1154" i="36"/>
  <c r="Q1154" i="36"/>
  <c r="S1154" i="36"/>
  <c r="T1154" i="36"/>
  <c r="AA1154" i="36"/>
  <c r="AC1154" i="36"/>
  <c r="Z1154" i="36"/>
  <c r="I1153" i="36"/>
  <c r="R1153" i="36"/>
  <c r="P1153" i="36"/>
  <c r="Q1153" i="36"/>
  <c r="S1153" i="36"/>
  <c r="T1153" i="36"/>
  <c r="AA1153" i="36"/>
  <c r="AC1153" i="36"/>
  <c r="Z1153" i="36"/>
  <c r="I1152" i="36"/>
  <c r="R1152" i="36"/>
  <c r="P1152" i="36"/>
  <c r="Q1152" i="36"/>
  <c r="S1152" i="36"/>
  <c r="T1152" i="36"/>
  <c r="AA1152" i="36"/>
  <c r="AC1152" i="36"/>
  <c r="Z1152" i="36"/>
  <c r="I1151" i="36"/>
  <c r="R1151" i="36"/>
  <c r="P1151" i="36"/>
  <c r="Q1151" i="36"/>
  <c r="S1151" i="36"/>
  <c r="T1151" i="36"/>
  <c r="AA1151" i="36"/>
  <c r="AC1151" i="36"/>
  <c r="Z1151" i="36"/>
  <c r="I1150" i="36"/>
  <c r="R1150" i="36"/>
  <c r="P1150" i="36"/>
  <c r="Q1150" i="36"/>
  <c r="S1150" i="36"/>
  <c r="T1150" i="36"/>
  <c r="AA1150" i="36"/>
  <c r="AB1150" i="36"/>
  <c r="AC1150" i="36"/>
  <c r="Z1150" i="36"/>
  <c r="I1149" i="36"/>
  <c r="R1149" i="36"/>
  <c r="P1149" i="36"/>
  <c r="Q1149" i="36"/>
  <c r="S1149" i="36"/>
  <c r="T1149" i="36"/>
  <c r="AA1149" i="36"/>
  <c r="AB1149" i="36"/>
  <c r="AC1149" i="36"/>
  <c r="Z1149" i="36"/>
  <c r="I1148" i="36"/>
  <c r="P1148" i="36"/>
  <c r="Q1148" i="36"/>
  <c r="R1148" i="36"/>
  <c r="S1148" i="36"/>
  <c r="T1148" i="36"/>
  <c r="AA1148" i="36"/>
  <c r="AB1148" i="36"/>
  <c r="AC1148" i="36"/>
  <c r="Z1148" i="36"/>
  <c r="I1147" i="36"/>
  <c r="P1147" i="36"/>
  <c r="Q1147" i="36"/>
  <c r="R1147" i="36"/>
  <c r="S1147" i="36"/>
  <c r="T1147" i="36"/>
  <c r="AA1147" i="36"/>
  <c r="AB1147" i="36"/>
  <c r="AC1147" i="36"/>
  <c r="Z1147" i="36"/>
  <c r="I1146" i="36"/>
  <c r="R1146" i="36"/>
  <c r="P1146" i="36"/>
  <c r="Q1146" i="36"/>
  <c r="S1146" i="36"/>
  <c r="T1146" i="36"/>
  <c r="AA1146" i="36"/>
  <c r="AB1146" i="36"/>
  <c r="AC1146" i="36"/>
  <c r="Z1146" i="36"/>
  <c r="I1145" i="36"/>
  <c r="R1145" i="36"/>
  <c r="P1145" i="36"/>
  <c r="Q1145" i="36"/>
  <c r="S1145" i="36"/>
  <c r="T1145" i="36"/>
  <c r="AA1145" i="36"/>
  <c r="AB1145" i="36"/>
  <c r="AC1145" i="36"/>
  <c r="Z1145" i="36"/>
  <c r="I1144" i="36"/>
  <c r="P1144" i="36"/>
  <c r="Q1144" i="36"/>
  <c r="R1144" i="36"/>
  <c r="S1144" i="36"/>
  <c r="T1144" i="36"/>
  <c r="AA1144" i="36"/>
  <c r="AB1144" i="36"/>
  <c r="AC1144" i="36"/>
  <c r="Z1144" i="36"/>
  <c r="I1143" i="36"/>
  <c r="P1143" i="36"/>
  <c r="Q1143" i="36"/>
  <c r="R1143" i="36"/>
  <c r="S1143" i="36"/>
  <c r="T1143" i="36"/>
  <c r="AA1143" i="36"/>
  <c r="AB1143" i="36"/>
  <c r="AC1143" i="36"/>
  <c r="Z1143" i="36"/>
  <c r="I1142" i="36"/>
  <c r="R1142" i="36"/>
  <c r="P1142" i="36"/>
  <c r="Q1142" i="36"/>
  <c r="S1142" i="36"/>
  <c r="T1142" i="36"/>
  <c r="AA1142" i="36"/>
  <c r="AB1142" i="36"/>
  <c r="AC1142" i="36"/>
  <c r="Z1142" i="36"/>
  <c r="I1141" i="36"/>
  <c r="R1141" i="36"/>
  <c r="P1141" i="36"/>
  <c r="Q1141" i="36"/>
  <c r="S1141" i="36"/>
  <c r="T1141" i="36"/>
  <c r="AA1141" i="36"/>
  <c r="AB1141" i="36"/>
  <c r="AC1141" i="36"/>
  <c r="I1140" i="36"/>
  <c r="R1140" i="36"/>
  <c r="P1140" i="36"/>
  <c r="Q1140" i="36"/>
  <c r="S1140" i="36"/>
  <c r="T1140" i="36"/>
  <c r="AA1140" i="36"/>
  <c r="AB1140" i="36"/>
  <c r="AC1140" i="36"/>
  <c r="Z1141" i="36"/>
  <c r="Z1140" i="36"/>
  <c r="I1139" i="36"/>
  <c r="R1139" i="36"/>
  <c r="P1139" i="36"/>
  <c r="Q1139" i="36"/>
  <c r="S1139" i="36"/>
  <c r="T1139" i="36"/>
  <c r="AA1139" i="36"/>
  <c r="AB1139" i="36"/>
  <c r="AC1139" i="36"/>
  <c r="Z1139" i="36"/>
  <c r="I1138" i="36"/>
  <c r="R1138" i="36"/>
  <c r="P1138" i="36"/>
  <c r="Q1138" i="36"/>
  <c r="S1138" i="36"/>
  <c r="T1138" i="36"/>
  <c r="AA1138" i="36"/>
  <c r="AB1138" i="36"/>
  <c r="AC1138" i="36"/>
  <c r="Z1138" i="36"/>
  <c r="I1137" i="36"/>
  <c r="R1137" i="36"/>
  <c r="P1137" i="36"/>
  <c r="Q1137" i="36"/>
  <c r="S1137" i="36"/>
  <c r="T1137" i="36"/>
  <c r="AA1137" i="36"/>
  <c r="AB1137" i="36"/>
  <c r="AC1137" i="36"/>
  <c r="Z1137" i="36"/>
  <c r="I1136" i="36"/>
  <c r="R1136" i="36"/>
  <c r="P1136" i="36"/>
  <c r="Q1136" i="36"/>
  <c r="S1136" i="36"/>
  <c r="T1136" i="36"/>
  <c r="AA1136" i="36"/>
  <c r="AB1136" i="36"/>
  <c r="AC1136" i="36"/>
  <c r="Z1136" i="36"/>
  <c r="I1135" i="36"/>
  <c r="P1135" i="36"/>
  <c r="Q1135" i="36"/>
  <c r="R1135" i="36"/>
  <c r="S1135" i="36"/>
  <c r="T1135" i="36"/>
  <c r="AA1135" i="36"/>
  <c r="AB1135" i="36"/>
  <c r="AC1135" i="36"/>
  <c r="I1134" i="36"/>
  <c r="P1134" i="36"/>
  <c r="Q1134" i="36"/>
  <c r="R1134" i="36"/>
  <c r="S1134" i="36"/>
  <c r="T1134" i="36"/>
  <c r="AA1134" i="36"/>
  <c r="AB1134" i="36"/>
  <c r="AC1134" i="36"/>
  <c r="I1117" i="36"/>
  <c r="R1117" i="36"/>
  <c r="P1117" i="36"/>
  <c r="Q1117" i="36"/>
  <c r="S1117" i="36"/>
  <c r="T1117" i="36"/>
  <c r="AA1117" i="36"/>
  <c r="AB1117" i="36"/>
  <c r="AC1117" i="36"/>
  <c r="Z1135" i="36"/>
  <c r="Z1134" i="36"/>
  <c r="Z1117" i="36"/>
  <c r="R1118" i="36"/>
  <c r="I1118" i="36"/>
  <c r="P1118" i="36"/>
  <c r="Q1118" i="36"/>
  <c r="S1118" i="36"/>
  <c r="T1118" i="36"/>
  <c r="AA1118" i="36"/>
  <c r="AB1118" i="36"/>
  <c r="AC1118" i="36"/>
  <c r="Z1118" i="36"/>
  <c r="I2059" i="36"/>
  <c r="P2059" i="36"/>
  <c r="Q2059" i="36"/>
  <c r="R2059" i="36"/>
  <c r="S2059" i="36"/>
  <c r="T2059" i="36"/>
  <c r="AA2059" i="36"/>
  <c r="AB2059" i="36"/>
  <c r="AC2059" i="36"/>
  <c r="Z2059" i="36"/>
  <c r="I1133" i="36"/>
  <c r="R1133" i="36"/>
  <c r="P1133" i="36"/>
  <c r="Q1133" i="36"/>
  <c r="S1133" i="36"/>
  <c r="T1133" i="36"/>
  <c r="AA1133" i="36"/>
  <c r="AB1133" i="36"/>
  <c r="AC1133" i="36"/>
  <c r="Z1133" i="36"/>
  <c r="I2378" i="36"/>
  <c r="P2378" i="36"/>
  <c r="Q2378" i="36"/>
  <c r="R2378" i="36"/>
  <c r="S2378" i="36"/>
  <c r="T2378" i="36"/>
  <c r="AA2378" i="36"/>
  <c r="AB2378" i="36"/>
  <c r="AC2378" i="36"/>
  <c r="Z2378" i="36"/>
  <c r="I1132" i="36"/>
  <c r="P1132" i="36"/>
  <c r="Q1132" i="36"/>
  <c r="R1132" i="36"/>
  <c r="S1132" i="36"/>
  <c r="T1132" i="36"/>
  <c r="AA1132" i="36"/>
  <c r="AB1132" i="36"/>
  <c r="AC1132" i="36"/>
  <c r="Z1132" i="36"/>
  <c r="I2500" i="36"/>
  <c r="R2500" i="36"/>
  <c r="P2500" i="36"/>
  <c r="Q2500" i="36"/>
  <c r="S2500" i="36"/>
  <c r="T2500" i="36"/>
  <c r="AA2500" i="36"/>
  <c r="AB2500" i="36"/>
  <c r="AC2500" i="36"/>
  <c r="Z2500" i="36"/>
  <c r="I1131" i="36"/>
  <c r="P1131" i="36"/>
  <c r="Q1131" i="36"/>
  <c r="R1131" i="36"/>
  <c r="S1131" i="36"/>
  <c r="T1131" i="36"/>
  <c r="AA1131" i="36"/>
  <c r="AB1131" i="36"/>
  <c r="AC1131" i="36"/>
  <c r="Z1131" i="36"/>
  <c r="I1129" i="36"/>
  <c r="P1129" i="36"/>
  <c r="Q1129" i="36"/>
  <c r="R1129" i="36"/>
  <c r="S1129" i="36"/>
  <c r="T1129" i="36"/>
  <c r="AA1129" i="36"/>
  <c r="AB1129" i="36"/>
  <c r="AC1129" i="36"/>
  <c r="Z1129" i="36"/>
  <c r="I1130" i="36"/>
  <c r="P1130" i="36"/>
  <c r="Q1130" i="36"/>
  <c r="R1130" i="36"/>
  <c r="S1130" i="36"/>
  <c r="T1130" i="36"/>
  <c r="AA1130" i="36"/>
  <c r="AB1130" i="36"/>
  <c r="AC1130" i="36"/>
  <c r="Z1130" i="36"/>
  <c r="I2377" i="36"/>
  <c r="R2377" i="36"/>
  <c r="P2377" i="36"/>
  <c r="Q2377" i="36"/>
  <c r="S2377" i="36"/>
  <c r="T2377" i="36"/>
  <c r="AA2377" i="36"/>
  <c r="AB2377" i="36"/>
  <c r="AC2377" i="36"/>
  <c r="Z2377" i="36"/>
  <c r="I1128" i="36"/>
  <c r="P1128" i="36"/>
  <c r="Q1128" i="36"/>
  <c r="R1128" i="36"/>
  <c r="S1128" i="36"/>
  <c r="T1128" i="36"/>
  <c r="AA1128" i="36"/>
  <c r="AB1128" i="36"/>
  <c r="AC1128" i="36"/>
  <c r="Z1128" i="36"/>
  <c r="I2062" i="36"/>
  <c r="R2062" i="36"/>
  <c r="P2062" i="36"/>
  <c r="Q2062" i="36"/>
  <c r="S2062" i="36"/>
  <c r="T2062" i="36"/>
  <c r="AA2062" i="36"/>
  <c r="AB2062" i="36"/>
  <c r="AC2062" i="36"/>
  <c r="Z2062" i="36"/>
  <c r="I1127" i="36"/>
  <c r="P1127" i="36"/>
  <c r="Q1127" i="36"/>
  <c r="R1127" i="36"/>
  <c r="S1127" i="36"/>
  <c r="T1127" i="36"/>
  <c r="AA1127" i="36"/>
  <c r="AB1127" i="36"/>
  <c r="AC1127" i="36"/>
  <c r="Z1127" i="36"/>
  <c r="I2376" i="36"/>
  <c r="P2376" i="36"/>
  <c r="Q2376" i="36"/>
  <c r="R2376" i="36"/>
  <c r="S2376" i="36"/>
  <c r="T2376" i="36"/>
  <c r="AA2376" i="36"/>
  <c r="AB2376" i="36"/>
  <c r="AC2376" i="36"/>
  <c r="I2061" i="36"/>
  <c r="P2061" i="36"/>
  <c r="Q2061" i="36"/>
  <c r="R2061" i="36"/>
  <c r="S2061" i="36"/>
  <c r="T2061" i="36"/>
  <c r="AA2061" i="36"/>
  <c r="AB2061" i="36"/>
  <c r="AC2061" i="36"/>
  <c r="Z2061" i="36"/>
  <c r="Z2376" i="36"/>
  <c r="O1126" i="36"/>
  <c r="T1126" i="36"/>
  <c r="I1125" i="36"/>
  <c r="R1125" i="36"/>
  <c r="P1125" i="36"/>
  <c r="Q1125" i="36"/>
  <c r="S1125" i="36"/>
  <c r="T1125" i="36"/>
  <c r="AA1125" i="36"/>
  <c r="AB1125" i="36"/>
  <c r="AC1125" i="36"/>
  <c r="R1126" i="36"/>
  <c r="I1126" i="36"/>
  <c r="P1126" i="36"/>
  <c r="Q1126" i="36"/>
  <c r="S1126" i="36"/>
  <c r="AA1126" i="36"/>
  <c r="AB1126" i="36"/>
  <c r="AC1126" i="36"/>
  <c r="Z1125" i="36"/>
  <c r="Z1126" i="36"/>
  <c r="I1123" i="36"/>
  <c r="P1123" i="36"/>
  <c r="Q1123" i="36"/>
  <c r="R1123" i="36"/>
  <c r="S1123" i="36"/>
  <c r="T1123" i="36"/>
  <c r="AA1123" i="36"/>
  <c r="AB1123" i="36"/>
  <c r="AC1123" i="36"/>
  <c r="L1124" i="36"/>
  <c r="K1124" i="36"/>
  <c r="I1124" i="36"/>
  <c r="Q1124" i="36"/>
  <c r="S1124" i="36"/>
  <c r="T1124" i="36"/>
  <c r="AA1124" i="36"/>
  <c r="AC1124" i="36"/>
  <c r="AB1124" i="36"/>
  <c r="M1124" i="36"/>
  <c r="R1124" i="36"/>
  <c r="P1124" i="36"/>
  <c r="Z1123" i="36"/>
  <c r="I2060" i="36"/>
  <c r="R2060" i="36"/>
  <c r="P2060" i="36"/>
  <c r="Q2060" i="36"/>
  <c r="S2060" i="36"/>
  <c r="T2060" i="36"/>
  <c r="AA2060" i="36"/>
  <c r="AB2060" i="36"/>
  <c r="AC2060" i="36"/>
  <c r="Z1124" i="36"/>
  <c r="Z2060" i="36"/>
  <c r="I1121" i="36"/>
  <c r="I1122" i="36"/>
  <c r="P1121" i="36"/>
  <c r="P1122" i="36"/>
  <c r="Q1121" i="36"/>
  <c r="Q1122" i="36"/>
  <c r="R1121" i="36"/>
  <c r="R1122" i="36"/>
  <c r="S1121" i="36"/>
  <c r="S1122" i="36"/>
  <c r="T1121" i="36"/>
  <c r="T1122" i="36"/>
  <c r="AA1121" i="36"/>
  <c r="AA1122" i="36"/>
  <c r="AB1121" i="36"/>
  <c r="AB1122" i="36"/>
  <c r="AC1121" i="36"/>
  <c r="AC1122" i="36"/>
  <c r="Z1122" i="36"/>
  <c r="Z1121" i="36"/>
  <c r="I1120" i="36"/>
  <c r="R1120" i="36"/>
  <c r="P1120" i="36"/>
  <c r="Q1120" i="36"/>
  <c r="S1120" i="36"/>
  <c r="T1120" i="36"/>
  <c r="AA1120" i="36"/>
  <c r="AB1120" i="36"/>
  <c r="AC1120" i="36"/>
  <c r="I1119" i="36"/>
  <c r="P1119" i="36"/>
  <c r="Q1119" i="36"/>
  <c r="R1119" i="36"/>
  <c r="S1119" i="36"/>
  <c r="T1119" i="36"/>
  <c r="AA1119" i="36"/>
  <c r="AB1119" i="36"/>
  <c r="AC1119" i="36"/>
  <c r="Z1120" i="36"/>
  <c r="Z1119" i="36"/>
  <c r="I1116" i="36"/>
  <c r="R1116" i="36"/>
  <c r="P1116" i="36"/>
  <c r="Q1116" i="36"/>
  <c r="S1116" i="36"/>
  <c r="T1116" i="36"/>
  <c r="AA1116" i="36"/>
  <c r="AB1116" i="36"/>
  <c r="AC1116" i="36"/>
  <c r="Z1116" i="36"/>
  <c r="I2375" i="36"/>
  <c r="P2375" i="36"/>
  <c r="Q2375" i="36"/>
  <c r="R2375" i="36"/>
  <c r="S2375" i="36"/>
  <c r="T2375" i="36"/>
  <c r="AA2375" i="36"/>
  <c r="AB2375" i="36"/>
  <c r="AC2375" i="36"/>
  <c r="Z2375" i="36"/>
  <c r="I1115" i="36"/>
  <c r="R1115" i="36"/>
  <c r="P1115" i="36"/>
  <c r="Q1115" i="36"/>
  <c r="S1115" i="36"/>
  <c r="T1115" i="36"/>
  <c r="AA1115" i="36"/>
  <c r="AB1115" i="36"/>
  <c r="AC1115" i="36"/>
  <c r="I1114" i="36"/>
  <c r="R1114" i="36"/>
  <c r="P1114" i="36"/>
  <c r="Q1114" i="36"/>
  <c r="S1114" i="36"/>
  <c r="T1114" i="36"/>
  <c r="AA1114" i="36"/>
  <c r="AB1114" i="36"/>
  <c r="AC1114" i="36"/>
  <c r="Z1115" i="36"/>
  <c r="Z1114" i="36"/>
  <c r="I1113" i="36"/>
  <c r="R1113" i="36"/>
  <c r="P1113" i="36"/>
  <c r="Q1113" i="36"/>
  <c r="S1113" i="36"/>
  <c r="T1113" i="36"/>
  <c r="AA1113" i="36"/>
  <c r="AB1113" i="36"/>
  <c r="AC1113" i="36"/>
  <c r="Z1113" i="36"/>
  <c r="I2058" i="36"/>
  <c r="R2058" i="36"/>
  <c r="P2058" i="36"/>
  <c r="Q2058" i="36"/>
  <c r="S2058" i="36"/>
  <c r="T2058" i="36"/>
  <c r="AA2058" i="36"/>
  <c r="AB2058" i="36"/>
  <c r="AC2058" i="36"/>
  <c r="Z2058" i="36"/>
  <c r="I1112" i="36"/>
  <c r="R1112" i="36"/>
  <c r="P1112" i="36"/>
  <c r="Q1112" i="36"/>
  <c r="S1112" i="36"/>
  <c r="T1112" i="36"/>
  <c r="AA1112" i="36"/>
  <c r="AB1112" i="36"/>
  <c r="AC1112" i="36"/>
  <c r="Z1112" i="36"/>
  <c r="I2057" i="36"/>
  <c r="P2057" i="36"/>
  <c r="Q2057" i="36"/>
  <c r="R2057" i="36"/>
  <c r="S2057" i="36"/>
  <c r="T2057" i="36"/>
  <c r="AA2057" i="36"/>
  <c r="AB2057" i="36"/>
  <c r="AC2057" i="36"/>
  <c r="Z2057" i="36"/>
  <c r="I2374" i="36"/>
  <c r="P2374" i="36"/>
  <c r="Q2374" i="36"/>
  <c r="R2374" i="36"/>
  <c r="S2374" i="36"/>
  <c r="T2374" i="36"/>
  <c r="AA2374" i="36"/>
  <c r="AB2374" i="36"/>
  <c r="AC2374" i="36"/>
  <c r="Z2374" i="36"/>
  <c r="I2499" i="36"/>
  <c r="R2499" i="36"/>
  <c r="P2499" i="36"/>
  <c r="Q2499" i="36"/>
  <c r="S2499" i="36"/>
  <c r="T2499" i="36"/>
  <c r="AA2499" i="36"/>
  <c r="AB2499" i="36"/>
  <c r="AC2499" i="36"/>
  <c r="I2056" i="36"/>
  <c r="R2056" i="36"/>
  <c r="P2056" i="36"/>
  <c r="Q2056" i="36"/>
  <c r="S2056" i="36"/>
  <c r="T2056" i="36"/>
  <c r="AA2056" i="36"/>
  <c r="AB2056" i="36"/>
  <c r="AC2056" i="36"/>
  <c r="Z2499" i="36"/>
  <c r="Z2056" i="36"/>
  <c r="I2055" i="36"/>
  <c r="R2055" i="36"/>
  <c r="P2055" i="36"/>
  <c r="Q2055" i="36"/>
  <c r="S2055" i="36"/>
  <c r="T2055" i="36"/>
  <c r="AA2055" i="36"/>
  <c r="AB2055" i="36"/>
  <c r="AC2055" i="36"/>
  <c r="Z2055" i="36"/>
  <c r="I1111" i="36"/>
  <c r="R1111" i="36"/>
  <c r="P1111" i="36"/>
  <c r="Q1111" i="36"/>
  <c r="S1111" i="36"/>
  <c r="T1111" i="36"/>
  <c r="AA1111" i="36"/>
  <c r="AB1111" i="36"/>
  <c r="AC1111" i="36"/>
  <c r="I1110" i="36"/>
  <c r="P1110" i="36"/>
  <c r="Q1110" i="36"/>
  <c r="R1110" i="36"/>
  <c r="S1110" i="36"/>
  <c r="T1110" i="36"/>
  <c r="AA1110" i="36"/>
  <c r="AB1110" i="36"/>
  <c r="AC1110" i="36"/>
  <c r="Z1110" i="36"/>
  <c r="Z1111" i="36"/>
  <c r="M1068" i="36"/>
  <c r="M1070" i="36"/>
  <c r="M1071" i="36"/>
  <c r="M1072" i="36"/>
  <c r="M1073" i="36"/>
  <c r="M2049" i="36"/>
  <c r="M1074" i="36"/>
  <c r="M1069" i="36"/>
  <c r="M1031" i="36"/>
  <c r="M2497" i="36"/>
  <c r="M1032" i="36"/>
  <c r="M1033" i="36"/>
  <c r="M1034" i="36"/>
  <c r="M1035" i="36"/>
  <c r="M1036" i="36"/>
  <c r="M1037" i="36"/>
  <c r="M1038" i="36"/>
  <c r="M2367" i="36"/>
  <c r="M1039" i="36"/>
  <c r="M1040" i="36"/>
  <c r="M2368" i="36"/>
  <c r="M1042" i="36"/>
  <c r="M1044" i="36"/>
  <c r="M1043" i="36"/>
  <c r="M1045" i="36"/>
  <c r="M1047" i="36"/>
  <c r="M1046" i="36"/>
  <c r="M1048" i="36"/>
  <c r="M1049" i="36"/>
  <c r="M1050" i="36"/>
  <c r="M1051" i="36"/>
  <c r="M1052" i="36"/>
  <c r="M1053" i="36"/>
  <c r="M1054" i="36"/>
  <c r="M1055" i="36"/>
  <c r="M1056" i="36"/>
  <c r="M1057" i="36"/>
  <c r="M1058" i="36"/>
  <c r="M2369" i="36"/>
  <c r="M1059" i="36"/>
  <c r="M2370" i="36"/>
  <c r="M1060" i="36"/>
  <c r="M1061" i="36"/>
  <c r="M1062" i="36"/>
  <c r="M1063" i="36"/>
  <c r="M1064" i="36"/>
  <c r="M1065" i="36"/>
  <c r="M2047" i="36"/>
  <c r="M1066" i="36"/>
  <c r="M2048" i="36"/>
  <c r="M1067" i="36"/>
  <c r="I1109" i="36"/>
  <c r="R1109" i="36"/>
  <c r="P1109" i="36"/>
  <c r="Q1109" i="36"/>
  <c r="S1109" i="36"/>
  <c r="T1109" i="36"/>
  <c r="AA1109" i="36"/>
  <c r="AB1109" i="36"/>
  <c r="AC1109" i="36"/>
  <c r="Z1109" i="36"/>
  <c r="I1108" i="36"/>
  <c r="R1108" i="36"/>
  <c r="P1108" i="36"/>
  <c r="Q1108" i="36"/>
  <c r="S1108" i="36"/>
  <c r="T1108" i="36"/>
  <c r="AA1108" i="36"/>
  <c r="AB1108" i="36"/>
  <c r="AC1108" i="36"/>
  <c r="Z1108" i="36"/>
  <c r="I2373" i="36"/>
  <c r="R2373" i="36"/>
  <c r="P2373" i="36"/>
  <c r="Q2373" i="36"/>
  <c r="S2373" i="36"/>
  <c r="T2373" i="36"/>
  <c r="AA2373" i="36"/>
  <c r="AB2373" i="36"/>
  <c r="AC2373" i="36"/>
  <c r="Z2373" i="36"/>
  <c r="I1107" i="36"/>
  <c r="R1107" i="36"/>
  <c r="P1107" i="36"/>
  <c r="Q1107" i="36"/>
  <c r="S1107" i="36"/>
  <c r="T1107" i="36"/>
  <c r="AA1107" i="36"/>
  <c r="AB1107" i="36"/>
  <c r="AC1107" i="36"/>
  <c r="Z1107" i="36"/>
  <c r="I2372" i="36"/>
  <c r="R2372" i="36"/>
  <c r="P2372" i="36"/>
  <c r="Q2372" i="36"/>
  <c r="S2372" i="36"/>
  <c r="T2372" i="36"/>
  <c r="AA2372" i="36"/>
  <c r="AB2372" i="36"/>
  <c r="AC2372" i="36"/>
  <c r="Z2372" i="36"/>
  <c r="I1106" i="36"/>
  <c r="P1106" i="36"/>
  <c r="Q1106" i="36"/>
  <c r="R1106" i="36"/>
  <c r="S1106" i="36"/>
  <c r="T1106" i="36"/>
  <c r="AA1106" i="36"/>
  <c r="AB1106" i="36"/>
  <c r="AC1106" i="36"/>
  <c r="Z1106" i="36"/>
  <c r="I2054" i="36"/>
  <c r="P2054" i="36"/>
  <c r="Q2054" i="36"/>
  <c r="R2054" i="36"/>
  <c r="S2054" i="36"/>
  <c r="T2054" i="36"/>
  <c r="AA2054" i="36"/>
  <c r="AB2054" i="36"/>
  <c r="AC2054" i="36"/>
  <c r="Z2054" i="36"/>
  <c r="I2053" i="36"/>
  <c r="P2053" i="36"/>
  <c r="Q2053" i="36"/>
  <c r="R2053" i="36"/>
  <c r="S2053" i="36"/>
  <c r="T2053" i="36"/>
  <c r="AA2053" i="36"/>
  <c r="AB2053" i="36"/>
  <c r="AC2053" i="36"/>
  <c r="Z2053" i="36"/>
  <c r="I1104" i="36"/>
  <c r="P1104" i="36"/>
  <c r="Q1104" i="36"/>
  <c r="R1104" i="36"/>
  <c r="S1104" i="36"/>
  <c r="T1104" i="36"/>
  <c r="AA1104" i="36"/>
  <c r="AB1104" i="36"/>
  <c r="AC1104" i="36"/>
  <c r="Z1104" i="36"/>
  <c r="I1105" i="36"/>
  <c r="R1105" i="36"/>
  <c r="P1105" i="36"/>
  <c r="Q1105" i="36"/>
  <c r="S1105" i="36"/>
  <c r="T1105" i="36"/>
  <c r="AA1105" i="36"/>
  <c r="AB1105" i="36"/>
  <c r="AC1105" i="36"/>
  <c r="Z1105" i="36"/>
  <c r="I2052" i="36"/>
  <c r="P2052" i="36"/>
  <c r="Q2052" i="36"/>
  <c r="R2052" i="36"/>
  <c r="S2052" i="36"/>
  <c r="T2052" i="36"/>
  <c r="AA2052" i="36"/>
  <c r="AB2052" i="36"/>
  <c r="AC2052" i="36"/>
  <c r="Z2052" i="36"/>
  <c r="I1103" i="36"/>
  <c r="R1103" i="36"/>
  <c r="P1103" i="36"/>
  <c r="Q1103" i="36"/>
  <c r="S1103" i="36"/>
  <c r="T1103" i="36"/>
  <c r="AA1103" i="36"/>
  <c r="AB1103" i="36"/>
  <c r="AC1103" i="36"/>
  <c r="Z1103" i="36"/>
  <c r="I1102" i="36"/>
  <c r="P1102" i="36"/>
  <c r="Q1102" i="36"/>
  <c r="R1102" i="36"/>
  <c r="S1102" i="36"/>
  <c r="T1102" i="36"/>
  <c r="AA1102" i="36"/>
  <c r="AB1102" i="36"/>
  <c r="AC1102" i="36"/>
  <c r="Z1102" i="36"/>
  <c r="I1100" i="36"/>
  <c r="P1100" i="36"/>
  <c r="Q1100" i="36"/>
  <c r="R1100" i="36"/>
  <c r="S1100" i="36"/>
  <c r="T1100" i="36"/>
  <c r="AA1100" i="36"/>
  <c r="AB1100" i="36"/>
  <c r="AC1100" i="36"/>
  <c r="Z1100" i="36"/>
  <c r="I1101" i="36"/>
  <c r="R1101" i="36"/>
  <c r="P1101" i="36"/>
  <c r="Q1101" i="36"/>
  <c r="S1101" i="36"/>
  <c r="T1101" i="36"/>
  <c r="AA1101" i="36"/>
  <c r="AB1101" i="36"/>
  <c r="AC1101" i="36"/>
  <c r="Z1101" i="36"/>
  <c r="I1099" i="36"/>
  <c r="R1099" i="36"/>
  <c r="P1099" i="36"/>
  <c r="Q1099" i="36"/>
  <c r="S1099" i="36"/>
  <c r="T1099" i="36"/>
  <c r="AA1099" i="36"/>
  <c r="AB1099" i="36"/>
  <c r="AC1099" i="36"/>
  <c r="Z1099" i="36"/>
  <c r="I1098" i="36"/>
  <c r="P1098" i="36"/>
  <c r="Q1098" i="36"/>
  <c r="R1098" i="36"/>
  <c r="S1098" i="36"/>
  <c r="T1098" i="36"/>
  <c r="AA1098" i="36"/>
  <c r="AB1098" i="36"/>
  <c r="AC1098" i="36"/>
  <c r="Z1098" i="36"/>
  <c r="I2051" i="36"/>
  <c r="P2051" i="36"/>
  <c r="Q2051" i="36"/>
  <c r="R2051" i="36"/>
  <c r="S2051" i="36"/>
  <c r="T2051" i="36"/>
  <c r="AA2051" i="36"/>
  <c r="AB2051" i="36"/>
  <c r="AC2051" i="36"/>
  <c r="Z2051" i="36"/>
  <c r="I1097" i="36"/>
  <c r="P1097" i="36"/>
  <c r="Q1097" i="36"/>
  <c r="R1097" i="36"/>
  <c r="S1097" i="36"/>
  <c r="T1097" i="36"/>
  <c r="AA1097" i="36"/>
  <c r="AB1097" i="36"/>
  <c r="AC1097" i="36"/>
  <c r="Z1097" i="36"/>
  <c r="I1095" i="36"/>
  <c r="R1095" i="36"/>
  <c r="P1095" i="36"/>
  <c r="Q1095" i="36"/>
  <c r="S1095" i="36"/>
  <c r="T1095" i="36"/>
  <c r="AA1095" i="36"/>
  <c r="AB1095" i="36"/>
  <c r="AC1095" i="36"/>
  <c r="Z1095" i="36"/>
  <c r="I1096" i="36"/>
  <c r="R1096" i="36"/>
  <c r="P1096" i="36"/>
  <c r="Q1096" i="36"/>
  <c r="S1096" i="36"/>
  <c r="T1096" i="36"/>
  <c r="AA1096" i="36"/>
  <c r="AB1096" i="36"/>
  <c r="AC1096" i="36"/>
  <c r="Z1096" i="36"/>
  <c r="I2498" i="36"/>
  <c r="R2498" i="36"/>
  <c r="P2498" i="36"/>
  <c r="Q2498" i="36"/>
  <c r="S2498" i="36"/>
  <c r="T2498" i="36"/>
  <c r="AA2498" i="36"/>
  <c r="AB2498" i="36"/>
  <c r="AC2498" i="36"/>
  <c r="Z2498" i="36"/>
  <c r="I2561" i="36"/>
  <c r="R2561" i="36"/>
  <c r="P2561" i="36"/>
  <c r="Q2561" i="36"/>
  <c r="S2561" i="36"/>
  <c r="T2561" i="36"/>
  <c r="AA2561" i="36"/>
  <c r="AB2561" i="36"/>
  <c r="AC2561" i="36"/>
  <c r="Z2561" i="36"/>
  <c r="I1094" i="36"/>
  <c r="R1094" i="36"/>
  <c r="P1094" i="36"/>
  <c r="Q1094" i="36"/>
  <c r="S1094" i="36"/>
  <c r="T1094" i="36"/>
  <c r="AA1094" i="36"/>
  <c r="AB1094" i="36"/>
  <c r="AC1094" i="36"/>
  <c r="Z1094" i="36"/>
  <c r="I1093" i="36"/>
  <c r="R1093" i="36"/>
  <c r="P1093" i="36"/>
  <c r="Q1093" i="36"/>
  <c r="S1093" i="36"/>
  <c r="T1093" i="36"/>
  <c r="AA1093" i="36"/>
  <c r="AB1093" i="36"/>
  <c r="AC1093" i="36"/>
  <c r="Z1093" i="36"/>
  <c r="I1092" i="36"/>
  <c r="R1092" i="36"/>
  <c r="P1092" i="36"/>
  <c r="Q1092" i="36"/>
  <c r="S1092" i="36"/>
  <c r="T1092" i="36"/>
  <c r="AA1092" i="36"/>
  <c r="AB1092" i="36"/>
  <c r="AC1092" i="36"/>
  <c r="Z1092" i="36"/>
  <c r="I1089" i="36"/>
  <c r="P1089" i="36"/>
  <c r="Q1089" i="36"/>
  <c r="R1089" i="36"/>
  <c r="S1089" i="36"/>
  <c r="T1089" i="36"/>
  <c r="AA1089" i="36"/>
  <c r="AB1089" i="36"/>
  <c r="AC1089" i="36"/>
  <c r="Z1089" i="36"/>
  <c r="I1091" i="36"/>
  <c r="R1091" i="36"/>
  <c r="P1091" i="36"/>
  <c r="Q1091" i="36"/>
  <c r="S1091" i="36"/>
  <c r="T1091" i="36"/>
  <c r="AA1091" i="36"/>
  <c r="AB1091" i="36"/>
  <c r="AC1091" i="36"/>
  <c r="Z1091" i="36"/>
  <c r="AC2" i="36"/>
  <c r="AC3" i="36"/>
  <c r="AC4" i="36"/>
  <c r="AC5" i="36"/>
  <c r="AC6" i="36"/>
  <c r="AC7" i="36"/>
  <c r="AC8" i="36"/>
  <c r="AC9" i="36"/>
  <c r="AC10" i="36"/>
  <c r="AC11" i="36"/>
  <c r="AC12" i="36"/>
  <c r="AC13" i="36"/>
  <c r="AC14" i="36"/>
  <c r="AC15" i="36"/>
  <c r="AC16" i="36"/>
  <c r="AC17" i="36"/>
  <c r="AC18" i="36"/>
  <c r="AC19" i="36"/>
  <c r="AC20" i="36"/>
  <c r="AC21" i="36"/>
  <c r="AC22" i="36"/>
  <c r="AC23" i="36"/>
  <c r="AC2231" i="36"/>
  <c r="AC24" i="36"/>
  <c r="AC25" i="36"/>
  <c r="AC26" i="36"/>
  <c r="AC27" i="36"/>
  <c r="AC28" i="36"/>
  <c r="AC2232" i="36"/>
  <c r="AC29" i="36"/>
  <c r="AC1704" i="36"/>
  <c r="AC30" i="36"/>
  <c r="AC31" i="36"/>
  <c r="AC32" i="36"/>
  <c r="AC34" i="36"/>
  <c r="AC33" i="36"/>
  <c r="AC35" i="36"/>
  <c r="AC37" i="36"/>
  <c r="AC36" i="36"/>
  <c r="AC38" i="36"/>
  <c r="AC39" i="36"/>
  <c r="AC41" i="36"/>
  <c r="AC40" i="36"/>
  <c r="AC42" i="36"/>
  <c r="AC1705" i="36"/>
  <c r="AC43" i="36"/>
  <c r="AC44" i="36"/>
  <c r="AC45" i="36"/>
  <c r="AC46" i="36"/>
  <c r="AC1706" i="36"/>
  <c r="AC47" i="36"/>
  <c r="AC1707" i="36"/>
  <c r="AC48" i="36"/>
  <c r="AC49" i="36"/>
  <c r="AC50" i="36"/>
  <c r="AC52" i="36"/>
  <c r="AC51" i="36"/>
  <c r="AC53" i="36"/>
  <c r="AC54" i="36"/>
  <c r="AC55" i="36"/>
  <c r="AC56" i="36"/>
  <c r="AC57" i="36"/>
  <c r="AC58" i="36"/>
  <c r="AC1708" i="36"/>
  <c r="AC59" i="36"/>
  <c r="AC60" i="36"/>
  <c r="AC2233" i="36"/>
  <c r="AC61" i="36"/>
  <c r="AC62" i="36"/>
  <c r="AC63" i="36"/>
  <c r="AC64" i="36"/>
  <c r="AC65" i="36"/>
  <c r="AC66" i="36"/>
  <c r="AC2234" i="36"/>
  <c r="AC67" i="36"/>
  <c r="AC1709" i="36"/>
  <c r="AC68" i="36"/>
  <c r="AC69" i="36"/>
  <c r="AC70" i="36"/>
  <c r="AC71" i="36"/>
  <c r="AC72" i="36"/>
  <c r="AC73" i="36"/>
  <c r="AC74" i="36"/>
  <c r="AC75" i="36"/>
  <c r="AC76" i="36"/>
  <c r="AC77" i="36"/>
  <c r="AC78" i="36"/>
  <c r="AC79" i="36"/>
  <c r="AC1710" i="36"/>
  <c r="AC80" i="36"/>
  <c r="AC81" i="36"/>
  <c r="AC82" i="36"/>
  <c r="AC83" i="36"/>
  <c r="AC84" i="36"/>
  <c r="AC85" i="36"/>
  <c r="AC86" i="36"/>
  <c r="AC1711" i="36"/>
  <c r="AC87" i="36"/>
  <c r="AC88" i="36"/>
  <c r="AC89" i="36"/>
  <c r="AC90" i="36"/>
  <c r="AC91" i="36"/>
  <c r="AC1712" i="36"/>
  <c r="AC92" i="36"/>
  <c r="AC93" i="36"/>
  <c r="AC94" i="36"/>
  <c r="AC95" i="36"/>
  <c r="AC96" i="36"/>
  <c r="AC98" i="36"/>
  <c r="AC97" i="36"/>
  <c r="AC99" i="36"/>
  <c r="AC101" i="36"/>
  <c r="AC100" i="36"/>
  <c r="AC103" i="36"/>
  <c r="AC102" i="36"/>
  <c r="AC105" i="36"/>
  <c r="AC104" i="36"/>
  <c r="AC106" i="36"/>
  <c r="AC108" i="36"/>
  <c r="AC107" i="36"/>
  <c r="AC109" i="36"/>
  <c r="AC1713" i="36"/>
  <c r="AC110" i="36"/>
  <c r="AC111" i="36"/>
  <c r="AC112" i="36"/>
  <c r="AC114" i="36"/>
  <c r="AC113" i="36"/>
  <c r="AC115" i="36"/>
  <c r="AC2235" i="36"/>
  <c r="AC116" i="36"/>
  <c r="AC117" i="36"/>
  <c r="AC1714" i="36"/>
  <c r="AC1715" i="36"/>
  <c r="AC118" i="36"/>
  <c r="AC119" i="36"/>
  <c r="AC121" i="36"/>
  <c r="AC120" i="36"/>
  <c r="AC1716" i="36"/>
  <c r="AC122" i="36"/>
  <c r="AC123" i="36"/>
  <c r="AC124" i="36"/>
  <c r="AC126" i="36"/>
  <c r="AC125" i="36"/>
  <c r="AC128" i="36"/>
  <c r="AC127" i="36"/>
  <c r="AC129" i="36"/>
  <c r="AC130" i="36"/>
  <c r="AC131" i="36"/>
  <c r="AC132" i="36"/>
  <c r="AC133" i="36"/>
  <c r="AC1717" i="36"/>
  <c r="AC134" i="36"/>
  <c r="AC135" i="36"/>
  <c r="AC136" i="36"/>
  <c r="AC1718" i="36"/>
  <c r="AC137" i="36"/>
  <c r="AC138" i="36"/>
  <c r="AC139" i="36"/>
  <c r="AC140" i="36"/>
  <c r="AC141" i="36"/>
  <c r="AC142" i="36"/>
  <c r="AC143" i="36"/>
  <c r="AC145" i="36"/>
  <c r="AC144" i="36"/>
  <c r="AC147" i="36"/>
  <c r="AC146" i="36"/>
  <c r="AC148" i="36"/>
  <c r="AC149" i="36"/>
  <c r="AC1719" i="36"/>
  <c r="AC1720" i="36"/>
  <c r="AC150" i="36"/>
  <c r="AC1721" i="36"/>
  <c r="AC151" i="36"/>
  <c r="AC152" i="36"/>
  <c r="AC153" i="36"/>
  <c r="AC1722" i="36"/>
  <c r="AC1723" i="36"/>
  <c r="AC154" i="36"/>
  <c r="AC155" i="36"/>
  <c r="AC156" i="36"/>
  <c r="AC157" i="36"/>
  <c r="AC1724" i="36"/>
  <c r="AC158" i="36"/>
  <c r="AC1725" i="36"/>
  <c r="AC159" i="36"/>
  <c r="AC160" i="36"/>
  <c r="AC161" i="36"/>
  <c r="AC162" i="36"/>
  <c r="AC163" i="36"/>
  <c r="AC164" i="36"/>
  <c r="AC165" i="36"/>
  <c r="AC1726" i="36"/>
  <c r="AC166" i="36"/>
  <c r="AC1727" i="36"/>
  <c r="AC167" i="36"/>
  <c r="AC168" i="36"/>
  <c r="AC169" i="36"/>
  <c r="AC171" i="36"/>
  <c r="AC170" i="36"/>
  <c r="AC173" i="36"/>
  <c r="AC172" i="36"/>
  <c r="AC175" i="36"/>
  <c r="AC174" i="36"/>
  <c r="AC177" i="36"/>
  <c r="AC176" i="36"/>
  <c r="AC178" i="36"/>
  <c r="AC179" i="36"/>
  <c r="AC181" i="36"/>
  <c r="AC180" i="36"/>
  <c r="AC2236" i="36"/>
  <c r="AC182" i="36"/>
  <c r="AC183" i="36"/>
  <c r="AC1728" i="36"/>
  <c r="AC1729" i="36"/>
  <c r="AC184" i="36"/>
  <c r="AC185" i="36"/>
  <c r="AC1730" i="36"/>
  <c r="AC186" i="36"/>
  <c r="AC187" i="36"/>
  <c r="AC2237" i="36"/>
  <c r="AC1731" i="36"/>
  <c r="AC188" i="36"/>
  <c r="AC1732" i="36"/>
  <c r="AC189" i="36"/>
  <c r="AC190" i="36"/>
  <c r="AC191" i="36"/>
  <c r="AC1734" i="36"/>
  <c r="AC1733" i="36"/>
  <c r="AC1735" i="36"/>
  <c r="AC192" i="36"/>
  <c r="AC193" i="36"/>
  <c r="AC194" i="36"/>
  <c r="AC1736" i="36"/>
  <c r="AC196" i="36"/>
  <c r="AC195" i="36"/>
  <c r="AC1737" i="36"/>
  <c r="AC197" i="36"/>
  <c r="AC198" i="36"/>
  <c r="AC199" i="36"/>
  <c r="AC200" i="36"/>
  <c r="AC1738" i="36"/>
  <c r="AC1739" i="36"/>
  <c r="AC201" i="36"/>
  <c r="AC202" i="36"/>
  <c r="AC203" i="36"/>
  <c r="AC204" i="36"/>
  <c r="AC205" i="36"/>
  <c r="AC206" i="36"/>
  <c r="AC1740" i="36"/>
  <c r="AC207" i="36"/>
  <c r="AC2437" i="36"/>
  <c r="AC208" i="36"/>
  <c r="AC209" i="36"/>
  <c r="AC1741" i="36"/>
  <c r="AC210" i="36"/>
  <c r="AC211" i="36"/>
  <c r="AC212" i="36"/>
  <c r="AC213" i="36"/>
  <c r="AC1742" i="36"/>
  <c r="AC2238" i="36"/>
  <c r="AC2239" i="36"/>
  <c r="AC1743" i="36"/>
  <c r="AC214" i="36"/>
  <c r="AC215" i="36"/>
  <c r="AC216" i="36"/>
  <c r="AC217" i="36"/>
  <c r="AC218" i="36"/>
  <c r="AC2240" i="36"/>
  <c r="AC219" i="36"/>
  <c r="AC220" i="36"/>
  <c r="AC221" i="36"/>
  <c r="AC222" i="36"/>
  <c r="AC223" i="36"/>
  <c r="AC2241" i="36"/>
  <c r="AC2614" i="36"/>
  <c r="AC225" i="36"/>
  <c r="AC224" i="36"/>
  <c r="AC226" i="36"/>
  <c r="AC2242" i="36"/>
  <c r="AC228" i="36"/>
  <c r="AC227" i="36"/>
  <c r="AC2438" i="36"/>
  <c r="AC2439" i="36"/>
  <c r="AC229" i="36"/>
  <c r="AC2533" i="36"/>
  <c r="AC230" i="36"/>
  <c r="AC231" i="36"/>
  <c r="AC1744" i="36"/>
  <c r="AC232" i="36"/>
  <c r="AC233" i="36"/>
  <c r="AC234" i="36"/>
  <c r="AC2534" i="36"/>
  <c r="AC2243" i="36"/>
  <c r="AC235" i="36"/>
  <c r="AC2244" i="36"/>
  <c r="AC236" i="36"/>
  <c r="AC237" i="36"/>
  <c r="AC2245" i="36"/>
  <c r="AC1745" i="36"/>
  <c r="AC238" i="36"/>
  <c r="AC239" i="36"/>
  <c r="AC240" i="36"/>
  <c r="AC1746" i="36"/>
  <c r="AC1747" i="36"/>
  <c r="AC241" i="36"/>
  <c r="AC242" i="36"/>
  <c r="AC2246" i="36"/>
  <c r="AC1748" i="36"/>
  <c r="AC243" i="36"/>
  <c r="AC244" i="36"/>
  <c r="AC2535" i="36"/>
  <c r="AC1749" i="36"/>
  <c r="AC245" i="36"/>
  <c r="AC1750" i="36"/>
  <c r="AC246" i="36"/>
  <c r="AC2440" i="36"/>
  <c r="AC2247" i="36"/>
  <c r="AC247" i="36"/>
  <c r="AC248" i="36"/>
  <c r="AC2629" i="36"/>
  <c r="AC1751" i="36"/>
  <c r="AC249" i="36"/>
  <c r="AC2441" i="36"/>
  <c r="AC2248" i="36"/>
  <c r="AC2249" i="36"/>
  <c r="AC250" i="36"/>
  <c r="AC252" i="36"/>
  <c r="AC251" i="36"/>
  <c r="AC253" i="36"/>
  <c r="AC254" i="36"/>
  <c r="AC255" i="36"/>
  <c r="AC256" i="36"/>
  <c r="AC257" i="36"/>
  <c r="AC259" i="36"/>
  <c r="AC258" i="36"/>
  <c r="AC260" i="36"/>
  <c r="AC1752" i="36"/>
  <c r="AC261" i="36"/>
  <c r="AC1753" i="36"/>
  <c r="AC1754" i="36"/>
  <c r="AC262" i="36"/>
  <c r="AC263" i="36"/>
  <c r="AC264" i="36"/>
  <c r="AC265" i="36"/>
  <c r="AC1755" i="36"/>
  <c r="AC266" i="36"/>
  <c r="AC2250" i="36"/>
  <c r="AC267" i="36"/>
  <c r="AC2583" i="36"/>
  <c r="AC2251" i="36"/>
  <c r="AC268" i="36"/>
  <c r="AC2252" i="36"/>
  <c r="AC2442" i="36"/>
  <c r="AC269" i="36"/>
  <c r="AC1756" i="36"/>
  <c r="AC1757" i="36"/>
  <c r="AC1758" i="36"/>
  <c r="AC270" i="36"/>
  <c r="AC1759" i="36"/>
  <c r="AC2253" i="36"/>
  <c r="AC271" i="36"/>
  <c r="AC272" i="36"/>
  <c r="AC273" i="36"/>
  <c r="AC1760" i="36"/>
  <c r="AC1761" i="36"/>
  <c r="AC274" i="36"/>
  <c r="AC1762" i="36"/>
  <c r="AC275" i="36"/>
  <c r="AC1763" i="36"/>
  <c r="AC1764" i="36"/>
  <c r="AC276" i="36"/>
  <c r="AC277" i="36"/>
  <c r="AC278" i="36"/>
  <c r="AC279" i="36"/>
  <c r="AC280" i="36"/>
  <c r="AC2254" i="36"/>
  <c r="AC281" i="36"/>
  <c r="AC282" i="36"/>
  <c r="AC283" i="36"/>
  <c r="AC284" i="36"/>
  <c r="AC1765" i="36"/>
  <c r="AC285" i="36"/>
  <c r="AC1766" i="36"/>
  <c r="AC1767" i="36"/>
  <c r="AC286" i="36"/>
  <c r="AC1768" i="36"/>
  <c r="AC2255" i="36"/>
  <c r="AC1769" i="36"/>
  <c r="AC288" i="36"/>
  <c r="AC287" i="36"/>
  <c r="AC289" i="36"/>
  <c r="AC290" i="36"/>
  <c r="AC291" i="36"/>
  <c r="AC1770" i="36"/>
  <c r="AC292" i="36"/>
  <c r="AC293" i="36"/>
  <c r="AC1771" i="36"/>
  <c r="AC294" i="36"/>
  <c r="AC295" i="36"/>
  <c r="AC296" i="36"/>
  <c r="AC297" i="36"/>
  <c r="AC298" i="36"/>
  <c r="AC299" i="36"/>
  <c r="AC300" i="36"/>
  <c r="AC301" i="36"/>
  <c r="AC302" i="36"/>
  <c r="AC303" i="36"/>
  <c r="AC304" i="36"/>
  <c r="AC305" i="36"/>
  <c r="AC306" i="36"/>
  <c r="AC307" i="36"/>
  <c r="AC308" i="36"/>
  <c r="AC1772" i="36"/>
  <c r="AC309" i="36"/>
  <c r="AC1773" i="36"/>
  <c r="AC2256" i="36"/>
  <c r="AC310" i="36"/>
  <c r="AC311" i="36"/>
  <c r="AC1774" i="36"/>
  <c r="AC312" i="36"/>
  <c r="AC2257" i="36"/>
  <c r="AC313" i="36"/>
  <c r="AC314" i="36"/>
  <c r="AC1775" i="36"/>
  <c r="AC315" i="36"/>
  <c r="AC316" i="36"/>
  <c r="AC317" i="36"/>
  <c r="AC1776" i="36"/>
  <c r="AC1777" i="36"/>
  <c r="AC2258" i="36"/>
  <c r="AC1778" i="36"/>
  <c r="AC2259" i="36"/>
  <c r="AC1779" i="36"/>
  <c r="AC2260" i="36"/>
  <c r="AC1780" i="36"/>
  <c r="AC2536" i="36"/>
  <c r="AC1781" i="36"/>
  <c r="AC318" i="36"/>
  <c r="AC319" i="36"/>
  <c r="AC1782" i="36"/>
  <c r="AC320" i="36"/>
  <c r="AC2261" i="36"/>
  <c r="AC321" i="36"/>
  <c r="AC322" i="36"/>
  <c r="AC323" i="36"/>
  <c r="AC2262" i="36"/>
  <c r="AC1783" i="36"/>
  <c r="AC2443" i="36"/>
  <c r="AC1784" i="36"/>
  <c r="AC2444" i="36"/>
  <c r="AC1785" i="36"/>
  <c r="AC2445" i="36"/>
  <c r="AC324" i="36"/>
  <c r="AC325" i="36"/>
  <c r="AC1786" i="36"/>
  <c r="AC2263" i="36"/>
  <c r="AC2264" i="36"/>
  <c r="AC1787" i="36"/>
  <c r="AC326" i="36"/>
  <c r="AC327" i="36"/>
  <c r="AC2265" i="36"/>
  <c r="AC328" i="36"/>
  <c r="AC1788" i="36"/>
  <c r="AC330" i="36"/>
  <c r="AC329" i="36"/>
  <c r="AC2446" i="36"/>
  <c r="AC331" i="36"/>
  <c r="AC2266" i="36"/>
  <c r="AC332" i="36"/>
  <c r="AC1789" i="36"/>
  <c r="AC333" i="36"/>
  <c r="AC1790" i="36"/>
  <c r="AC2537" i="36"/>
  <c r="AC334" i="36"/>
  <c r="AC336" i="36"/>
  <c r="AC335" i="36"/>
  <c r="AC1791" i="36"/>
  <c r="AC337" i="36"/>
  <c r="AC1792" i="36"/>
  <c r="AC1793" i="36"/>
  <c r="AC338" i="36"/>
  <c r="AC2267" i="36"/>
  <c r="AC1794" i="36"/>
  <c r="AC2447" i="36"/>
  <c r="AC1795" i="36"/>
  <c r="AC339" i="36"/>
  <c r="AC1796" i="36"/>
  <c r="AC1797" i="36"/>
  <c r="AC2268" i="36"/>
  <c r="AC341" i="36"/>
  <c r="AC340" i="36"/>
  <c r="AC2584" i="36"/>
  <c r="AC1798" i="36"/>
  <c r="AC1799" i="36"/>
  <c r="AC343" i="36"/>
  <c r="AC342" i="36"/>
  <c r="AC2269" i="36"/>
  <c r="AC1800" i="36"/>
  <c r="AC2538" i="36"/>
  <c r="AC1802" i="36"/>
  <c r="AC1801" i="36"/>
  <c r="AC2270" i="36"/>
  <c r="AC1803" i="36"/>
  <c r="AC344" i="36"/>
  <c r="AC1804" i="36"/>
  <c r="AC345" i="36"/>
  <c r="AC2271" i="36"/>
  <c r="AC346" i="36"/>
  <c r="AC1805" i="36"/>
  <c r="AC347" i="36"/>
  <c r="AC1806" i="36"/>
  <c r="AC348" i="36"/>
  <c r="AC1807" i="36"/>
  <c r="AC2539" i="36"/>
  <c r="AC1808" i="36"/>
  <c r="AC349" i="36"/>
  <c r="AC350" i="36"/>
  <c r="AC1809" i="36"/>
  <c r="AC2540" i="36"/>
  <c r="AC351" i="36"/>
  <c r="AC352" i="36"/>
  <c r="AC353" i="36"/>
  <c r="AC354" i="36"/>
  <c r="AC2448" i="36"/>
  <c r="AC355" i="36"/>
  <c r="AC356" i="36"/>
  <c r="AC357" i="36"/>
  <c r="AC358" i="36"/>
  <c r="AC359" i="36"/>
  <c r="AC1810" i="36"/>
  <c r="AC1811" i="36"/>
  <c r="AC360" i="36"/>
  <c r="AC1812" i="36"/>
  <c r="AC2449" i="36"/>
  <c r="AC1813" i="36"/>
  <c r="AC2450" i="36"/>
  <c r="AC361" i="36"/>
  <c r="AC2272" i="36"/>
  <c r="AC362" i="36"/>
  <c r="AC1815" i="36"/>
  <c r="AC1814" i="36"/>
  <c r="AC2451" i="36"/>
  <c r="AC363" i="36"/>
  <c r="AC2273" i="36"/>
  <c r="AC2541" i="36"/>
  <c r="AC2274" i="36"/>
  <c r="AC1816" i="36"/>
  <c r="AC364" i="36"/>
  <c r="AC1817" i="36"/>
  <c r="AC2542" i="36"/>
  <c r="AC2452" i="36"/>
  <c r="AC2453" i="36"/>
  <c r="AC365" i="36"/>
  <c r="AC2628" i="36"/>
  <c r="AC366" i="36"/>
  <c r="AC2454" i="36"/>
  <c r="AC1818" i="36"/>
  <c r="AC367" i="36"/>
  <c r="AC1819" i="36"/>
  <c r="AC2275" i="36"/>
  <c r="AC368" i="36"/>
  <c r="AC1820" i="36"/>
  <c r="AC1821" i="36"/>
  <c r="AC1822" i="36"/>
  <c r="AC2543" i="36"/>
  <c r="AC1823" i="36"/>
  <c r="AC1824" i="36"/>
  <c r="AC369" i="36"/>
  <c r="AC2544" i="36"/>
  <c r="AC1825" i="36"/>
  <c r="AC1826" i="36"/>
  <c r="AC2276" i="36"/>
  <c r="AC371" i="36"/>
  <c r="AC370" i="36"/>
  <c r="AC2455" i="36"/>
  <c r="AC372" i="36"/>
  <c r="AC1827" i="36"/>
  <c r="AC1828" i="36"/>
  <c r="AC373" i="36"/>
  <c r="AC374" i="36"/>
  <c r="AC2456" i="36"/>
  <c r="AC375" i="36"/>
  <c r="AC2457" i="36"/>
  <c r="AC2621" i="36"/>
  <c r="AC376" i="36"/>
  <c r="AC2277" i="36"/>
  <c r="AC377" i="36"/>
  <c r="AC1829" i="36"/>
  <c r="AC2585" i="36"/>
  <c r="AC1830" i="36"/>
  <c r="AC378" i="36"/>
  <c r="AC379" i="36"/>
  <c r="AC1831" i="36"/>
  <c r="AC1832" i="36"/>
  <c r="AC2606" i="36"/>
  <c r="AC1833" i="36"/>
  <c r="AC1834" i="36"/>
  <c r="AC1835" i="36"/>
  <c r="AC2458" i="36"/>
  <c r="AC380" i="36"/>
  <c r="AC2586" i="36"/>
  <c r="AC2278" i="36"/>
  <c r="AC2587" i="36"/>
  <c r="AC1836" i="36"/>
  <c r="AC1837" i="36"/>
  <c r="AC381" i="36"/>
  <c r="AC382" i="36"/>
  <c r="AC2615" i="36"/>
  <c r="AC383" i="36"/>
  <c r="AC2279" i="36"/>
  <c r="AC1838" i="36"/>
  <c r="AC2459" i="36"/>
  <c r="AC384" i="36"/>
  <c r="AC385" i="36"/>
  <c r="AC386" i="36"/>
  <c r="AC2460" i="36"/>
  <c r="AC387" i="36"/>
  <c r="AC1839" i="36"/>
  <c r="AC388" i="36"/>
  <c r="AC2461" i="36"/>
  <c r="AC2280" i="36"/>
  <c r="AC389" i="36"/>
  <c r="AC2281" i="36"/>
  <c r="AC390" i="36"/>
  <c r="AC1840" i="36"/>
  <c r="AC2588" i="36"/>
  <c r="AC2545" i="36"/>
  <c r="AC391" i="36"/>
  <c r="AC2462" i="36"/>
  <c r="AC392" i="36"/>
  <c r="AC1841" i="36"/>
  <c r="AC2463" i="36"/>
  <c r="AC393" i="36"/>
  <c r="AC2616" i="36"/>
  <c r="AC2282" i="36"/>
  <c r="AC394" i="36"/>
  <c r="AC395" i="36"/>
  <c r="AC2546" i="36"/>
  <c r="AC1842" i="36"/>
  <c r="AC1843" i="36"/>
  <c r="AC2589" i="36"/>
  <c r="AC396" i="36"/>
  <c r="AC2547" i="36"/>
  <c r="AC1844" i="36"/>
  <c r="AC397" i="36"/>
  <c r="AC2548" i="36"/>
  <c r="AC398" i="36"/>
  <c r="AC399" i="36"/>
  <c r="AC2464" i="36"/>
  <c r="AC2283" i="36"/>
  <c r="AC1845" i="36"/>
  <c r="AC2284" i="36"/>
  <c r="AC400" i="36"/>
  <c r="AC401" i="36"/>
  <c r="AC402" i="36"/>
  <c r="AC2285" i="36"/>
  <c r="AC403" i="36"/>
  <c r="AC1846" i="36"/>
  <c r="AC404" i="36"/>
  <c r="AC2286" i="36"/>
  <c r="AC405" i="36"/>
  <c r="AC1847" i="36"/>
  <c r="AC406" i="36"/>
  <c r="AC407" i="36"/>
  <c r="AC408" i="36"/>
  <c r="AC409" i="36"/>
  <c r="AC410" i="36"/>
  <c r="AC411" i="36"/>
  <c r="AC412" i="36"/>
  <c r="AC1848" i="36"/>
  <c r="AC413" i="36"/>
  <c r="AC414" i="36"/>
  <c r="AC415" i="36"/>
  <c r="AC1849" i="36"/>
  <c r="AC416" i="36"/>
  <c r="AC2590" i="36"/>
  <c r="AC417" i="36"/>
  <c r="AC2465" i="36"/>
  <c r="AC1850" i="36"/>
  <c r="AC2640" i="36"/>
  <c r="AC2617" i="36"/>
  <c r="AC1851" i="36"/>
  <c r="AC418" i="36"/>
  <c r="AC419" i="36"/>
  <c r="AC2466" i="36"/>
  <c r="AC2591" i="36"/>
  <c r="AC420" i="36"/>
  <c r="AC1852" i="36"/>
  <c r="AC1853" i="36"/>
  <c r="AC421" i="36"/>
  <c r="AC422" i="36"/>
  <c r="AC423" i="36"/>
  <c r="AC1854" i="36"/>
  <c r="AC424" i="36"/>
  <c r="AC426" i="36"/>
  <c r="AC425" i="36"/>
  <c r="AC427" i="36"/>
  <c r="AC429" i="36"/>
  <c r="AC428" i="36"/>
  <c r="AC1855" i="36"/>
  <c r="AC430" i="36"/>
  <c r="AC2467" i="36"/>
  <c r="AC431" i="36"/>
  <c r="AC432" i="36"/>
  <c r="AC1856" i="36"/>
  <c r="AC433" i="36"/>
  <c r="AC1857" i="36"/>
  <c r="AC2549" i="36"/>
  <c r="AC2287" i="36"/>
  <c r="AC434" i="36"/>
  <c r="AC435" i="36"/>
  <c r="AC1858" i="36"/>
  <c r="AC436" i="36"/>
  <c r="AC1859" i="36"/>
  <c r="AC1860" i="36"/>
  <c r="AC437" i="36"/>
  <c r="AC1861" i="36"/>
  <c r="AC1862" i="36"/>
  <c r="AC438" i="36"/>
  <c r="AC2607" i="36"/>
  <c r="AC2288" i="36"/>
  <c r="AC439" i="36"/>
  <c r="AC1863" i="36"/>
  <c r="AC440" i="36"/>
  <c r="AC2468" i="36"/>
  <c r="AC441" i="36"/>
  <c r="AC1864" i="36"/>
  <c r="AC442" i="36"/>
  <c r="AC444" i="36"/>
  <c r="AC443" i="36"/>
  <c r="AC1865" i="36"/>
  <c r="AC2469" i="36"/>
  <c r="AC445" i="36"/>
  <c r="AC446" i="36"/>
  <c r="AC2289" i="36"/>
  <c r="AC447" i="36"/>
  <c r="AC1867" i="36"/>
  <c r="AC1866" i="36"/>
  <c r="AC1868" i="36"/>
  <c r="AC2592" i="36"/>
  <c r="AC449" i="36"/>
  <c r="AC448" i="36"/>
  <c r="AC450" i="36"/>
  <c r="AC451" i="36"/>
  <c r="AC1870" i="36"/>
  <c r="AC1869" i="36"/>
  <c r="AC452" i="36"/>
  <c r="AC1871" i="36"/>
  <c r="AC454" i="36"/>
  <c r="AC453" i="36"/>
  <c r="AC1872" i="36"/>
  <c r="AC2593" i="36"/>
  <c r="AC455" i="36"/>
  <c r="AC456" i="36"/>
  <c r="AC1873" i="36"/>
  <c r="AC457" i="36"/>
  <c r="AC2290" i="36"/>
  <c r="AC458" i="36"/>
  <c r="AC459" i="36"/>
  <c r="AC1874" i="36"/>
  <c r="AC460" i="36"/>
  <c r="AC461" i="36"/>
  <c r="AC462" i="36"/>
  <c r="AC463" i="36"/>
  <c r="AC464" i="36"/>
  <c r="AC466" i="36"/>
  <c r="AC465" i="36"/>
  <c r="AC468" i="36"/>
  <c r="AC467" i="36"/>
  <c r="AC469" i="36"/>
  <c r="AC470" i="36"/>
  <c r="AC1875" i="36"/>
  <c r="AC472" i="36"/>
  <c r="AC471" i="36"/>
  <c r="AC473" i="36"/>
  <c r="AC1876" i="36"/>
  <c r="AC1877" i="36"/>
  <c r="AC474" i="36"/>
  <c r="AC475" i="36"/>
  <c r="AC476" i="36"/>
  <c r="AC1878" i="36"/>
  <c r="AC477" i="36"/>
  <c r="AC1879" i="36"/>
  <c r="AC478" i="36"/>
  <c r="AC1880" i="36"/>
  <c r="AC479" i="36"/>
  <c r="AC1881" i="36"/>
  <c r="AC1882" i="36"/>
  <c r="AC480" i="36"/>
  <c r="AC481" i="36"/>
  <c r="AC482" i="36"/>
  <c r="AC483" i="36"/>
  <c r="AC485" i="36"/>
  <c r="AC484" i="36"/>
  <c r="AC2291" i="36"/>
  <c r="AC486" i="36"/>
  <c r="AC487" i="36"/>
  <c r="AC488" i="36"/>
  <c r="AC2292" i="36"/>
  <c r="AC489" i="36"/>
  <c r="AC1883" i="36"/>
  <c r="AC490" i="36"/>
  <c r="AC492" i="36"/>
  <c r="AC491" i="36"/>
  <c r="AC494" i="36"/>
  <c r="AC493" i="36"/>
  <c r="AC1884" i="36"/>
  <c r="AC2293" i="36"/>
  <c r="AC496" i="36"/>
  <c r="AC497" i="36"/>
  <c r="AC495" i="36"/>
  <c r="AC1885" i="36"/>
  <c r="AC498" i="36"/>
  <c r="AC2294" i="36"/>
  <c r="AC499" i="36"/>
  <c r="AC2295" i="36"/>
  <c r="AC1886" i="36"/>
  <c r="AC500" i="36"/>
  <c r="AC1887" i="36"/>
  <c r="AC501" i="36"/>
  <c r="AC502" i="36"/>
  <c r="AC503" i="36"/>
  <c r="AC1888" i="36"/>
  <c r="AC504" i="36"/>
  <c r="AC1889" i="36"/>
  <c r="AC1890" i="36"/>
  <c r="AC505" i="36"/>
  <c r="AC2470" i="36"/>
  <c r="AC2296" i="36"/>
  <c r="AC506" i="36"/>
  <c r="AC507" i="36"/>
  <c r="AC1891" i="36"/>
  <c r="AC508" i="36"/>
  <c r="AC510" i="36"/>
  <c r="AC509" i="36"/>
  <c r="AC511" i="36"/>
  <c r="AC2642" i="36"/>
  <c r="AC513" i="36"/>
  <c r="AC512" i="36"/>
  <c r="AC515" i="36"/>
  <c r="AC1892" i="36"/>
  <c r="AC514" i="36"/>
  <c r="AC2297" i="36"/>
  <c r="AC1893" i="36"/>
  <c r="AC516" i="36"/>
  <c r="AC517" i="36"/>
  <c r="AC2298" i="36"/>
  <c r="AC518" i="36"/>
  <c r="AC519" i="36"/>
  <c r="AC1894" i="36"/>
  <c r="AC2299" i="36"/>
  <c r="AC520" i="36"/>
  <c r="AC521" i="36"/>
  <c r="AC1895" i="36"/>
  <c r="AC2471" i="36"/>
  <c r="AC522" i="36"/>
  <c r="AC2300" i="36"/>
  <c r="AC2472" i="36"/>
  <c r="AC523" i="36"/>
  <c r="AC524" i="36"/>
  <c r="AC525" i="36"/>
  <c r="AC2301" i="36"/>
  <c r="AC2473" i="36"/>
  <c r="AC1896" i="36"/>
  <c r="AC1898" i="36"/>
  <c r="AC1897" i="36"/>
  <c r="AC526" i="36"/>
  <c r="AC527" i="36"/>
  <c r="AC528" i="36"/>
  <c r="AC2302" i="36"/>
  <c r="AC529" i="36"/>
  <c r="AC1899" i="36"/>
  <c r="AC530" i="36"/>
  <c r="AC1900" i="36"/>
  <c r="AC532" i="36"/>
  <c r="AC531" i="36"/>
  <c r="AC1901" i="36"/>
  <c r="AC2303" i="36"/>
  <c r="AC533" i="36"/>
  <c r="AC534" i="36"/>
  <c r="AC535" i="36"/>
  <c r="AC536" i="36"/>
  <c r="AC1902" i="36"/>
  <c r="AC1903" i="36"/>
  <c r="AC538" i="36"/>
  <c r="AC537" i="36"/>
  <c r="AC539" i="36"/>
  <c r="AC2474" i="36"/>
  <c r="AC540" i="36"/>
  <c r="AC2304" i="36"/>
  <c r="AC541" i="36"/>
  <c r="AC542" i="36"/>
  <c r="AC1904" i="36"/>
  <c r="AC544" i="36"/>
  <c r="AC543" i="36"/>
  <c r="AC2305" i="36"/>
  <c r="AC545" i="36"/>
  <c r="AC546" i="36"/>
  <c r="AC547" i="36"/>
  <c r="AC1905" i="36"/>
  <c r="AC548" i="36"/>
  <c r="AC1906" i="36"/>
  <c r="AC549" i="36"/>
  <c r="AC2306" i="36"/>
  <c r="AC550" i="36"/>
  <c r="AC1907" i="36"/>
  <c r="AC1908" i="36"/>
  <c r="AC551" i="36"/>
  <c r="AC2475" i="36"/>
  <c r="AC1909" i="36"/>
  <c r="AC552" i="36"/>
  <c r="AC2594" i="36"/>
  <c r="AC1910" i="36"/>
  <c r="AC553" i="36"/>
  <c r="AC2307" i="36"/>
  <c r="AC554" i="36"/>
  <c r="AC1911" i="36"/>
  <c r="AC556" i="36"/>
  <c r="AC555" i="36"/>
  <c r="AC557" i="36"/>
  <c r="AC1912" i="36"/>
  <c r="AC1913" i="36"/>
  <c r="AC1914" i="36"/>
  <c r="AC558" i="36"/>
  <c r="AC560" i="36"/>
  <c r="AC559" i="36"/>
  <c r="AC561" i="36"/>
  <c r="AC562" i="36"/>
  <c r="AC564" i="36"/>
  <c r="AC563" i="36"/>
  <c r="AC565" i="36"/>
  <c r="AC2308" i="36"/>
  <c r="AC566" i="36"/>
  <c r="AC2476" i="36"/>
  <c r="AC567" i="36"/>
  <c r="AC568" i="36"/>
  <c r="AC569" i="36"/>
  <c r="AC571" i="36"/>
  <c r="AC570" i="36"/>
  <c r="AC2477" i="36"/>
  <c r="AC572" i="36"/>
  <c r="AC573" i="36"/>
  <c r="AC2309" i="36"/>
  <c r="AC2310" i="36"/>
  <c r="AC2311" i="36"/>
  <c r="AC574" i="36"/>
  <c r="AC575" i="36"/>
  <c r="AC2312" i="36"/>
  <c r="AC576" i="36"/>
  <c r="AC2478" i="36"/>
  <c r="AC577" i="36"/>
  <c r="AC1915" i="36"/>
  <c r="AC2313" i="36"/>
  <c r="AC578" i="36"/>
  <c r="AC579" i="36"/>
  <c r="AC2314" i="36"/>
  <c r="AC580" i="36"/>
  <c r="AC2315" i="36"/>
  <c r="AC1916" i="36"/>
  <c r="AC2550" i="36"/>
  <c r="AC581" i="36"/>
  <c r="AC1917" i="36"/>
  <c r="AC582" i="36"/>
  <c r="AC1918" i="36"/>
  <c r="AC583" i="36"/>
  <c r="AC584" i="36"/>
  <c r="AC585" i="36"/>
  <c r="AC586" i="36"/>
  <c r="AC587" i="36"/>
  <c r="AC1919" i="36"/>
  <c r="AC588" i="36"/>
  <c r="AC1920" i="36"/>
  <c r="AC589" i="36"/>
  <c r="AC1921" i="36"/>
  <c r="AC590" i="36"/>
  <c r="AC591" i="36"/>
  <c r="AC593" i="36"/>
  <c r="AC592" i="36"/>
  <c r="AC594" i="36"/>
  <c r="AC595" i="36"/>
  <c r="AC596" i="36"/>
  <c r="AC2316" i="36"/>
  <c r="AC599" i="36"/>
  <c r="AC598" i="36"/>
  <c r="AC597" i="36"/>
  <c r="AC1922" i="36"/>
  <c r="AC602" i="36"/>
  <c r="AC601" i="36"/>
  <c r="AC600" i="36"/>
  <c r="AC603" i="36"/>
  <c r="AC604" i="36"/>
  <c r="AC606" i="36"/>
  <c r="AC605" i="36"/>
  <c r="AC1923" i="36"/>
  <c r="AC607" i="36"/>
  <c r="AC608" i="36"/>
  <c r="AC609" i="36"/>
  <c r="AC610" i="36"/>
  <c r="AC1924" i="36"/>
  <c r="AC1925" i="36"/>
  <c r="AC2317" i="36"/>
  <c r="AC611" i="36"/>
  <c r="AC2318" i="36"/>
  <c r="AC2551" i="36"/>
  <c r="AC612" i="36"/>
  <c r="AC2319" i="36"/>
  <c r="AC2552" i="36"/>
  <c r="AC613" i="36"/>
  <c r="AC615" i="36"/>
  <c r="AC614" i="36"/>
  <c r="AC616" i="36"/>
  <c r="AC1926" i="36"/>
  <c r="AC1927" i="36"/>
  <c r="AC617" i="36"/>
  <c r="AC618" i="36"/>
  <c r="AC619" i="36"/>
  <c r="AC1928" i="36"/>
  <c r="AC620" i="36"/>
  <c r="AC1929" i="36"/>
  <c r="AC621" i="36"/>
  <c r="AC622" i="36"/>
  <c r="AC1930" i="36"/>
  <c r="AC623" i="36"/>
  <c r="AC624" i="36"/>
  <c r="AC625" i="36"/>
  <c r="AC626" i="36"/>
  <c r="AC627" i="36"/>
  <c r="AC628" i="36"/>
  <c r="AC629" i="36"/>
  <c r="AC1931" i="36"/>
  <c r="AC1932" i="36"/>
  <c r="AC631" i="36"/>
  <c r="AC630" i="36"/>
  <c r="AC632" i="36"/>
  <c r="AC633" i="36"/>
  <c r="AC634" i="36"/>
  <c r="AC635" i="36"/>
  <c r="AC1933" i="36"/>
  <c r="AC1934" i="36"/>
  <c r="AC636" i="36"/>
  <c r="AC637" i="36"/>
  <c r="AC2320" i="36"/>
  <c r="AC2321" i="36"/>
  <c r="AC2322" i="36"/>
  <c r="AC638" i="36"/>
  <c r="AC639" i="36"/>
  <c r="AC641" i="36"/>
  <c r="AC640" i="36"/>
  <c r="AC1935" i="36"/>
  <c r="AC642" i="36"/>
  <c r="AC643" i="36"/>
  <c r="AC644" i="36"/>
  <c r="AC645" i="36"/>
  <c r="AC646" i="36"/>
  <c r="AC647" i="36"/>
  <c r="AC1936" i="36"/>
  <c r="AC648" i="36"/>
  <c r="AC649" i="36"/>
  <c r="AC650" i="36"/>
  <c r="AC651" i="36"/>
  <c r="AC1937" i="36"/>
  <c r="AC652" i="36"/>
  <c r="AC653" i="36"/>
  <c r="AC1938" i="36"/>
  <c r="AC2479" i="36"/>
  <c r="AC1939" i="36"/>
  <c r="AC654" i="36"/>
  <c r="AC1940" i="36"/>
  <c r="AC655" i="36"/>
  <c r="AC2608" i="36"/>
  <c r="AC2323" i="36"/>
  <c r="AC656" i="36"/>
  <c r="AC1941" i="36"/>
  <c r="AC657" i="36"/>
  <c r="AC2609" i="36"/>
  <c r="AC658" i="36"/>
  <c r="AC660" i="36"/>
  <c r="AC659" i="36"/>
  <c r="AC1942" i="36"/>
  <c r="AC2553" i="36"/>
  <c r="AC661" i="36"/>
  <c r="AC662" i="36"/>
  <c r="AC663" i="36"/>
  <c r="AC2480" i="36"/>
  <c r="AC1943" i="36"/>
  <c r="AC664" i="36"/>
  <c r="AC665" i="36"/>
  <c r="AC2554" i="36"/>
  <c r="AC1944" i="36"/>
  <c r="AC666" i="36"/>
  <c r="AC2618" i="36"/>
  <c r="AC1945" i="36"/>
  <c r="AC1946" i="36"/>
  <c r="AC2595" i="36"/>
  <c r="AC667" i="36"/>
  <c r="AC668" i="36"/>
  <c r="AC1947" i="36"/>
  <c r="AC669" i="36"/>
  <c r="AC1948" i="36"/>
  <c r="AC670" i="36"/>
  <c r="AC671" i="36"/>
  <c r="AC1949" i="36"/>
  <c r="AC2324" i="36"/>
  <c r="AC672" i="36"/>
  <c r="AC673" i="36"/>
  <c r="AC674" i="36"/>
  <c r="AC1950" i="36"/>
  <c r="AC675" i="36"/>
  <c r="AC676" i="36"/>
  <c r="AC677" i="36"/>
  <c r="AC2481" i="36"/>
  <c r="AC1951" i="36"/>
  <c r="AC678" i="36"/>
  <c r="AC679" i="36"/>
  <c r="AC2325" i="36"/>
  <c r="AC680" i="36"/>
  <c r="AC2596" i="36"/>
  <c r="AC2326" i="36"/>
  <c r="AC1952" i="36"/>
  <c r="AC682" i="36"/>
  <c r="AC681" i="36"/>
  <c r="AC2482" i="36"/>
  <c r="AC684" i="36"/>
  <c r="AC683" i="36"/>
  <c r="AC2327" i="36"/>
  <c r="AC685" i="36"/>
  <c r="AC686" i="36"/>
  <c r="AC687" i="36"/>
  <c r="AC2328" i="36"/>
  <c r="AC1953" i="36"/>
  <c r="AC688" i="36"/>
  <c r="AC689" i="36"/>
  <c r="AC690" i="36"/>
  <c r="AC2483" i="36"/>
  <c r="AC691" i="36"/>
  <c r="AC692" i="36"/>
  <c r="AC693" i="36"/>
  <c r="AC694" i="36"/>
  <c r="AC695" i="36"/>
  <c r="AC1954" i="36"/>
  <c r="AC1955" i="36"/>
  <c r="AC1956" i="36"/>
  <c r="AC2329" i="36"/>
  <c r="AC1957" i="36"/>
  <c r="AC696" i="36"/>
  <c r="AC1958" i="36"/>
  <c r="AC697" i="36"/>
  <c r="AC2330" i="36"/>
  <c r="AC1959" i="36"/>
  <c r="AC699" i="36"/>
  <c r="AC698" i="36"/>
  <c r="AC701" i="36"/>
  <c r="AC700" i="36"/>
  <c r="AC703" i="36"/>
  <c r="AC702" i="36"/>
  <c r="AC1960" i="36"/>
  <c r="AC2331" i="36"/>
  <c r="AC1961" i="36"/>
  <c r="AC704" i="36"/>
  <c r="AC1962" i="36"/>
  <c r="AC706" i="36"/>
  <c r="AC705" i="36"/>
  <c r="AC2332" i="36"/>
  <c r="AC707" i="36"/>
  <c r="AC708" i="36"/>
  <c r="AC709" i="36"/>
  <c r="AC1963" i="36"/>
  <c r="AC710" i="36"/>
  <c r="AC711" i="36"/>
  <c r="AC712" i="36"/>
  <c r="AC713" i="36"/>
  <c r="AC1964" i="36"/>
  <c r="AC714" i="36"/>
  <c r="AC715" i="36"/>
  <c r="AC716" i="36"/>
  <c r="AC2333" i="36"/>
  <c r="AC1965" i="36"/>
  <c r="AC717" i="36"/>
  <c r="AC718" i="36"/>
  <c r="AC719" i="36"/>
  <c r="AC720" i="36"/>
  <c r="AC721" i="36"/>
  <c r="AC2555" i="36"/>
  <c r="AC722" i="36"/>
  <c r="AC723" i="36"/>
  <c r="AC724" i="36"/>
  <c r="AC726" i="36"/>
  <c r="AC725" i="36"/>
  <c r="AC727" i="36"/>
  <c r="AC2484" i="36"/>
  <c r="AC728" i="36"/>
  <c r="AC1966" i="36"/>
  <c r="AC1967" i="36"/>
  <c r="AC1969" i="36"/>
  <c r="AC1968" i="36"/>
  <c r="AC729" i="36"/>
  <c r="AC730" i="36"/>
  <c r="AC2334" i="36"/>
  <c r="AC731" i="36"/>
  <c r="AC732" i="36"/>
  <c r="AC733" i="36"/>
  <c r="AC734" i="36"/>
  <c r="AC735" i="36"/>
  <c r="AC736" i="36"/>
  <c r="AC737" i="36"/>
  <c r="AC1970" i="36"/>
  <c r="AC738" i="36"/>
  <c r="AC739" i="36"/>
  <c r="AC740" i="36"/>
  <c r="AC741" i="36"/>
  <c r="AC1972" i="36"/>
  <c r="AC1971" i="36"/>
  <c r="AC742" i="36"/>
  <c r="AC1973" i="36"/>
  <c r="AC744" i="36"/>
  <c r="AC743" i="36"/>
  <c r="AC745" i="36"/>
  <c r="AC746" i="36"/>
  <c r="AC747" i="36"/>
  <c r="AC2335" i="36"/>
  <c r="AC748" i="36"/>
  <c r="AC1974" i="36"/>
  <c r="AC749" i="36"/>
  <c r="AC750" i="36"/>
  <c r="AC751" i="36"/>
  <c r="AC752" i="36"/>
  <c r="AC753" i="36"/>
  <c r="AC754" i="36"/>
  <c r="AC1975" i="36"/>
  <c r="AC755" i="36"/>
  <c r="AC756" i="36"/>
  <c r="AC758" i="36"/>
  <c r="AC757" i="36"/>
  <c r="AC2336" i="36"/>
  <c r="AC759" i="36"/>
  <c r="AC1976" i="36"/>
  <c r="AC761" i="36"/>
  <c r="AC760" i="36"/>
  <c r="AC762" i="36"/>
  <c r="AC764" i="36"/>
  <c r="AC763" i="36"/>
  <c r="AC765" i="36"/>
  <c r="AC2485" i="36"/>
  <c r="AC766" i="36"/>
  <c r="AC1977" i="36"/>
  <c r="AC767" i="36"/>
  <c r="AC2337" i="36"/>
  <c r="AC1978" i="36"/>
  <c r="AC768" i="36"/>
  <c r="AC769" i="36"/>
  <c r="AC1979" i="36"/>
  <c r="AC2338" i="36"/>
  <c r="AC770" i="36"/>
  <c r="AC771" i="36"/>
  <c r="AC772" i="36"/>
  <c r="AC773" i="36"/>
  <c r="AC774" i="36"/>
  <c r="AC775" i="36"/>
  <c r="AC776" i="36"/>
  <c r="AC777" i="36"/>
  <c r="AC778" i="36"/>
  <c r="AC779" i="36"/>
  <c r="AC780" i="36"/>
  <c r="AC2339" i="36"/>
  <c r="AC781" i="36"/>
  <c r="AC1980" i="36"/>
  <c r="AC1981" i="36"/>
  <c r="AC782" i="36"/>
  <c r="AC2340" i="36"/>
  <c r="AC783" i="36"/>
  <c r="AC2486" i="36"/>
  <c r="AC784" i="36"/>
  <c r="AC785" i="36"/>
  <c r="AC786" i="36"/>
  <c r="AC787" i="36"/>
  <c r="AC1982" i="36"/>
  <c r="AC788" i="36"/>
  <c r="AC2341" i="36"/>
  <c r="AC789" i="36"/>
  <c r="AC2487" i="36"/>
  <c r="AC790" i="36"/>
  <c r="AC1983" i="36"/>
  <c r="AC791" i="36"/>
  <c r="AC793" i="36"/>
  <c r="AC792" i="36"/>
  <c r="AC1984" i="36"/>
  <c r="AC794" i="36"/>
  <c r="AC795" i="36"/>
  <c r="AC796" i="36"/>
  <c r="AC1985" i="36"/>
  <c r="AC797" i="36"/>
  <c r="AC798" i="36"/>
  <c r="AC2632" i="36"/>
  <c r="AC799" i="36"/>
  <c r="AC800" i="36"/>
  <c r="AC1986" i="36"/>
  <c r="AC1987" i="36"/>
  <c r="AC2342" i="36"/>
  <c r="AC801" i="36"/>
  <c r="AC803" i="36"/>
  <c r="AC802" i="36"/>
  <c r="AC1988" i="36"/>
  <c r="AC804" i="36"/>
  <c r="AC805" i="36"/>
  <c r="AC806" i="36"/>
  <c r="AC807" i="36"/>
  <c r="AC808" i="36"/>
  <c r="AC2343" i="36"/>
  <c r="AC809" i="36"/>
  <c r="AC810" i="36"/>
  <c r="AC2488" i="36"/>
  <c r="AC1989" i="36"/>
  <c r="AC1990" i="36"/>
  <c r="AC2489" i="36"/>
  <c r="AC812" i="36"/>
  <c r="AC811" i="36"/>
  <c r="AC813" i="36"/>
  <c r="AC1991" i="36"/>
  <c r="AC814" i="36"/>
  <c r="AC1992" i="36"/>
  <c r="AC815" i="36"/>
  <c r="AC1993" i="36"/>
  <c r="AC1994" i="36"/>
  <c r="AC816" i="36"/>
  <c r="AC2556" i="36"/>
  <c r="AC1995" i="36"/>
  <c r="AC817" i="36"/>
  <c r="AC818" i="36"/>
  <c r="AC819" i="36"/>
  <c r="AC820" i="36"/>
  <c r="AC1996" i="36"/>
  <c r="AC821" i="36"/>
  <c r="AC822" i="36"/>
  <c r="AC823" i="36"/>
  <c r="AC824" i="36"/>
  <c r="AC825" i="36"/>
  <c r="AC826" i="36"/>
  <c r="AC827" i="36"/>
  <c r="AC828" i="36"/>
  <c r="AC1997" i="36"/>
  <c r="AC829" i="36"/>
  <c r="AC830" i="36"/>
  <c r="AC2344" i="36"/>
  <c r="AC831" i="36"/>
  <c r="AC832" i="36"/>
  <c r="AC2490" i="36"/>
  <c r="AC833" i="36"/>
  <c r="AC834" i="36"/>
  <c r="AC835" i="36"/>
  <c r="AC836" i="36"/>
  <c r="AC837" i="36"/>
  <c r="AC838" i="36"/>
  <c r="AC839" i="36"/>
  <c r="AC840" i="36"/>
  <c r="AC841" i="36"/>
  <c r="AC842" i="36"/>
  <c r="AC844" i="36"/>
  <c r="AC843" i="36"/>
  <c r="AC1998" i="36"/>
  <c r="AC1999" i="36"/>
  <c r="AC845" i="36"/>
  <c r="AC846" i="36"/>
  <c r="AC847" i="36"/>
  <c r="AC2345" i="36"/>
  <c r="AC848" i="36"/>
  <c r="AC849" i="36"/>
  <c r="AC2000" i="36"/>
  <c r="AC850" i="36"/>
  <c r="AC2346" i="36"/>
  <c r="AC851" i="36"/>
  <c r="AC852" i="36"/>
  <c r="AC2347" i="36"/>
  <c r="AC853" i="36"/>
  <c r="AC2001" i="36"/>
  <c r="AC854" i="36"/>
  <c r="AC2003" i="36"/>
  <c r="AC2002" i="36"/>
  <c r="AC2004" i="36"/>
  <c r="AC2005" i="36"/>
  <c r="AC2557" i="36"/>
  <c r="AC2006" i="36"/>
  <c r="AC855" i="36"/>
  <c r="AC2007" i="36"/>
  <c r="AC857" i="36"/>
  <c r="AC2008" i="36"/>
  <c r="AC856" i="36"/>
  <c r="AC2491" i="36"/>
  <c r="AC2558" i="36"/>
  <c r="AC858" i="36"/>
  <c r="AC2622" i="36"/>
  <c r="AC859" i="36"/>
  <c r="AC2009" i="36"/>
  <c r="AC860" i="36"/>
  <c r="AC2010" i="36"/>
  <c r="AC2011" i="36"/>
  <c r="AC861" i="36"/>
  <c r="AC2348" i="36"/>
  <c r="AC2012" i="36"/>
  <c r="AC862" i="36"/>
  <c r="AC2013" i="36"/>
  <c r="AC863" i="36"/>
  <c r="AC2014" i="36"/>
  <c r="AC864" i="36"/>
  <c r="AC2015" i="36"/>
  <c r="AC865" i="36"/>
  <c r="AC2349" i="36"/>
  <c r="AC866" i="36"/>
  <c r="AC867" i="36"/>
  <c r="AC2350" i="36"/>
  <c r="AC2351" i="36"/>
  <c r="AC2016" i="36"/>
  <c r="AC2352" i="36"/>
  <c r="AC868" i="36"/>
  <c r="AC869" i="36"/>
  <c r="AC871" i="36"/>
  <c r="AC870" i="36"/>
  <c r="AC872" i="36"/>
  <c r="AC873" i="36"/>
  <c r="AC874" i="36"/>
  <c r="AC876" i="36"/>
  <c r="AC875" i="36"/>
  <c r="AC2017" i="36"/>
  <c r="AC877" i="36"/>
  <c r="AC878" i="36"/>
  <c r="AC2353" i="36"/>
  <c r="AC879" i="36"/>
  <c r="AC880" i="36"/>
  <c r="AC881" i="36"/>
  <c r="AC882" i="36"/>
  <c r="AC883" i="36"/>
  <c r="AC884" i="36"/>
  <c r="AC885" i="36"/>
  <c r="AC2492" i="36"/>
  <c r="AC886" i="36"/>
  <c r="AC887" i="36"/>
  <c r="AC888" i="36"/>
  <c r="AC2559" i="36"/>
  <c r="AC889" i="36"/>
  <c r="AC891" i="36"/>
  <c r="AC890" i="36"/>
  <c r="AC892" i="36"/>
  <c r="AC893" i="36"/>
  <c r="AC2354" i="36"/>
  <c r="AC894" i="36"/>
  <c r="AC2018" i="36"/>
  <c r="AC895" i="36"/>
  <c r="AC896" i="36"/>
  <c r="AC897" i="36"/>
  <c r="AC898" i="36"/>
  <c r="AC899" i="36"/>
  <c r="AC900" i="36"/>
  <c r="AC2019" i="36"/>
  <c r="AC901" i="36"/>
  <c r="AC902" i="36"/>
  <c r="AC903" i="36"/>
  <c r="AC2355" i="36"/>
  <c r="AC2356" i="36"/>
  <c r="AC2020" i="36"/>
  <c r="AC904" i="36"/>
  <c r="AC2021" i="36"/>
  <c r="AC905" i="36"/>
  <c r="AC906" i="36"/>
  <c r="AC907" i="36"/>
  <c r="AC908" i="36"/>
  <c r="AC2022" i="36"/>
  <c r="AC2023" i="36"/>
  <c r="AC909" i="36"/>
  <c r="AC2024" i="36"/>
  <c r="AC910" i="36"/>
  <c r="AC2357" i="36"/>
  <c r="AC911" i="36"/>
  <c r="AC913" i="36"/>
  <c r="AC912" i="36"/>
  <c r="AC914" i="36"/>
  <c r="AC915" i="36"/>
  <c r="AC2025" i="36"/>
  <c r="AC916" i="36"/>
  <c r="AC917" i="36"/>
  <c r="AC918" i="36"/>
  <c r="AC919" i="36"/>
  <c r="AC2026" i="36"/>
  <c r="AC2027" i="36"/>
  <c r="AC2493" i="36"/>
  <c r="AC920" i="36"/>
  <c r="AC2028" i="36"/>
  <c r="AC921" i="36"/>
  <c r="AC922" i="36"/>
  <c r="AC2494" i="36"/>
  <c r="AC2029" i="36"/>
  <c r="AC2358" i="36"/>
  <c r="AC2495" i="36"/>
  <c r="AC2030" i="36"/>
  <c r="AC2031" i="36"/>
  <c r="AC923" i="36"/>
  <c r="AC2560" i="36"/>
  <c r="AC924" i="36"/>
  <c r="AC925" i="36"/>
  <c r="AC926" i="36"/>
  <c r="AC2636" i="36"/>
  <c r="AC2032" i="36"/>
  <c r="AC927" i="36"/>
  <c r="AC928" i="36"/>
  <c r="AC929" i="36"/>
  <c r="AC2610" i="36"/>
  <c r="AC2496" i="36"/>
  <c r="AC930" i="36"/>
  <c r="AC931" i="36"/>
  <c r="AC932" i="36"/>
  <c r="AC933" i="36"/>
  <c r="AC934" i="36"/>
  <c r="AC935" i="36"/>
  <c r="AC936" i="36"/>
  <c r="AC2033" i="36"/>
  <c r="AC937" i="36"/>
  <c r="AC938" i="36"/>
  <c r="AC2034" i="36"/>
  <c r="AC2035" i="36"/>
  <c r="AC939" i="36"/>
  <c r="AC2359" i="36"/>
  <c r="AC940" i="36"/>
  <c r="AC941" i="36"/>
  <c r="AC942" i="36"/>
  <c r="AC2360" i="36"/>
  <c r="AC2036" i="36"/>
  <c r="AC943" i="36"/>
  <c r="AC2361" i="36"/>
  <c r="AC944" i="36"/>
  <c r="AC2037" i="36"/>
  <c r="AC945" i="36"/>
  <c r="AC2038" i="36"/>
  <c r="AC2362" i="36"/>
  <c r="AC946" i="36"/>
  <c r="AC2039" i="36"/>
  <c r="AC2040" i="36"/>
  <c r="AC947" i="36"/>
  <c r="AC948" i="36"/>
  <c r="AC949" i="36"/>
  <c r="AC950" i="36"/>
  <c r="AC952" i="36"/>
  <c r="AC951" i="36"/>
  <c r="AC953" i="36"/>
  <c r="AC954" i="36"/>
  <c r="AC956" i="36"/>
  <c r="AC955" i="36"/>
  <c r="AC957" i="36"/>
  <c r="AC958" i="36"/>
  <c r="AC959" i="36"/>
  <c r="AC2041" i="36"/>
  <c r="AC960" i="36"/>
  <c r="AC961" i="36"/>
  <c r="AC962" i="36"/>
  <c r="AC2042" i="36"/>
  <c r="AC2043" i="36"/>
  <c r="AC2363" i="36"/>
  <c r="AC963" i="36"/>
  <c r="AC964" i="36"/>
  <c r="AC965" i="36"/>
  <c r="AC966" i="36"/>
  <c r="AC2044" i="36"/>
  <c r="AC968" i="36"/>
  <c r="AC967" i="36"/>
  <c r="AC969" i="36"/>
  <c r="AC970" i="36"/>
  <c r="AC971" i="36"/>
  <c r="AC972" i="36"/>
  <c r="AC973" i="36"/>
  <c r="AC974" i="36"/>
  <c r="AC975" i="36"/>
  <c r="AC976" i="36"/>
  <c r="AC978" i="36"/>
  <c r="AC977" i="36"/>
  <c r="AC980" i="36"/>
  <c r="AC979" i="36"/>
  <c r="AC982" i="36"/>
  <c r="AC981" i="36"/>
  <c r="AC984" i="36"/>
  <c r="AC983" i="36"/>
  <c r="AC2045" i="36"/>
  <c r="AC985" i="36"/>
  <c r="AC986" i="36"/>
  <c r="AC987" i="36"/>
  <c r="AC988" i="36"/>
  <c r="AC989" i="36"/>
  <c r="AC2364" i="36"/>
  <c r="AC990" i="36"/>
  <c r="AC991" i="36"/>
  <c r="AC993" i="36"/>
  <c r="AC992" i="36"/>
  <c r="AC994" i="36"/>
  <c r="AC995" i="36"/>
  <c r="AC996" i="36"/>
  <c r="AC997" i="36"/>
  <c r="AC1000" i="36"/>
  <c r="AC999" i="36"/>
  <c r="AC998" i="36"/>
  <c r="AC1001" i="36"/>
  <c r="AC1003" i="36"/>
  <c r="AC1002" i="36"/>
  <c r="AC1004" i="36"/>
  <c r="AC1005" i="36"/>
  <c r="AC1007" i="36"/>
  <c r="AC1006" i="36"/>
  <c r="AC1008" i="36"/>
  <c r="AC1009" i="36"/>
  <c r="AC1010" i="36"/>
  <c r="AC1011" i="36"/>
  <c r="AC1012" i="36"/>
  <c r="AC1013" i="36"/>
  <c r="AC1014" i="36"/>
  <c r="AC1015" i="36"/>
  <c r="AC1017" i="36"/>
  <c r="AC2365" i="36"/>
  <c r="AC1016" i="36"/>
  <c r="AC1020" i="36"/>
  <c r="AC1019" i="36"/>
  <c r="AC1018" i="36"/>
  <c r="AC2366" i="36"/>
  <c r="AC1021" i="36"/>
  <c r="AC1022" i="36"/>
  <c r="AC1023" i="36"/>
  <c r="AC1024" i="36"/>
  <c r="AC1025" i="36"/>
  <c r="AC2046" i="36"/>
  <c r="AC1026" i="36"/>
  <c r="AC1027" i="36"/>
  <c r="AC1028" i="36"/>
  <c r="AC1030" i="36"/>
  <c r="AC1029" i="36"/>
  <c r="AC1031" i="36"/>
  <c r="AC2497" i="36"/>
  <c r="AC1032" i="36"/>
  <c r="AC1033" i="36"/>
  <c r="AC1034" i="36"/>
  <c r="AC1035" i="36"/>
  <c r="AC1036" i="36"/>
  <c r="AC1037" i="36"/>
  <c r="AC1038" i="36"/>
  <c r="AC2367" i="36"/>
  <c r="AC1039" i="36"/>
  <c r="AC1040" i="36"/>
  <c r="AC2368" i="36"/>
  <c r="AC1041" i="36"/>
  <c r="AC1042" i="36"/>
  <c r="AC1044" i="36"/>
  <c r="AC1043" i="36"/>
  <c r="AC1045" i="36"/>
  <c r="AC1047" i="36"/>
  <c r="AC1046" i="36"/>
  <c r="AC1048" i="36"/>
  <c r="AC1049" i="36"/>
  <c r="AC1050" i="36"/>
  <c r="AC1051" i="36"/>
  <c r="AC1052" i="36"/>
  <c r="AC1053" i="36"/>
  <c r="AC1054" i="36"/>
  <c r="AC1055" i="36"/>
  <c r="AC1056" i="36"/>
  <c r="AC1057" i="36"/>
  <c r="AC1058" i="36"/>
  <c r="AC2369" i="36"/>
  <c r="AC1059" i="36"/>
  <c r="AC2370" i="36"/>
  <c r="AC1060" i="36"/>
  <c r="AC1061" i="36"/>
  <c r="AC1062" i="36"/>
  <c r="AC1063" i="36"/>
  <c r="AC1064" i="36"/>
  <c r="AC1065" i="36"/>
  <c r="AC2047" i="36"/>
  <c r="AC1066" i="36"/>
  <c r="AC2048" i="36"/>
  <c r="AC1067" i="36"/>
  <c r="AC1069" i="36"/>
  <c r="AC1068" i="36"/>
  <c r="AC1070" i="36"/>
  <c r="AC1071" i="36"/>
  <c r="AC1072" i="36"/>
  <c r="AC1073" i="36"/>
  <c r="AC2049" i="36"/>
  <c r="AC1074" i="36"/>
  <c r="AC1075" i="36"/>
  <c r="AC1076" i="36"/>
  <c r="AC1077" i="36"/>
  <c r="AC1078" i="36"/>
  <c r="AC2050" i="36"/>
  <c r="AC2371" i="36"/>
  <c r="AC1080" i="36"/>
  <c r="AC1079" i="36"/>
  <c r="AC1081" i="36"/>
  <c r="AC1083" i="36"/>
  <c r="AC1082" i="36"/>
  <c r="AC1084" i="36"/>
  <c r="AC1085" i="36"/>
  <c r="AC1086" i="36"/>
  <c r="AC1087" i="36"/>
  <c r="AC1088" i="36"/>
  <c r="AC1090" i="36"/>
  <c r="I1090" i="36"/>
  <c r="P1090" i="36"/>
  <c r="Q1090" i="36"/>
  <c r="R1090" i="36"/>
  <c r="S1090" i="36"/>
  <c r="T1090" i="36"/>
  <c r="AA1090" i="36"/>
  <c r="AB1090" i="36"/>
  <c r="I1088" i="36"/>
  <c r="P1088" i="36"/>
  <c r="Q1088" i="36"/>
  <c r="R1088" i="36"/>
  <c r="S1088" i="36"/>
  <c r="T1088" i="36"/>
  <c r="AA1088" i="36"/>
  <c r="AB1088" i="36"/>
  <c r="I1087" i="36"/>
  <c r="P1087" i="36"/>
  <c r="Q1087" i="36"/>
  <c r="R1087" i="36"/>
  <c r="S1087" i="36"/>
  <c r="T1087" i="36"/>
  <c r="AA1087" i="36"/>
  <c r="AB1087" i="36"/>
  <c r="Z1090" i="36"/>
  <c r="Z1088" i="36"/>
  <c r="Z1087" i="36"/>
  <c r="I1086" i="36"/>
  <c r="R1086" i="36"/>
  <c r="P1086" i="36"/>
  <c r="Q1086" i="36"/>
  <c r="S1086" i="36"/>
  <c r="T1086" i="36"/>
  <c r="AA1086" i="36"/>
  <c r="AB1086" i="36"/>
  <c r="Z1086" i="36"/>
  <c r="I1085" i="36"/>
  <c r="R1085" i="36"/>
  <c r="P1085" i="36"/>
  <c r="Q1085" i="36"/>
  <c r="S1085" i="36"/>
  <c r="T1085" i="36"/>
  <c r="AA1085" i="36"/>
  <c r="AB1085" i="36"/>
  <c r="Z1085" i="36"/>
  <c r="I1084" i="36"/>
  <c r="R1084" i="36"/>
  <c r="P1084" i="36"/>
  <c r="Q1084" i="36"/>
  <c r="S1084" i="36"/>
  <c r="T1084" i="36"/>
  <c r="AA1084" i="36"/>
  <c r="AB1084" i="36"/>
  <c r="Z1084" i="36"/>
  <c r="I1082" i="36"/>
  <c r="R1082" i="36"/>
  <c r="P1082" i="36"/>
  <c r="Q1082" i="36"/>
  <c r="S1082" i="36"/>
  <c r="T1082" i="36"/>
  <c r="AA1082" i="36"/>
  <c r="AB1082" i="36"/>
  <c r="Z1082" i="36"/>
  <c r="I1083" i="36"/>
  <c r="P1083" i="36"/>
  <c r="Q1083" i="36"/>
  <c r="R1083" i="36"/>
  <c r="S1083" i="36"/>
  <c r="T1083" i="36"/>
  <c r="AA1083" i="36"/>
  <c r="AB1083" i="36"/>
  <c r="Z1083" i="36"/>
  <c r="I1081" i="36"/>
  <c r="R1081" i="36"/>
  <c r="P1081" i="36"/>
  <c r="Q1081" i="36"/>
  <c r="S1081" i="36"/>
  <c r="T1081" i="36"/>
  <c r="AA1081" i="36"/>
  <c r="AB1081" i="36"/>
  <c r="Z1081" i="36"/>
  <c r="I1079" i="36"/>
  <c r="R1079" i="36"/>
  <c r="P1079" i="36"/>
  <c r="Q1079" i="36"/>
  <c r="S1079" i="36"/>
  <c r="T1079" i="36"/>
  <c r="AA1079" i="36"/>
  <c r="AB1079" i="36"/>
  <c r="Z1079" i="36"/>
  <c r="I1080" i="36"/>
  <c r="P1080" i="36"/>
  <c r="Q1080" i="36"/>
  <c r="R1080" i="36"/>
  <c r="S1080" i="36"/>
  <c r="T1080" i="36"/>
  <c r="AA1080" i="36"/>
  <c r="AB1080" i="36"/>
  <c r="Z1080" i="36"/>
  <c r="I2371" i="36"/>
  <c r="R2371" i="36"/>
  <c r="P2371" i="36"/>
  <c r="Q2371" i="36"/>
  <c r="S2371" i="36"/>
  <c r="T2371" i="36"/>
  <c r="AA2371" i="36"/>
  <c r="AB2371" i="36"/>
  <c r="Z2371" i="36"/>
  <c r="I2050" i="36"/>
  <c r="P2050" i="36"/>
  <c r="Q2050" i="36"/>
  <c r="R2050" i="36"/>
  <c r="S2050" i="36"/>
  <c r="T2050" i="36"/>
  <c r="AA2050" i="36"/>
  <c r="AB2050" i="36"/>
  <c r="Z2050" i="36"/>
  <c r="I1078" i="36"/>
  <c r="R1078" i="36"/>
  <c r="P1078" i="36"/>
  <c r="Q1078" i="36"/>
  <c r="S1078" i="36"/>
  <c r="T1078" i="36"/>
  <c r="AA1078" i="36"/>
  <c r="AB1078" i="36"/>
  <c r="Z1078" i="36"/>
  <c r="I1077" i="36"/>
  <c r="P1077" i="36"/>
  <c r="Q1077" i="36"/>
  <c r="R1077" i="36"/>
  <c r="S1077" i="36"/>
  <c r="T1077" i="36"/>
  <c r="AA1077" i="36"/>
  <c r="AB1077" i="36"/>
  <c r="Z1077" i="36"/>
  <c r="I1076" i="36"/>
  <c r="R1076" i="36"/>
  <c r="P1076" i="36"/>
  <c r="Q1076" i="36"/>
  <c r="S1076" i="36"/>
  <c r="T1076" i="36"/>
  <c r="AA1076" i="36"/>
  <c r="AB1076" i="36"/>
  <c r="Z1076" i="36"/>
  <c r="I1075" i="36"/>
  <c r="R1075" i="36"/>
  <c r="P1075" i="36"/>
  <c r="Q1075" i="36"/>
  <c r="S1075" i="36"/>
  <c r="T1075" i="36"/>
  <c r="AA1075" i="36"/>
  <c r="AB1075" i="36"/>
  <c r="Z1075" i="36"/>
  <c r="I1074" i="36"/>
  <c r="R1074" i="36"/>
  <c r="P1074" i="36"/>
  <c r="Q1074" i="36"/>
  <c r="S1074" i="36"/>
  <c r="T1074" i="36"/>
  <c r="AA1074" i="36"/>
  <c r="AB1074" i="36"/>
  <c r="Z1074" i="36"/>
  <c r="I2049" i="36"/>
  <c r="R2049" i="36"/>
  <c r="P2049" i="36"/>
  <c r="Q2049" i="36"/>
  <c r="S2049" i="36"/>
  <c r="T2049" i="36"/>
  <c r="AA2049" i="36"/>
  <c r="AB2049" i="36"/>
  <c r="Z2049" i="36"/>
  <c r="I1073" i="36"/>
  <c r="R1073" i="36"/>
  <c r="P1073" i="36"/>
  <c r="Q1073" i="36"/>
  <c r="S1073" i="36"/>
  <c r="T1073" i="36"/>
  <c r="AA1073" i="36"/>
  <c r="AB1073" i="36"/>
  <c r="Z1073" i="36"/>
  <c r="I1072" i="36"/>
  <c r="R1072" i="36"/>
  <c r="P1072" i="36"/>
  <c r="Q1072" i="36"/>
  <c r="S1072" i="36"/>
  <c r="T1072" i="36"/>
  <c r="AA1072" i="36"/>
  <c r="AB1072" i="36"/>
  <c r="Z1072" i="36"/>
  <c r="I1071" i="36"/>
  <c r="R1071" i="36"/>
  <c r="P1071" i="36"/>
  <c r="Q1071" i="36"/>
  <c r="S1071" i="36"/>
  <c r="T1071" i="36"/>
  <c r="AA1071" i="36"/>
  <c r="AB1071" i="36"/>
  <c r="Z1071" i="36"/>
  <c r="I1070" i="36"/>
  <c r="P1070" i="36"/>
  <c r="Q1070" i="36"/>
  <c r="R1070" i="36"/>
  <c r="S1070" i="36"/>
  <c r="T1070" i="36"/>
  <c r="AA1070" i="36"/>
  <c r="AB1070" i="36"/>
  <c r="Z1070" i="36"/>
  <c r="I1068" i="36"/>
  <c r="R1068" i="36"/>
  <c r="P1068" i="36"/>
  <c r="Q1068" i="36"/>
  <c r="S1068" i="36"/>
  <c r="T1068" i="36"/>
  <c r="AA1068" i="36"/>
  <c r="AB1068" i="36"/>
  <c r="Z1068" i="36"/>
  <c r="I1069" i="36"/>
  <c r="R1069" i="36"/>
  <c r="P1069" i="36"/>
  <c r="Q1069" i="36"/>
  <c r="S1069" i="36"/>
  <c r="T1069" i="36"/>
  <c r="AA1069" i="36"/>
  <c r="AB1069" i="36"/>
  <c r="Z1069" i="36"/>
  <c r="I1067" i="36"/>
  <c r="R1067" i="36"/>
  <c r="P1067" i="36"/>
  <c r="Q1067" i="36"/>
  <c r="S1067" i="36"/>
  <c r="T1067" i="36"/>
  <c r="AA1067" i="36"/>
  <c r="AB1067" i="36"/>
  <c r="Z1067" i="36"/>
  <c r="I2048" i="36"/>
  <c r="P2048" i="36"/>
  <c r="Q2048" i="36"/>
  <c r="R2048" i="36"/>
  <c r="S2048" i="36"/>
  <c r="T2048" i="36"/>
  <c r="AA2048" i="36"/>
  <c r="AB2048" i="36"/>
  <c r="Z2048" i="36"/>
  <c r="I1066" i="36"/>
  <c r="R1066" i="36"/>
  <c r="P1066" i="36"/>
  <c r="Q1066" i="36"/>
  <c r="S1066" i="36"/>
  <c r="T1066" i="36"/>
  <c r="AA1066" i="36"/>
  <c r="AB1066" i="36"/>
  <c r="Z1066" i="36"/>
  <c r="I2047" i="36"/>
  <c r="R2047" i="36"/>
  <c r="P2047" i="36"/>
  <c r="Q2047" i="36"/>
  <c r="S2047" i="36"/>
  <c r="T2047" i="36"/>
  <c r="AA2047" i="36"/>
  <c r="AB2047" i="36"/>
  <c r="Z2047" i="36"/>
  <c r="I1065" i="36"/>
  <c r="R1065" i="36"/>
  <c r="P1065" i="36"/>
  <c r="Q1065" i="36"/>
  <c r="S1065" i="36"/>
  <c r="T1065" i="36"/>
  <c r="AA1065" i="36"/>
  <c r="AB1065" i="36"/>
  <c r="Z1065" i="36"/>
  <c r="I1064" i="36"/>
  <c r="P1064" i="36"/>
  <c r="Q1064" i="36"/>
  <c r="R1064" i="36"/>
  <c r="S1064" i="36"/>
  <c r="T1064" i="36"/>
  <c r="AA1064" i="36"/>
  <c r="AB1064" i="36"/>
  <c r="Z1064" i="36"/>
  <c r="I1063" i="36"/>
  <c r="P1063" i="36"/>
  <c r="Q1063" i="36"/>
  <c r="R1063" i="36"/>
  <c r="S1063" i="36"/>
  <c r="T1063" i="36"/>
  <c r="AA1063" i="36"/>
  <c r="AB1063" i="36"/>
  <c r="M967" i="36"/>
  <c r="M969" i="36"/>
  <c r="M970" i="36"/>
  <c r="M971" i="36"/>
  <c r="M972" i="36"/>
  <c r="M973" i="36"/>
  <c r="M974" i="36"/>
  <c r="M975" i="36"/>
  <c r="M976" i="36"/>
  <c r="M978" i="36"/>
  <c r="M977" i="36"/>
  <c r="M980" i="36"/>
  <c r="M979" i="36"/>
  <c r="M982" i="36"/>
  <c r="M981" i="36"/>
  <c r="M984" i="36"/>
  <c r="M983" i="36"/>
  <c r="M2045" i="36"/>
  <c r="M985" i="36"/>
  <c r="M986" i="36"/>
  <c r="M987" i="36"/>
  <c r="M988" i="36"/>
  <c r="M989" i="36"/>
  <c r="M2364" i="36"/>
  <c r="M990" i="36"/>
  <c r="M991" i="36"/>
  <c r="M993" i="36"/>
  <c r="M992" i="36"/>
  <c r="M994" i="36"/>
  <c r="M995" i="36"/>
  <c r="M996" i="36"/>
  <c r="M997" i="36"/>
  <c r="M1000" i="36"/>
  <c r="M999" i="36"/>
  <c r="M998" i="36"/>
  <c r="M1001" i="36"/>
  <c r="M1003" i="36"/>
  <c r="M1002" i="36"/>
  <c r="M1004" i="36"/>
  <c r="M1005" i="36"/>
  <c r="M1007" i="36"/>
  <c r="M1006" i="36"/>
  <c r="M1008" i="36"/>
  <c r="M1009" i="36"/>
  <c r="M1010" i="36"/>
  <c r="M1011" i="36"/>
  <c r="M1012" i="36"/>
  <c r="M1013" i="36"/>
  <c r="M1014" i="36"/>
  <c r="M1015" i="36"/>
  <c r="M1017" i="36"/>
  <c r="M2365" i="36"/>
  <c r="M1016" i="36"/>
  <c r="M1020" i="36"/>
  <c r="M1019" i="36"/>
  <c r="M1018" i="36"/>
  <c r="M2366" i="36"/>
  <c r="M1021" i="36"/>
  <c r="M1022" i="36"/>
  <c r="M1023" i="36"/>
  <c r="M1024" i="36"/>
  <c r="M1025" i="36"/>
  <c r="M2046" i="36"/>
  <c r="M1026" i="36"/>
  <c r="M1027" i="36"/>
  <c r="M1028" i="36"/>
  <c r="M1030" i="36"/>
  <c r="M1029" i="36"/>
  <c r="R1062" i="36"/>
  <c r="M919" i="36"/>
  <c r="M2026" i="36"/>
  <c r="M2027" i="36"/>
  <c r="M2493" i="36"/>
  <c r="M920" i="36"/>
  <c r="M2028" i="36"/>
  <c r="M921" i="36"/>
  <c r="M922" i="36"/>
  <c r="M2494" i="36"/>
  <c r="M2029" i="36"/>
  <c r="M2358" i="36"/>
  <c r="M2495" i="36"/>
  <c r="M2030" i="36"/>
  <c r="M2031" i="36"/>
  <c r="M923" i="36"/>
  <c r="M2560" i="36"/>
  <c r="M924" i="36"/>
  <c r="M925" i="36"/>
  <c r="M926" i="36"/>
  <c r="M2636" i="36"/>
  <c r="M2032" i="36"/>
  <c r="M927" i="36"/>
  <c r="M928" i="36"/>
  <c r="M929" i="36"/>
  <c r="M2610" i="36"/>
  <c r="M2496" i="36"/>
  <c r="M930" i="36"/>
  <c r="M931" i="36"/>
  <c r="M932" i="36"/>
  <c r="M933" i="36"/>
  <c r="M934" i="36"/>
  <c r="M935" i="36"/>
  <c r="M936" i="36"/>
  <c r="M2033" i="36"/>
  <c r="M937" i="36"/>
  <c r="M938" i="36"/>
  <c r="M2034" i="36"/>
  <c r="M2035" i="36"/>
  <c r="M939" i="36"/>
  <c r="M2359" i="36"/>
  <c r="M940" i="36"/>
  <c r="M941" i="36"/>
  <c r="M942" i="36"/>
  <c r="M2360" i="36"/>
  <c r="M2036" i="36"/>
  <c r="M943" i="36"/>
  <c r="M2361" i="36"/>
  <c r="M944" i="36"/>
  <c r="M2037" i="36"/>
  <c r="M945" i="36"/>
  <c r="M2038" i="36"/>
  <c r="M2362" i="36"/>
  <c r="M946" i="36"/>
  <c r="M2039" i="36"/>
  <c r="M2040" i="36"/>
  <c r="M947" i="36"/>
  <c r="M948" i="36"/>
  <c r="M949" i="36"/>
  <c r="M950" i="36"/>
  <c r="M952" i="36"/>
  <c r="M951" i="36"/>
  <c r="M953" i="36"/>
  <c r="M954" i="36"/>
  <c r="M956" i="36"/>
  <c r="M955" i="36"/>
  <c r="M957" i="36"/>
  <c r="M958" i="36"/>
  <c r="M959" i="36"/>
  <c r="M2041" i="36"/>
  <c r="M960" i="36"/>
  <c r="M961" i="36"/>
  <c r="M962" i="36"/>
  <c r="M2042" i="36"/>
  <c r="M2043" i="36"/>
  <c r="M2363" i="36"/>
  <c r="M963" i="36"/>
  <c r="M964" i="36"/>
  <c r="M965" i="36"/>
  <c r="M966" i="36"/>
  <c r="M2044" i="36"/>
  <c r="M968" i="36"/>
  <c r="M918" i="36"/>
  <c r="M3" i="36"/>
  <c r="M4" i="36"/>
  <c r="M5" i="36"/>
  <c r="M6" i="36"/>
  <c r="M7" i="36"/>
  <c r="M8" i="36"/>
  <c r="M9" i="36"/>
  <c r="M10" i="36"/>
  <c r="M11" i="36"/>
  <c r="M12" i="36"/>
  <c r="M13" i="36"/>
  <c r="M14" i="36"/>
  <c r="M15" i="36"/>
  <c r="M16" i="36"/>
  <c r="M17" i="36"/>
  <c r="M18" i="36"/>
  <c r="M19" i="36"/>
  <c r="M20" i="36"/>
  <c r="M21" i="36"/>
  <c r="M22" i="36"/>
  <c r="M23" i="36"/>
  <c r="M2231" i="36"/>
  <c r="M24" i="36"/>
  <c r="M25" i="36"/>
  <c r="M26" i="36"/>
  <c r="M27" i="36"/>
  <c r="M28" i="36"/>
  <c r="M2232" i="36"/>
  <c r="M29" i="36"/>
  <c r="M1704" i="36"/>
  <c r="M30" i="36"/>
  <c r="M31" i="36"/>
  <c r="M32" i="36"/>
  <c r="M34" i="36"/>
  <c r="M33" i="36"/>
  <c r="M35" i="36"/>
  <c r="M37" i="36"/>
  <c r="M36" i="36"/>
  <c r="M38" i="36"/>
  <c r="M39" i="36"/>
  <c r="M41" i="36"/>
  <c r="M40" i="36"/>
  <c r="M42" i="36"/>
  <c r="M1705" i="36"/>
  <c r="M43" i="36"/>
  <c r="M44" i="36"/>
  <c r="M45" i="36"/>
  <c r="M46" i="36"/>
  <c r="M1706" i="36"/>
  <c r="M47" i="36"/>
  <c r="M1707" i="36"/>
  <c r="M48" i="36"/>
  <c r="M49" i="36"/>
  <c r="M50" i="36"/>
  <c r="M52" i="36"/>
  <c r="M51" i="36"/>
  <c r="M53" i="36"/>
  <c r="M54" i="36"/>
  <c r="M55" i="36"/>
  <c r="M56" i="36"/>
  <c r="M57" i="36"/>
  <c r="M58" i="36"/>
  <c r="M1708" i="36"/>
  <c r="M59" i="36"/>
  <c r="M60" i="36"/>
  <c r="M2233" i="36"/>
  <c r="M61" i="36"/>
  <c r="M62" i="36"/>
  <c r="M63" i="36"/>
  <c r="M64" i="36"/>
  <c r="M65" i="36"/>
  <c r="M66" i="36"/>
  <c r="M2234" i="36"/>
  <c r="M67" i="36"/>
  <c r="M1709" i="36"/>
  <c r="M68" i="36"/>
  <c r="M69" i="36"/>
  <c r="M70" i="36"/>
  <c r="M71" i="36"/>
  <c r="M72" i="36"/>
  <c r="M73" i="36"/>
  <c r="M74" i="36"/>
  <c r="M75" i="36"/>
  <c r="M76" i="36"/>
  <c r="M77" i="36"/>
  <c r="M78" i="36"/>
  <c r="M79" i="36"/>
  <c r="M1710" i="36"/>
  <c r="M80" i="36"/>
  <c r="M81" i="36"/>
  <c r="M82" i="36"/>
  <c r="M83" i="36"/>
  <c r="M84" i="36"/>
  <c r="M85" i="36"/>
  <c r="M86" i="36"/>
  <c r="M1711" i="36"/>
  <c r="M87" i="36"/>
  <c r="M88" i="36"/>
  <c r="M89" i="36"/>
  <c r="M90" i="36"/>
  <c r="M91" i="36"/>
  <c r="M1712" i="36"/>
  <c r="M92" i="36"/>
  <c r="M93" i="36"/>
  <c r="M94" i="36"/>
  <c r="M95" i="36"/>
  <c r="M96" i="36"/>
  <c r="M98" i="36"/>
  <c r="M97" i="36"/>
  <c r="M99" i="36"/>
  <c r="M101" i="36"/>
  <c r="M100" i="36"/>
  <c r="M103" i="36"/>
  <c r="M102" i="36"/>
  <c r="M105" i="36"/>
  <c r="M104" i="36"/>
  <c r="M106" i="36"/>
  <c r="M108" i="36"/>
  <c r="M107" i="36"/>
  <c r="M109" i="36"/>
  <c r="M1713" i="36"/>
  <c r="M110" i="36"/>
  <c r="M111" i="36"/>
  <c r="M112" i="36"/>
  <c r="M114" i="36"/>
  <c r="M113" i="36"/>
  <c r="M115" i="36"/>
  <c r="M2235" i="36"/>
  <c r="M116" i="36"/>
  <c r="M117" i="36"/>
  <c r="M1714" i="36"/>
  <c r="M1715" i="36"/>
  <c r="M118" i="36"/>
  <c r="M119" i="36"/>
  <c r="M121" i="36"/>
  <c r="M120" i="36"/>
  <c r="M1716" i="36"/>
  <c r="M122" i="36"/>
  <c r="M123" i="36"/>
  <c r="M124" i="36"/>
  <c r="M126" i="36"/>
  <c r="M125" i="36"/>
  <c r="M128" i="36"/>
  <c r="M127" i="36"/>
  <c r="M129" i="36"/>
  <c r="M130" i="36"/>
  <c r="M131" i="36"/>
  <c r="M132" i="36"/>
  <c r="M133" i="36"/>
  <c r="M1717" i="36"/>
  <c r="M134" i="36"/>
  <c r="M135" i="36"/>
  <c r="M136" i="36"/>
  <c r="M1718" i="36"/>
  <c r="M137" i="36"/>
  <c r="M138" i="36"/>
  <c r="M139" i="36"/>
  <c r="M140" i="36"/>
  <c r="M141" i="36"/>
  <c r="M142" i="36"/>
  <c r="M143" i="36"/>
  <c r="M145" i="36"/>
  <c r="M144" i="36"/>
  <c r="M147" i="36"/>
  <c r="M146" i="36"/>
  <c r="M148" i="36"/>
  <c r="M149" i="36"/>
  <c r="M1719" i="36"/>
  <c r="M1720" i="36"/>
  <c r="M150" i="36"/>
  <c r="M1721" i="36"/>
  <c r="M151" i="36"/>
  <c r="M152" i="36"/>
  <c r="M153" i="36"/>
  <c r="M1722" i="36"/>
  <c r="M1723" i="36"/>
  <c r="M154" i="36"/>
  <c r="M155" i="36"/>
  <c r="M156" i="36"/>
  <c r="M157" i="36"/>
  <c r="M1724" i="36"/>
  <c r="M158" i="36"/>
  <c r="M1725" i="36"/>
  <c r="M159" i="36"/>
  <c r="M160" i="36"/>
  <c r="M161" i="36"/>
  <c r="M162" i="36"/>
  <c r="M163" i="36"/>
  <c r="M164" i="36"/>
  <c r="M165" i="36"/>
  <c r="M1726" i="36"/>
  <c r="M166" i="36"/>
  <c r="M1727" i="36"/>
  <c r="M167" i="36"/>
  <c r="M168" i="36"/>
  <c r="M169" i="36"/>
  <c r="M171" i="36"/>
  <c r="M170" i="36"/>
  <c r="M173" i="36"/>
  <c r="M172" i="36"/>
  <c r="M175" i="36"/>
  <c r="M174" i="36"/>
  <c r="M177" i="36"/>
  <c r="M176" i="36"/>
  <c r="M178" i="36"/>
  <c r="M179" i="36"/>
  <c r="M181" i="36"/>
  <c r="M180" i="36"/>
  <c r="M2236" i="36"/>
  <c r="M182" i="36"/>
  <c r="M183" i="36"/>
  <c r="M1728" i="36"/>
  <c r="M1729" i="36"/>
  <c r="M184" i="36"/>
  <c r="M185" i="36"/>
  <c r="M1730" i="36"/>
  <c r="M186" i="36"/>
  <c r="M187" i="36"/>
  <c r="M2237" i="36"/>
  <c r="M1731" i="36"/>
  <c r="M188" i="36"/>
  <c r="M1732" i="36"/>
  <c r="M189" i="36"/>
  <c r="M190" i="36"/>
  <c r="M191" i="36"/>
  <c r="M1734" i="36"/>
  <c r="M1733" i="36"/>
  <c r="M1735" i="36"/>
  <c r="M192" i="36"/>
  <c r="M193" i="36"/>
  <c r="M194" i="36"/>
  <c r="M1736" i="36"/>
  <c r="M196" i="36"/>
  <c r="M195" i="36"/>
  <c r="M1737" i="36"/>
  <c r="M197" i="36"/>
  <c r="M198" i="36"/>
  <c r="M199" i="36"/>
  <c r="M200" i="36"/>
  <c r="M1738" i="36"/>
  <c r="M1739" i="36"/>
  <c r="M201" i="36"/>
  <c r="M202" i="36"/>
  <c r="M203" i="36"/>
  <c r="M204" i="36"/>
  <c r="M205" i="36"/>
  <c r="M206" i="36"/>
  <c r="M1740" i="36"/>
  <c r="M207" i="36"/>
  <c r="M2437" i="36"/>
  <c r="M208" i="36"/>
  <c r="M209" i="36"/>
  <c r="M1741" i="36"/>
  <c r="M210" i="36"/>
  <c r="M211" i="36"/>
  <c r="M212" i="36"/>
  <c r="M213" i="36"/>
  <c r="M1742" i="36"/>
  <c r="M2238" i="36"/>
  <c r="M2239" i="36"/>
  <c r="M1743" i="36"/>
  <c r="M214" i="36"/>
  <c r="M215" i="36"/>
  <c r="M216" i="36"/>
  <c r="M217" i="36"/>
  <c r="M218" i="36"/>
  <c r="M2240" i="36"/>
  <c r="M219" i="36"/>
  <c r="M220" i="36"/>
  <c r="M221" i="36"/>
  <c r="M222" i="36"/>
  <c r="M223" i="36"/>
  <c r="M2241" i="36"/>
  <c r="M2614" i="36"/>
  <c r="M225" i="36"/>
  <c r="M224" i="36"/>
  <c r="M226" i="36"/>
  <c r="M2242" i="36"/>
  <c r="M228" i="36"/>
  <c r="M227" i="36"/>
  <c r="M2438" i="36"/>
  <c r="M2439" i="36"/>
  <c r="M229" i="36"/>
  <c r="M2533" i="36"/>
  <c r="M230" i="36"/>
  <c r="M231" i="36"/>
  <c r="M1744" i="36"/>
  <c r="M232" i="36"/>
  <c r="M233" i="36"/>
  <c r="M234" i="36"/>
  <c r="M2534" i="36"/>
  <c r="M2243" i="36"/>
  <c r="M235" i="36"/>
  <c r="M2244" i="36"/>
  <c r="M236" i="36"/>
  <c r="M237" i="36"/>
  <c r="M2245" i="36"/>
  <c r="M1745" i="36"/>
  <c r="M238" i="36"/>
  <c r="M239" i="36"/>
  <c r="M240" i="36"/>
  <c r="M1746" i="36"/>
  <c r="M1747" i="36"/>
  <c r="M241" i="36"/>
  <c r="M242" i="36"/>
  <c r="M2246" i="36"/>
  <c r="M1748" i="36"/>
  <c r="M243" i="36"/>
  <c r="M244" i="36"/>
  <c r="M2535" i="36"/>
  <c r="M1749" i="36"/>
  <c r="M245" i="36"/>
  <c r="M1750" i="36"/>
  <c r="M246" i="36"/>
  <c r="M2440" i="36"/>
  <c r="M2247" i="36"/>
  <c r="M247" i="36"/>
  <c r="M248" i="36"/>
  <c r="M2629" i="36"/>
  <c r="M1751" i="36"/>
  <c r="M249" i="36"/>
  <c r="M2441" i="36"/>
  <c r="M2248" i="36"/>
  <c r="M2249" i="36"/>
  <c r="M250" i="36"/>
  <c r="M252" i="36"/>
  <c r="M251" i="36"/>
  <c r="M253" i="36"/>
  <c r="M254" i="36"/>
  <c r="M255" i="36"/>
  <c r="M256" i="36"/>
  <c r="M257" i="36"/>
  <c r="M259" i="36"/>
  <c r="M258" i="36"/>
  <c r="M260" i="36"/>
  <c r="M1752" i="36"/>
  <c r="M261" i="36"/>
  <c r="M1753" i="36"/>
  <c r="M1754" i="36"/>
  <c r="M262" i="36"/>
  <c r="M263" i="36"/>
  <c r="M264" i="36"/>
  <c r="M265" i="36"/>
  <c r="M1755" i="36"/>
  <c r="M266" i="36"/>
  <c r="M2250" i="36"/>
  <c r="M267" i="36"/>
  <c r="M2583" i="36"/>
  <c r="M2251" i="36"/>
  <c r="M268" i="36"/>
  <c r="M2252" i="36"/>
  <c r="M2442" i="36"/>
  <c r="M269" i="36"/>
  <c r="M1756" i="36"/>
  <c r="M1757" i="36"/>
  <c r="M1758" i="36"/>
  <c r="M270" i="36"/>
  <c r="M1759" i="36"/>
  <c r="M2253" i="36"/>
  <c r="M271" i="36"/>
  <c r="M272" i="36"/>
  <c r="M273" i="36"/>
  <c r="M1760" i="36"/>
  <c r="M1761" i="36"/>
  <c r="M274" i="36"/>
  <c r="M1762" i="36"/>
  <c r="M275" i="36"/>
  <c r="M1763" i="36"/>
  <c r="M1764" i="36"/>
  <c r="M276" i="36"/>
  <c r="M277" i="36"/>
  <c r="M278" i="36"/>
  <c r="M279" i="36"/>
  <c r="M280" i="36"/>
  <c r="M2254" i="36"/>
  <c r="M281" i="36"/>
  <c r="M282" i="36"/>
  <c r="M283" i="36"/>
  <c r="M284" i="36"/>
  <c r="M1765" i="36"/>
  <c r="M285" i="36"/>
  <c r="M1766" i="36"/>
  <c r="M1767" i="36"/>
  <c r="M286" i="36"/>
  <c r="M1768" i="36"/>
  <c r="M2255" i="36"/>
  <c r="M1769" i="36"/>
  <c r="M288" i="36"/>
  <c r="M287" i="36"/>
  <c r="M289" i="36"/>
  <c r="M290" i="36"/>
  <c r="M291" i="36"/>
  <c r="M1770" i="36"/>
  <c r="M292" i="36"/>
  <c r="M293" i="36"/>
  <c r="M1771" i="36"/>
  <c r="M294" i="36"/>
  <c r="M295" i="36"/>
  <c r="M296" i="36"/>
  <c r="M297" i="36"/>
  <c r="M298" i="36"/>
  <c r="M299" i="36"/>
  <c r="M300" i="36"/>
  <c r="M301" i="36"/>
  <c r="M302" i="36"/>
  <c r="M303" i="36"/>
  <c r="M304" i="36"/>
  <c r="M305" i="36"/>
  <c r="M306" i="36"/>
  <c r="M307" i="36"/>
  <c r="M308" i="36"/>
  <c r="M1772" i="36"/>
  <c r="M309" i="36"/>
  <c r="M1773" i="36"/>
  <c r="M2256" i="36"/>
  <c r="M310" i="36"/>
  <c r="M311" i="36"/>
  <c r="M1774" i="36"/>
  <c r="M312" i="36"/>
  <c r="M2257" i="36"/>
  <c r="M313" i="36"/>
  <c r="M314" i="36"/>
  <c r="M1775" i="36"/>
  <c r="M315" i="36"/>
  <c r="M316" i="36"/>
  <c r="M317" i="36"/>
  <c r="M1776" i="36"/>
  <c r="M1777" i="36"/>
  <c r="M2258" i="36"/>
  <c r="M1778" i="36"/>
  <c r="M2259" i="36"/>
  <c r="M1779" i="36"/>
  <c r="M2260" i="36"/>
  <c r="M1780" i="36"/>
  <c r="M2536" i="36"/>
  <c r="M1781" i="36"/>
  <c r="M318" i="36"/>
  <c r="M319" i="36"/>
  <c r="M1782" i="36"/>
  <c r="M320" i="36"/>
  <c r="M2261" i="36"/>
  <c r="M321" i="36"/>
  <c r="M322" i="36"/>
  <c r="M323" i="36"/>
  <c r="M2262" i="36"/>
  <c r="M1783" i="36"/>
  <c r="M2443" i="36"/>
  <c r="M1784" i="36"/>
  <c r="M2444" i="36"/>
  <c r="M1785" i="36"/>
  <c r="M324" i="36"/>
  <c r="M325" i="36"/>
  <c r="M1786" i="36"/>
  <c r="M2263" i="36"/>
  <c r="M2264" i="36"/>
  <c r="M1787" i="36"/>
  <c r="M326" i="36"/>
  <c r="M327" i="36"/>
  <c r="M2265" i="36"/>
  <c r="M328" i="36"/>
  <c r="M1788" i="36"/>
  <c r="M330" i="36"/>
  <c r="M329" i="36"/>
  <c r="M2446" i="36"/>
  <c r="M331" i="36"/>
  <c r="M2266" i="36"/>
  <c r="M332" i="36"/>
  <c r="M1789" i="36"/>
  <c r="M333" i="36"/>
  <c r="M1790" i="36"/>
  <c r="M2537" i="36"/>
  <c r="M334" i="36"/>
  <c r="M336" i="36"/>
  <c r="M335" i="36"/>
  <c r="M1791" i="36"/>
  <c r="M337" i="36"/>
  <c r="M1792" i="36"/>
  <c r="M1793" i="36"/>
  <c r="M338" i="36"/>
  <c r="M2267" i="36"/>
  <c r="M1794" i="36"/>
  <c r="M2447" i="36"/>
  <c r="M1795" i="36"/>
  <c r="M339" i="36"/>
  <c r="M1796" i="36"/>
  <c r="M1797" i="36"/>
  <c r="M2268" i="36"/>
  <c r="M341" i="36"/>
  <c r="M340" i="36"/>
  <c r="M2584" i="36"/>
  <c r="M1798" i="36"/>
  <c r="M1799" i="36"/>
  <c r="M343" i="36"/>
  <c r="M342" i="36"/>
  <c r="M2269" i="36"/>
  <c r="M1800" i="36"/>
  <c r="M2538" i="36"/>
  <c r="M1802" i="36"/>
  <c r="M1801" i="36"/>
  <c r="M2270" i="36"/>
  <c r="M1803" i="36"/>
  <c r="M344" i="36"/>
  <c r="M1804" i="36"/>
  <c r="M345" i="36"/>
  <c r="M2271" i="36"/>
  <c r="M346" i="36"/>
  <c r="M1805" i="36"/>
  <c r="M347" i="36"/>
  <c r="M1806" i="36"/>
  <c r="M348" i="36"/>
  <c r="M1807" i="36"/>
  <c r="M2539" i="36"/>
  <c r="M1808" i="36"/>
  <c r="M349" i="36"/>
  <c r="M350" i="36"/>
  <c r="M1809" i="36"/>
  <c r="M2540" i="36"/>
  <c r="M351" i="36"/>
  <c r="M352" i="36"/>
  <c r="M353" i="36"/>
  <c r="M354" i="36"/>
  <c r="M2448" i="36"/>
  <c r="M355" i="36"/>
  <c r="M356" i="36"/>
  <c r="M357" i="36"/>
  <c r="M358" i="36"/>
  <c r="M359" i="36"/>
  <c r="M1810" i="36"/>
  <c r="M1811" i="36"/>
  <c r="M360" i="36"/>
  <c r="M1812" i="36"/>
  <c r="M2449" i="36"/>
  <c r="M1813" i="36"/>
  <c r="M2450" i="36"/>
  <c r="M361" i="36"/>
  <c r="M2272" i="36"/>
  <c r="M362" i="36"/>
  <c r="M1815" i="36"/>
  <c r="M1814" i="36"/>
  <c r="M2451" i="36"/>
  <c r="M363" i="36"/>
  <c r="M2273" i="36"/>
  <c r="M2541" i="36"/>
  <c r="M2274" i="36"/>
  <c r="M1816" i="36"/>
  <c r="M364" i="36"/>
  <c r="M1817" i="36"/>
  <c r="M2542" i="36"/>
  <c r="M2452" i="36"/>
  <c r="M2453" i="36"/>
  <c r="M365" i="36"/>
  <c r="M2628" i="36"/>
  <c r="M366" i="36"/>
  <c r="M2454" i="36"/>
  <c r="M1818" i="36"/>
  <c r="M367" i="36"/>
  <c r="M1819" i="36"/>
  <c r="M2275" i="36"/>
  <c r="M368" i="36"/>
  <c r="M1820" i="36"/>
  <c r="M1821" i="36"/>
  <c r="M1822" i="36"/>
  <c r="M2543" i="36"/>
  <c r="M1823" i="36"/>
  <c r="M1824" i="36"/>
  <c r="M369" i="36"/>
  <c r="M2544" i="36"/>
  <c r="M1825" i="36"/>
  <c r="M1826" i="36"/>
  <c r="M2276" i="36"/>
  <c r="M371" i="36"/>
  <c r="M370" i="36"/>
  <c r="M2455" i="36"/>
  <c r="M372" i="36"/>
  <c r="M1827" i="36"/>
  <c r="M1828" i="36"/>
  <c r="M373" i="36"/>
  <c r="M374" i="36"/>
  <c r="M2456" i="36"/>
  <c r="M375" i="36"/>
  <c r="M2457" i="36"/>
  <c r="M2621" i="36"/>
  <c r="M376" i="36"/>
  <c r="M2277" i="36"/>
  <c r="M377" i="36"/>
  <c r="M1829" i="36"/>
  <c r="M2585" i="36"/>
  <c r="M1830" i="36"/>
  <c r="M378" i="36"/>
  <c r="M379" i="36"/>
  <c r="M1831" i="36"/>
  <c r="M1832" i="36"/>
  <c r="M2606" i="36"/>
  <c r="M1833" i="36"/>
  <c r="M1834" i="36"/>
  <c r="M1835" i="36"/>
  <c r="M2458" i="36"/>
  <c r="M380" i="36"/>
  <c r="M2586" i="36"/>
  <c r="M2278" i="36"/>
  <c r="M2587" i="36"/>
  <c r="M1836" i="36"/>
  <c r="M1837" i="36"/>
  <c r="M381" i="36"/>
  <c r="M382" i="36"/>
  <c r="M2615" i="36"/>
  <c r="M383" i="36"/>
  <c r="M2279" i="36"/>
  <c r="M1838" i="36"/>
  <c r="M2459" i="36"/>
  <c r="M384" i="36"/>
  <c r="M385" i="36"/>
  <c r="M386" i="36"/>
  <c r="M2460" i="36"/>
  <c r="M387" i="36"/>
  <c r="M1839" i="36"/>
  <c r="M388" i="36"/>
  <c r="M2461" i="36"/>
  <c r="M2280" i="36"/>
  <c r="M389" i="36"/>
  <c r="M2281" i="36"/>
  <c r="M390" i="36"/>
  <c r="M1840" i="36"/>
  <c r="M2588" i="36"/>
  <c r="M2545" i="36"/>
  <c r="M391" i="36"/>
  <c r="M2462" i="36"/>
  <c r="M392" i="36"/>
  <c r="M1841" i="36"/>
  <c r="M2463" i="36"/>
  <c r="M393" i="36"/>
  <c r="M2616" i="36"/>
  <c r="M2282" i="36"/>
  <c r="M394" i="36"/>
  <c r="M395" i="36"/>
  <c r="M2546" i="36"/>
  <c r="M1842" i="36"/>
  <c r="M1843" i="36"/>
  <c r="M2589" i="36"/>
  <c r="M396" i="36"/>
  <c r="M2547" i="36"/>
  <c r="M1844" i="36"/>
  <c r="M397" i="36"/>
  <c r="M2548" i="36"/>
  <c r="M398" i="36"/>
  <c r="M399" i="36"/>
  <c r="M2464" i="36"/>
  <c r="M2283" i="36"/>
  <c r="M1845" i="36"/>
  <c r="M2284" i="36"/>
  <c r="M400" i="36"/>
  <c r="M401" i="36"/>
  <c r="M402" i="36"/>
  <c r="M2285" i="36"/>
  <c r="M403" i="36"/>
  <c r="M1846" i="36"/>
  <c r="M404" i="36"/>
  <c r="M2286" i="36"/>
  <c r="M405" i="36"/>
  <c r="M1847" i="36"/>
  <c r="M406" i="36"/>
  <c r="M407" i="36"/>
  <c r="M408" i="36"/>
  <c r="M409" i="36"/>
  <c r="M410" i="36"/>
  <c r="M411" i="36"/>
  <c r="M412" i="36"/>
  <c r="M1848" i="36"/>
  <c r="M413" i="36"/>
  <c r="M414" i="36"/>
  <c r="M415" i="36"/>
  <c r="M1849" i="36"/>
  <c r="M416" i="36"/>
  <c r="M2590" i="36"/>
  <c r="M417" i="36"/>
  <c r="M2465" i="36"/>
  <c r="M1850" i="36"/>
  <c r="M2640" i="36"/>
  <c r="M2617" i="36"/>
  <c r="M1851" i="36"/>
  <c r="M418" i="36"/>
  <c r="M419" i="36"/>
  <c r="M2466" i="36"/>
  <c r="M2591" i="36"/>
  <c r="M420" i="36"/>
  <c r="M1852" i="36"/>
  <c r="M1853" i="36"/>
  <c r="M421" i="36"/>
  <c r="M422" i="36"/>
  <c r="M423" i="36"/>
  <c r="M1854" i="36"/>
  <c r="M424" i="36"/>
  <c r="M426" i="36"/>
  <c r="M425" i="36"/>
  <c r="M427" i="36"/>
  <c r="M429" i="36"/>
  <c r="M428" i="36"/>
  <c r="M1855" i="36"/>
  <c r="M430" i="36"/>
  <c r="M2467" i="36"/>
  <c r="M431" i="36"/>
  <c r="M432" i="36"/>
  <c r="M1856" i="36"/>
  <c r="M433" i="36"/>
  <c r="M1857" i="36"/>
  <c r="M2549" i="36"/>
  <c r="M2287" i="36"/>
  <c r="M434" i="36"/>
  <c r="M435" i="36"/>
  <c r="M1858" i="36"/>
  <c r="M436" i="36"/>
  <c r="M1859" i="36"/>
  <c r="M1860" i="36"/>
  <c r="M437" i="36"/>
  <c r="M1861" i="36"/>
  <c r="M1862" i="36"/>
  <c r="M438" i="36"/>
  <c r="M2607" i="36"/>
  <c r="M2288" i="36"/>
  <c r="M439" i="36"/>
  <c r="M1863" i="36"/>
  <c r="M440" i="36"/>
  <c r="M2468" i="36"/>
  <c r="M441" i="36"/>
  <c r="M1864" i="36"/>
  <c r="M442" i="36"/>
  <c r="M444" i="36"/>
  <c r="M443" i="36"/>
  <c r="M1865" i="36"/>
  <c r="M2469" i="36"/>
  <c r="M445" i="36"/>
  <c r="M446" i="36"/>
  <c r="M2289" i="36"/>
  <c r="M447" i="36"/>
  <c r="M1867" i="36"/>
  <c r="M1866" i="36"/>
  <c r="M1868" i="36"/>
  <c r="M2592" i="36"/>
  <c r="M449" i="36"/>
  <c r="M448" i="36"/>
  <c r="M450" i="36"/>
  <c r="M451" i="36"/>
  <c r="M1870" i="36"/>
  <c r="M1869" i="36"/>
  <c r="M452" i="36"/>
  <c r="M1871" i="36"/>
  <c r="M454" i="36"/>
  <c r="M453" i="36"/>
  <c r="M1872" i="36"/>
  <c r="M2593" i="36"/>
  <c r="M455" i="36"/>
  <c r="M456" i="36"/>
  <c r="M1873" i="36"/>
  <c r="M457" i="36"/>
  <c r="M2290" i="36"/>
  <c r="M458" i="36"/>
  <c r="M459" i="36"/>
  <c r="M1874" i="36"/>
  <c r="M460" i="36"/>
  <c r="M461" i="36"/>
  <c r="M462" i="36"/>
  <c r="M463" i="36"/>
  <c r="M464" i="36"/>
  <c r="M466" i="36"/>
  <c r="M465" i="36"/>
  <c r="M468" i="36"/>
  <c r="M467" i="36"/>
  <c r="M469" i="36"/>
  <c r="M470" i="36"/>
  <c r="M1875" i="36"/>
  <c r="M472" i="36"/>
  <c r="M471" i="36"/>
  <c r="M473" i="36"/>
  <c r="M1876" i="36"/>
  <c r="M1877" i="36"/>
  <c r="M474" i="36"/>
  <c r="M475" i="36"/>
  <c r="M476" i="36"/>
  <c r="M1878" i="36"/>
  <c r="M477" i="36"/>
  <c r="M1879" i="36"/>
  <c r="M478" i="36"/>
  <c r="M1880" i="36"/>
  <c r="M479" i="36"/>
  <c r="M1881" i="36"/>
  <c r="M1882" i="36"/>
  <c r="M480" i="36"/>
  <c r="M481" i="36"/>
  <c r="M482" i="36"/>
  <c r="M483" i="36"/>
  <c r="M485" i="36"/>
  <c r="M484" i="36"/>
  <c r="M2291" i="36"/>
  <c r="M486" i="36"/>
  <c r="M487" i="36"/>
  <c r="M488" i="36"/>
  <c r="M2292" i="36"/>
  <c r="M489" i="36"/>
  <c r="M1883" i="36"/>
  <c r="M490" i="36"/>
  <c r="M492" i="36"/>
  <c r="M491" i="36"/>
  <c r="M494" i="36"/>
  <c r="M493" i="36"/>
  <c r="M1884" i="36"/>
  <c r="M2293" i="36"/>
  <c r="M496" i="36"/>
  <c r="M497" i="36"/>
  <c r="M495" i="36"/>
  <c r="M1885" i="36"/>
  <c r="M498" i="36"/>
  <c r="M2294" i="36"/>
  <c r="M499" i="36"/>
  <c r="M2295" i="36"/>
  <c r="M1886" i="36"/>
  <c r="M500" i="36"/>
  <c r="M1887" i="36"/>
  <c r="M501" i="36"/>
  <c r="M502" i="36"/>
  <c r="M503" i="36"/>
  <c r="M1888" i="36"/>
  <c r="M504" i="36"/>
  <c r="M1889" i="36"/>
  <c r="M1890" i="36"/>
  <c r="M505" i="36"/>
  <c r="M2470" i="36"/>
  <c r="M2296" i="36"/>
  <c r="M506" i="36"/>
  <c r="M507" i="36"/>
  <c r="M1891" i="36"/>
  <c r="M508" i="36"/>
  <c r="M510" i="36"/>
  <c r="M509" i="36"/>
  <c r="M511" i="36"/>
  <c r="M2642" i="36"/>
  <c r="M513" i="36"/>
  <c r="M512" i="36"/>
  <c r="M515" i="36"/>
  <c r="M1892" i="36"/>
  <c r="M514" i="36"/>
  <c r="M2297" i="36"/>
  <c r="M1893" i="36"/>
  <c r="M516" i="36"/>
  <c r="M517" i="36"/>
  <c r="M2298" i="36"/>
  <c r="M518" i="36"/>
  <c r="M519" i="36"/>
  <c r="M1894" i="36"/>
  <c r="M2299" i="36"/>
  <c r="M520" i="36"/>
  <c r="M521" i="36"/>
  <c r="M1895" i="36"/>
  <c r="M2471" i="36"/>
  <c r="M522" i="36"/>
  <c r="M2300" i="36"/>
  <c r="M2472" i="36"/>
  <c r="M523" i="36"/>
  <c r="M524" i="36"/>
  <c r="M525" i="36"/>
  <c r="M2301" i="36"/>
  <c r="M2473" i="36"/>
  <c r="M1896" i="36"/>
  <c r="M1898" i="36"/>
  <c r="M1897" i="36"/>
  <c r="M526" i="36"/>
  <c r="M527" i="36"/>
  <c r="M528" i="36"/>
  <c r="M2302" i="36"/>
  <c r="M529" i="36"/>
  <c r="M1899" i="36"/>
  <c r="M530" i="36"/>
  <c r="M1900" i="36"/>
  <c r="M532" i="36"/>
  <c r="M531" i="36"/>
  <c r="M1901" i="36"/>
  <c r="M2303" i="36"/>
  <c r="M533" i="36"/>
  <c r="M534" i="36"/>
  <c r="M535" i="36"/>
  <c r="M536" i="36"/>
  <c r="M1902" i="36"/>
  <c r="M1903" i="36"/>
  <c r="M538" i="36"/>
  <c r="M537" i="36"/>
  <c r="M539" i="36"/>
  <c r="M2474" i="36"/>
  <c r="M540" i="36"/>
  <c r="M2304" i="36"/>
  <c r="M541" i="36"/>
  <c r="M542" i="36"/>
  <c r="M1904" i="36"/>
  <c r="M544" i="36"/>
  <c r="M543" i="36"/>
  <c r="M2305" i="36"/>
  <c r="M545" i="36"/>
  <c r="M546" i="36"/>
  <c r="M547" i="36"/>
  <c r="M1905" i="36"/>
  <c r="M548" i="36"/>
  <c r="M1906" i="36"/>
  <c r="M549" i="36"/>
  <c r="M2306" i="36"/>
  <c r="M550" i="36"/>
  <c r="M1907" i="36"/>
  <c r="M1908" i="36"/>
  <c r="M551" i="36"/>
  <c r="M2475" i="36"/>
  <c r="M1909" i="36"/>
  <c r="M552" i="36"/>
  <c r="M2594" i="36"/>
  <c r="M1910" i="36"/>
  <c r="M553" i="36"/>
  <c r="M2307" i="36"/>
  <c r="M554" i="36"/>
  <c r="M1911" i="36"/>
  <c r="M556" i="36"/>
  <c r="M555" i="36"/>
  <c r="M557" i="36"/>
  <c r="M1912" i="36"/>
  <c r="M1913" i="36"/>
  <c r="M1914" i="36"/>
  <c r="M558" i="36"/>
  <c r="M560" i="36"/>
  <c r="M559" i="36"/>
  <c r="M561" i="36"/>
  <c r="M562" i="36"/>
  <c r="M564" i="36"/>
  <c r="M563" i="36"/>
  <c r="M565" i="36"/>
  <c r="M2308" i="36"/>
  <c r="M566" i="36"/>
  <c r="M2476" i="36"/>
  <c r="M567" i="36"/>
  <c r="M568" i="36"/>
  <c r="M569" i="36"/>
  <c r="M571" i="36"/>
  <c r="M570" i="36"/>
  <c r="M2477" i="36"/>
  <c r="M572" i="36"/>
  <c r="M573" i="36"/>
  <c r="M2309" i="36"/>
  <c r="M2310" i="36"/>
  <c r="M2311" i="36"/>
  <c r="M574" i="36"/>
  <c r="M575" i="36"/>
  <c r="M2312" i="36"/>
  <c r="M576" i="36"/>
  <c r="M2478" i="36"/>
  <c r="M577" i="36"/>
  <c r="M1915" i="36"/>
  <c r="M2313" i="36"/>
  <c r="M578" i="36"/>
  <c r="M579" i="36"/>
  <c r="M2314" i="36"/>
  <c r="M580" i="36"/>
  <c r="M2315" i="36"/>
  <c r="M1916" i="36"/>
  <c r="M2550" i="36"/>
  <c r="M581" i="36"/>
  <c r="M1917" i="36"/>
  <c r="M582" i="36"/>
  <c r="M1918" i="36"/>
  <c r="M583" i="36"/>
  <c r="M584" i="36"/>
  <c r="M585" i="36"/>
  <c r="M586" i="36"/>
  <c r="M587" i="36"/>
  <c r="M1919" i="36"/>
  <c r="M588" i="36"/>
  <c r="M1920" i="36"/>
  <c r="M589" i="36"/>
  <c r="M1921" i="36"/>
  <c r="M590" i="36"/>
  <c r="M591" i="36"/>
  <c r="M593" i="36"/>
  <c r="M592" i="36"/>
  <c r="M594" i="36"/>
  <c r="M595" i="36"/>
  <c r="M596" i="36"/>
  <c r="M2316" i="36"/>
  <c r="M599" i="36"/>
  <c r="M598" i="36"/>
  <c r="M597" i="36"/>
  <c r="M1922" i="36"/>
  <c r="M602" i="36"/>
  <c r="M601" i="36"/>
  <c r="M600" i="36"/>
  <c r="M603" i="36"/>
  <c r="M604" i="36"/>
  <c r="M606" i="36"/>
  <c r="M605" i="36"/>
  <c r="M1923" i="36"/>
  <c r="M607" i="36"/>
  <c r="M608" i="36"/>
  <c r="M609" i="36"/>
  <c r="M610" i="36"/>
  <c r="M1924" i="36"/>
  <c r="M1925" i="36"/>
  <c r="M2317" i="36"/>
  <c r="M611" i="36"/>
  <c r="M2318" i="36"/>
  <c r="M2551" i="36"/>
  <c r="M612" i="36"/>
  <c r="M2319" i="36"/>
  <c r="M2552" i="36"/>
  <c r="M613" i="36"/>
  <c r="M615" i="36"/>
  <c r="M614" i="36"/>
  <c r="M616" i="36"/>
  <c r="M1926" i="36"/>
  <c r="M1927" i="36"/>
  <c r="M617" i="36"/>
  <c r="M618" i="36"/>
  <c r="M619" i="36"/>
  <c r="M1928" i="36"/>
  <c r="M620" i="36"/>
  <c r="M1929" i="36"/>
  <c r="M621" i="36"/>
  <c r="M622" i="36"/>
  <c r="M1930" i="36"/>
  <c r="M623" i="36"/>
  <c r="M624" i="36"/>
  <c r="M625" i="36"/>
  <c r="M626" i="36"/>
  <c r="M627" i="36"/>
  <c r="M628" i="36"/>
  <c r="M629" i="36"/>
  <c r="M1931" i="36"/>
  <c r="M1932" i="36"/>
  <c r="M631" i="36"/>
  <c r="M630" i="36"/>
  <c r="M632" i="36"/>
  <c r="M633" i="36"/>
  <c r="M634" i="36"/>
  <c r="M635" i="36"/>
  <c r="M1933" i="36"/>
  <c r="M1934" i="36"/>
  <c r="M636" i="36"/>
  <c r="M637" i="36"/>
  <c r="M2320" i="36"/>
  <c r="M2321" i="36"/>
  <c r="M2322" i="36"/>
  <c r="M638" i="36"/>
  <c r="M639" i="36"/>
  <c r="M641" i="36"/>
  <c r="M640" i="36"/>
  <c r="M1935" i="36"/>
  <c r="M642" i="36"/>
  <c r="M643" i="36"/>
  <c r="M644" i="36"/>
  <c r="M645" i="36"/>
  <c r="M646" i="36"/>
  <c r="M647" i="36"/>
  <c r="M1936" i="36"/>
  <c r="M648" i="36"/>
  <c r="M649" i="36"/>
  <c r="M650" i="36"/>
  <c r="M651" i="36"/>
  <c r="M1937" i="36"/>
  <c r="M652" i="36"/>
  <c r="M653" i="36"/>
  <c r="M1938" i="36"/>
  <c r="M2479" i="36"/>
  <c r="M1939" i="36"/>
  <c r="M654" i="36"/>
  <c r="M1940" i="36"/>
  <c r="M655" i="36"/>
  <c r="M2608" i="36"/>
  <c r="M2323" i="36"/>
  <c r="M656" i="36"/>
  <c r="M1941" i="36"/>
  <c r="M657" i="36"/>
  <c r="M2609" i="36"/>
  <c r="M658" i="36"/>
  <c r="M660" i="36"/>
  <c r="M659" i="36"/>
  <c r="M1942" i="36"/>
  <c r="M2553" i="36"/>
  <c r="M661" i="36"/>
  <c r="M662" i="36"/>
  <c r="M663" i="36"/>
  <c r="M2480" i="36"/>
  <c r="M1943" i="36"/>
  <c r="M664" i="36"/>
  <c r="M665" i="36"/>
  <c r="M2554" i="36"/>
  <c r="M1944" i="36"/>
  <c r="M666" i="36"/>
  <c r="M2618" i="36"/>
  <c r="M1945" i="36"/>
  <c r="M1946" i="36"/>
  <c r="M2595" i="36"/>
  <c r="M667" i="36"/>
  <c r="M668" i="36"/>
  <c r="M1947" i="36"/>
  <c r="M669" i="36"/>
  <c r="M1948" i="36"/>
  <c r="M670" i="36"/>
  <c r="M671" i="36"/>
  <c r="M1949" i="36"/>
  <c r="M2324" i="36"/>
  <c r="M672" i="36"/>
  <c r="M673" i="36"/>
  <c r="M674" i="36"/>
  <c r="M1950" i="36"/>
  <c r="M675" i="36"/>
  <c r="M676" i="36"/>
  <c r="M677" i="36"/>
  <c r="M2481" i="36"/>
  <c r="M1951" i="36"/>
  <c r="M678" i="36"/>
  <c r="M679" i="36"/>
  <c r="M2325" i="36"/>
  <c r="M680" i="36"/>
  <c r="M2596" i="36"/>
  <c r="M2326" i="36"/>
  <c r="M1952" i="36"/>
  <c r="M682" i="36"/>
  <c r="M681" i="36"/>
  <c r="M2482" i="36"/>
  <c r="M684" i="36"/>
  <c r="M683" i="36"/>
  <c r="M2327" i="36"/>
  <c r="M685" i="36"/>
  <c r="M686" i="36"/>
  <c r="M687" i="36"/>
  <c r="M2328" i="36"/>
  <c r="M1953" i="36"/>
  <c r="M688" i="36"/>
  <c r="M689" i="36"/>
  <c r="M690" i="36"/>
  <c r="M2483" i="36"/>
  <c r="M691" i="36"/>
  <c r="M692" i="36"/>
  <c r="M693" i="36"/>
  <c r="M694" i="36"/>
  <c r="M695" i="36"/>
  <c r="M1954" i="36"/>
  <c r="M1955" i="36"/>
  <c r="M1956" i="36"/>
  <c r="M2329" i="36"/>
  <c r="M1957" i="36"/>
  <c r="M1958" i="36"/>
  <c r="M697" i="36"/>
  <c r="M2330" i="36"/>
  <c r="M1959" i="36"/>
  <c r="M699" i="36"/>
  <c r="M698" i="36"/>
  <c r="M701" i="36"/>
  <c r="M700" i="36"/>
  <c r="M703" i="36"/>
  <c r="M702" i="36"/>
  <c r="M1960" i="36"/>
  <c r="M2331" i="36"/>
  <c r="M1961" i="36"/>
  <c r="M704" i="36"/>
  <c r="M1962" i="36"/>
  <c r="M706" i="36"/>
  <c r="M705" i="36"/>
  <c r="M2332" i="36"/>
  <c r="M707" i="36"/>
  <c r="M708" i="36"/>
  <c r="M709" i="36"/>
  <c r="M1963" i="36"/>
  <c r="M710" i="36"/>
  <c r="M711" i="36"/>
  <c r="M712" i="36"/>
  <c r="M713" i="36"/>
  <c r="M1964" i="36"/>
  <c r="M714" i="36"/>
  <c r="M715" i="36"/>
  <c r="M716" i="36"/>
  <c r="M2333" i="36"/>
  <c r="M1965" i="36"/>
  <c r="M717" i="36"/>
  <c r="M718" i="36"/>
  <c r="M719" i="36"/>
  <c r="M720" i="36"/>
  <c r="M721" i="36"/>
  <c r="M2555" i="36"/>
  <c r="M722" i="36"/>
  <c r="M723" i="36"/>
  <c r="M724" i="36"/>
  <c r="M726" i="36"/>
  <c r="M725" i="36"/>
  <c r="M727" i="36"/>
  <c r="M2484" i="36"/>
  <c r="M728" i="36"/>
  <c r="M1966" i="36"/>
  <c r="M1967" i="36"/>
  <c r="M1969" i="36"/>
  <c r="M1968" i="36"/>
  <c r="M729" i="36"/>
  <c r="M730" i="36"/>
  <c r="M2334" i="36"/>
  <c r="M731" i="36"/>
  <c r="M732" i="36"/>
  <c r="M733" i="36"/>
  <c r="M734" i="36"/>
  <c r="M735" i="36"/>
  <c r="M736" i="36"/>
  <c r="M737" i="36"/>
  <c r="M1970" i="36"/>
  <c r="M738" i="36"/>
  <c r="M739" i="36"/>
  <c r="M740" i="36"/>
  <c r="M741" i="36"/>
  <c r="M1972" i="36"/>
  <c r="M1971" i="36"/>
  <c r="M742" i="36"/>
  <c r="M1973" i="36"/>
  <c r="M744" i="36"/>
  <c r="M743" i="36"/>
  <c r="M745" i="36"/>
  <c r="M746" i="36"/>
  <c r="M747" i="36"/>
  <c r="M2335" i="36"/>
  <c r="M748" i="36"/>
  <c r="M1974" i="36"/>
  <c r="M749" i="36"/>
  <c r="M750" i="36"/>
  <c r="M751" i="36"/>
  <c r="M752" i="36"/>
  <c r="M753" i="36"/>
  <c r="M754" i="36"/>
  <c r="M1975" i="36"/>
  <c r="M755" i="36"/>
  <c r="M756" i="36"/>
  <c r="M758" i="36"/>
  <c r="M757" i="36"/>
  <c r="M2336" i="36"/>
  <c r="M759" i="36"/>
  <c r="M1976" i="36"/>
  <c r="M761" i="36"/>
  <c r="M760" i="36"/>
  <c r="M762" i="36"/>
  <c r="M764" i="36"/>
  <c r="M763" i="36"/>
  <c r="M765" i="36"/>
  <c r="M2485" i="36"/>
  <c r="M766" i="36"/>
  <c r="M1977" i="36"/>
  <c r="M767" i="36"/>
  <c r="M2337" i="36"/>
  <c r="M1978" i="36"/>
  <c r="M768" i="36"/>
  <c r="M769" i="36"/>
  <c r="M1979" i="36"/>
  <c r="M2338" i="36"/>
  <c r="M770" i="36"/>
  <c r="M771" i="36"/>
  <c r="M772" i="36"/>
  <c r="M773" i="36"/>
  <c r="M774" i="36"/>
  <c r="M775" i="36"/>
  <c r="M776" i="36"/>
  <c r="M777" i="36"/>
  <c r="M778" i="36"/>
  <c r="M779" i="36"/>
  <c r="M780" i="36"/>
  <c r="M2339" i="36"/>
  <c r="M781" i="36"/>
  <c r="M1980" i="36"/>
  <c r="M1981" i="36"/>
  <c r="M782" i="36"/>
  <c r="M2340" i="36"/>
  <c r="M783" i="36"/>
  <c r="M2486" i="36"/>
  <c r="M784" i="36"/>
  <c r="M785" i="36"/>
  <c r="M786" i="36"/>
  <c r="M787" i="36"/>
  <c r="M1982" i="36"/>
  <c r="M788" i="36"/>
  <c r="M2341" i="36"/>
  <c r="M789" i="36"/>
  <c r="M2487" i="36"/>
  <c r="M790" i="36"/>
  <c r="M1983" i="36"/>
  <c r="M791" i="36"/>
  <c r="M793" i="36"/>
  <c r="M792" i="36"/>
  <c r="M1984" i="36"/>
  <c r="M794" i="36"/>
  <c r="M795" i="36"/>
  <c r="M796" i="36"/>
  <c r="M1985" i="36"/>
  <c r="M797" i="36"/>
  <c r="M798" i="36"/>
  <c r="M2632" i="36"/>
  <c r="M799" i="36"/>
  <c r="M800" i="36"/>
  <c r="M1986" i="36"/>
  <c r="M1987" i="36"/>
  <c r="M2342" i="36"/>
  <c r="M801" i="36"/>
  <c r="M803" i="36"/>
  <c r="M802" i="36"/>
  <c r="M1988" i="36"/>
  <c r="M804" i="36"/>
  <c r="M805" i="36"/>
  <c r="M806" i="36"/>
  <c r="M807" i="36"/>
  <c r="M808" i="36"/>
  <c r="M2343" i="36"/>
  <c r="M809" i="36"/>
  <c r="M810" i="36"/>
  <c r="M2488" i="36"/>
  <c r="M1989" i="36"/>
  <c r="M1990" i="36"/>
  <c r="M2489" i="36"/>
  <c r="M812" i="36"/>
  <c r="M811" i="36"/>
  <c r="M813" i="36"/>
  <c r="M1991" i="36"/>
  <c r="M814" i="36"/>
  <c r="M1992" i="36"/>
  <c r="M815" i="36"/>
  <c r="M1993" i="36"/>
  <c r="M1994" i="36"/>
  <c r="M816" i="36"/>
  <c r="M2556" i="36"/>
  <c r="M1995" i="36"/>
  <c r="M817" i="36"/>
  <c r="M818" i="36"/>
  <c r="M819" i="36"/>
  <c r="M820" i="36"/>
  <c r="M1996" i="36"/>
  <c r="M821" i="36"/>
  <c r="M822" i="36"/>
  <c r="M823" i="36"/>
  <c r="M824" i="36"/>
  <c r="M825" i="36"/>
  <c r="M826" i="36"/>
  <c r="M827" i="36"/>
  <c r="M828" i="36"/>
  <c r="M1997" i="36"/>
  <c r="M829" i="36"/>
  <c r="M830" i="36"/>
  <c r="M2344" i="36"/>
  <c r="M831" i="36"/>
  <c r="M832" i="36"/>
  <c r="M2490" i="36"/>
  <c r="M833" i="36"/>
  <c r="M834" i="36"/>
  <c r="M835" i="36"/>
  <c r="M836" i="36"/>
  <c r="M837" i="36"/>
  <c r="M838" i="36"/>
  <c r="M839" i="36"/>
  <c r="M840" i="36"/>
  <c r="M841" i="36"/>
  <c r="M842" i="36"/>
  <c r="M844" i="36"/>
  <c r="M843" i="36"/>
  <c r="M1998" i="36"/>
  <c r="M1999" i="36"/>
  <c r="M845" i="36"/>
  <c r="M846" i="36"/>
  <c r="M847" i="36"/>
  <c r="M2345" i="36"/>
  <c r="M848" i="36"/>
  <c r="M849" i="36"/>
  <c r="M2000" i="36"/>
  <c r="M850" i="36"/>
  <c r="M2346" i="36"/>
  <c r="M851" i="36"/>
  <c r="M852" i="36"/>
  <c r="M2347" i="36"/>
  <c r="M853" i="36"/>
  <c r="M2001" i="36"/>
  <c r="M854" i="36"/>
  <c r="M2003" i="36"/>
  <c r="M2002" i="36"/>
  <c r="M2004" i="36"/>
  <c r="M2005" i="36"/>
  <c r="M2557" i="36"/>
  <c r="M2006" i="36"/>
  <c r="M855" i="36"/>
  <c r="M2007" i="36"/>
  <c r="M857" i="36"/>
  <c r="M2008" i="36"/>
  <c r="M856" i="36"/>
  <c r="M2491" i="36"/>
  <c r="M2558" i="36"/>
  <c r="M858" i="36"/>
  <c r="M2622" i="36"/>
  <c r="M859" i="36"/>
  <c r="M2009" i="36"/>
  <c r="M860" i="36"/>
  <c r="M2010" i="36"/>
  <c r="M2011" i="36"/>
  <c r="M861" i="36"/>
  <c r="M2348" i="36"/>
  <c r="M2012" i="36"/>
  <c r="M862" i="36"/>
  <c r="M2013" i="36"/>
  <c r="M863" i="36"/>
  <c r="M2014" i="36"/>
  <c r="M864" i="36"/>
  <c r="M2015" i="36"/>
  <c r="M865" i="36"/>
  <c r="M2349" i="36"/>
  <c r="M866" i="36"/>
  <c r="M867" i="36"/>
  <c r="M2350" i="36"/>
  <c r="M2351" i="36"/>
  <c r="M2016" i="36"/>
  <c r="M2352" i="36"/>
  <c r="M868" i="36"/>
  <c r="M869" i="36"/>
  <c r="M871" i="36"/>
  <c r="M870" i="36"/>
  <c r="M872" i="36"/>
  <c r="M873" i="36"/>
  <c r="M874" i="36"/>
  <c r="M876" i="36"/>
  <c r="M875" i="36"/>
  <c r="M2017" i="36"/>
  <c r="M877" i="36"/>
  <c r="M878" i="36"/>
  <c r="M2353" i="36"/>
  <c r="M879" i="36"/>
  <c r="M880" i="36"/>
  <c r="M881" i="36"/>
  <c r="M882" i="36"/>
  <c r="M883" i="36"/>
  <c r="M884" i="36"/>
  <c r="M885" i="36"/>
  <c r="M2492" i="36"/>
  <c r="M886" i="36"/>
  <c r="M887" i="36"/>
  <c r="M888" i="36"/>
  <c r="M2559" i="36"/>
  <c r="M889" i="36"/>
  <c r="M891" i="36"/>
  <c r="M890" i="36"/>
  <c r="M892" i="36"/>
  <c r="M893" i="36"/>
  <c r="M2354" i="36"/>
  <c r="M894" i="36"/>
  <c r="M2018" i="36"/>
  <c r="M895" i="36"/>
  <c r="M896" i="36"/>
  <c r="M897" i="36"/>
  <c r="M898" i="36"/>
  <c r="M899" i="36"/>
  <c r="M900" i="36"/>
  <c r="M2019" i="36"/>
  <c r="M901" i="36"/>
  <c r="M902" i="36"/>
  <c r="M903" i="36"/>
  <c r="M2355" i="36"/>
  <c r="M2356" i="36"/>
  <c r="M2020" i="36"/>
  <c r="M904" i="36"/>
  <c r="M2021" i="36"/>
  <c r="M905" i="36"/>
  <c r="M906" i="36"/>
  <c r="M907" i="36"/>
  <c r="M908" i="36"/>
  <c r="M2022" i="36"/>
  <c r="M2023" i="36"/>
  <c r="M909" i="36"/>
  <c r="M2024" i="36"/>
  <c r="M910" i="36"/>
  <c r="M2357" i="36"/>
  <c r="M911" i="36"/>
  <c r="M913" i="36"/>
  <c r="M912" i="36"/>
  <c r="M914" i="36"/>
  <c r="M915" i="36"/>
  <c r="M2025" i="36"/>
  <c r="M916" i="36"/>
  <c r="M917" i="36"/>
  <c r="I1062" i="36"/>
  <c r="P1062" i="36"/>
  <c r="Q1062" i="36"/>
  <c r="S1062" i="36"/>
  <c r="T1062" i="36"/>
  <c r="AA1062" i="36"/>
  <c r="AB1062" i="36"/>
  <c r="Z1063" i="36"/>
  <c r="Z1062" i="36"/>
  <c r="I1061" i="36"/>
  <c r="R1061" i="36"/>
  <c r="P1061" i="36"/>
  <c r="Q1061" i="36"/>
  <c r="S1061" i="36"/>
  <c r="T1061" i="36"/>
  <c r="AA1061" i="36"/>
  <c r="AB1061" i="36"/>
  <c r="Z1061" i="36"/>
  <c r="I1060" i="36"/>
  <c r="R1060" i="36"/>
  <c r="P1060" i="36"/>
  <c r="Q1060" i="36"/>
  <c r="S1060" i="36"/>
  <c r="T1060" i="36"/>
  <c r="AA1060" i="36"/>
  <c r="AB1060" i="36"/>
  <c r="Z1060" i="36"/>
  <c r="I2370" i="36"/>
  <c r="P2370" i="36"/>
  <c r="Q2370" i="36"/>
  <c r="R2370" i="36"/>
  <c r="S2370" i="36"/>
  <c r="T2370" i="36"/>
  <c r="AA2370" i="36"/>
  <c r="AB2370" i="36"/>
  <c r="Z2370" i="36"/>
  <c r="I1059" i="36"/>
  <c r="P1059" i="36"/>
  <c r="Q1059" i="36"/>
  <c r="R1059" i="36"/>
  <c r="S1059" i="36"/>
  <c r="T1059" i="36"/>
  <c r="AA1059" i="36"/>
  <c r="AB1059" i="36"/>
  <c r="Z1059" i="36"/>
  <c r="I2369" i="36"/>
  <c r="R2369" i="36"/>
  <c r="P2369" i="36"/>
  <c r="Q2369" i="36"/>
  <c r="S2369" i="36"/>
  <c r="T2369" i="36"/>
  <c r="AA2369" i="36"/>
  <c r="AB2369" i="36"/>
  <c r="Z2369" i="36"/>
  <c r="I1058" i="36"/>
  <c r="P1058" i="36"/>
  <c r="Q1058" i="36"/>
  <c r="R1058" i="36"/>
  <c r="S1058" i="36"/>
  <c r="T1058" i="36"/>
  <c r="AA1058" i="36"/>
  <c r="AB1058" i="36"/>
  <c r="Z1058" i="36"/>
  <c r="I1057" i="36"/>
  <c r="R1057" i="36"/>
  <c r="P1057" i="36"/>
  <c r="Q1057" i="36"/>
  <c r="S1057" i="36"/>
  <c r="T1057" i="36"/>
  <c r="AA1057" i="36"/>
  <c r="AB1057" i="36"/>
  <c r="Z1057" i="36"/>
  <c r="I1056" i="36"/>
  <c r="R1056" i="36"/>
  <c r="P1056" i="36"/>
  <c r="Q1056" i="36"/>
  <c r="S1056" i="36"/>
  <c r="T1056" i="36"/>
  <c r="AA1056" i="36"/>
  <c r="AB1056" i="36"/>
  <c r="Z1056" i="36"/>
  <c r="I1055" i="36"/>
  <c r="R1055" i="36"/>
  <c r="P1055" i="36"/>
  <c r="Q1055" i="36"/>
  <c r="S1055" i="36"/>
  <c r="T1055" i="36"/>
  <c r="AA1055" i="36"/>
  <c r="AB1055" i="36"/>
  <c r="Z1055" i="36"/>
  <c r="I1054" i="36"/>
  <c r="R1054" i="36"/>
  <c r="P1054" i="36"/>
  <c r="Q1054" i="36"/>
  <c r="S1054" i="36"/>
  <c r="T1054" i="36"/>
  <c r="AA1054" i="36"/>
  <c r="AB1054" i="36"/>
  <c r="Z1054" i="36"/>
  <c r="I1053" i="36"/>
  <c r="R1053" i="36"/>
  <c r="P1053" i="36"/>
  <c r="Q1053" i="36"/>
  <c r="S1053" i="36"/>
  <c r="T1053" i="36"/>
  <c r="AA1053" i="36"/>
  <c r="AB1053" i="36"/>
  <c r="Z1053" i="36"/>
  <c r="I1052" i="36"/>
  <c r="P1052" i="36"/>
  <c r="Q1052" i="36"/>
  <c r="R1052" i="36"/>
  <c r="S1052" i="36"/>
  <c r="T1052" i="36"/>
  <c r="AA1052" i="36"/>
  <c r="AB1052" i="36"/>
  <c r="Z1052" i="36"/>
  <c r="I1051" i="36"/>
  <c r="R1051" i="36"/>
  <c r="P1051" i="36"/>
  <c r="Q1051" i="36"/>
  <c r="S1051" i="36"/>
  <c r="T1051" i="36"/>
  <c r="AA1051" i="36"/>
  <c r="AB1051" i="36"/>
  <c r="Z1051" i="36"/>
  <c r="I1050" i="36"/>
  <c r="R1050" i="36"/>
  <c r="P1050" i="36"/>
  <c r="Q1050" i="36"/>
  <c r="S1050" i="36"/>
  <c r="T1050" i="36"/>
  <c r="AA1050" i="36"/>
  <c r="AB1050" i="36"/>
  <c r="Z1050" i="36"/>
  <c r="I1049" i="36"/>
  <c r="P1049" i="36"/>
  <c r="Q1049" i="36"/>
  <c r="R1049" i="36"/>
  <c r="S1049" i="36"/>
  <c r="T1049" i="36"/>
  <c r="AA1049" i="36"/>
  <c r="AB1049" i="36"/>
  <c r="I1048" i="36"/>
  <c r="P1048" i="36"/>
  <c r="Q1048" i="36"/>
  <c r="R1048" i="36"/>
  <c r="S1048" i="36"/>
  <c r="T1048" i="36"/>
  <c r="AA1048" i="36"/>
  <c r="AB1048" i="36"/>
  <c r="Z1048" i="36"/>
  <c r="Z1049" i="36"/>
  <c r="O1047" i="36"/>
  <c r="T1047" i="36"/>
  <c r="Q1047" i="36"/>
  <c r="S1047" i="36"/>
  <c r="S1046" i="36"/>
  <c r="Q1046" i="36"/>
  <c r="AB1046" i="36"/>
  <c r="I1046" i="36"/>
  <c r="T1046" i="36"/>
  <c r="AA1046" i="36"/>
  <c r="I1047" i="36"/>
  <c r="AA1047" i="36"/>
  <c r="R1047" i="36"/>
  <c r="R1046" i="36"/>
  <c r="AB1047" i="36"/>
  <c r="P1047" i="36"/>
  <c r="P1046" i="36"/>
  <c r="I1045" i="36"/>
  <c r="R1045" i="36"/>
  <c r="P1045" i="36"/>
  <c r="Q1045" i="36"/>
  <c r="S1045" i="36"/>
  <c r="T1045" i="36"/>
  <c r="AA1045" i="36"/>
  <c r="AB1045" i="36"/>
  <c r="Z1046" i="36"/>
  <c r="Z1047" i="36"/>
  <c r="Z1045" i="36"/>
  <c r="I1043" i="36"/>
  <c r="P1043" i="36"/>
  <c r="Q1043" i="36"/>
  <c r="R1043" i="36"/>
  <c r="S1043" i="36"/>
  <c r="T1043" i="36"/>
  <c r="AA1043" i="36"/>
  <c r="AB1043" i="36"/>
  <c r="Z1043" i="36"/>
  <c r="I1044" i="36"/>
  <c r="R1044" i="36"/>
  <c r="P1044" i="36"/>
  <c r="Q1044" i="36"/>
  <c r="S1044" i="36"/>
  <c r="T1044" i="36"/>
  <c r="AA1044" i="36"/>
  <c r="AB1044" i="36"/>
  <c r="I1042" i="36"/>
  <c r="P1042" i="36"/>
  <c r="Q1042" i="36"/>
  <c r="R1042" i="36"/>
  <c r="S1042" i="36"/>
  <c r="T1042" i="36"/>
  <c r="AA1042" i="36"/>
  <c r="AB1042" i="36"/>
  <c r="Z1044" i="36"/>
  <c r="Z1042" i="36"/>
  <c r="O1041" i="36"/>
  <c r="N1041" i="36"/>
  <c r="N2647" i="36"/>
  <c r="L1041" i="36"/>
  <c r="K1041" i="36"/>
  <c r="M1041" i="36"/>
  <c r="R1041" i="36"/>
  <c r="I1041" i="36"/>
  <c r="P1041" i="36"/>
  <c r="Q1041" i="36"/>
  <c r="S1041" i="36"/>
  <c r="T1041" i="36"/>
  <c r="AA1041" i="36"/>
  <c r="AB1041" i="36"/>
  <c r="Z1041" i="36"/>
  <c r="I2368" i="36"/>
  <c r="R2368" i="36"/>
  <c r="P2368" i="36"/>
  <c r="Q2368" i="36"/>
  <c r="S2368" i="36"/>
  <c r="T2368" i="36"/>
  <c r="AA2368" i="36"/>
  <c r="AB2368" i="36"/>
  <c r="Z2368" i="36"/>
  <c r="I1040" i="36"/>
  <c r="R1040" i="36"/>
  <c r="P1040" i="36"/>
  <c r="Q1040" i="36"/>
  <c r="S1040" i="36"/>
  <c r="T1040" i="36"/>
  <c r="AA1040" i="36"/>
  <c r="AB1040" i="36"/>
  <c r="Z1040" i="36"/>
  <c r="I1039" i="36"/>
  <c r="R1039" i="36"/>
  <c r="P1039" i="36"/>
  <c r="Q1039" i="36"/>
  <c r="S1039" i="36"/>
  <c r="T1039" i="36"/>
  <c r="AA1039" i="36"/>
  <c r="AB1039" i="36"/>
  <c r="Z1039" i="36"/>
  <c r="I2367" i="36"/>
  <c r="R2367" i="36"/>
  <c r="P2367" i="36"/>
  <c r="Q2367" i="36"/>
  <c r="S2367" i="36"/>
  <c r="T2367" i="36"/>
  <c r="AA2367" i="36"/>
  <c r="AB2367" i="36"/>
  <c r="Z2367" i="36"/>
  <c r="I1038" i="36"/>
  <c r="P1038" i="36"/>
  <c r="Q1038" i="36"/>
  <c r="R1038" i="36"/>
  <c r="S1038" i="36"/>
  <c r="T1038" i="36"/>
  <c r="AA1038" i="36"/>
  <c r="AB1038" i="36"/>
  <c r="Z1038" i="36"/>
  <c r="I1037" i="36"/>
  <c r="P1037" i="36"/>
  <c r="Q1037" i="36"/>
  <c r="R1037" i="36"/>
  <c r="S1037" i="36"/>
  <c r="T1037" i="36"/>
  <c r="AA1037" i="36"/>
  <c r="AB1037" i="36"/>
  <c r="I1036" i="36"/>
  <c r="P1036" i="36"/>
  <c r="Q1036" i="36"/>
  <c r="R1036" i="36"/>
  <c r="S1036" i="36"/>
  <c r="T1036" i="36"/>
  <c r="AA1036" i="36"/>
  <c r="AB1036" i="36"/>
  <c r="AB1024" i="36"/>
  <c r="I1024" i="36"/>
  <c r="P1024" i="36"/>
  <c r="Q1024" i="36"/>
  <c r="T1024" i="36"/>
  <c r="AA1024" i="36"/>
  <c r="Z1037" i="36"/>
  <c r="Z1036" i="36"/>
  <c r="R1024" i="36"/>
  <c r="Z1024" i="36"/>
  <c r="S1024" i="36"/>
  <c r="I1035" i="36"/>
  <c r="R1035" i="36"/>
  <c r="P1035" i="36"/>
  <c r="Q1035" i="36"/>
  <c r="S1035" i="36"/>
  <c r="T1035" i="36"/>
  <c r="AA1035" i="36"/>
  <c r="AB1035" i="36"/>
  <c r="I1034" i="36"/>
  <c r="R1034" i="36"/>
  <c r="P1034" i="36"/>
  <c r="Q1034" i="36"/>
  <c r="S1034" i="36"/>
  <c r="T1034" i="36"/>
  <c r="AA1034" i="36"/>
  <c r="AB1034" i="36"/>
  <c r="I1033" i="36"/>
  <c r="P1033" i="36"/>
  <c r="Q1033" i="36"/>
  <c r="R1033" i="36"/>
  <c r="S1033" i="36"/>
  <c r="T1033" i="36"/>
  <c r="AA1033" i="36"/>
  <c r="AB1033" i="36"/>
  <c r="Z1035" i="36"/>
  <c r="Z1034" i="36"/>
  <c r="Z1033" i="36"/>
  <c r="I1032" i="36"/>
  <c r="P1032" i="36"/>
  <c r="Q1032" i="36"/>
  <c r="R1032" i="36"/>
  <c r="S1032" i="36"/>
  <c r="T1032" i="36"/>
  <c r="AA1032" i="36"/>
  <c r="AB1032" i="36"/>
  <c r="Z1032" i="36"/>
  <c r="I2497" i="36"/>
  <c r="P2497" i="36"/>
  <c r="Q2497" i="36"/>
  <c r="R2497" i="36"/>
  <c r="S2497" i="36"/>
  <c r="T2497" i="36"/>
  <c r="AA2497" i="36"/>
  <c r="AB2497" i="36"/>
  <c r="I1031" i="36"/>
  <c r="R1031" i="36"/>
  <c r="P1031" i="36"/>
  <c r="Q1031" i="36"/>
  <c r="S1031" i="36"/>
  <c r="T1031" i="36"/>
  <c r="AA1031" i="36"/>
  <c r="AB1031" i="36"/>
  <c r="Z2497" i="36"/>
  <c r="Z1031" i="36"/>
  <c r="I1029" i="36"/>
  <c r="P1029" i="36"/>
  <c r="Q1029" i="36"/>
  <c r="R1029" i="36"/>
  <c r="S1029" i="36"/>
  <c r="T1029" i="36"/>
  <c r="AA1029" i="36"/>
  <c r="AB1029" i="36"/>
  <c r="Z1029" i="36"/>
  <c r="I1030" i="36"/>
  <c r="R1030" i="36"/>
  <c r="P1030" i="36"/>
  <c r="Q1030" i="36"/>
  <c r="S1030" i="36"/>
  <c r="T1030" i="36"/>
  <c r="AA1030" i="36"/>
  <c r="AB1030" i="36"/>
  <c r="Z1030" i="36"/>
  <c r="I1028" i="36"/>
  <c r="R1028" i="36"/>
  <c r="P1028" i="36"/>
  <c r="Q1028" i="36"/>
  <c r="S1028" i="36"/>
  <c r="T1028" i="36"/>
  <c r="AA1028" i="36"/>
  <c r="AB1028" i="36"/>
  <c r="Z1028" i="36"/>
  <c r="I1027" i="36"/>
  <c r="P1027" i="36"/>
  <c r="Q1027" i="36"/>
  <c r="R1027" i="36"/>
  <c r="S1027" i="36"/>
  <c r="T1027" i="36"/>
  <c r="AA1027" i="36"/>
  <c r="AB1027" i="36"/>
  <c r="I1026" i="36"/>
  <c r="P1026" i="36"/>
  <c r="Q1026" i="36"/>
  <c r="R1026" i="36"/>
  <c r="S1026" i="36"/>
  <c r="T1026" i="36"/>
  <c r="AA1026" i="36"/>
  <c r="AB1026" i="36"/>
  <c r="I2046" i="36"/>
  <c r="P2046" i="36"/>
  <c r="Q2046" i="36"/>
  <c r="R2046" i="36"/>
  <c r="S2046" i="36"/>
  <c r="T2046" i="36"/>
  <c r="AA2046" i="36"/>
  <c r="AB2046" i="36"/>
  <c r="Z1026" i="36"/>
  <c r="Z1027" i="36"/>
  <c r="Z2046" i="36"/>
  <c r="I1025" i="36"/>
  <c r="R1025" i="36"/>
  <c r="P1025" i="36"/>
  <c r="Q1025" i="36"/>
  <c r="S1025" i="36"/>
  <c r="T1025" i="36"/>
  <c r="AA1025" i="36"/>
  <c r="AB1025" i="36"/>
  <c r="Z1025" i="36"/>
  <c r="I1023" i="36"/>
  <c r="R1023" i="36"/>
  <c r="P1023" i="36"/>
  <c r="Q1023" i="36"/>
  <c r="S1023" i="36"/>
  <c r="T1023" i="36"/>
  <c r="AA1023" i="36"/>
  <c r="AB1023" i="36"/>
  <c r="I1022" i="36"/>
  <c r="R1022" i="36"/>
  <c r="P1022" i="36"/>
  <c r="Q1022" i="36"/>
  <c r="S1022" i="36"/>
  <c r="T1022" i="36"/>
  <c r="AA1022" i="36"/>
  <c r="AB1022" i="36"/>
  <c r="I1021" i="36"/>
  <c r="R1021" i="36"/>
  <c r="P1021" i="36"/>
  <c r="Q1021" i="36"/>
  <c r="S1021" i="36"/>
  <c r="T1021" i="36"/>
  <c r="AA1021" i="36"/>
  <c r="AB1021" i="36"/>
  <c r="I2366" i="36"/>
  <c r="R2366" i="36"/>
  <c r="P2366" i="36"/>
  <c r="Q2366" i="36"/>
  <c r="S2366" i="36"/>
  <c r="T2366" i="36"/>
  <c r="AA2366" i="36"/>
  <c r="AB2366" i="36"/>
  <c r="Z1022" i="36"/>
  <c r="Z1021" i="36"/>
  <c r="Z1023" i="36"/>
  <c r="Z2366" i="36"/>
  <c r="I1018" i="36"/>
  <c r="R1018" i="36"/>
  <c r="P1018" i="36"/>
  <c r="Q1018" i="36"/>
  <c r="S1018" i="36"/>
  <c r="T1018" i="36"/>
  <c r="AA1018" i="36"/>
  <c r="AB1018" i="36"/>
  <c r="I1019" i="36"/>
  <c r="P1019" i="36"/>
  <c r="Q1019" i="36"/>
  <c r="R1019" i="36"/>
  <c r="S1019" i="36"/>
  <c r="T1019" i="36"/>
  <c r="AA1019" i="36"/>
  <c r="AB1019" i="36"/>
  <c r="I1020" i="36"/>
  <c r="R1020" i="36"/>
  <c r="P1020" i="36"/>
  <c r="Q1020" i="36"/>
  <c r="S1020" i="36"/>
  <c r="T1020" i="36"/>
  <c r="AA1020" i="36"/>
  <c r="AB1020" i="36"/>
  <c r="Z1018" i="36"/>
  <c r="Z1019" i="36"/>
  <c r="Z1020" i="36"/>
  <c r="I1016" i="36"/>
  <c r="P1016" i="36"/>
  <c r="Q1016" i="36"/>
  <c r="R1016" i="36"/>
  <c r="S1016" i="36"/>
  <c r="T1016" i="36"/>
  <c r="AA1016" i="36"/>
  <c r="AB1016" i="36"/>
  <c r="I2365" i="36"/>
  <c r="P2365" i="36"/>
  <c r="Q2365" i="36"/>
  <c r="R2365" i="36"/>
  <c r="S2365" i="36"/>
  <c r="T2365" i="36"/>
  <c r="AA2365" i="36"/>
  <c r="AB2365" i="36"/>
  <c r="I1017" i="36"/>
  <c r="P1017" i="36"/>
  <c r="Q1017" i="36"/>
  <c r="R1017" i="36"/>
  <c r="S1017" i="36"/>
  <c r="T1017" i="36"/>
  <c r="AA1017" i="36"/>
  <c r="AB1017" i="36"/>
  <c r="Z1016" i="36"/>
  <c r="Z2365" i="36"/>
  <c r="Z1017" i="36"/>
  <c r="I998" i="36"/>
  <c r="P998" i="36"/>
  <c r="Q998" i="36"/>
  <c r="R998" i="36"/>
  <c r="S998" i="36"/>
  <c r="T998" i="36"/>
  <c r="AA998" i="36"/>
  <c r="AB998" i="36"/>
  <c r="Z998" i="36"/>
  <c r="I999" i="36"/>
  <c r="P999" i="36"/>
  <c r="Q999" i="36"/>
  <c r="R999" i="36"/>
  <c r="S999" i="36"/>
  <c r="T999" i="36"/>
  <c r="AA999" i="36"/>
  <c r="AB999" i="36"/>
  <c r="Z999" i="36"/>
  <c r="I1015" i="36"/>
  <c r="R1015" i="36"/>
  <c r="P1015" i="36"/>
  <c r="Q1015" i="36"/>
  <c r="S1015" i="36"/>
  <c r="T1015" i="36"/>
  <c r="AA1015" i="36"/>
  <c r="AB1015" i="36"/>
  <c r="Z1015" i="36"/>
  <c r="I1014" i="36"/>
  <c r="R1014" i="36"/>
  <c r="P1014" i="36"/>
  <c r="Q1014" i="36"/>
  <c r="S1014" i="36"/>
  <c r="T1014" i="36"/>
  <c r="AA1014" i="36"/>
  <c r="AB1014" i="36"/>
  <c r="Z1014" i="36"/>
  <c r="I1013" i="36"/>
  <c r="R1013" i="36"/>
  <c r="P1013" i="36"/>
  <c r="Q1013" i="36"/>
  <c r="S1013" i="36"/>
  <c r="T1013" i="36"/>
  <c r="AA1013" i="36"/>
  <c r="AB1013" i="36"/>
  <c r="Z1013" i="36"/>
  <c r="I1012" i="36"/>
  <c r="R1012" i="36"/>
  <c r="P1012" i="36"/>
  <c r="Q1012" i="36"/>
  <c r="S1012" i="36"/>
  <c r="T1012" i="36"/>
  <c r="AA1012" i="36"/>
  <c r="AB1012" i="36"/>
  <c r="Z1012" i="36"/>
  <c r="I1011" i="36"/>
  <c r="R1011" i="36"/>
  <c r="P1011" i="36"/>
  <c r="Q1011" i="36"/>
  <c r="S1011" i="36"/>
  <c r="T1011" i="36"/>
  <c r="AA1011" i="36"/>
  <c r="AB1011" i="36"/>
  <c r="Z1011" i="36"/>
  <c r="I1010" i="36"/>
  <c r="R1010" i="36"/>
  <c r="P1010" i="36"/>
  <c r="Q1010" i="36"/>
  <c r="S1010" i="36"/>
  <c r="T1010" i="36"/>
  <c r="AA1010" i="36"/>
  <c r="AB1010" i="36"/>
  <c r="Z1010" i="36"/>
  <c r="I1009" i="36"/>
  <c r="P1009" i="36"/>
  <c r="Q1009" i="36"/>
  <c r="R1009" i="36"/>
  <c r="S1009" i="36"/>
  <c r="T1009" i="36"/>
  <c r="AA1009" i="36"/>
  <c r="AB1009" i="36"/>
  <c r="Z1009" i="36"/>
  <c r="I1008" i="36"/>
  <c r="P1008" i="36"/>
  <c r="Q1008" i="36"/>
  <c r="R1008" i="36"/>
  <c r="S1008" i="36"/>
  <c r="T1008" i="36"/>
  <c r="AA1008" i="36"/>
  <c r="AB1008" i="36"/>
  <c r="Z1008" i="36"/>
  <c r="I1006" i="36"/>
  <c r="R1006" i="36"/>
  <c r="P1006" i="36"/>
  <c r="Q1006" i="36"/>
  <c r="S1006" i="36"/>
  <c r="T1006" i="36"/>
  <c r="AA1006" i="36"/>
  <c r="AB1006" i="36"/>
  <c r="Z1006" i="36"/>
  <c r="I1007" i="36"/>
  <c r="R1007" i="36"/>
  <c r="P1007" i="36"/>
  <c r="Q1007" i="36"/>
  <c r="S1007" i="36"/>
  <c r="T1007" i="36"/>
  <c r="AA1007" i="36"/>
  <c r="AB1007" i="36"/>
  <c r="Z1007" i="36"/>
  <c r="I1005" i="36"/>
  <c r="R1005" i="36"/>
  <c r="P1005" i="36"/>
  <c r="Q1005" i="36"/>
  <c r="S1005" i="36"/>
  <c r="T1005" i="36"/>
  <c r="AA1005" i="36"/>
  <c r="AB1005" i="36"/>
  <c r="Z1005" i="36"/>
  <c r="I1004" i="36"/>
  <c r="P1004" i="36"/>
  <c r="Q1004" i="36"/>
  <c r="R1004" i="36"/>
  <c r="S1004" i="36"/>
  <c r="T1004" i="36"/>
  <c r="AA1004" i="36"/>
  <c r="AB1004" i="36"/>
  <c r="Z1004" i="36"/>
  <c r="I1002" i="36"/>
  <c r="P1002" i="36"/>
  <c r="Q1002" i="36"/>
  <c r="R1002" i="36"/>
  <c r="S1002" i="36"/>
  <c r="T1002" i="36"/>
  <c r="AA1002" i="36"/>
  <c r="AB1002" i="36"/>
  <c r="Z1002" i="36"/>
  <c r="I1003" i="36"/>
  <c r="P1003" i="36"/>
  <c r="Q1003" i="36"/>
  <c r="R1003" i="36"/>
  <c r="S1003" i="36"/>
  <c r="T1003" i="36"/>
  <c r="AA1003" i="36"/>
  <c r="AB1003" i="36"/>
  <c r="I1001" i="36"/>
  <c r="R1001" i="36"/>
  <c r="P1001" i="36"/>
  <c r="Q1001" i="36"/>
  <c r="S1001" i="36"/>
  <c r="T1001" i="36"/>
  <c r="AA1001" i="36"/>
  <c r="AB1001" i="36"/>
  <c r="Z1003" i="36"/>
  <c r="Z1001" i="36"/>
  <c r="I1000" i="36"/>
  <c r="R1000" i="36"/>
  <c r="P1000" i="36"/>
  <c r="Q1000" i="36"/>
  <c r="S1000" i="36"/>
  <c r="T1000" i="36"/>
  <c r="AA1000" i="36"/>
  <c r="AB1000" i="36"/>
  <c r="Z1000" i="36"/>
  <c r="I997" i="36"/>
  <c r="R997" i="36"/>
  <c r="P997" i="36"/>
  <c r="Q997" i="36"/>
  <c r="S997" i="36"/>
  <c r="T997" i="36"/>
  <c r="AA997" i="36"/>
  <c r="AB997" i="36"/>
  <c r="Z997" i="36"/>
  <c r="I996" i="36"/>
  <c r="R996" i="36"/>
  <c r="P996" i="36"/>
  <c r="Q996" i="36"/>
  <c r="S996" i="36"/>
  <c r="T996" i="36"/>
  <c r="AA996" i="36"/>
  <c r="AB996" i="36"/>
  <c r="I995" i="36"/>
  <c r="P995" i="36"/>
  <c r="Q995" i="36"/>
  <c r="R995" i="36"/>
  <c r="S995" i="36"/>
  <c r="T995" i="36"/>
  <c r="AA995" i="36"/>
  <c r="AB995" i="36"/>
  <c r="Z995" i="36"/>
  <c r="Z996" i="36"/>
  <c r="I992" i="36"/>
  <c r="R992" i="36"/>
  <c r="P992" i="36"/>
  <c r="Q992" i="36"/>
  <c r="S992" i="36"/>
  <c r="T992" i="36"/>
  <c r="AA992" i="36"/>
  <c r="AB992" i="36"/>
  <c r="P994" i="36"/>
  <c r="I994" i="36"/>
  <c r="R994" i="36"/>
  <c r="Q994" i="36"/>
  <c r="S994" i="36"/>
  <c r="T994" i="36"/>
  <c r="AA994" i="36"/>
  <c r="AB994" i="36"/>
  <c r="I993" i="36"/>
  <c r="R993" i="36"/>
  <c r="P993" i="36"/>
  <c r="Q993" i="36"/>
  <c r="S993" i="36"/>
  <c r="T993" i="36"/>
  <c r="AA993" i="36"/>
  <c r="AB993" i="36"/>
  <c r="I991" i="36"/>
  <c r="R991" i="36"/>
  <c r="P991" i="36"/>
  <c r="Q991" i="36"/>
  <c r="S991" i="36"/>
  <c r="T991" i="36"/>
  <c r="AA991" i="36"/>
  <c r="AB991" i="36"/>
  <c r="I990" i="36"/>
  <c r="P990" i="36"/>
  <c r="Q990" i="36"/>
  <c r="R990" i="36"/>
  <c r="S990" i="36"/>
  <c r="T990" i="36"/>
  <c r="AA990" i="36"/>
  <c r="AB990" i="36"/>
  <c r="I2364" i="36"/>
  <c r="P2364" i="36"/>
  <c r="Q2364" i="36"/>
  <c r="R2364" i="36"/>
  <c r="S2364" i="36"/>
  <c r="T2364" i="36"/>
  <c r="AA2364" i="36"/>
  <c r="AB2364" i="36"/>
  <c r="Q989" i="36"/>
  <c r="I989" i="36"/>
  <c r="R989" i="36"/>
  <c r="P989" i="36"/>
  <c r="S989" i="36"/>
  <c r="T989" i="36"/>
  <c r="AA989" i="36"/>
  <c r="AB989" i="36"/>
  <c r="Q988" i="36"/>
  <c r="AA988" i="36"/>
  <c r="AB988" i="36"/>
  <c r="I988" i="36"/>
  <c r="P988" i="36"/>
  <c r="S988" i="36"/>
  <c r="T988" i="36"/>
  <c r="I987" i="36"/>
  <c r="R987" i="36"/>
  <c r="P987" i="36"/>
  <c r="Q987" i="36"/>
  <c r="S987" i="36"/>
  <c r="T987" i="36"/>
  <c r="AA987" i="36"/>
  <c r="AB987" i="36"/>
  <c r="R988" i="36"/>
  <c r="I986" i="36"/>
  <c r="R986" i="36"/>
  <c r="P986" i="36"/>
  <c r="Q986" i="36"/>
  <c r="S986" i="36"/>
  <c r="T986" i="36"/>
  <c r="AA986" i="36"/>
  <c r="AB986" i="36"/>
  <c r="I985" i="36"/>
  <c r="R985" i="36"/>
  <c r="P985" i="36"/>
  <c r="Q985" i="36"/>
  <c r="S985" i="36"/>
  <c r="T985" i="36"/>
  <c r="AA985" i="36"/>
  <c r="AB985" i="36"/>
  <c r="I2045" i="36"/>
  <c r="R2045" i="36"/>
  <c r="P2045" i="36"/>
  <c r="Q2045" i="36"/>
  <c r="S2045" i="36"/>
  <c r="T2045" i="36"/>
  <c r="AA2045" i="36"/>
  <c r="AB2045" i="36"/>
  <c r="I983" i="36"/>
  <c r="R983" i="36"/>
  <c r="P983" i="36"/>
  <c r="Q983" i="36"/>
  <c r="S983" i="36"/>
  <c r="T983" i="36"/>
  <c r="AA983" i="36"/>
  <c r="AB983" i="36"/>
  <c r="I984" i="36"/>
  <c r="P984" i="36"/>
  <c r="Q984" i="36"/>
  <c r="R984" i="36"/>
  <c r="S984" i="36"/>
  <c r="T984" i="36"/>
  <c r="AA984" i="36"/>
  <c r="AB984" i="36"/>
  <c r="I981" i="36"/>
  <c r="R981" i="36"/>
  <c r="P981" i="36"/>
  <c r="Q981" i="36"/>
  <c r="S981" i="36"/>
  <c r="T981" i="36"/>
  <c r="AA981" i="36"/>
  <c r="AB981" i="36"/>
  <c r="I982" i="36"/>
  <c r="R982" i="36"/>
  <c r="P982" i="36"/>
  <c r="Q982" i="36"/>
  <c r="S982" i="36"/>
  <c r="T982" i="36"/>
  <c r="AA982" i="36"/>
  <c r="AB982" i="36"/>
  <c r="I979" i="36"/>
  <c r="R979" i="36"/>
  <c r="P979" i="36"/>
  <c r="Q979" i="36"/>
  <c r="S979" i="36"/>
  <c r="T979" i="36"/>
  <c r="AA979" i="36"/>
  <c r="AB979" i="36"/>
  <c r="I980" i="36"/>
  <c r="R980" i="36"/>
  <c r="P980" i="36"/>
  <c r="Q980" i="36"/>
  <c r="S980" i="36"/>
  <c r="T980" i="36"/>
  <c r="AA980" i="36"/>
  <c r="AB980" i="36"/>
  <c r="I977" i="36"/>
  <c r="R977" i="36"/>
  <c r="P977" i="36"/>
  <c r="Q977" i="36"/>
  <c r="S977" i="36"/>
  <c r="T977" i="36"/>
  <c r="AA977" i="36"/>
  <c r="AB977" i="36"/>
  <c r="I978" i="36"/>
  <c r="R978" i="36"/>
  <c r="P978" i="36"/>
  <c r="Q978" i="36"/>
  <c r="S978" i="36"/>
  <c r="T978" i="36"/>
  <c r="AA978" i="36"/>
  <c r="AB978" i="36"/>
  <c r="I976" i="36"/>
  <c r="P976" i="36"/>
  <c r="Q976" i="36"/>
  <c r="R976" i="36"/>
  <c r="S976" i="36"/>
  <c r="T976" i="36"/>
  <c r="AA976" i="36"/>
  <c r="AB976" i="36"/>
  <c r="I975" i="36"/>
  <c r="R975" i="36"/>
  <c r="P975" i="36"/>
  <c r="Q975" i="36"/>
  <c r="S975" i="36"/>
  <c r="T975" i="36"/>
  <c r="AA975" i="36"/>
  <c r="AB975" i="36"/>
  <c r="I974" i="36"/>
  <c r="P974" i="36"/>
  <c r="Q974" i="36"/>
  <c r="R974" i="36"/>
  <c r="S974" i="36"/>
  <c r="T974" i="36"/>
  <c r="AA974" i="36"/>
  <c r="AB974" i="36"/>
  <c r="I973" i="36"/>
  <c r="R973" i="36"/>
  <c r="P973" i="36"/>
  <c r="Q973" i="36"/>
  <c r="S973" i="36"/>
  <c r="T973" i="36"/>
  <c r="AA973" i="36"/>
  <c r="AB973" i="36"/>
  <c r="I972" i="36"/>
  <c r="R972" i="36"/>
  <c r="P972" i="36"/>
  <c r="Q972" i="36"/>
  <c r="S972" i="36"/>
  <c r="T972" i="36"/>
  <c r="AA972" i="36"/>
  <c r="AB972" i="36"/>
  <c r="I971" i="36"/>
  <c r="R971" i="36"/>
  <c r="P971" i="36"/>
  <c r="Q971" i="36"/>
  <c r="S971" i="36"/>
  <c r="T971" i="36"/>
  <c r="AA971" i="36"/>
  <c r="AB971" i="36"/>
  <c r="I970" i="36"/>
  <c r="R970" i="36"/>
  <c r="P970" i="36"/>
  <c r="Q970" i="36"/>
  <c r="S970" i="36"/>
  <c r="T970" i="36"/>
  <c r="AA970" i="36"/>
  <c r="AB970" i="36"/>
  <c r="I969" i="36"/>
  <c r="R969" i="36"/>
  <c r="P969" i="36"/>
  <c r="Q969" i="36"/>
  <c r="S969" i="36"/>
  <c r="T969" i="36"/>
  <c r="AA969" i="36"/>
  <c r="AB969" i="36"/>
  <c r="I967" i="36"/>
  <c r="P967" i="36"/>
  <c r="Q967" i="36"/>
  <c r="R967" i="36"/>
  <c r="S967" i="36"/>
  <c r="T967" i="36"/>
  <c r="AA967" i="36"/>
  <c r="AB967" i="36"/>
  <c r="I968" i="36"/>
  <c r="R968" i="36"/>
  <c r="P968" i="36"/>
  <c r="Q968" i="36"/>
  <c r="S968" i="36"/>
  <c r="T968" i="36"/>
  <c r="AA968" i="36"/>
  <c r="AB968" i="36"/>
  <c r="I2044" i="36"/>
  <c r="P2044" i="36"/>
  <c r="Q2044" i="36"/>
  <c r="R2044" i="36"/>
  <c r="S2044" i="36"/>
  <c r="T2044" i="36"/>
  <c r="AA2044" i="36"/>
  <c r="AB2044" i="36"/>
  <c r="I966" i="36"/>
  <c r="P966" i="36"/>
  <c r="Q966" i="36"/>
  <c r="R966" i="36"/>
  <c r="S966" i="36"/>
  <c r="T966" i="36"/>
  <c r="AA966" i="36"/>
  <c r="AB966" i="36"/>
  <c r="I965" i="36"/>
  <c r="P965" i="36"/>
  <c r="Q965" i="36"/>
  <c r="R965" i="36"/>
  <c r="S965" i="36"/>
  <c r="T965" i="36"/>
  <c r="AA965" i="36"/>
  <c r="AB965" i="36"/>
  <c r="I964" i="36"/>
  <c r="R964" i="36"/>
  <c r="P964" i="36"/>
  <c r="Q964" i="36"/>
  <c r="S964" i="36"/>
  <c r="T964" i="36"/>
  <c r="AA964" i="36"/>
  <c r="AB964" i="36"/>
  <c r="I963" i="36"/>
  <c r="P963" i="36"/>
  <c r="Q963" i="36"/>
  <c r="R963" i="36"/>
  <c r="S963" i="36"/>
  <c r="T963" i="36"/>
  <c r="AA963" i="36"/>
  <c r="AB963" i="36"/>
  <c r="I2363" i="36"/>
  <c r="P2363" i="36"/>
  <c r="Q2363" i="36"/>
  <c r="R2363" i="36"/>
  <c r="S2363" i="36"/>
  <c r="T2363" i="36"/>
  <c r="AA2363" i="36"/>
  <c r="AB2363" i="36"/>
  <c r="I2043" i="36"/>
  <c r="R2043" i="36"/>
  <c r="P2043" i="36"/>
  <c r="Q2043" i="36"/>
  <c r="S2043" i="36"/>
  <c r="T2043" i="36"/>
  <c r="AA2043" i="36"/>
  <c r="AB2043" i="36"/>
  <c r="I2042" i="36"/>
  <c r="R2042" i="36"/>
  <c r="P2042" i="36"/>
  <c r="Q2042" i="36"/>
  <c r="S2042" i="36"/>
  <c r="T2042" i="36"/>
  <c r="AA2042" i="36"/>
  <c r="AB2042" i="36"/>
  <c r="I962" i="36"/>
  <c r="P962" i="36"/>
  <c r="Q962" i="36"/>
  <c r="R962" i="36"/>
  <c r="S962" i="36"/>
  <c r="T962" i="36"/>
  <c r="AA962" i="36"/>
  <c r="AB962" i="36"/>
  <c r="I961" i="36"/>
  <c r="P961" i="36"/>
  <c r="Q961" i="36"/>
  <c r="R961" i="36"/>
  <c r="S961" i="36"/>
  <c r="T961" i="36"/>
  <c r="AA961" i="36"/>
  <c r="AB961" i="36"/>
  <c r="I960" i="36"/>
  <c r="P960" i="36"/>
  <c r="Q960" i="36"/>
  <c r="R960" i="36"/>
  <c r="S960" i="36"/>
  <c r="T960" i="36"/>
  <c r="AA960" i="36"/>
  <c r="AB960" i="36"/>
  <c r="I2041" i="36"/>
  <c r="R2041" i="36"/>
  <c r="P2041" i="36"/>
  <c r="Q2041" i="36"/>
  <c r="S2041" i="36"/>
  <c r="T2041" i="36"/>
  <c r="AA2041" i="36"/>
  <c r="AB2041" i="36"/>
  <c r="I959" i="36"/>
  <c r="R959" i="36"/>
  <c r="P959" i="36"/>
  <c r="Q959" i="36"/>
  <c r="S959" i="36"/>
  <c r="T959" i="36"/>
  <c r="AA959" i="36"/>
  <c r="AB959" i="36"/>
  <c r="I958" i="36"/>
  <c r="R958" i="36"/>
  <c r="P958" i="36"/>
  <c r="Q958" i="36"/>
  <c r="S958" i="36"/>
  <c r="T958" i="36"/>
  <c r="AA958" i="36"/>
  <c r="AB958" i="36"/>
  <c r="I957" i="36"/>
  <c r="P957" i="36"/>
  <c r="Q957" i="36"/>
  <c r="R957" i="36"/>
  <c r="S957" i="36"/>
  <c r="T957" i="36"/>
  <c r="AA957" i="36"/>
  <c r="AB957" i="36"/>
  <c r="I955" i="36"/>
  <c r="P955" i="36"/>
  <c r="Q955" i="36"/>
  <c r="R955" i="36"/>
  <c r="S955" i="36"/>
  <c r="T955" i="36"/>
  <c r="AA955" i="36"/>
  <c r="AB955" i="36"/>
  <c r="I956" i="36"/>
  <c r="R956" i="36"/>
  <c r="P956" i="36"/>
  <c r="Q956" i="36"/>
  <c r="S956" i="36"/>
  <c r="T956" i="36"/>
  <c r="AA956" i="36"/>
  <c r="AB956" i="36"/>
  <c r="I954" i="36"/>
  <c r="P954" i="36"/>
  <c r="Q954" i="36"/>
  <c r="R954" i="36"/>
  <c r="S954" i="36"/>
  <c r="T954" i="36"/>
  <c r="AA954" i="36"/>
  <c r="AB954" i="36"/>
  <c r="I953" i="36"/>
  <c r="P953" i="36"/>
  <c r="Q953" i="36"/>
  <c r="R953" i="36"/>
  <c r="S953" i="36"/>
  <c r="T953" i="36"/>
  <c r="AA953" i="36"/>
  <c r="AB953" i="36"/>
  <c r="I951" i="36"/>
  <c r="R951" i="36"/>
  <c r="P951" i="36"/>
  <c r="Q951" i="36"/>
  <c r="S951" i="36"/>
  <c r="T951" i="36"/>
  <c r="AA951" i="36"/>
  <c r="AB951" i="36"/>
  <c r="I952" i="36"/>
  <c r="R952" i="36"/>
  <c r="P952" i="36"/>
  <c r="Q952" i="36"/>
  <c r="S952" i="36"/>
  <c r="T952" i="36"/>
  <c r="AA952" i="36"/>
  <c r="AB952" i="36"/>
  <c r="I950" i="36"/>
  <c r="R950" i="36"/>
  <c r="P950" i="36"/>
  <c r="Q950" i="36"/>
  <c r="S950" i="36"/>
  <c r="T950" i="36"/>
  <c r="AA950" i="36"/>
  <c r="AB950" i="36"/>
  <c r="I949" i="36"/>
  <c r="R949" i="36"/>
  <c r="P949" i="36"/>
  <c r="Q949" i="36"/>
  <c r="S949" i="36"/>
  <c r="T949" i="36"/>
  <c r="AA949" i="36"/>
  <c r="AB949" i="36"/>
  <c r="I948" i="36"/>
  <c r="R948" i="36"/>
  <c r="P948" i="36"/>
  <c r="Q948" i="36"/>
  <c r="S948" i="36"/>
  <c r="T948" i="36"/>
  <c r="AA948" i="36"/>
  <c r="AB948" i="36"/>
  <c r="I947" i="36"/>
  <c r="R947" i="36"/>
  <c r="P947" i="36"/>
  <c r="Q947" i="36"/>
  <c r="S947" i="36"/>
  <c r="T947" i="36"/>
  <c r="AA947" i="36"/>
  <c r="AB947" i="36"/>
  <c r="I2040" i="36"/>
  <c r="P2040" i="36"/>
  <c r="Q2040" i="36"/>
  <c r="R2040" i="36"/>
  <c r="S2040" i="36"/>
  <c r="T2040" i="36"/>
  <c r="AA2040" i="36"/>
  <c r="AB2040" i="36"/>
  <c r="I2039" i="36"/>
  <c r="R2039" i="36"/>
  <c r="P2039" i="36"/>
  <c r="Q2039" i="36"/>
  <c r="S2039" i="36"/>
  <c r="T2039" i="36"/>
  <c r="AA2039" i="36"/>
  <c r="AB2039" i="36"/>
  <c r="I946" i="36"/>
  <c r="P946" i="36"/>
  <c r="Q946" i="36"/>
  <c r="R946" i="36"/>
  <c r="S946" i="36"/>
  <c r="T946" i="36"/>
  <c r="AA946" i="36"/>
  <c r="AB946" i="36"/>
  <c r="I2362" i="36"/>
  <c r="R2362" i="36"/>
  <c r="P2362" i="36"/>
  <c r="Q2362" i="36"/>
  <c r="S2362" i="36"/>
  <c r="T2362" i="36"/>
  <c r="AA2362" i="36"/>
  <c r="AB2362" i="36"/>
  <c r="I2038" i="36"/>
  <c r="R2038" i="36"/>
  <c r="P2038" i="36"/>
  <c r="Q2038" i="36"/>
  <c r="S2038" i="36"/>
  <c r="T2038" i="36"/>
  <c r="AA2038" i="36"/>
  <c r="AB2038" i="36"/>
  <c r="I945" i="36"/>
  <c r="R945" i="36"/>
  <c r="P945" i="36"/>
  <c r="Q945" i="36"/>
  <c r="S945" i="36"/>
  <c r="T945" i="36"/>
  <c r="AA945" i="36"/>
  <c r="AB945" i="36"/>
  <c r="I2037" i="36"/>
  <c r="R2037" i="36"/>
  <c r="P2037" i="36"/>
  <c r="Q2037" i="36"/>
  <c r="S2037" i="36"/>
  <c r="T2037" i="36"/>
  <c r="AA2037" i="36"/>
  <c r="AB2037" i="36"/>
  <c r="I944" i="36"/>
  <c r="P944" i="36"/>
  <c r="Q944" i="36"/>
  <c r="R944" i="36"/>
  <c r="S944" i="36"/>
  <c r="T944" i="36"/>
  <c r="AA944" i="36"/>
  <c r="AB944" i="36"/>
  <c r="I2361" i="36"/>
  <c r="R2361" i="36"/>
  <c r="P2361" i="36"/>
  <c r="Q2361" i="36"/>
  <c r="S2361" i="36"/>
  <c r="T2361" i="36"/>
  <c r="AA2361" i="36"/>
  <c r="AB2361" i="36"/>
  <c r="I943" i="36"/>
  <c r="R943" i="36"/>
  <c r="P943" i="36"/>
  <c r="Q943" i="36"/>
  <c r="S943" i="36"/>
  <c r="T943" i="36"/>
  <c r="AA943" i="36"/>
  <c r="AB943" i="36"/>
  <c r="I2036" i="36"/>
  <c r="R2036" i="36"/>
  <c r="P2036" i="36"/>
  <c r="Q2036" i="36"/>
  <c r="S2036" i="36"/>
  <c r="T2036" i="36"/>
  <c r="AA2036" i="36"/>
  <c r="AB2036" i="36"/>
  <c r="I2360" i="36"/>
  <c r="R2360" i="36"/>
  <c r="P2360" i="36"/>
  <c r="Q2360" i="36"/>
  <c r="S2360" i="36"/>
  <c r="T2360" i="36"/>
  <c r="AA2360" i="36"/>
  <c r="AB2360" i="36"/>
  <c r="I942" i="36"/>
  <c r="R942" i="36"/>
  <c r="P942" i="36"/>
  <c r="Q942" i="36"/>
  <c r="S942" i="36"/>
  <c r="T942" i="36"/>
  <c r="AA942" i="36"/>
  <c r="AB942" i="36"/>
  <c r="I941" i="36"/>
  <c r="R941" i="36"/>
  <c r="P941" i="36"/>
  <c r="Q941" i="36"/>
  <c r="S941" i="36"/>
  <c r="T941" i="36"/>
  <c r="AA941" i="36"/>
  <c r="AB941" i="36"/>
  <c r="I940" i="36"/>
  <c r="R940" i="36"/>
  <c r="P940" i="36"/>
  <c r="Q940" i="36"/>
  <c r="S940" i="36"/>
  <c r="T940" i="36"/>
  <c r="AA940" i="36"/>
  <c r="AB940" i="36"/>
  <c r="I2359" i="36"/>
  <c r="R2359" i="36"/>
  <c r="P2359" i="36"/>
  <c r="Q2359" i="36"/>
  <c r="S2359" i="36"/>
  <c r="T2359" i="36"/>
  <c r="AA2359" i="36"/>
  <c r="AB2359" i="36"/>
  <c r="I939" i="36"/>
  <c r="R939" i="36"/>
  <c r="P939" i="36"/>
  <c r="Q939" i="36"/>
  <c r="S939" i="36"/>
  <c r="T939" i="36"/>
  <c r="AA939" i="36"/>
  <c r="AB939" i="36"/>
  <c r="I2035" i="36"/>
  <c r="R2035" i="36"/>
  <c r="P2035" i="36"/>
  <c r="Q2035" i="36"/>
  <c r="S2035" i="36"/>
  <c r="T2035" i="36"/>
  <c r="AA2035" i="36"/>
  <c r="AB2035" i="36"/>
  <c r="I2034" i="36"/>
  <c r="R2034" i="36"/>
  <c r="P2034" i="36"/>
  <c r="Q2034" i="36"/>
  <c r="S2034" i="36"/>
  <c r="T2034" i="36"/>
  <c r="AA2034" i="36"/>
  <c r="AB2034" i="36"/>
  <c r="I938" i="36"/>
  <c r="R938" i="36"/>
  <c r="P938" i="36"/>
  <c r="Q938" i="36"/>
  <c r="S938" i="36"/>
  <c r="T938" i="36"/>
  <c r="AA938" i="36"/>
  <c r="AB938" i="36"/>
  <c r="I937" i="36"/>
  <c r="R937" i="36"/>
  <c r="P937" i="36"/>
  <c r="Q937" i="36"/>
  <c r="S937" i="36"/>
  <c r="T937" i="36"/>
  <c r="AA937" i="36"/>
  <c r="AB937" i="36"/>
  <c r="I936" i="36"/>
  <c r="I2033" i="36"/>
  <c r="R936" i="36"/>
  <c r="P936" i="36"/>
  <c r="P2033" i="36"/>
  <c r="Q936" i="36"/>
  <c r="Q2033" i="36"/>
  <c r="R2033" i="36"/>
  <c r="S936" i="36"/>
  <c r="S2033" i="36"/>
  <c r="T936" i="36"/>
  <c r="T2033" i="36"/>
  <c r="AA936" i="36"/>
  <c r="AA2033" i="36"/>
  <c r="AB936" i="36"/>
  <c r="AB2033" i="36"/>
  <c r="I920" i="36"/>
  <c r="I2028" i="36"/>
  <c r="I921" i="36"/>
  <c r="I922" i="36"/>
  <c r="I2494" i="36"/>
  <c r="I2029" i="36"/>
  <c r="I2358" i="36"/>
  <c r="I2495" i="36"/>
  <c r="I2030" i="36"/>
  <c r="I2031" i="36"/>
  <c r="I923" i="36"/>
  <c r="I2560" i="36"/>
  <c r="I924" i="36"/>
  <c r="I925" i="36"/>
  <c r="I926" i="36"/>
  <c r="I2636" i="36"/>
  <c r="I2032" i="36"/>
  <c r="I927" i="36"/>
  <c r="I928" i="36"/>
  <c r="I929" i="36"/>
  <c r="I2610" i="36"/>
  <c r="I2496" i="36"/>
  <c r="I930" i="36"/>
  <c r="I931" i="36"/>
  <c r="I932" i="36"/>
  <c r="I933" i="36"/>
  <c r="I934" i="36"/>
  <c r="I935" i="36"/>
  <c r="P920" i="36"/>
  <c r="P2028" i="36"/>
  <c r="P921" i="36"/>
  <c r="P922" i="36"/>
  <c r="P2494" i="36"/>
  <c r="P2029" i="36"/>
  <c r="P2358" i="36"/>
  <c r="P2495" i="36"/>
  <c r="P2030" i="36"/>
  <c r="P2031" i="36"/>
  <c r="P923" i="36"/>
  <c r="P2560" i="36"/>
  <c r="P924" i="36"/>
  <c r="P925" i="36"/>
  <c r="P926" i="36"/>
  <c r="P2636" i="36"/>
  <c r="P2032" i="36"/>
  <c r="P927" i="36"/>
  <c r="P928" i="36"/>
  <c r="P929" i="36"/>
  <c r="P2610" i="36"/>
  <c r="P2496" i="36"/>
  <c r="P930" i="36"/>
  <c r="P931" i="36"/>
  <c r="P932" i="36"/>
  <c r="P933" i="36"/>
  <c r="P934" i="36"/>
  <c r="P935" i="36"/>
  <c r="Q920" i="36"/>
  <c r="Q2028" i="36"/>
  <c r="Q921" i="36"/>
  <c r="Q922" i="36"/>
  <c r="Q2494" i="36"/>
  <c r="Q2029" i="36"/>
  <c r="Q2358" i="36"/>
  <c r="Q2495" i="36"/>
  <c r="Q2030" i="36"/>
  <c r="Q2031" i="36"/>
  <c r="Q923" i="36"/>
  <c r="Q2560" i="36"/>
  <c r="Q924" i="36"/>
  <c r="Q925" i="36"/>
  <c r="Q926" i="36"/>
  <c r="Q2636" i="36"/>
  <c r="Q2032" i="36"/>
  <c r="Q927" i="36"/>
  <c r="Q928" i="36"/>
  <c r="Q929" i="36"/>
  <c r="Q2610" i="36"/>
  <c r="Q2496" i="36"/>
  <c r="Q930" i="36"/>
  <c r="Q931" i="36"/>
  <c r="Q932" i="36"/>
  <c r="Q933" i="36"/>
  <c r="Q934" i="36"/>
  <c r="Q935" i="36"/>
  <c r="R920" i="36"/>
  <c r="R2028" i="36"/>
  <c r="R921" i="36"/>
  <c r="R922" i="36"/>
  <c r="R2494" i="36"/>
  <c r="Z2494" i="36"/>
  <c r="R2029" i="36"/>
  <c r="Z2029" i="36"/>
  <c r="R2358" i="36"/>
  <c r="R2495" i="36"/>
  <c r="Z2495" i="36"/>
  <c r="R2030" i="36"/>
  <c r="R2031" i="36"/>
  <c r="Z2031" i="36"/>
  <c r="R923" i="36"/>
  <c r="R2560" i="36"/>
  <c r="Z2560" i="36"/>
  <c r="R924" i="36"/>
  <c r="Z924" i="36"/>
  <c r="R925" i="36"/>
  <c r="Z925" i="36"/>
  <c r="R926" i="36"/>
  <c r="Z926" i="36"/>
  <c r="R2636" i="36"/>
  <c r="R2032" i="36"/>
  <c r="R927" i="36"/>
  <c r="R928" i="36"/>
  <c r="Z928" i="36"/>
  <c r="R929" i="36"/>
  <c r="Z929" i="36"/>
  <c r="R2610" i="36"/>
  <c r="Z2610" i="36"/>
  <c r="R2496" i="36"/>
  <c r="Z2496" i="36"/>
  <c r="R930" i="36"/>
  <c r="R931" i="36"/>
  <c r="Z931" i="36"/>
  <c r="R932" i="36"/>
  <c r="R933" i="36"/>
  <c r="Z933" i="36"/>
  <c r="R934" i="36"/>
  <c r="Z934" i="36"/>
  <c r="R935" i="36"/>
  <c r="Z935" i="36"/>
  <c r="S920" i="36"/>
  <c r="S2028" i="36"/>
  <c r="S921" i="36"/>
  <c r="S922" i="36"/>
  <c r="S2494" i="36"/>
  <c r="S2029" i="36"/>
  <c r="S2358" i="36"/>
  <c r="S2495" i="36"/>
  <c r="S2030" i="36"/>
  <c r="S2031" i="36"/>
  <c r="S923" i="36"/>
  <c r="S2560" i="36"/>
  <c r="S924" i="36"/>
  <c r="S925" i="36"/>
  <c r="S926" i="36"/>
  <c r="S2636" i="36"/>
  <c r="S2032" i="36"/>
  <c r="S927" i="36"/>
  <c r="S928" i="36"/>
  <c r="S929" i="36"/>
  <c r="S2610" i="36"/>
  <c r="S2496" i="36"/>
  <c r="S930" i="36"/>
  <c r="S931" i="36"/>
  <c r="S932" i="36"/>
  <c r="S933" i="36"/>
  <c r="S934" i="36"/>
  <c r="S935" i="36"/>
  <c r="T920" i="36"/>
  <c r="T2028" i="36"/>
  <c r="T921" i="36"/>
  <c r="T922" i="36"/>
  <c r="T2494" i="36"/>
  <c r="T2029" i="36"/>
  <c r="T2358" i="36"/>
  <c r="T2495" i="36"/>
  <c r="T2030" i="36"/>
  <c r="T2031" i="36"/>
  <c r="T923" i="36"/>
  <c r="T2560" i="36"/>
  <c r="T924" i="36"/>
  <c r="T925" i="36"/>
  <c r="T926" i="36"/>
  <c r="T2636" i="36"/>
  <c r="T2032" i="36"/>
  <c r="T927" i="36"/>
  <c r="T928" i="36"/>
  <c r="T929" i="36"/>
  <c r="T2610" i="36"/>
  <c r="T2496" i="36"/>
  <c r="T930" i="36"/>
  <c r="T931" i="36"/>
  <c r="T932" i="36"/>
  <c r="T933" i="36"/>
  <c r="T934" i="36"/>
  <c r="T935" i="36"/>
  <c r="AA920" i="36"/>
  <c r="AA2028" i="36"/>
  <c r="AA921" i="36"/>
  <c r="AA922" i="36"/>
  <c r="AA2494" i="36"/>
  <c r="AA2029" i="36"/>
  <c r="AA2358" i="36"/>
  <c r="AA2495" i="36"/>
  <c r="AA2030" i="36"/>
  <c r="AA2031" i="36"/>
  <c r="AA923" i="36"/>
  <c r="AA2560" i="36"/>
  <c r="AA924" i="36"/>
  <c r="AA925" i="36"/>
  <c r="AA926" i="36"/>
  <c r="AA2636" i="36"/>
  <c r="AA2032" i="36"/>
  <c r="AA927" i="36"/>
  <c r="AA928" i="36"/>
  <c r="AA929" i="36"/>
  <c r="AA2610" i="36"/>
  <c r="AA2496" i="36"/>
  <c r="AA930" i="36"/>
  <c r="AA931" i="36"/>
  <c r="AA932" i="36"/>
  <c r="AA933" i="36"/>
  <c r="AA934" i="36"/>
  <c r="AA935" i="36"/>
  <c r="AB920" i="36"/>
  <c r="AB2028" i="36"/>
  <c r="AB921" i="36"/>
  <c r="AB922" i="36"/>
  <c r="AB2494" i="36"/>
  <c r="AB2029" i="36"/>
  <c r="AB2358" i="36"/>
  <c r="AB2495" i="36"/>
  <c r="AB2030" i="36"/>
  <c r="AB2031" i="36"/>
  <c r="AB923" i="36"/>
  <c r="AB2560" i="36"/>
  <c r="AB924" i="36"/>
  <c r="AB925" i="36"/>
  <c r="AB926" i="36"/>
  <c r="AB2636" i="36"/>
  <c r="AB2032" i="36"/>
  <c r="AB927" i="36"/>
  <c r="AB928" i="36"/>
  <c r="AB929" i="36"/>
  <c r="AB2610" i="36"/>
  <c r="AB2496" i="36"/>
  <c r="AB930" i="36"/>
  <c r="AB931" i="36"/>
  <c r="AB932" i="36"/>
  <c r="AB933" i="36"/>
  <c r="AB934" i="36"/>
  <c r="AB935" i="36"/>
  <c r="I2493" i="36"/>
  <c r="R2493" i="36"/>
  <c r="P2493" i="36"/>
  <c r="Q2493" i="36"/>
  <c r="S2493" i="36"/>
  <c r="T2493" i="36"/>
  <c r="AA2493" i="36"/>
  <c r="AB2493" i="36"/>
  <c r="I2027" i="36"/>
  <c r="P2027" i="36"/>
  <c r="Q2027" i="36"/>
  <c r="R2027" i="36"/>
  <c r="S2027" i="36"/>
  <c r="T2027" i="36"/>
  <c r="AA2027" i="36"/>
  <c r="AB2027" i="36"/>
  <c r="I2026" i="36"/>
  <c r="R2026" i="36"/>
  <c r="P2026" i="36"/>
  <c r="Q2026" i="36"/>
  <c r="S2026" i="36"/>
  <c r="T2026" i="36"/>
  <c r="AA2026" i="36"/>
  <c r="AB2026" i="36"/>
  <c r="I919" i="36"/>
  <c r="P919" i="36"/>
  <c r="Q919" i="36"/>
  <c r="R919" i="36"/>
  <c r="S919" i="36"/>
  <c r="T919" i="36"/>
  <c r="AA919" i="36"/>
  <c r="AB919" i="36"/>
  <c r="I918" i="36"/>
  <c r="P918" i="36"/>
  <c r="Q918" i="36"/>
  <c r="R918" i="36"/>
  <c r="S918" i="36"/>
  <c r="T918" i="36"/>
  <c r="AA918" i="36"/>
  <c r="AB918" i="36"/>
  <c r="I917" i="36"/>
  <c r="P917" i="36"/>
  <c r="Q917" i="36"/>
  <c r="R917" i="36"/>
  <c r="S917" i="36"/>
  <c r="T917" i="36"/>
  <c r="AA917" i="36"/>
  <c r="AB917" i="36"/>
  <c r="I916" i="36"/>
  <c r="R916" i="36"/>
  <c r="P916" i="36"/>
  <c r="Q916" i="36"/>
  <c r="S916" i="36"/>
  <c r="T916" i="36"/>
  <c r="AA916" i="36"/>
  <c r="AB916" i="36"/>
  <c r="I2025" i="36"/>
  <c r="P2025" i="36"/>
  <c r="Q2025" i="36"/>
  <c r="R2025" i="36"/>
  <c r="S2025" i="36"/>
  <c r="T2025" i="36"/>
  <c r="AA2025" i="36"/>
  <c r="AB2025" i="36"/>
  <c r="I915" i="36"/>
  <c r="P915" i="36"/>
  <c r="Q915" i="36"/>
  <c r="R915" i="36"/>
  <c r="S915" i="36"/>
  <c r="T915" i="36"/>
  <c r="AA915" i="36"/>
  <c r="AB915" i="36"/>
  <c r="I914" i="36"/>
  <c r="R914" i="36"/>
  <c r="P914" i="36"/>
  <c r="Q914" i="36"/>
  <c r="S914" i="36"/>
  <c r="T914" i="36"/>
  <c r="AA914" i="36"/>
  <c r="AB914" i="36"/>
  <c r="I912" i="36"/>
  <c r="R912" i="36"/>
  <c r="P912" i="36"/>
  <c r="Q912" i="36"/>
  <c r="S912" i="36"/>
  <c r="T912" i="36"/>
  <c r="AA912" i="36"/>
  <c r="AB912" i="36"/>
  <c r="I913" i="36"/>
  <c r="P913" i="36"/>
  <c r="Q913" i="36"/>
  <c r="R913" i="36"/>
  <c r="S913" i="36"/>
  <c r="T913" i="36"/>
  <c r="AA913" i="36"/>
  <c r="AB913" i="36"/>
  <c r="I911" i="36"/>
  <c r="R911" i="36"/>
  <c r="P911" i="36"/>
  <c r="Q911" i="36"/>
  <c r="S911" i="36"/>
  <c r="T911" i="36"/>
  <c r="AA911" i="36"/>
  <c r="AB911" i="36"/>
  <c r="I2357" i="36"/>
  <c r="P2357" i="36"/>
  <c r="Q2357" i="36"/>
  <c r="R2357" i="36"/>
  <c r="S2357" i="36"/>
  <c r="T2357" i="36"/>
  <c r="AA2357" i="36"/>
  <c r="AB2357" i="36"/>
  <c r="I910" i="36"/>
  <c r="P910" i="36"/>
  <c r="Q910" i="36"/>
  <c r="R910" i="36"/>
  <c r="S910" i="36"/>
  <c r="T910" i="36"/>
  <c r="AA910" i="36"/>
  <c r="AB910" i="36"/>
  <c r="I2024" i="36"/>
  <c r="P2024" i="36"/>
  <c r="Q2024" i="36"/>
  <c r="R2024" i="36"/>
  <c r="S2024" i="36"/>
  <c r="T2024" i="36"/>
  <c r="AA2024" i="36"/>
  <c r="AB2024" i="36"/>
  <c r="R902" i="36"/>
  <c r="R903" i="36"/>
  <c r="R2355" i="36"/>
  <c r="R2356" i="36"/>
  <c r="R2020" i="36"/>
  <c r="R904" i="36"/>
  <c r="R2021" i="36"/>
  <c r="R905" i="36"/>
  <c r="R906" i="36"/>
  <c r="R907" i="36"/>
  <c r="R908" i="36"/>
  <c r="R2022" i="36"/>
  <c r="R2023" i="36"/>
  <c r="R909" i="36"/>
  <c r="I909" i="36"/>
  <c r="P909" i="36"/>
  <c r="Q909" i="36"/>
  <c r="S909" i="36"/>
  <c r="T909" i="36"/>
  <c r="AA909" i="36"/>
  <c r="AB909" i="36"/>
  <c r="I2023" i="36"/>
  <c r="P2023" i="36"/>
  <c r="Q2023" i="36"/>
  <c r="S2023" i="36"/>
  <c r="T2023" i="36"/>
  <c r="AA2023" i="36"/>
  <c r="AB2023" i="36"/>
  <c r="I2022" i="36"/>
  <c r="P2022" i="36"/>
  <c r="Q2022" i="36"/>
  <c r="S2022" i="36"/>
  <c r="T2022" i="36"/>
  <c r="AA2022" i="36"/>
  <c r="AB2022" i="36"/>
  <c r="I908" i="36"/>
  <c r="P908" i="36"/>
  <c r="Q908" i="36"/>
  <c r="S908" i="36"/>
  <c r="T908" i="36"/>
  <c r="AA908" i="36"/>
  <c r="AB908" i="36"/>
  <c r="R2345" i="36"/>
  <c r="R848" i="36"/>
  <c r="R849" i="36"/>
  <c r="R2000" i="36"/>
  <c r="R850" i="36"/>
  <c r="R2346" i="36"/>
  <c r="R851" i="36"/>
  <c r="R852" i="36"/>
  <c r="R2347" i="36"/>
  <c r="R853" i="36"/>
  <c r="R2001" i="36"/>
  <c r="R854" i="36"/>
  <c r="R2003" i="36"/>
  <c r="R2002" i="36"/>
  <c r="R2004" i="36"/>
  <c r="R2557" i="36"/>
  <c r="R2006" i="36"/>
  <c r="R855" i="36"/>
  <c r="R2007" i="36"/>
  <c r="R857" i="36"/>
  <c r="R856" i="36"/>
  <c r="R2491" i="36"/>
  <c r="R2558" i="36"/>
  <c r="R858" i="36"/>
  <c r="R2622" i="36"/>
  <c r="R859" i="36"/>
  <c r="R2009" i="36"/>
  <c r="R860" i="36"/>
  <c r="R2010" i="36"/>
  <c r="R2011" i="36"/>
  <c r="R861" i="36"/>
  <c r="R2348" i="36"/>
  <c r="R2012" i="36"/>
  <c r="R862" i="36"/>
  <c r="R2013" i="36"/>
  <c r="R2014" i="36"/>
  <c r="R864" i="36"/>
  <c r="R2015" i="36"/>
  <c r="R865" i="36"/>
  <c r="R2349" i="36"/>
  <c r="R866" i="36"/>
  <c r="R867" i="36"/>
  <c r="R2350" i="36"/>
  <c r="R2351" i="36"/>
  <c r="R2352" i="36"/>
  <c r="R868" i="36"/>
  <c r="R869" i="36"/>
  <c r="R871" i="36"/>
  <c r="R870" i="36"/>
  <c r="R872" i="36"/>
  <c r="R873" i="36"/>
  <c r="R874" i="36"/>
  <c r="R876" i="36"/>
  <c r="R875" i="36"/>
  <c r="R2017" i="36"/>
  <c r="R877" i="36"/>
  <c r="R878" i="36"/>
  <c r="R880" i="36"/>
  <c r="R881" i="36"/>
  <c r="R882" i="36"/>
  <c r="R883" i="36"/>
  <c r="R884" i="36"/>
  <c r="R885" i="36"/>
  <c r="R2492" i="36"/>
  <c r="R888" i="36"/>
  <c r="R2559" i="36"/>
  <c r="R889" i="36"/>
  <c r="R891" i="36"/>
  <c r="R890" i="36"/>
  <c r="R893" i="36"/>
  <c r="R2354" i="36"/>
  <c r="R894" i="36"/>
  <c r="R2018" i="36"/>
  <c r="R895" i="36"/>
  <c r="R896" i="36"/>
  <c r="R897" i="36"/>
  <c r="R898" i="36"/>
  <c r="R899" i="36"/>
  <c r="R900" i="36"/>
  <c r="R2019" i="36"/>
  <c r="R901" i="36"/>
  <c r="I907" i="36"/>
  <c r="P907" i="36"/>
  <c r="Q907" i="36"/>
  <c r="S907" i="36"/>
  <c r="T907" i="36"/>
  <c r="AA907" i="36"/>
  <c r="AB907" i="36"/>
  <c r="I906" i="36"/>
  <c r="P906" i="36"/>
  <c r="Q906" i="36"/>
  <c r="S906" i="36"/>
  <c r="T906" i="36"/>
  <c r="AA906" i="36"/>
  <c r="AB906" i="36"/>
  <c r="I905" i="36"/>
  <c r="P905" i="36"/>
  <c r="Q905" i="36"/>
  <c r="S905" i="36"/>
  <c r="T905" i="36"/>
  <c r="AA905" i="36"/>
  <c r="AB905" i="36"/>
  <c r="I2021" i="36"/>
  <c r="P2021" i="36"/>
  <c r="Q2021" i="36"/>
  <c r="S2021" i="36"/>
  <c r="T2021" i="36"/>
  <c r="AA2021" i="36"/>
  <c r="AB2021" i="36"/>
  <c r="I904" i="36"/>
  <c r="P904" i="36"/>
  <c r="Q904" i="36"/>
  <c r="S904" i="36"/>
  <c r="T904" i="36"/>
  <c r="AA904" i="36"/>
  <c r="AB904" i="36"/>
  <c r="I2020" i="36"/>
  <c r="P2020" i="36"/>
  <c r="Q2020" i="36"/>
  <c r="S2020" i="36"/>
  <c r="T2020" i="36"/>
  <c r="AA2020" i="36"/>
  <c r="AB2020" i="36"/>
  <c r="I2356" i="36"/>
  <c r="P2356" i="36"/>
  <c r="Q2356" i="36"/>
  <c r="S2356" i="36"/>
  <c r="T2356" i="36"/>
  <c r="AA2356" i="36"/>
  <c r="AB2356" i="36"/>
  <c r="I2355" i="36"/>
  <c r="P2355" i="36"/>
  <c r="Q2355" i="36"/>
  <c r="S2355" i="36"/>
  <c r="T2355" i="36"/>
  <c r="AA2355" i="36"/>
  <c r="AB2355" i="36"/>
  <c r="I903" i="36"/>
  <c r="P903" i="36"/>
  <c r="Q903" i="36"/>
  <c r="S903" i="36"/>
  <c r="T903" i="36"/>
  <c r="AA903" i="36"/>
  <c r="AB903" i="36"/>
  <c r="I902" i="36"/>
  <c r="P902" i="36"/>
  <c r="Q902" i="36"/>
  <c r="S902" i="36"/>
  <c r="T902" i="36"/>
  <c r="AA902" i="36"/>
  <c r="AB902" i="36"/>
  <c r="I901" i="36"/>
  <c r="P901" i="36"/>
  <c r="Q901" i="36"/>
  <c r="S901" i="36"/>
  <c r="T901" i="36"/>
  <c r="AA901" i="36"/>
  <c r="AB901" i="36"/>
  <c r="I2019" i="36"/>
  <c r="P2019" i="36"/>
  <c r="Q2019" i="36"/>
  <c r="S2019" i="36"/>
  <c r="T2019" i="36"/>
  <c r="AA2019" i="36"/>
  <c r="AB2019" i="36"/>
  <c r="I900" i="36"/>
  <c r="P900" i="36"/>
  <c r="Q900" i="36"/>
  <c r="S900" i="36"/>
  <c r="T900" i="36"/>
  <c r="AA900" i="36"/>
  <c r="AB900" i="36"/>
  <c r="I899" i="36"/>
  <c r="P899" i="36"/>
  <c r="Q899" i="36"/>
  <c r="S899" i="36"/>
  <c r="T899" i="36"/>
  <c r="AA899" i="36"/>
  <c r="AB899" i="36"/>
  <c r="I898" i="36"/>
  <c r="P898" i="36"/>
  <c r="Q898" i="36"/>
  <c r="S898" i="36"/>
  <c r="T898" i="36"/>
  <c r="AA898" i="36"/>
  <c r="AB898" i="36"/>
  <c r="I897" i="36"/>
  <c r="P897" i="36"/>
  <c r="Q897" i="36"/>
  <c r="S897" i="36"/>
  <c r="T897" i="36"/>
  <c r="AA897" i="36"/>
  <c r="AB897" i="36"/>
  <c r="I896" i="36"/>
  <c r="P896" i="36"/>
  <c r="Q896" i="36"/>
  <c r="S896" i="36"/>
  <c r="T896" i="36"/>
  <c r="AA896" i="36"/>
  <c r="AB896" i="36"/>
  <c r="I895" i="36"/>
  <c r="P895" i="36"/>
  <c r="Q895" i="36"/>
  <c r="S895" i="36"/>
  <c r="T895" i="36"/>
  <c r="AA895" i="36"/>
  <c r="AB895" i="36"/>
  <c r="I2018" i="36"/>
  <c r="P2018" i="36"/>
  <c r="Q2018" i="36"/>
  <c r="S2018" i="36"/>
  <c r="T2018" i="36"/>
  <c r="AA2018" i="36"/>
  <c r="AB2018" i="36"/>
  <c r="I894" i="36"/>
  <c r="P894" i="36"/>
  <c r="Q894" i="36"/>
  <c r="S894" i="36"/>
  <c r="T894" i="36"/>
  <c r="AA894" i="36"/>
  <c r="AB894" i="36"/>
  <c r="I2354" i="36"/>
  <c r="P2354" i="36"/>
  <c r="Q2354" i="36"/>
  <c r="S2354" i="36"/>
  <c r="T2354" i="36"/>
  <c r="AA2354" i="36"/>
  <c r="AB2354" i="36"/>
  <c r="I893" i="36"/>
  <c r="P893" i="36"/>
  <c r="Q893" i="36"/>
  <c r="S893" i="36"/>
  <c r="T893" i="36"/>
  <c r="AA893" i="36"/>
  <c r="AB893" i="36"/>
  <c r="I892" i="36"/>
  <c r="R892" i="36"/>
  <c r="P892" i="36"/>
  <c r="Q892" i="36"/>
  <c r="S892" i="36"/>
  <c r="T892" i="36"/>
  <c r="AA892" i="36"/>
  <c r="AB892" i="36"/>
  <c r="I890" i="36"/>
  <c r="P890" i="36"/>
  <c r="Q890" i="36"/>
  <c r="S890" i="36"/>
  <c r="T890" i="36"/>
  <c r="AA890" i="36"/>
  <c r="AB890" i="36"/>
  <c r="I891" i="36"/>
  <c r="P891" i="36"/>
  <c r="Q891" i="36"/>
  <c r="S891" i="36"/>
  <c r="T891" i="36"/>
  <c r="AA891" i="36"/>
  <c r="AB891" i="36"/>
  <c r="I889" i="36"/>
  <c r="P889" i="36"/>
  <c r="Q889" i="36"/>
  <c r="S889" i="36"/>
  <c r="T889" i="36"/>
  <c r="AA889" i="36"/>
  <c r="AB889" i="36"/>
  <c r="I2559" i="36"/>
  <c r="P2559" i="36"/>
  <c r="Q2559" i="36"/>
  <c r="S2559" i="36"/>
  <c r="T2559" i="36"/>
  <c r="AA2559" i="36"/>
  <c r="AB2559" i="36"/>
  <c r="I888" i="36"/>
  <c r="P888" i="36"/>
  <c r="Q888" i="36"/>
  <c r="S888" i="36"/>
  <c r="T888" i="36"/>
  <c r="AA888" i="36"/>
  <c r="AB888" i="36"/>
  <c r="I887" i="36"/>
  <c r="R887" i="36"/>
  <c r="P887" i="36"/>
  <c r="Q887" i="36"/>
  <c r="S887" i="36"/>
  <c r="T887" i="36"/>
  <c r="AA887" i="36"/>
  <c r="AB887" i="36"/>
  <c r="I886" i="36"/>
  <c r="R886" i="36"/>
  <c r="P886" i="36"/>
  <c r="Q886" i="36"/>
  <c r="S886" i="36"/>
  <c r="T886" i="36"/>
  <c r="AA886" i="36"/>
  <c r="AB886" i="36"/>
  <c r="I2492" i="36"/>
  <c r="P2492" i="36"/>
  <c r="Q2492" i="36"/>
  <c r="S2492" i="36"/>
  <c r="T2492" i="36"/>
  <c r="AA2492" i="36"/>
  <c r="AB2492" i="36"/>
  <c r="I2016" i="36"/>
  <c r="I2352" i="36"/>
  <c r="I868" i="36"/>
  <c r="I869" i="36"/>
  <c r="I871" i="36"/>
  <c r="I870" i="36"/>
  <c r="I872" i="36"/>
  <c r="I873" i="36"/>
  <c r="I874" i="36"/>
  <c r="I876" i="36"/>
  <c r="I875" i="36"/>
  <c r="I2017" i="36"/>
  <c r="I877" i="36"/>
  <c r="I878" i="36"/>
  <c r="I2353" i="36"/>
  <c r="I879" i="36"/>
  <c r="I880" i="36"/>
  <c r="I881" i="36"/>
  <c r="I882" i="36"/>
  <c r="I883" i="36"/>
  <c r="I884" i="36"/>
  <c r="I885" i="36"/>
  <c r="R2353" i="36"/>
  <c r="R879" i="36"/>
  <c r="P2016" i="36"/>
  <c r="P2352" i="36"/>
  <c r="P868" i="36"/>
  <c r="P869" i="36"/>
  <c r="P871" i="36"/>
  <c r="P870" i="36"/>
  <c r="P872" i="36"/>
  <c r="P873" i="36"/>
  <c r="P874" i="36"/>
  <c r="P876" i="36"/>
  <c r="P875" i="36"/>
  <c r="P2017" i="36"/>
  <c r="P877" i="36"/>
  <c r="P878" i="36"/>
  <c r="P2353" i="36"/>
  <c r="P879" i="36"/>
  <c r="P880" i="36"/>
  <c r="P881" i="36"/>
  <c r="P882" i="36"/>
  <c r="P883" i="36"/>
  <c r="P884" i="36"/>
  <c r="P885" i="36"/>
  <c r="Q2016" i="36"/>
  <c r="Q2352" i="36"/>
  <c r="Q868" i="36"/>
  <c r="Q869" i="36"/>
  <c r="Q871" i="36"/>
  <c r="Q870" i="36"/>
  <c r="Q872" i="36"/>
  <c r="Q873" i="36"/>
  <c r="Q874" i="36"/>
  <c r="Q876" i="36"/>
  <c r="Q875" i="36"/>
  <c r="Q2017" i="36"/>
  <c r="Q877" i="36"/>
  <c r="Q878" i="36"/>
  <c r="Q2353" i="36"/>
  <c r="Q879" i="36"/>
  <c r="Q880" i="36"/>
  <c r="Q881" i="36"/>
  <c r="Q882" i="36"/>
  <c r="Q883" i="36"/>
  <c r="Q884" i="36"/>
  <c r="Q885" i="36"/>
  <c r="R2016" i="36"/>
  <c r="S2016" i="36"/>
  <c r="S2352" i="36"/>
  <c r="S868" i="36"/>
  <c r="S869" i="36"/>
  <c r="S871" i="36"/>
  <c r="S870" i="36"/>
  <c r="S872" i="36"/>
  <c r="S873" i="36"/>
  <c r="S874" i="36"/>
  <c r="S876" i="36"/>
  <c r="S875" i="36"/>
  <c r="S2017" i="36"/>
  <c r="S877" i="36"/>
  <c r="S878" i="36"/>
  <c r="S2353" i="36"/>
  <c r="S879" i="36"/>
  <c r="S880" i="36"/>
  <c r="S881" i="36"/>
  <c r="S882" i="36"/>
  <c r="S883" i="36"/>
  <c r="S884" i="36"/>
  <c r="S885" i="36"/>
  <c r="T2016" i="36"/>
  <c r="T2352" i="36"/>
  <c r="T868" i="36"/>
  <c r="T869" i="36"/>
  <c r="T871" i="36"/>
  <c r="T870" i="36"/>
  <c r="T872" i="36"/>
  <c r="T873" i="36"/>
  <c r="T874" i="36"/>
  <c r="T876" i="36"/>
  <c r="T875" i="36"/>
  <c r="T2017" i="36"/>
  <c r="T877" i="36"/>
  <c r="T878" i="36"/>
  <c r="T2353" i="36"/>
  <c r="T879" i="36"/>
  <c r="T880" i="36"/>
  <c r="T881" i="36"/>
  <c r="T882" i="36"/>
  <c r="T883" i="36"/>
  <c r="T884" i="36"/>
  <c r="T885" i="36"/>
  <c r="AA2016" i="36"/>
  <c r="AA2352" i="36"/>
  <c r="AA868" i="36"/>
  <c r="AA869" i="36"/>
  <c r="AA871" i="36"/>
  <c r="AA870" i="36"/>
  <c r="AA872" i="36"/>
  <c r="AA873" i="36"/>
  <c r="AA874" i="36"/>
  <c r="AA876" i="36"/>
  <c r="AA875" i="36"/>
  <c r="AA2017" i="36"/>
  <c r="AA877" i="36"/>
  <c r="AA878" i="36"/>
  <c r="AA2353" i="36"/>
  <c r="AA879" i="36"/>
  <c r="AA880" i="36"/>
  <c r="AA881" i="36"/>
  <c r="AA882" i="36"/>
  <c r="AA883" i="36"/>
  <c r="AA884" i="36"/>
  <c r="AA885" i="36"/>
  <c r="AB2016" i="36"/>
  <c r="AB2352" i="36"/>
  <c r="AB868" i="36"/>
  <c r="AB869" i="36"/>
  <c r="AB871" i="36"/>
  <c r="AB870" i="36"/>
  <c r="AB872" i="36"/>
  <c r="AB873" i="36"/>
  <c r="AB874" i="36"/>
  <c r="AB876" i="36"/>
  <c r="AB875" i="36"/>
  <c r="AB2017" i="36"/>
  <c r="AB877" i="36"/>
  <c r="AB878" i="36"/>
  <c r="AB2353" i="36"/>
  <c r="AB879" i="36"/>
  <c r="AB880" i="36"/>
  <c r="AB881" i="36"/>
  <c r="AB882" i="36"/>
  <c r="AB883" i="36"/>
  <c r="AB884" i="36"/>
  <c r="AB885" i="36"/>
  <c r="I2351" i="36"/>
  <c r="P2351" i="36"/>
  <c r="Q2351" i="36"/>
  <c r="S2351" i="36"/>
  <c r="T2351" i="36"/>
  <c r="AA2351" i="36"/>
  <c r="AB2351" i="36"/>
  <c r="R832" i="36"/>
  <c r="R2490" i="36"/>
  <c r="R833" i="36"/>
  <c r="R834" i="36"/>
  <c r="R835" i="36"/>
  <c r="R836" i="36"/>
  <c r="R838" i="36"/>
  <c r="R839" i="36"/>
  <c r="R840" i="36"/>
  <c r="R841" i="36"/>
  <c r="R842" i="36"/>
  <c r="R844" i="36"/>
  <c r="R843" i="36"/>
  <c r="R1998" i="36"/>
  <c r="R1999" i="36"/>
  <c r="R845" i="36"/>
  <c r="R846" i="36"/>
  <c r="R847" i="36"/>
  <c r="I2350" i="36"/>
  <c r="P2350" i="36"/>
  <c r="Q2350" i="36"/>
  <c r="S2350" i="36"/>
  <c r="T2350" i="36"/>
  <c r="AA2350" i="36"/>
  <c r="AB2350" i="36"/>
  <c r="I867" i="36"/>
  <c r="P867" i="36"/>
  <c r="Q867" i="36"/>
  <c r="S867" i="36"/>
  <c r="T867" i="36"/>
  <c r="AA867" i="36"/>
  <c r="AB867" i="36"/>
  <c r="I866" i="36"/>
  <c r="P866" i="36"/>
  <c r="Q866" i="36"/>
  <c r="S866" i="36"/>
  <c r="T866" i="36"/>
  <c r="AA866" i="36"/>
  <c r="AB866" i="36"/>
  <c r="I2008" i="36"/>
  <c r="R2008" i="36"/>
  <c r="P2008" i="36"/>
  <c r="Q2008" i="36"/>
  <c r="S2008" i="36"/>
  <c r="T2008" i="36"/>
  <c r="AA2008" i="36"/>
  <c r="AB2008" i="36"/>
  <c r="I856" i="36"/>
  <c r="I2491" i="36"/>
  <c r="I2558" i="36"/>
  <c r="I858" i="36"/>
  <c r="I2622" i="36"/>
  <c r="I859" i="36"/>
  <c r="I2009" i="36"/>
  <c r="I860" i="36"/>
  <c r="I2010" i="36"/>
  <c r="I2011" i="36"/>
  <c r="I861" i="36"/>
  <c r="I2348" i="36"/>
  <c r="I2012" i="36"/>
  <c r="I862" i="36"/>
  <c r="I2013" i="36"/>
  <c r="I863" i="36"/>
  <c r="I2014" i="36"/>
  <c r="I864" i="36"/>
  <c r="I2015" i="36"/>
  <c r="I865" i="36"/>
  <c r="I2349" i="36"/>
  <c r="R863" i="36"/>
  <c r="P856" i="36"/>
  <c r="P2491" i="36"/>
  <c r="P2558" i="36"/>
  <c r="P858" i="36"/>
  <c r="P2622" i="36"/>
  <c r="P859" i="36"/>
  <c r="P2009" i="36"/>
  <c r="P860" i="36"/>
  <c r="P2010" i="36"/>
  <c r="P2011" i="36"/>
  <c r="P861" i="36"/>
  <c r="P2348" i="36"/>
  <c r="P2012" i="36"/>
  <c r="P862" i="36"/>
  <c r="P2013" i="36"/>
  <c r="P863" i="36"/>
  <c r="P2014" i="36"/>
  <c r="P864" i="36"/>
  <c r="P2015" i="36"/>
  <c r="P865" i="36"/>
  <c r="P2349" i="36"/>
  <c r="Q856" i="36"/>
  <c r="Q2491" i="36"/>
  <c r="Q2558" i="36"/>
  <c r="Q858" i="36"/>
  <c r="Q2622" i="36"/>
  <c r="Q859" i="36"/>
  <c r="Q2009" i="36"/>
  <c r="Q860" i="36"/>
  <c r="Q2010" i="36"/>
  <c r="Q2011" i="36"/>
  <c r="Q861" i="36"/>
  <c r="Q2348" i="36"/>
  <c r="Q2012" i="36"/>
  <c r="Q862" i="36"/>
  <c r="Q2013" i="36"/>
  <c r="Q863" i="36"/>
  <c r="Q2014" i="36"/>
  <c r="Q864" i="36"/>
  <c r="Q2015" i="36"/>
  <c r="Q865" i="36"/>
  <c r="Q2349" i="36"/>
  <c r="S856" i="36"/>
  <c r="S2491" i="36"/>
  <c r="S2558" i="36"/>
  <c r="S858" i="36"/>
  <c r="S2622" i="36"/>
  <c r="S859" i="36"/>
  <c r="S2009" i="36"/>
  <c r="S860" i="36"/>
  <c r="S2010" i="36"/>
  <c r="S2011" i="36"/>
  <c r="S861" i="36"/>
  <c r="S2348" i="36"/>
  <c r="S2012" i="36"/>
  <c r="S862" i="36"/>
  <c r="S2013" i="36"/>
  <c r="S863" i="36"/>
  <c r="S2014" i="36"/>
  <c r="S864" i="36"/>
  <c r="S2015" i="36"/>
  <c r="S865" i="36"/>
  <c r="S2349" i="36"/>
  <c r="T856" i="36"/>
  <c r="T2491" i="36"/>
  <c r="T2558" i="36"/>
  <c r="T858" i="36"/>
  <c r="T2622" i="36"/>
  <c r="T859" i="36"/>
  <c r="T2009" i="36"/>
  <c r="T860" i="36"/>
  <c r="T2010" i="36"/>
  <c r="T2011" i="36"/>
  <c r="T861" i="36"/>
  <c r="T2348" i="36"/>
  <c r="T2012" i="36"/>
  <c r="T862" i="36"/>
  <c r="T2013" i="36"/>
  <c r="T863" i="36"/>
  <c r="T2014" i="36"/>
  <c r="T864" i="36"/>
  <c r="T2015" i="36"/>
  <c r="T865" i="36"/>
  <c r="T2349" i="36"/>
  <c r="AA856" i="36"/>
  <c r="AA2491" i="36"/>
  <c r="AA2558" i="36"/>
  <c r="AA858" i="36"/>
  <c r="AA2622" i="36"/>
  <c r="AA859" i="36"/>
  <c r="AA2009" i="36"/>
  <c r="AA860" i="36"/>
  <c r="AA2010" i="36"/>
  <c r="AA2011" i="36"/>
  <c r="AA861" i="36"/>
  <c r="AA2348" i="36"/>
  <c r="AA2012" i="36"/>
  <c r="AA862" i="36"/>
  <c r="AA2013" i="36"/>
  <c r="AA863" i="36"/>
  <c r="AA2014" i="36"/>
  <c r="AA864" i="36"/>
  <c r="AA2015" i="36"/>
  <c r="AA865" i="36"/>
  <c r="AA2349" i="36"/>
  <c r="AB856" i="36"/>
  <c r="AB2491" i="36"/>
  <c r="AB2558" i="36"/>
  <c r="AB858" i="36"/>
  <c r="AB2622" i="36"/>
  <c r="AB859" i="36"/>
  <c r="AB2009" i="36"/>
  <c r="AB860" i="36"/>
  <c r="AB2010" i="36"/>
  <c r="AB2011" i="36"/>
  <c r="AB861" i="36"/>
  <c r="AB2348" i="36"/>
  <c r="AB2012" i="36"/>
  <c r="AB862" i="36"/>
  <c r="AB2013" i="36"/>
  <c r="AB863" i="36"/>
  <c r="AB2014" i="36"/>
  <c r="AB864" i="36"/>
  <c r="AB2015" i="36"/>
  <c r="AB865" i="36"/>
  <c r="AB2349" i="36"/>
  <c r="I857" i="36"/>
  <c r="P857" i="36"/>
  <c r="Q857" i="36"/>
  <c r="S857" i="36"/>
  <c r="T857" i="36"/>
  <c r="AA857" i="36"/>
  <c r="AB857" i="36"/>
  <c r="AA2003" i="36"/>
  <c r="AB2003" i="36"/>
  <c r="AA2002" i="36"/>
  <c r="AB2002" i="36"/>
  <c r="AA2004" i="36"/>
  <c r="AB2004" i="36"/>
  <c r="AA2005" i="36"/>
  <c r="AB2005" i="36"/>
  <c r="P2004" i="36"/>
  <c r="Q2004" i="36"/>
  <c r="S2004" i="36"/>
  <c r="T2004" i="36"/>
  <c r="P2005" i="36"/>
  <c r="Q2005" i="36"/>
  <c r="R2005" i="36"/>
  <c r="S2005" i="36"/>
  <c r="T2005" i="36"/>
  <c r="P2347" i="36"/>
  <c r="Q2347" i="36"/>
  <c r="S2347" i="36"/>
  <c r="T2347" i="36"/>
  <c r="P853" i="36"/>
  <c r="Q853" i="36"/>
  <c r="S853" i="36"/>
  <c r="T853" i="36"/>
  <c r="P2001" i="36"/>
  <c r="Q2001" i="36"/>
  <c r="S2001" i="36"/>
  <c r="T2001" i="36"/>
  <c r="P854" i="36"/>
  <c r="Q854" i="36"/>
  <c r="S854" i="36"/>
  <c r="T854" i="36"/>
  <c r="P2003" i="36"/>
  <c r="Q2003" i="36"/>
  <c r="S2003" i="36"/>
  <c r="T2003" i="36"/>
  <c r="P2002" i="36"/>
  <c r="Q2002" i="36"/>
  <c r="S2002" i="36"/>
  <c r="T2002" i="36"/>
  <c r="I2002" i="36"/>
  <c r="I2346" i="36"/>
  <c r="P2346" i="36"/>
  <c r="Q2346" i="36"/>
  <c r="S2346" i="36"/>
  <c r="T2346" i="36"/>
  <c r="AA2346" i="36"/>
  <c r="AB2346" i="36"/>
  <c r="I848" i="36"/>
  <c r="P848" i="36"/>
  <c r="Q848" i="36"/>
  <c r="S848" i="36"/>
  <c r="T848" i="36"/>
  <c r="AA848" i="36"/>
  <c r="AB848" i="36"/>
  <c r="I846" i="36"/>
  <c r="I847" i="36"/>
  <c r="I2345" i="36"/>
  <c r="I849" i="36"/>
  <c r="I2000" i="36"/>
  <c r="I850" i="36"/>
  <c r="I851" i="36"/>
  <c r="I852" i="36"/>
  <c r="I2347" i="36"/>
  <c r="I853" i="36"/>
  <c r="I2001" i="36"/>
  <c r="I854" i="36"/>
  <c r="I2003" i="36"/>
  <c r="I2004" i="36"/>
  <c r="I2005" i="36"/>
  <c r="I2557" i="36"/>
  <c r="I2006" i="36"/>
  <c r="I855" i="36"/>
  <c r="I2007" i="36"/>
  <c r="P846" i="36"/>
  <c r="P847" i="36"/>
  <c r="P2345" i="36"/>
  <c r="P849" i="36"/>
  <c r="P2000" i="36"/>
  <c r="P850" i="36"/>
  <c r="P851" i="36"/>
  <c r="P852" i="36"/>
  <c r="P2557" i="36"/>
  <c r="P2006" i="36"/>
  <c r="P855" i="36"/>
  <c r="P2007" i="36"/>
  <c r="Q846" i="36"/>
  <c r="Q847" i="36"/>
  <c r="Q2345" i="36"/>
  <c r="Q849" i="36"/>
  <c r="Q2000" i="36"/>
  <c r="Q850" i="36"/>
  <c r="Q851" i="36"/>
  <c r="Q852" i="36"/>
  <c r="Q2557" i="36"/>
  <c r="Q2006" i="36"/>
  <c r="Q855" i="36"/>
  <c r="Q2007" i="36"/>
  <c r="S846" i="36"/>
  <c r="S847" i="36"/>
  <c r="S2345" i="36"/>
  <c r="S849" i="36"/>
  <c r="S2000" i="36"/>
  <c r="S850" i="36"/>
  <c r="S851" i="36"/>
  <c r="S852" i="36"/>
  <c r="S2557" i="36"/>
  <c r="S2006" i="36"/>
  <c r="S855" i="36"/>
  <c r="S2007" i="36"/>
  <c r="T846" i="36"/>
  <c r="T847" i="36"/>
  <c r="T2345" i="36"/>
  <c r="T849" i="36"/>
  <c r="T2000" i="36"/>
  <c r="T850" i="36"/>
  <c r="T851" i="36"/>
  <c r="T852" i="36"/>
  <c r="T2557" i="36"/>
  <c r="T2006" i="36"/>
  <c r="T855" i="36"/>
  <c r="T2007" i="36"/>
  <c r="AA846" i="36"/>
  <c r="AA847" i="36"/>
  <c r="AA2345" i="36"/>
  <c r="AA849" i="36"/>
  <c r="AA2000" i="36"/>
  <c r="AA850" i="36"/>
  <c r="AA851" i="36"/>
  <c r="AA852" i="36"/>
  <c r="AA2347" i="36"/>
  <c r="AA853" i="36"/>
  <c r="AA2001" i="36"/>
  <c r="AA854" i="36"/>
  <c r="AA2557" i="36"/>
  <c r="AA2006" i="36"/>
  <c r="AA855" i="36"/>
  <c r="AA2007" i="36"/>
  <c r="AB846" i="36"/>
  <c r="AB847" i="36"/>
  <c r="AB2345" i="36"/>
  <c r="AB849" i="36"/>
  <c r="AB2000" i="36"/>
  <c r="AB850" i="36"/>
  <c r="AB851" i="36"/>
  <c r="AB852" i="36"/>
  <c r="AB2347" i="36"/>
  <c r="AB853" i="36"/>
  <c r="AB2001" i="36"/>
  <c r="AB854" i="36"/>
  <c r="AB2557" i="36"/>
  <c r="AB2006" i="36"/>
  <c r="AB855" i="36"/>
  <c r="AB2007" i="36"/>
  <c r="I845" i="36"/>
  <c r="P845" i="36"/>
  <c r="Q845" i="36"/>
  <c r="S845" i="36"/>
  <c r="T845" i="36"/>
  <c r="AA845" i="36"/>
  <c r="AB845" i="36"/>
  <c r="P814" i="36"/>
  <c r="Q814" i="36"/>
  <c r="S814" i="36"/>
  <c r="T814" i="36"/>
  <c r="P1992" i="36"/>
  <c r="Q1992" i="36"/>
  <c r="S1992" i="36"/>
  <c r="T1992" i="36"/>
  <c r="P815" i="36"/>
  <c r="Q815" i="36"/>
  <c r="S815" i="36"/>
  <c r="T815" i="36"/>
  <c r="P1993" i="36"/>
  <c r="Q1993" i="36"/>
  <c r="S1993" i="36"/>
  <c r="T1993" i="36"/>
  <c r="P1994" i="36"/>
  <c r="Q1994" i="36"/>
  <c r="S1994" i="36"/>
  <c r="T1994" i="36"/>
  <c r="P816" i="36"/>
  <c r="Q816" i="36"/>
  <c r="S816" i="36"/>
  <c r="T816" i="36"/>
  <c r="P2556" i="36"/>
  <c r="Q2556" i="36"/>
  <c r="S2556" i="36"/>
  <c r="T2556" i="36"/>
  <c r="P1995" i="36"/>
  <c r="Q1995" i="36"/>
  <c r="S1995" i="36"/>
  <c r="T1995" i="36"/>
  <c r="P817" i="36"/>
  <c r="Q817" i="36"/>
  <c r="S817" i="36"/>
  <c r="T817" i="36"/>
  <c r="P818" i="36"/>
  <c r="Q818" i="36"/>
  <c r="S818" i="36"/>
  <c r="T818" i="36"/>
  <c r="P819" i="36"/>
  <c r="Q819" i="36"/>
  <c r="S819" i="36"/>
  <c r="T819" i="36"/>
  <c r="P820" i="36"/>
  <c r="Q820" i="36"/>
  <c r="S820" i="36"/>
  <c r="T820" i="36"/>
  <c r="P1996" i="36"/>
  <c r="Q1996" i="36"/>
  <c r="S1996" i="36"/>
  <c r="T1996" i="36"/>
  <c r="P821" i="36"/>
  <c r="Q821" i="36"/>
  <c r="S821" i="36"/>
  <c r="T821" i="36"/>
  <c r="P822" i="36"/>
  <c r="Q822" i="36"/>
  <c r="S822" i="36"/>
  <c r="T822" i="36"/>
  <c r="P823" i="36"/>
  <c r="Q823" i="36"/>
  <c r="S823" i="36"/>
  <c r="T823" i="36"/>
  <c r="P824" i="36"/>
  <c r="Q824" i="36"/>
  <c r="S824" i="36"/>
  <c r="T824" i="36"/>
  <c r="P825" i="36"/>
  <c r="Q825" i="36"/>
  <c r="S825" i="36"/>
  <c r="T825" i="36"/>
  <c r="P826" i="36"/>
  <c r="Q826" i="36"/>
  <c r="S826" i="36"/>
  <c r="T826" i="36"/>
  <c r="P827" i="36"/>
  <c r="Q827" i="36"/>
  <c r="S827" i="36"/>
  <c r="T827" i="36"/>
  <c r="P828" i="36"/>
  <c r="Q828" i="36"/>
  <c r="S828" i="36"/>
  <c r="T828" i="36"/>
  <c r="P1997" i="36"/>
  <c r="Q1997" i="36"/>
  <c r="S1997" i="36"/>
  <c r="T1997" i="36"/>
  <c r="P829" i="36"/>
  <c r="Q829" i="36"/>
  <c r="S829" i="36"/>
  <c r="T829" i="36"/>
  <c r="P830" i="36"/>
  <c r="Q830" i="36"/>
  <c r="S830" i="36"/>
  <c r="T830" i="36"/>
  <c r="P2344" i="36"/>
  <c r="Q2344" i="36"/>
  <c r="S2344" i="36"/>
  <c r="T2344" i="36"/>
  <c r="P831" i="36"/>
  <c r="Q831" i="36"/>
  <c r="S831" i="36"/>
  <c r="T831" i="36"/>
  <c r="P832" i="36"/>
  <c r="Q832" i="36"/>
  <c r="S832" i="36"/>
  <c r="T832" i="36"/>
  <c r="P2490" i="36"/>
  <c r="Q2490" i="36"/>
  <c r="S2490" i="36"/>
  <c r="T2490" i="36"/>
  <c r="P833" i="36"/>
  <c r="Q833" i="36"/>
  <c r="S833" i="36"/>
  <c r="T833" i="36"/>
  <c r="P834" i="36"/>
  <c r="Q834" i="36"/>
  <c r="S834" i="36"/>
  <c r="T834" i="36"/>
  <c r="P835" i="36"/>
  <c r="Q835" i="36"/>
  <c r="S835" i="36"/>
  <c r="T835" i="36"/>
  <c r="P836" i="36"/>
  <c r="Q836" i="36"/>
  <c r="S836" i="36"/>
  <c r="T836" i="36"/>
  <c r="P840" i="36"/>
  <c r="Q840" i="36"/>
  <c r="S840" i="36"/>
  <c r="T840" i="36"/>
  <c r="P841" i="36"/>
  <c r="Q841" i="36"/>
  <c r="S841" i="36"/>
  <c r="T841" i="36"/>
  <c r="P842" i="36"/>
  <c r="Q842" i="36"/>
  <c r="S842" i="36"/>
  <c r="T842" i="36"/>
  <c r="P843" i="36"/>
  <c r="Q843" i="36"/>
  <c r="S843" i="36"/>
  <c r="T843" i="36"/>
  <c r="P844" i="36"/>
  <c r="Q844" i="36"/>
  <c r="S844" i="36"/>
  <c r="T844" i="36"/>
  <c r="P1998" i="36"/>
  <c r="Q1998" i="36"/>
  <c r="S1998" i="36"/>
  <c r="T1998" i="36"/>
  <c r="P1999" i="36"/>
  <c r="Q1999" i="36"/>
  <c r="S1999" i="36"/>
  <c r="T1999" i="36"/>
  <c r="P837" i="36"/>
  <c r="Q837" i="36"/>
  <c r="S837" i="36"/>
  <c r="T837" i="36"/>
  <c r="P839" i="36"/>
  <c r="Q839" i="36"/>
  <c r="S839" i="36"/>
  <c r="T839" i="36"/>
  <c r="P838" i="36"/>
  <c r="Q838" i="36"/>
  <c r="S838" i="36"/>
  <c r="T838" i="36"/>
  <c r="R837" i="36"/>
  <c r="R1993" i="36"/>
  <c r="R1994" i="36"/>
  <c r="R816" i="36"/>
  <c r="R2556" i="36"/>
  <c r="R1995" i="36"/>
  <c r="R817" i="36"/>
  <c r="R818" i="36"/>
  <c r="R819" i="36"/>
  <c r="R820" i="36"/>
  <c r="R1996" i="36"/>
  <c r="R821" i="36"/>
  <c r="R822" i="36"/>
  <c r="R823" i="36"/>
  <c r="R824" i="36"/>
  <c r="R825" i="36"/>
  <c r="R826" i="36"/>
  <c r="R827" i="36"/>
  <c r="R828" i="36"/>
  <c r="R1997" i="36"/>
  <c r="R829" i="36"/>
  <c r="R830" i="36"/>
  <c r="R2344" i="36"/>
  <c r="R831" i="36"/>
  <c r="R812" i="36"/>
  <c r="R811" i="36"/>
  <c r="R813" i="36"/>
  <c r="R1991" i="36"/>
  <c r="R814" i="36"/>
  <c r="R1992" i="36"/>
  <c r="R815" i="36"/>
  <c r="R806" i="36"/>
  <c r="R807" i="36"/>
  <c r="R808" i="36"/>
  <c r="R2343" i="36"/>
  <c r="R809" i="36"/>
  <c r="R810" i="36"/>
  <c r="R2488" i="36"/>
  <c r="R1989" i="36"/>
  <c r="R1990" i="36"/>
  <c r="R2489" i="36"/>
  <c r="R801" i="36"/>
  <c r="R803" i="36"/>
  <c r="R802" i="36"/>
  <c r="R1988" i="36"/>
  <c r="R805" i="36"/>
  <c r="R1984" i="36"/>
  <c r="R794" i="36"/>
  <c r="R795" i="36"/>
  <c r="R796" i="36"/>
  <c r="R1985" i="36"/>
  <c r="R797" i="36"/>
  <c r="R2632" i="36"/>
  <c r="R799" i="36"/>
  <c r="R800" i="36"/>
  <c r="R1986" i="36"/>
  <c r="R1987" i="36"/>
  <c r="R2342" i="36"/>
  <c r="I838" i="36"/>
  <c r="AA838" i="36"/>
  <c r="AB838" i="36"/>
  <c r="I839" i="36"/>
  <c r="AA839" i="36"/>
  <c r="AB839" i="36"/>
  <c r="I837" i="36"/>
  <c r="AA837" i="36"/>
  <c r="AB837" i="36"/>
  <c r="I1999" i="36"/>
  <c r="AA1999" i="36"/>
  <c r="AB1999" i="36"/>
  <c r="I1998" i="36"/>
  <c r="AA1998" i="36"/>
  <c r="AB1998" i="36"/>
  <c r="I844" i="36"/>
  <c r="AA844" i="36"/>
  <c r="AB844" i="36"/>
  <c r="I843" i="36"/>
  <c r="AA843" i="36"/>
  <c r="AB843" i="36"/>
  <c r="I842" i="36"/>
  <c r="AA842" i="36"/>
  <c r="AB842" i="36"/>
  <c r="I841" i="36"/>
  <c r="AA841" i="36"/>
  <c r="AB841" i="36"/>
  <c r="I840" i="36"/>
  <c r="AA840" i="36"/>
  <c r="AB840" i="36"/>
  <c r="I836" i="36"/>
  <c r="AA836" i="36"/>
  <c r="AB836" i="36"/>
  <c r="I835" i="36"/>
  <c r="AA835" i="36"/>
  <c r="AB835" i="36"/>
  <c r="I834" i="36"/>
  <c r="AA834" i="36"/>
  <c r="AB834" i="36"/>
  <c r="I833" i="36"/>
  <c r="AA833" i="36"/>
  <c r="AB833" i="36"/>
  <c r="I2490" i="36"/>
  <c r="AA2490" i="36"/>
  <c r="AB2490" i="36"/>
  <c r="I832" i="36"/>
  <c r="AA832" i="36"/>
  <c r="AB832" i="36"/>
  <c r="I831" i="36"/>
  <c r="AA831" i="36"/>
  <c r="AB831" i="36"/>
  <c r="I2344" i="36"/>
  <c r="AA2344" i="36"/>
  <c r="AB2344" i="36"/>
  <c r="I830" i="36"/>
  <c r="AA830" i="36"/>
  <c r="AB830" i="36"/>
  <c r="I829" i="36"/>
  <c r="AA829" i="36"/>
  <c r="AB829" i="36"/>
  <c r="I1997" i="36"/>
  <c r="AA1997" i="36"/>
  <c r="AB1997" i="36"/>
  <c r="I828" i="36"/>
  <c r="AA828" i="36"/>
  <c r="AB828" i="36"/>
  <c r="I827" i="36"/>
  <c r="AA827" i="36"/>
  <c r="AB827" i="36"/>
  <c r="I826" i="36"/>
  <c r="AA826" i="36"/>
  <c r="AB826" i="36"/>
  <c r="I825" i="36"/>
  <c r="AA825" i="36"/>
  <c r="AB825" i="36"/>
  <c r="I824" i="36"/>
  <c r="AA824" i="36"/>
  <c r="AB824" i="36"/>
  <c r="I823" i="36"/>
  <c r="AA823" i="36"/>
  <c r="AB823" i="36"/>
  <c r="I822" i="36"/>
  <c r="AA822" i="36"/>
  <c r="AB822" i="36"/>
  <c r="I821" i="36"/>
  <c r="AA821" i="36"/>
  <c r="AB821" i="36"/>
  <c r="I1996" i="36"/>
  <c r="AA1996" i="36"/>
  <c r="AB1996" i="36"/>
  <c r="I820" i="36"/>
  <c r="AA820" i="36"/>
  <c r="AB820" i="36"/>
  <c r="I819" i="36"/>
  <c r="AA819" i="36"/>
  <c r="AB819" i="36"/>
  <c r="I818" i="36"/>
  <c r="AA818" i="36"/>
  <c r="AB818" i="36"/>
  <c r="I817" i="36"/>
  <c r="AA817" i="36"/>
  <c r="AB817" i="36"/>
  <c r="I1995" i="36"/>
  <c r="AA1995" i="36"/>
  <c r="AB1995" i="36"/>
  <c r="I2556" i="36"/>
  <c r="AA2556" i="36"/>
  <c r="AB2556" i="36"/>
  <c r="I816" i="36"/>
  <c r="AA816" i="36"/>
  <c r="AB816" i="36"/>
  <c r="I1994" i="36"/>
  <c r="AA1994" i="36"/>
  <c r="AB1994" i="36"/>
  <c r="I1993" i="36"/>
  <c r="AA1993" i="36"/>
  <c r="AB1993" i="36"/>
  <c r="I815" i="36"/>
  <c r="AA815" i="36"/>
  <c r="AB815" i="36"/>
  <c r="I1992" i="36"/>
  <c r="AA1992" i="36"/>
  <c r="AB1992" i="36"/>
  <c r="I814" i="36"/>
  <c r="AA814" i="36"/>
  <c r="AB814" i="36"/>
  <c r="I1991" i="36"/>
  <c r="P1991" i="36"/>
  <c r="Q1991" i="36"/>
  <c r="S1991" i="36"/>
  <c r="T1991" i="36"/>
  <c r="AA1991" i="36"/>
  <c r="AB1991" i="36"/>
  <c r="I813" i="36"/>
  <c r="P813" i="36"/>
  <c r="Q813" i="36"/>
  <c r="S813" i="36"/>
  <c r="T813" i="36"/>
  <c r="AA813" i="36"/>
  <c r="AB813" i="36"/>
  <c r="I811" i="36"/>
  <c r="P811" i="36"/>
  <c r="Q811" i="36"/>
  <c r="S811" i="36"/>
  <c r="T811" i="36"/>
  <c r="AA811" i="36"/>
  <c r="AB811" i="36"/>
  <c r="I812" i="36"/>
  <c r="P812" i="36"/>
  <c r="Q812" i="36"/>
  <c r="S812" i="36"/>
  <c r="T812" i="36"/>
  <c r="AA812" i="36"/>
  <c r="AB812" i="36"/>
  <c r="I2489" i="36"/>
  <c r="P2489" i="36"/>
  <c r="Q2489" i="36"/>
  <c r="S2489" i="36"/>
  <c r="T2489" i="36"/>
  <c r="AA2489" i="36"/>
  <c r="AB2489" i="36"/>
  <c r="I1990" i="36"/>
  <c r="P1990" i="36"/>
  <c r="Q1990" i="36"/>
  <c r="S1990" i="36"/>
  <c r="T1990" i="36"/>
  <c r="AA1990" i="36"/>
  <c r="AB1990" i="36"/>
  <c r="I1989" i="36"/>
  <c r="P1989" i="36"/>
  <c r="Q1989" i="36"/>
  <c r="S1989" i="36"/>
  <c r="T1989" i="36"/>
  <c r="AA1989" i="36"/>
  <c r="AB1989" i="36"/>
  <c r="I2488" i="36"/>
  <c r="P2488" i="36"/>
  <c r="Q2488" i="36"/>
  <c r="S2488" i="36"/>
  <c r="T2488" i="36"/>
  <c r="AA2488" i="36"/>
  <c r="AB2488" i="36"/>
  <c r="I810" i="36"/>
  <c r="P810" i="36"/>
  <c r="Q810" i="36"/>
  <c r="S810" i="36"/>
  <c r="T810" i="36"/>
  <c r="AA810" i="36"/>
  <c r="AB810" i="36"/>
  <c r="I809" i="36"/>
  <c r="P809" i="36"/>
  <c r="Q809" i="36"/>
  <c r="S809" i="36"/>
  <c r="T809" i="36"/>
  <c r="AA809" i="36"/>
  <c r="AB809" i="36"/>
  <c r="I2343" i="36"/>
  <c r="P2343" i="36"/>
  <c r="Q2343" i="36"/>
  <c r="S2343" i="36"/>
  <c r="T2343" i="36"/>
  <c r="AA2343" i="36"/>
  <c r="AB2343" i="36"/>
  <c r="R2341" i="36"/>
  <c r="R789" i="36"/>
  <c r="R2487" i="36"/>
  <c r="R790" i="36"/>
  <c r="R1983" i="36"/>
  <c r="R791" i="36"/>
  <c r="R793" i="36"/>
  <c r="R792" i="36"/>
  <c r="I805" i="36"/>
  <c r="I806" i="36"/>
  <c r="I807" i="36"/>
  <c r="I808" i="36"/>
  <c r="P808" i="36"/>
  <c r="Q808" i="36"/>
  <c r="S808" i="36"/>
  <c r="T808" i="36"/>
  <c r="AA808" i="36"/>
  <c r="AB808" i="36"/>
  <c r="P807" i="36"/>
  <c r="Q807" i="36"/>
  <c r="S807" i="36"/>
  <c r="T807" i="36"/>
  <c r="AA807" i="36"/>
  <c r="AB807" i="36"/>
  <c r="P805" i="36"/>
  <c r="P806" i="36"/>
  <c r="Q805" i="36"/>
  <c r="Q806" i="36"/>
  <c r="S805" i="36"/>
  <c r="S806" i="36"/>
  <c r="T805" i="36"/>
  <c r="T806" i="36"/>
  <c r="AA805" i="36"/>
  <c r="AA806" i="36"/>
  <c r="AB805" i="36"/>
  <c r="AB806" i="36"/>
  <c r="I804" i="36"/>
  <c r="R804" i="36"/>
  <c r="P804" i="36"/>
  <c r="Q804" i="36"/>
  <c r="S804" i="36"/>
  <c r="T804" i="36"/>
  <c r="AA804" i="36"/>
  <c r="AB804" i="36"/>
  <c r="I1988" i="36"/>
  <c r="P1988" i="36"/>
  <c r="Q1988" i="36"/>
  <c r="S1988" i="36"/>
  <c r="T1988" i="36"/>
  <c r="AA1988" i="36"/>
  <c r="AB1988" i="36"/>
  <c r="I802" i="36"/>
  <c r="P802" i="36"/>
  <c r="Q802" i="36"/>
  <c r="S802" i="36"/>
  <c r="T802" i="36"/>
  <c r="AA802" i="36"/>
  <c r="AB802" i="36"/>
  <c r="I803" i="36"/>
  <c r="P803" i="36"/>
  <c r="Q803" i="36"/>
  <c r="S803" i="36"/>
  <c r="T803" i="36"/>
  <c r="AA803" i="36"/>
  <c r="AB803" i="36"/>
  <c r="I801" i="36"/>
  <c r="P801" i="36"/>
  <c r="Q801" i="36"/>
  <c r="S801" i="36"/>
  <c r="T801" i="36"/>
  <c r="AA801" i="36"/>
  <c r="AB801" i="36"/>
  <c r="I2342" i="36"/>
  <c r="P2342" i="36"/>
  <c r="Q2342" i="36"/>
  <c r="S2342" i="36"/>
  <c r="T2342" i="36"/>
  <c r="AA2342" i="36"/>
  <c r="AB2342" i="36"/>
  <c r="I1987" i="36"/>
  <c r="P1987" i="36"/>
  <c r="Q1987" i="36"/>
  <c r="S1987" i="36"/>
  <c r="T1987" i="36"/>
  <c r="AA1987" i="36"/>
  <c r="AB1987" i="36"/>
  <c r="I1986" i="36"/>
  <c r="P1986" i="36"/>
  <c r="Q1986" i="36"/>
  <c r="S1986" i="36"/>
  <c r="T1986" i="36"/>
  <c r="AA1986" i="36"/>
  <c r="AB1986" i="36"/>
  <c r="I800" i="36"/>
  <c r="P800" i="36"/>
  <c r="Q800" i="36"/>
  <c r="S800" i="36"/>
  <c r="T800" i="36"/>
  <c r="AA800" i="36"/>
  <c r="AB800" i="36"/>
  <c r="I799" i="36"/>
  <c r="P799" i="36"/>
  <c r="Q799" i="36"/>
  <c r="S799" i="36"/>
  <c r="T799" i="36"/>
  <c r="AA799" i="36"/>
  <c r="AB799" i="36"/>
  <c r="I2632" i="36"/>
  <c r="P2632" i="36"/>
  <c r="Q2632" i="36"/>
  <c r="S2632" i="36"/>
  <c r="T2632" i="36"/>
  <c r="AA2632" i="36"/>
  <c r="AB2632" i="36"/>
  <c r="I798" i="36"/>
  <c r="R798" i="36"/>
  <c r="P798" i="36"/>
  <c r="Q798" i="36"/>
  <c r="S798" i="36"/>
  <c r="T798" i="36"/>
  <c r="AA798" i="36"/>
  <c r="AB798" i="36"/>
  <c r="T797" i="36"/>
  <c r="S797" i="36"/>
  <c r="Q797" i="36"/>
  <c r="P797" i="36"/>
  <c r="T1985" i="36"/>
  <c r="S1985" i="36"/>
  <c r="Q1985" i="36"/>
  <c r="P1985" i="36"/>
  <c r="T796" i="36"/>
  <c r="S796" i="36"/>
  <c r="Q796" i="36"/>
  <c r="P796" i="36"/>
  <c r="I797" i="36"/>
  <c r="AA797" i="36"/>
  <c r="AB797" i="36"/>
  <c r="P791" i="36"/>
  <c r="Q791" i="36"/>
  <c r="S791" i="36"/>
  <c r="T791" i="36"/>
  <c r="P793" i="36"/>
  <c r="Q793" i="36"/>
  <c r="S793" i="36"/>
  <c r="T793" i="36"/>
  <c r="P792" i="36"/>
  <c r="Q792" i="36"/>
  <c r="S792" i="36"/>
  <c r="T792" i="36"/>
  <c r="P1984" i="36"/>
  <c r="Q1984" i="36"/>
  <c r="S1984" i="36"/>
  <c r="T1984" i="36"/>
  <c r="P794" i="36"/>
  <c r="Q794" i="36"/>
  <c r="S794" i="36"/>
  <c r="T794" i="36"/>
  <c r="P795" i="36"/>
  <c r="Q795" i="36"/>
  <c r="S795" i="36"/>
  <c r="T795" i="36"/>
  <c r="I1984" i="36"/>
  <c r="I794" i="36"/>
  <c r="I795" i="36"/>
  <c r="AA795" i="36"/>
  <c r="AB795" i="36"/>
  <c r="I1985" i="36"/>
  <c r="AA1985" i="36"/>
  <c r="AB1985" i="36"/>
  <c r="I796" i="36"/>
  <c r="AA796" i="36"/>
  <c r="AB796" i="36"/>
  <c r="AA794" i="36"/>
  <c r="AB794" i="36"/>
  <c r="AA1984" i="36"/>
  <c r="AB1984" i="36"/>
  <c r="R1981" i="36"/>
  <c r="R782" i="36"/>
  <c r="R2340" i="36"/>
  <c r="R783" i="36"/>
  <c r="R784" i="36"/>
  <c r="R785" i="36"/>
  <c r="R786" i="36"/>
  <c r="R787" i="36"/>
  <c r="R1982" i="36"/>
  <c r="R788" i="36"/>
  <c r="R768" i="36"/>
  <c r="R769" i="36"/>
  <c r="R1979" i="36"/>
  <c r="R2338" i="36"/>
  <c r="R770" i="36"/>
  <c r="R771" i="36"/>
  <c r="R772" i="36"/>
  <c r="R773" i="36"/>
  <c r="R774" i="36"/>
  <c r="R775" i="36"/>
  <c r="R776" i="36"/>
  <c r="I792" i="36"/>
  <c r="AA792" i="36"/>
  <c r="AB792" i="36"/>
  <c r="I793" i="36"/>
  <c r="AA793" i="36"/>
  <c r="AB793" i="36"/>
  <c r="I791" i="36"/>
  <c r="AA791" i="36"/>
  <c r="AB791" i="36"/>
  <c r="I1983" i="36"/>
  <c r="P1983" i="36"/>
  <c r="Q1983" i="36"/>
  <c r="S1983" i="36"/>
  <c r="T1983" i="36"/>
  <c r="AA1983" i="36"/>
  <c r="AB1983" i="36"/>
  <c r="I790" i="36"/>
  <c r="P790" i="36"/>
  <c r="Q790" i="36"/>
  <c r="S790" i="36"/>
  <c r="T790" i="36"/>
  <c r="AA790" i="36"/>
  <c r="AB790" i="36"/>
  <c r="I2487" i="36"/>
  <c r="P2487" i="36"/>
  <c r="Q2487" i="36"/>
  <c r="S2487" i="36"/>
  <c r="T2487" i="36"/>
  <c r="AA2487" i="36"/>
  <c r="AB2487" i="36"/>
  <c r="I789" i="36"/>
  <c r="P789" i="36"/>
  <c r="Q789" i="36"/>
  <c r="S789" i="36"/>
  <c r="T789" i="36"/>
  <c r="AA789" i="36"/>
  <c r="AB789" i="36"/>
  <c r="P787" i="36"/>
  <c r="Q787" i="36"/>
  <c r="S787" i="36"/>
  <c r="T787" i="36"/>
  <c r="P1982" i="36"/>
  <c r="Q1982" i="36"/>
  <c r="S1982" i="36"/>
  <c r="T1982" i="36"/>
  <c r="P788" i="36"/>
  <c r="Q788" i="36"/>
  <c r="S788" i="36"/>
  <c r="T788" i="36"/>
  <c r="P2341" i="36"/>
  <c r="Q2341" i="36"/>
  <c r="S2341" i="36"/>
  <c r="T2341" i="36"/>
  <c r="R777" i="36"/>
  <c r="R778" i="36"/>
  <c r="R779" i="36"/>
  <c r="R780" i="36"/>
  <c r="R2339" i="36"/>
  <c r="R781" i="36"/>
  <c r="R1980" i="36"/>
  <c r="AA785" i="36"/>
  <c r="AB785" i="36"/>
  <c r="AA786" i="36"/>
  <c r="AB786" i="36"/>
  <c r="AA787" i="36"/>
  <c r="AB787" i="36"/>
  <c r="AA1982" i="36"/>
  <c r="AB1982" i="36"/>
  <c r="AA788" i="36"/>
  <c r="AB788" i="36"/>
  <c r="I2341" i="36"/>
  <c r="AA2341" i="36"/>
  <c r="AB2341" i="36"/>
  <c r="I788" i="36"/>
  <c r="I1982" i="36"/>
  <c r="I787" i="36"/>
  <c r="I786" i="36"/>
  <c r="P786" i="36"/>
  <c r="Q786" i="36"/>
  <c r="S786" i="36"/>
  <c r="T786" i="36"/>
  <c r="I785" i="36"/>
  <c r="P785" i="36"/>
  <c r="Q785" i="36"/>
  <c r="S785" i="36"/>
  <c r="T785" i="36"/>
  <c r="I784" i="36"/>
  <c r="P784" i="36"/>
  <c r="Q784" i="36"/>
  <c r="S784" i="36"/>
  <c r="T784" i="36"/>
  <c r="AA784" i="36"/>
  <c r="AB784" i="36"/>
  <c r="I781" i="36"/>
  <c r="P781" i="36"/>
  <c r="Q781" i="36"/>
  <c r="S781" i="36"/>
  <c r="T781" i="36"/>
  <c r="AA781" i="36"/>
  <c r="AB781" i="36"/>
  <c r="I776" i="36"/>
  <c r="P776" i="36"/>
  <c r="Q776" i="36"/>
  <c r="S776" i="36"/>
  <c r="T776" i="36"/>
  <c r="AA776" i="36"/>
  <c r="AB776" i="36"/>
  <c r="I777" i="36"/>
  <c r="I778" i="36"/>
  <c r="I779" i="36"/>
  <c r="I780" i="36"/>
  <c r="I2339" i="36"/>
  <c r="I1980" i="36"/>
  <c r="I1981" i="36"/>
  <c r="I782" i="36"/>
  <c r="I2340" i="36"/>
  <c r="I783" i="36"/>
  <c r="I2486" i="36"/>
  <c r="R2486" i="36"/>
  <c r="P777" i="36"/>
  <c r="P778" i="36"/>
  <c r="P779" i="36"/>
  <c r="P780" i="36"/>
  <c r="P2339" i="36"/>
  <c r="P1980" i="36"/>
  <c r="P1981" i="36"/>
  <c r="P782" i="36"/>
  <c r="P2340" i="36"/>
  <c r="P783" i="36"/>
  <c r="P2486" i="36"/>
  <c r="Q777" i="36"/>
  <c r="Q778" i="36"/>
  <c r="Q779" i="36"/>
  <c r="Q780" i="36"/>
  <c r="Q2339" i="36"/>
  <c r="Q1980" i="36"/>
  <c r="Q1981" i="36"/>
  <c r="Q782" i="36"/>
  <c r="Q2340" i="36"/>
  <c r="Q783" i="36"/>
  <c r="Q2486" i="36"/>
  <c r="S777" i="36"/>
  <c r="S778" i="36"/>
  <c r="S779" i="36"/>
  <c r="S780" i="36"/>
  <c r="S2339" i="36"/>
  <c r="S1980" i="36"/>
  <c r="S1981" i="36"/>
  <c r="S782" i="36"/>
  <c r="S2340" i="36"/>
  <c r="S783" i="36"/>
  <c r="S2486" i="36"/>
  <c r="T777" i="36"/>
  <c r="T778" i="36"/>
  <c r="T779" i="36"/>
  <c r="T780" i="36"/>
  <c r="T2339" i="36"/>
  <c r="T1980" i="36"/>
  <c r="T1981" i="36"/>
  <c r="T782" i="36"/>
  <c r="T2340" i="36"/>
  <c r="T783" i="36"/>
  <c r="T2486" i="36"/>
  <c r="AA777" i="36"/>
  <c r="AA778" i="36"/>
  <c r="AA779" i="36"/>
  <c r="AA780" i="36"/>
  <c r="AA2339" i="36"/>
  <c r="AA1980" i="36"/>
  <c r="AA1981" i="36"/>
  <c r="AA782" i="36"/>
  <c r="AA2340" i="36"/>
  <c r="AA783" i="36"/>
  <c r="AA2486" i="36"/>
  <c r="AB777" i="36"/>
  <c r="AB778" i="36"/>
  <c r="AB779" i="36"/>
  <c r="AB780" i="36"/>
  <c r="AB2339" i="36"/>
  <c r="AB1980" i="36"/>
  <c r="AB1981" i="36"/>
  <c r="AB782" i="36"/>
  <c r="AB2340" i="36"/>
  <c r="AB783" i="36"/>
  <c r="AB2486" i="36"/>
  <c r="I771" i="36"/>
  <c r="I772" i="36"/>
  <c r="I773" i="36"/>
  <c r="I774" i="36"/>
  <c r="I775" i="36"/>
  <c r="P771" i="36"/>
  <c r="P772" i="36"/>
  <c r="P773" i="36"/>
  <c r="P774" i="36"/>
  <c r="P775" i="36"/>
  <c r="Q771" i="36"/>
  <c r="Q772" i="36"/>
  <c r="Q773" i="36"/>
  <c r="Q774" i="36"/>
  <c r="Q775" i="36"/>
  <c r="S771" i="36"/>
  <c r="S772" i="36"/>
  <c r="S773" i="36"/>
  <c r="S774" i="36"/>
  <c r="S775" i="36"/>
  <c r="T771" i="36"/>
  <c r="T772" i="36"/>
  <c r="T773" i="36"/>
  <c r="T774" i="36"/>
  <c r="T775" i="36"/>
  <c r="AA771" i="36"/>
  <c r="AA772" i="36"/>
  <c r="AA773" i="36"/>
  <c r="AA774" i="36"/>
  <c r="AA775" i="36"/>
  <c r="AB771" i="36"/>
  <c r="AB772" i="36"/>
  <c r="AB773" i="36"/>
  <c r="AB774" i="36"/>
  <c r="AB775" i="36"/>
  <c r="R758" i="36"/>
  <c r="R757" i="36"/>
  <c r="R2336" i="36"/>
  <c r="R759" i="36"/>
  <c r="R1976" i="36"/>
  <c r="R761" i="36"/>
  <c r="R760" i="36"/>
  <c r="R762" i="36"/>
  <c r="R764" i="36"/>
  <c r="R763" i="36"/>
  <c r="R765" i="36"/>
  <c r="R2485" i="36"/>
  <c r="R766" i="36"/>
  <c r="R1977" i="36"/>
  <c r="R767" i="36"/>
  <c r="R2337" i="36"/>
  <c r="R1978" i="36"/>
  <c r="I1976" i="36"/>
  <c r="I761" i="36"/>
  <c r="I760" i="36"/>
  <c r="I762" i="36"/>
  <c r="I764" i="36"/>
  <c r="I763" i="36"/>
  <c r="I765" i="36"/>
  <c r="I2485" i="36"/>
  <c r="I766" i="36"/>
  <c r="I1977" i="36"/>
  <c r="I767" i="36"/>
  <c r="I2337" i="36"/>
  <c r="I1978" i="36"/>
  <c r="I768" i="36"/>
  <c r="I769" i="36"/>
  <c r="I1979" i="36"/>
  <c r="I2338" i="36"/>
  <c r="I770" i="36"/>
  <c r="P1976" i="36"/>
  <c r="P761" i="36"/>
  <c r="P760" i="36"/>
  <c r="P762" i="36"/>
  <c r="P764" i="36"/>
  <c r="P763" i="36"/>
  <c r="P765" i="36"/>
  <c r="P2485" i="36"/>
  <c r="P766" i="36"/>
  <c r="P1977" i="36"/>
  <c r="P767" i="36"/>
  <c r="P2337" i="36"/>
  <c r="P1978" i="36"/>
  <c r="P768" i="36"/>
  <c r="P769" i="36"/>
  <c r="P1979" i="36"/>
  <c r="P2338" i="36"/>
  <c r="P770" i="36"/>
  <c r="Q1976" i="36"/>
  <c r="Q761" i="36"/>
  <c r="Q760" i="36"/>
  <c r="Q762" i="36"/>
  <c r="Q764" i="36"/>
  <c r="Q763" i="36"/>
  <c r="Q765" i="36"/>
  <c r="Q2485" i="36"/>
  <c r="Q766" i="36"/>
  <c r="Q1977" i="36"/>
  <c r="Q767" i="36"/>
  <c r="Q2337" i="36"/>
  <c r="Q1978" i="36"/>
  <c r="Q768" i="36"/>
  <c r="Q769" i="36"/>
  <c r="Q1979" i="36"/>
  <c r="Q2338" i="36"/>
  <c r="Q770" i="36"/>
  <c r="S1976" i="36"/>
  <c r="S761" i="36"/>
  <c r="S760" i="36"/>
  <c r="S762" i="36"/>
  <c r="S764" i="36"/>
  <c r="S763" i="36"/>
  <c r="S765" i="36"/>
  <c r="S2485" i="36"/>
  <c r="S766" i="36"/>
  <c r="S1977" i="36"/>
  <c r="S767" i="36"/>
  <c r="S2337" i="36"/>
  <c r="S1978" i="36"/>
  <c r="S768" i="36"/>
  <c r="S769" i="36"/>
  <c r="S1979" i="36"/>
  <c r="S2338" i="36"/>
  <c r="S770" i="36"/>
  <c r="T1976" i="36"/>
  <c r="T761" i="36"/>
  <c r="T760" i="36"/>
  <c r="T762" i="36"/>
  <c r="T764" i="36"/>
  <c r="T763" i="36"/>
  <c r="T765" i="36"/>
  <c r="T2485" i="36"/>
  <c r="T766" i="36"/>
  <c r="T1977" i="36"/>
  <c r="T767" i="36"/>
  <c r="T2337" i="36"/>
  <c r="T1978" i="36"/>
  <c r="T768" i="36"/>
  <c r="T769" i="36"/>
  <c r="T1979" i="36"/>
  <c r="T2338" i="36"/>
  <c r="T770" i="36"/>
  <c r="AA1976" i="36"/>
  <c r="AA761" i="36"/>
  <c r="AA760" i="36"/>
  <c r="AA762" i="36"/>
  <c r="AA764" i="36"/>
  <c r="AA763" i="36"/>
  <c r="AA765" i="36"/>
  <c r="AA2485" i="36"/>
  <c r="AA766" i="36"/>
  <c r="AA1977" i="36"/>
  <c r="AA767" i="36"/>
  <c r="AA2337" i="36"/>
  <c r="AA1978" i="36"/>
  <c r="AA768" i="36"/>
  <c r="AA769" i="36"/>
  <c r="AA1979" i="36"/>
  <c r="AA2338" i="36"/>
  <c r="AA770" i="36"/>
  <c r="AB1976" i="36"/>
  <c r="AB761" i="36"/>
  <c r="AB760" i="36"/>
  <c r="AB762" i="36"/>
  <c r="AB764" i="36"/>
  <c r="AB763" i="36"/>
  <c r="AB765" i="36"/>
  <c r="AB2485" i="36"/>
  <c r="AB766" i="36"/>
  <c r="AB1977" i="36"/>
  <c r="AB767" i="36"/>
  <c r="AB2337" i="36"/>
  <c r="AB1978" i="36"/>
  <c r="AB768" i="36"/>
  <c r="AB769" i="36"/>
  <c r="AB1979" i="36"/>
  <c r="AB2338" i="36"/>
  <c r="AB770" i="36"/>
  <c r="AA738" i="36"/>
  <c r="AB738" i="36"/>
  <c r="AA739" i="36"/>
  <c r="AB739" i="36"/>
  <c r="AA740" i="36"/>
  <c r="AB740" i="36"/>
  <c r="AA741" i="36"/>
  <c r="AB741" i="36"/>
  <c r="AA1972" i="36"/>
  <c r="AB1972" i="36"/>
  <c r="AA1971" i="36"/>
  <c r="AB1971" i="36"/>
  <c r="AA742" i="36"/>
  <c r="AB742" i="36"/>
  <c r="AA1973" i="36"/>
  <c r="AB1973" i="36"/>
  <c r="AA744" i="36"/>
  <c r="AB744" i="36"/>
  <c r="AA743" i="36"/>
  <c r="AB743" i="36"/>
  <c r="AA745" i="36"/>
  <c r="AB745" i="36"/>
  <c r="AA746" i="36"/>
  <c r="AB746" i="36"/>
  <c r="AA747" i="36"/>
  <c r="AB747" i="36"/>
  <c r="AA2335" i="36"/>
  <c r="AB2335" i="36"/>
  <c r="AA748" i="36"/>
  <c r="AB748" i="36"/>
  <c r="AA1974" i="36"/>
  <c r="AB1974" i="36"/>
  <c r="AA749" i="36"/>
  <c r="AB749" i="36"/>
  <c r="AA750" i="36"/>
  <c r="AB750" i="36"/>
  <c r="AA751" i="36"/>
  <c r="AB751" i="36"/>
  <c r="AA752" i="36"/>
  <c r="AB752" i="36"/>
  <c r="AA753" i="36"/>
  <c r="AB753" i="36"/>
  <c r="AA754" i="36"/>
  <c r="AB754" i="36"/>
  <c r="AA1975" i="36"/>
  <c r="AB1975" i="36"/>
  <c r="AA755" i="36"/>
  <c r="AB755" i="36"/>
  <c r="AA756" i="36"/>
  <c r="AB756" i="36"/>
  <c r="AA758" i="36"/>
  <c r="AB758" i="36"/>
  <c r="AA757" i="36"/>
  <c r="AB757" i="36"/>
  <c r="AA2336" i="36"/>
  <c r="AB2336" i="36"/>
  <c r="AA759" i="36"/>
  <c r="AB759" i="36"/>
  <c r="R747" i="36"/>
  <c r="R2335" i="36"/>
  <c r="R748" i="36"/>
  <c r="R1974" i="36"/>
  <c r="R749" i="36"/>
  <c r="R750" i="36"/>
  <c r="R751" i="36"/>
  <c r="R752" i="36"/>
  <c r="R753" i="36"/>
  <c r="R754" i="36"/>
  <c r="R1975" i="36"/>
  <c r="R755" i="36"/>
  <c r="R756" i="36"/>
  <c r="R689" i="36"/>
  <c r="R2483" i="36"/>
  <c r="R692" i="36"/>
  <c r="R693" i="36"/>
  <c r="R694" i="36"/>
  <c r="R695" i="36"/>
  <c r="R1954" i="36"/>
  <c r="R1956" i="36"/>
  <c r="R2329" i="36"/>
  <c r="R1957" i="36"/>
  <c r="R1958" i="36"/>
  <c r="R697" i="36"/>
  <c r="R2330" i="36"/>
  <c r="R1959" i="36"/>
  <c r="R698" i="36"/>
  <c r="R701" i="36"/>
  <c r="R700" i="36"/>
  <c r="R703" i="36"/>
  <c r="R702" i="36"/>
  <c r="R1960" i="36"/>
  <c r="R2331" i="36"/>
  <c r="R704" i="36"/>
  <c r="R1962" i="36"/>
  <c r="R705" i="36"/>
  <c r="R2332" i="36"/>
  <c r="R707" i="36"/>
  <c r="R708" i="36"/>
  <c r="R1963" i="36"/>
  <c r="R710" i="36"/>
  <c r="R711" i="36"/>
  <c r="R712" i="36"/>
  <c r="R713" i="36"/>
  <c r="R1964" i="36"/>
  <c r="R714" i="36"/>
  <c r="R716" i="36"/>
  <c r="R2333" i="36"/>
  <c r="R1965" i="36"/>
  <c r="R717" i="36"/>
  <c r="R718" i="36"/>
  <c r="R719" i="36"/>
  <c r="R720" i="36"/>
  <c r="R2555" i="36"/>
  <c r="R722" i="36"/>
  <c r="R723" i="36"/>
  <c r="R724" i="36"/>
  <c r="R726" i="36"/>
  <c r="R725" i="36"/>
  <c r="R727" i="36"/>
  <c r="R728" i="36"/>
  <c r="R1966" i="36"/>
  <c r="R1967" i="36"/>
  <c r="R1969" i="36"/>
  <c r="R729" i="36"/>
  <c r="R730" i="36"/>
  <c r="R2334" i="36"/>
  <c r="R732" i="36"/>
  <c r="R733" i="36"/>
  <c r="R734" i="36"/>
  <c r="R735" i="36"/>
  <c r="R736" i="36"/>
  <c r="R737" i="36"/>
  <c r="R1968" i="36"/>
  <c r="R1970" i="36"/>
  <c r="R738" i="36"/>
  <c r="R739" i="36"/>
  <c r="R740" i="36"/>
  <c r="R741" i="36"/>
  <c r="R1972" i="36"/>
  <c r="R1971" i="36"/>
  <c r="R742" i="36"/>
  <c r="R1973" i="36"/>
  <c r="R744" i="36"/>
  <c r="R743" i="36"/>
  <c r="R745" i="36"/>
  <c r="R746" i="36"/>
  <c r="I741" i="36"/>
  <c r="I740" i="36"/>
  <c r="I748" i="36"/>
  <c r="P748" i="36"/>
  <c r="Q748" i="36"/>
  <c r="S748" i="36"/>
  <c r="T748" i="36"/>
  <c r="I743" i="36"/>
  <c r="P743" i="36"/>
  <c r="Q743" i="36"/>
  <c r="S743" i="36"/>
  <c r="T743" i="36"/>
  <c r="I742" i="36"/>
  <c r="P742" i="36"/>
  <c r="Q742" i="36"/>
  <c r="S742" i="36"/>
  <c r="T742" i="36"/>
  <c r="I738" i="36"/>
  <c r="P738" i="36"/>
  <c r="Q738" i="36"/>
  <c r="S738" i="36"/>
  <c r="T738" i="36"/>
  <c r="I739" i="36"/>
  <c r="I1972" i="36"/>
  <c r="I1971" i="36"/>
  <c r="I1973" i="36"/>
  <c r="I744" i="36"/>
  <c r="I745" i="36"/>
  <c r="I746" i="36"/>
  <c r="I747" i="36"/>
  <c r="I2335" i="36"/>
  <c r="I1974" i="36"/>
  <c r="I749" i="36"/>
  <c r="I750" i="36"/>
  <c r="I751" i="36"/>
  <c r="I752" i="36"/>
  <c r="I753" i="36"/>
  <c r="I754" i="36"/>
  <c r="I1975" i="36"/>
  <c r="I755" i="36"/>
  <c r="I756" i="36"/>
  <c r="I758" i="36"/>
  <c r="I757" i="36"/>
  <c r="I2336" i="36"/>
  <c r="I759" i="36"/>
  <c r="P739" i="36"/>
  <c r="P740" i="36"/>
  <c r="P741" i="36"/>
  <c r="P1972" i="36"/>
  <c r="P1971" i="36"/>
  <c r="P1973" i="36"/>
  <c r="P744" i="36"/>
  <c r="P745" i="36"/>
  <c r="P746" i="36"/>
  <c r="P747" i="36"/>
  <c r="P2335" i="36"/>
  <c r="P1974" i="36"/>
  <c r="P749" i="36"/>
  <c r="P750" i="36"/>
  <c r="P751" i="36"/>
  <c r="P752" i="36"/>
  <c r="P753" i="36"/>
  <c r="P754" i="36"/>
  <c r="P1975" i="36"/>
  <c r="P755" i="36"/>
  <c r="P756" i="36"/>
  <c r="P758" i="36"/>
  <c r="P757" i="36"/>
  <c r="P2336" i="36"/>
  <c r="P759" i="36"/>
  <c r="Q739" i="36"/>
  <c r="Q740" i="36"/>
  <c r="Q741" i="36"/>
  <c r="Q1972" i="36"/>
  <c r="Q1971" i="36"/>
  <c r="Q1973" i="36"/>
  <c r="Q744" i="36"/>
  <c r="Q745" i="36"/>
  <c r="Q746" i="36"/>
  <c r="Q747" i="36"/>
  <c r="Q2335" i="36"/>
  <c r="Q1974" i="36"/>
  <c r="Q749" i="36"/>
  <c r="Q750" i="36"/>
  <c r="Q751" i="36"/>
  <c r="Q752" i="36"/>
  <c r="Q753" i="36"/>
  <c r="Q754" i="36"/>
  <c r="Q1975" i="36"/>
  <c r="Q755" i="36"/>
  <c r="Q756" i="36"/>
  <c r="Q758" i="36"/>
  <c r="Q757" i="36"/>
  <c r="Q2336" i="36"/>
  <c r="Q759" i="36"/>
  <c r="S739" i="36"/>
  <c r="S740" i="36"/>
  <c r="S741" i="36"/>
  <c r="S1972" i="36"/>
  <c r="S1971" i="36"/>
  <c r="S1973" i="36"/>
  <c r="S744" i="36"/>
  <c r="S745" i="36"/>
  <c r="S746" i="36"/>
  <c r="S747" i="36"/>
  <c r="S2335" i="36"/>
  <c r="S1974" i="36"/>
  <c r="S749" i="36"/>
  <c r="S750" i="36"/>
  <c r="S751" i="36"/>
  <c r="S752" i="36"/>
  <c r="S753" i="36"/>
  <c r="S754" i="36"/>
  <c r="S1975" i="36"/>
  <c r="S755" i="36"/>
  <c r="S756" i="36"/>
  <c r="S758" i="36"/>
  <c r="S757" i="36"/>
  <c r="S2336" i="36"/>
  <c r="S759" i="36"/>
  <c r="T739" i="36"/>
  <c r="T740" i="36"/>
  <c r="T741" i="36"/>
  <c r="T1972" i="36"/>
  <c r="T1971" i="36"/>
  <c r="T1973" i="36"/>
  <c r="T744" i="36"/>
  <c r="T745" i="36"/>
  <c r="T746" i="36"/>
  <c r="T747" i="36"/>
  <c r="T2335" i="36"/>
  <c r="T1974" i="36"/>
  <c r="T749" i="36"/>
  <c r="T750" i="36"/>
  <c r="T751" i="36"/>
  <c r="T752" i="36"/>
  <c r="T753" i="36"/>
  <c r="T754" i="36"/>
  <c r="T1975" i="36"/>
  <c r="T755" i="36"/>
  <c r="T756" i="36"/>
  <c r="T758" i="36"/>
  <c r="T757" i="36"/>
  <c r="T2336" i="36"/>
  <c r="T759" i="36"/>
  <c r="I1970" i="36"/>
  <c r="P1970" i="36"/>
  <c r="Q1970" i="36"/>
  <c r="S1970" i="36"/>
  <c r="T1970" i="36"/>
  <c r="AA1970" i="36"/>
  <c r="AB1970" i="36"/>
  <c r="AB736" i="36"/>
  <c r="AB737" i="36"/>
  <c r="I1968" i="36"/>
  <c r="P1968" i="36"/>
  <c r="Q1968" i="36"/>
  <c r="S1968" i="36"/>
  <c r="T1968" i="36"/>
  <c r="AA1968" i="36"/>
  <c r="AB1968" i="36"/>
  <c r="I709" i="36"/>
  <c r="I1963" i="36"/>
  <c r="I710" i="36"/>
  <c r="I711" i="36"/>
  <c r="I712" i="36"/>
  <c r="I713" i="36"/>
  <c r="I1964" i="36"/>
  <c r="I714" i="36"/>
  <c r="I715" i="36"/>
  <c r="I716" i="36"/>
  <c r="I2333" i="36"/>
  <c r="I1965" i="36"/>
  <c r="I717" i="36"/>
  <c r="I718" i="36"/>
  <c r="I719" i="36"/>
  <c r="I720" i="36"/>
  <c r="I721" i="36"/>
  <c r="I2555" i="36"/>
  <c r="I722" i="36"/>
  <c r="I723" i="36"/>
  <c r="I724" i="36"/>
  <c r="I726" i="36"/>
  <c r="I725" i="36"/>
  <c r="I727" i="36"/>
  <c r="I2484" i="36"/>
  <c r="I728" i="36"/>
  <c r="I1966" i="36"/>
  <c r="I1967" i="36"/>
  <c r="I1969" i="36"/>
  <c r="I729" i="36"/>
  <c r="I730" i="36"/>
  <c r="I2334" i="36"/>
  <c r="I731" i="36"/>
  <c r="I732" i="36"/>
  <c r="I733" i="36"/>
  <c r="I734" i="36"/>
  <c r="I735" i="36"/>
  <c r="I736" i="36"/>
  <c r="I737" i="36"/>
  <c r="P709" i="36"/>
  <c r="P1963" i="36"/>
  <c r="P710" i="36"/>
  <c r="P711" i="36"/>
  <c r="P712" i="36"/>
  <c r="P713" i="36"/>
  <c r="P1964" i="36"/>
  <c r="P714" i="36"/>
  <c r="P715" i="36"/>
  <c r="P716" i="36"/>
  <c r="P2333" i="36"/>
  <c r="P1965" i="36"/>
  <c r="P717" i="36"/>
  <c r="P718" i="36"/>
  <c r="P719" i="36"/>
  <c r="P720" i="36"/>
  <c r="P721" i="36"/>
  <c r="P2555" i="36"/>
  <c r="P722" i="36"/>
  <c r="P723" i="36"/>
  <c r="P724" i="36"/>
  <c r="P726" i="36"/>
  <c r="P725" i="36"/>
  <c r="P727" i="36"/>
  <c r="P2484" i="36"/>
  <c r="P728" i="36"/>
  <c r="P1966" i="36"/>
  <c r="P1967" i="36"/>
  <c r="P1969" i="36"/>
  <c r="P729" i="36"/>
  <c r="P730" i="36"/>
  <c r="P2334" i="36"/>
  <c r="P731" i="36"/>
  <c r="P732" i="36"/>
  <c r="P733" i="36"/>
  <c r="P734" i="36"/>
  <c r="P735" i="36"/>
  <c r="P736" i="36"/>
  <c r="P737" i="36"/>
  <c r="Q709" i="36"/>
  <c r="Q1963" i="36"/>
  <c r="Q710" i="36"/>
  <c r="Q711" i="36"/>
  <c r="Q712" i="36"/>
  <c r="Q713" i="36"/>
  <c r="Q1964" i="36"/>
  <c r="Q714" i="36"/>
  <c r="Q715" i="36"/>
  <c r="Q716" i="36"/>
  <c r="Q2333" i="36"/>
  <c r="Q1965" i="36"/>
  <c r="Q717" i="36"/>
  <c r="Q718" i="36"/>
  <c r="Q719" i="36"/>
  <c r="Q720" i="36"/>
  <c r="Q721" i="36"/>
  <c r="Q2555" i="36"/>
  <c r="Q722" i="36"/>
  <c r="Q723" i="36"/>
  <c r="Q724" i="36"/>
  <c r="Q726" i="36"/>
  <c r="Q725" i="36"/>
  <c r="Q727" i="36"/>
  <c r="Q2484" i="36"/>
  <c r="Q728" i="36"/>
  <c r="Q1966" i="36"/>
  <c r="Q1967" i="36"/>
  <c r="Q1969" i="36"/>
  <c r="Q729" i="36"/>
  <c r="Q730" i="36"/>
  <c r="Q2334" i="36"/>
  <c r="Q731" i="36"/>
  <c r="Q732" i="36"/>
  <c r="Q733" i="36"/>
  <c r="Q734" i="36"/>
  <c r="Q735" i="36"/>
  <c r="Q736" i="36"/>
  <c r="Q737" i="36"/>
  <c r="R709" i="36"/>
  <c r="R715" i="36"/>
  <c r="R721" i="36"/>
  <c r="R2484" i="36"/>
  <c r="R731" i="36"/>
  <c r="S709" i="36"/>
  <c r="S1963" i="36"/>
  <c r="S710" i="36"/>
  <c r="S711" i="36"/>
  <c r="S712" i="36"/>
  <c r="S713" i="36"/>
  <c r="S1964" i="36"/>
  <c r="S714" i="36"/>
  <c r="S715" i="36"/>
  <c r="S716" i="36"/>
  <c r="S2333" i="36"/>
  <c r="S1965" i="36"/>
  <c r="S717" i="36"/>
  <c r="S718" i="36"/>
  <c r="S719" i="36"/>
  <c r="S720" i="36"/>
  <c r="S721" i="36"/>
  <c r="S2555" i="36"/>
  <c r="S722" i="36"/>
  <c r="S723" i="36"/>
  <c r="S724" i="36"/>
  <c r="S726" i="36"/>
  <c r="S725" i="36"/>
  <c r="S727" i="36"/>
  <c r="S2484" i="36"/>
  <c r="S728" i="36"/>
  <c r="S1966" i="36"/>
  <c r="S1967" i="36"/>
  <c r="S1969" i="36"/>
  <c r="S729" i="36"/>
  <c r="S730" i="36"/>
  <c r="S2334" i="36"/>
  <c r="S731" i="36"/>
  <c r="S732" i="36"/>
  <c r="S733" i="36"/>
  <c r="S734" i="36"/>
  <c r="S735" i="36"/>
  <c r="S736" i="36"/>
  <c r="S737" i="36"/>
  <c r="T709" i="36"/>
  <c r="T1963" i="36"/>
  <c r="T710" i="36"/>
  <c r="T711" i="36"/>
  <c r="T712" i="36"/>
  <c r="T713" i="36"/>
  <c r="T1964" i="36"/>
  <c r="T714" i="36"/>
  <c r="T715" i="36"/>
  <c r="T716" i="36"/>
  <c r="T2333" i="36"/>
  <c r="T1965" i="36"/>
  <c r="T717" i="36"/>
  <c r="T718" i="36"/>
  <c r="T719" i="36"/>
  <c r="T720" i="36"/>
  <c r="T721" i="36"/>
  <c r="T2555" i="36"/>
  <c r="T722" i="36"/>
  <c r="T723" i="36"/>
  <c r="T724" i="36"/>
  <c r="T726" i="36"/>
  <c r="T725" i="36"/>
  <c r="T727" i="36"/>
  <c r="T2484" i="36"/>
  <c r="T728" i="36"/>
  <c r="T1966" i="36"/>
  <c r="T1967" i="36"/>
  <c r="T1969" i="36"/>
  <c r="T729" i="36"/>
  <c r="T730" i="36"/>
  <c r="T2334" i="36"/>
  <c r="T731" i="36"/>
  <c r="T732" i="36"/>
  <c r="T733" i="36"/>
  <c r="T734" i="36"/>
  <c r="T735" i="36"/>
  <c r="T736" i="36"/>
  <c r="T737" i="36"/>
  <c r="AA709" i="36"/>
  <c r="AA1963" i="36"/>
  <c r="AA710" i="36"/>
  <c r="AA711" i="36"/>
  <c r="AA712" i="36"/>
  <c r="AA713" i="36"/>
  <c r="AA1964" i="36"/>
  <c r="AA714" i="36"/>
  <c r="AA715" i="36"/>
  <c r="AA716" i="36"/>
  <c r="AA2333" i="36"/>
  <c r="AA1965" i="36"/>
  <c r="AA717" i="36"/>
  <c r="AA718" i="36"/>
  <c r="AA719" i="36"/>
  <c r="AA720" i="36"/>
  <c r="AA721" i="36"/>
  <c r="AA2555" i="36"/>
  <c r="AA722" i="36"/>
  <c r="AA723" i="36"/>
  <c r="AA724" i="36"/>
  <c r="AA726" i="36"/>
  <c r="AA725" i="36"/>
  <c r="AA727" i="36"/>
  <c r="AA2484" i="36"/>
  <c r="AA728" i="36"/>
  <c r="AA1966" i="36"/>
  <c r="AA1967" i="36"/>
  <c r="AA1969" i="36"/>
  <c r="AA729" i="36"/>
  <c r="AA730" i="36"/>
  <c r="AA2334" i="36"/>
  <c r="AA731" i="36"/>
  <c r="AA732" i="36"/>
  <c r="AA733" i="36"/>
  <c r="AA734" i="36"/>
  <c r="AA735" i="36"/>
  <c r="AA736" i="36"/>
  <c r="AA737" i="36"/>
  <c r="AB709" i="36"/>
  <c r="AB1963" i="36"/>
  <c r="AB710" i="36"/>
  <c r="AB711" i="36"/>
  <c r="AB712" i="36"/>
  <c r="AB713" i="36"/>
  <c r="AB1964" i="36"/>
  <c r="AB714" i="36"/>
  <c r="AB715" i="36"/>
  <c r="AB716" i="36"/>
  <c r="AB2333" i="36"/>
  <c r="AB1965" i="36"/>
  <c r="AB717" i="36"/>
  <c r="AB718" i="36"/>
  <c r="AB719" i="36"/>
  <c r="AB720" i="36"/>
  <c r="AB721" i="36"/>
  <c r="AB2555" i="36"/>
  <c r="AB722" i="36"/>
  <c r="AB723" i="36"/>
  <c r="AB724" i="36"/>
  <c r="AB726" i="36"/>
  <c r="AB725" i="36"/>
  <c r="AB727" i="36"/>
  <c r="AB2484" i="36"/>
  <c r="AB728" i="36"/>
  <c r="AB1966" i="36"/>
  <c r="AB1967" i="36"/>
  <c r="AB1969" i="36"/>
  <c r="AB729" i="36"/>
  <c r="AB730" i="36"/>
  <c r="AB2334" i="36"/>
  <c r="AB731" i="36"/>
  <c r="AB732" i="36"/>
  <c r="AB733" i="36"/>
  <c r="AB734" i="36"/>
  <c r="AB735" i="36"/>
  <c r="L696" i="36"/>
  <c r="Q696" i="36"/>
  <c r="K696" i="36"/>
  <c r="P696" i="36"/>
  <c r="I708" i="36"/>
  <c r="P708" i="36"/>
  <c r="Q708" i="36"/>
  <c r="S708" i="36"/>
  <c r="T708" i="36"/>
  <c r="AA708" i="36"/>
  <c r="AB708" i="36"/>
  <c r="I707" i="36"/>
  <c r="P707" i="36"/>
  <c r="Q707" i="36"/>
  <c r="S707" i="36"/>
  <c r="T707" i="36"/>
  <c r="AA707" i="36"/>
  <c r="AB707" i="36"/>
  <c r="I2332" i="36"/>
  <c r="P2332" i="36"/>
  <c r="Q2332" i="36"/>
  <c r="S2332" i="36"/>
  <c r="T2332" i="36"/>
  <c r="AA2332" i="36"/>
  <c r="AB2332" i="36"/>
  <c r="I705" i="36"/>
  <c r="P705" i="36"/>
  <c r="Q705" i="36"/>
  <c r="S705" i="36"/>
  <c r="T705" i="36"/>
  <c r="AA705" i="36"/>
  <c r="AB705" i="36"/>
  <c r="I706" i="36"/>
  <c r="R706" i="36"/>
  <c r="P706" i="36"/>
  <c r="Q706" i="36"/>
  <c r="S706" i="36"/>
  <c r="T706" i="36"/>
  <c r="AA706" i="36"/>
  <c r="AB706" i="36"/>
  <c r="I1962" i="36"/>
  <c r="P1962" i="36"/>
  <c r="Q1962" i="36"/>
  <c r="S1962" i="36"/>
  <c r="T1962" i="36"/>
  <c r="AA1962" i="36"/>
  <c r="AB1962" i="36"/>
  <c r="I704" i="36"/>
  <c r="P704" i="36"/>
  <c r="Q704" i="36"/>
  <c r="S704" i="36"/>
  <c r="T704" i="36"/>
  <c r="AA704" i="36"/>
  <c r="AB704" i="36"/>
  <c r="I1961" i="36"/>
  <c r="R1961" i="36"/>
  <c r="P1961" i="36"/>
  <c r="Q1961" i="36"/>
  <c r="S1961" i="36"/>
  <c r="T1961" i="36"/>
  <c r="AA1961" i="36"/>
  <c r="AB1961" i="36"/>
  <c r="I2331" i="36"/>
  <c r="P2331" i="36"/>
  <c r="Q2331" i="36"/>
  <c r="S2331" i="36"/>
  <c r="T2331" i="36"/>
  <c r="AA2331" i="36"/>
  <c r="AB2331" i="36"/>
  <c r="I1960" i="36"/>
  <c r="P1960" i="36"/>
  <c r="Q1960" i="36"/>
  <c r="S1960" i="36"/>
  <c r="T1960" i="36"/>
  <c r="AA1960" i="36"/>
  <c r="AB1960" i="36"/>
  <c r="I702" i="36"/>
  <c r="P702" i="36"/>
  <c r="Q702" i="36"/>
  <c r="S702" i="36"/>
  <c r="T702" i="36"/>
  <c r="AA702" i="36"/>
  <c r="AB702" i="36"/>
  <c r="I703" i="36"/>
  <c r="P703" i="36"/>
  <c r="Q703" i="36"/>
  <c r="S703" i="36"/>
  <c r="T703" i="36"/>
  <c r="AA703" i="36"/>
  <c r="AB703" i="36"/>
  <c r="I700" i="36"/>
  <c r="P700" i="36"/>
  <c r="Q700" i="36"/>
  <c r="S700" i="36"/>
  <c r="T700" i="36"/>
  <c r="AA700" i="36"/>
  <c r="AB700" i="36"/>
  <c r="I701" i="36"/>
  <c r="P701" i="36"/>
  <c r="Q701" i="36"/>
  <c r="S701" i="36"/>
  <c r="T701" i="36"/>
  <c r="AA701" i="36"/>
  <c r="AB701" i="36"/>
  <c r="I698" i="36"/>
  <c r="P698" i="36"/>
  <c r="Q698" i="36"/>
  <c r="S698" i="36"/>
  <c r="T698" i="36"/>
  <c r="AA698" i="36"/>
  <c r="AB698" i="36"/>
  <c r="I699" i="36"/>
  <c r="R699" i="36"/>
  <c r="P699" i="36"/>
  <c r="Q699" i="36"/>
  <c r="S699" i="36"/>
  <c r="T699" i="36"/>
  <c r="AA699" i="36"/>
  <c r="AB699" i="36"/>
  <c r="I1959" i="36"/>
  <c r="P1959" i="36"/>
  <c r="Q1959" i="36"/>
  <c r="S1959" i="36"/>
  <c r="T1959" i="36"/>
  <c r="AA1959" i="36"/>
  <c r="AB1959" i="36"/>
  <c r="I2330" i="36"/>
  <c r="P2330" i="36"/>
  <c r="Q2330" i="36"/>
  <c r="S2330" i="36"/>
  <c r="T2330" i="36"/>
  <c r="AA2330" i="36"/>
  <c r="AB2330" i="36"/>
  <c r="I697" i="36"/>
  <c r="P697" i="36"/>
  <c r="Q697" i="36"/>
  <c r="S697" i="36"/>
  <c r="T697" i="36"/>
  <c r="AA697" i="36"/>
  <c r="AB697" i="36"/>
  <c r="I1958" i="36"/>
  <c r="P1958" i="36"/>
  <c r="Q1958" i="36"/>
  <c r="S1958" i="36"/>
  <c r="T1958" i="36"/>
  <c r="AA1958" i="36"/>
  <c r="AB1958" i="36"/>
  <c r="I696" i="36"/>
  <c r="S696" i="36"/>
  <c r="T696" i="36"/>
  <c r="AA696" i="36"/>
  <c r="I1957" i="36"/>
  <c r="P1957" i="36"/>
  <c r="Q1957" i="36"/>
  <c r="S1957" i="36"/>
  <c r="T1957" i="36"/>
  <c r="AA1957" i="36"/>
  <c r="AB1957" i="36"/>
  <c r="I2329" i="36"/>
  <c r="P2329" i="36"/>
  <c r="Q2329" i="36"/>
  <c r="S2329" i="36"/>
  <c r="T2329" i="36"/>
  <c r="AA2329" i="36"/>
  <c r="AB2329" i="36"/>
  <c r="I1956" i="36"/>
  <c r="P1956" i="36"/>
  <c r="Q1956" i="36"/>
  <c r="S1956" i="36"/>
  <c r="T1956" i="36"/>
  <c r="AA1956" i="36"/>
  <c r="AB1956" i="36"/>
  <c r="I1955" i="36"/>
  <c r="R1955" i="36"/>
  <c r="P1955" i="36"/>
  <c r="Q1955" i="36"/>
  <c r="S1955" i="36"/>
  <c r="T1955" i="36"/>
  <c r="AA1955" i="36"/>
  <c r="AB1955" i="36"/>
  <c r="I2640" i="36"/>
  <c r="AL1952" i="36"/>
  <c r="R679" i="36"/>
  <c r="I679" i="36"/>
  <c r="P679" i="36"/>
  <c r="Q679" i="36"/>
  <c r="S679" i="36"/>
  <c r="T679" i="36"/>
  <c r="AA679" i="36"/>
  <c r="AB679" i="36"/>
  <c r="I2325" i="36"/>
  <c r="R2325" i="36"/>
  <c r="P2325" i="36"/>
  <c r="Q2325" i="36"/>
  <c r="S2325" i="36"/>
  <c r="T2325" i="36"/>
  <c r="AA2325" i="36"/>
  <c r="AB2325" i="36"/>
  <c r="I680" i="36"/>
  <c r="R680" i="36"/>
  <c r="P680" i="36"/>
  <c r="Q680" i="36"/>
  <c r="S680" i="36"/>
  <c r="T680" i="36"/>
  <c r="AA680" i="36"/>
  <c r="AB680" i="36"/>
  <c r="I2596" i="36"/>
  <c r="R2596" i="36"/>
  <c r="P2596" i="36"/>
  <c r="Q2596" i="36"/>
  <c r="S2596" i="36"/>
  <c r="T2596" i="36"/>
  <c r="AA2596" i="36"/>
  <c r="AB2596" i="36"/>
  <c r="I2326" i="36"/>
  <c r="R2326" i="36"/>
  <c r="P2326" i="36"/>
  <c r="Q2326" i="36"/>
  <c r="S2326" i="36"/>
  <c r="T2326" i="36"/>
  <c r="AA2326" i="36"/>
  <c r="AB2326" i="36"/>
  <c r="I1952" i="36"/>
  <c r="R1952" i="36"/>
  <c r="P1952" i="36"/>
  <c r="Q1952" i="36"/>
  <c r="S1952" i="36"/>
  <c r="T1952" i="36"/>
  <c r="AA1952" i="36"/>
  <c r="AB1952" i="36"/>
  <c r="I682" i="36"/>
  <c r="R682" i="36"/>
  <c r="P682" i="36"/>
  <c r="Q682" i="36"/>
  <c r="S682" i="36"/>
  <c r="T682" i="36"/>
  <c r="AA682" i="36"/>
  <c r="AB682" i="36"/>
  <c r="I681" i="36"/>
  <c r="R681" i="36"/>
  <c r="P681" i="36"/>
  <c r="Q681" i="36"/>
  <c r="S681" i="36"/>
  <c r="T681" i="36"/>
  <c r="AA681" i="36"/>
  <c r="AB681" i="36"/>
  <c r="I2482" i="36"/>
  <c r="R2482" i="36"/>
  <c r="P2482" i="36"/>
  <c r="Q2482" i="36"/>
  <c r="S2482" i="36"/>
  <c r="T2482" i="36"/>
  <c r="AA2482" i="36"/>
  <c r="AB2482" i="36"/>
  <c r="I684" i="36"/>
  <c r="R684" i="36"/>
  <c r="P684" i="36"/>
  <c r="Q684" i="36"/>
  <c r="S684" i="36"/>
  <c r="T684" i="36"/>
  <c r="AA684" i="36"/>
  <c r="AB684" i="36"/>
  <c r="I683" i="36"/>
  <c r="R683" i="36"/>
  <c r="P683" i="36"/>
  <c r="Q683" i="36"/>
  <c r="S683" i="36"/>
  <c r="T683" i="36"/>
  <c r="AA683" i="36"/>
  <c r="AB683" i="36"/>
  <c r="I2327" i="36"/>
  <c r="R2327" i="36"/>
  <c r="P2327" i="36"/>
  <c r="Q2327" i="36"/>
  <c r="S2327" i="36"/>
  <c r="T2327" i="36"/>
  <c r="AA2327" i="36"/>
  <c r="AB2327" i="36"/>
  <c r="I685" i="36"/>
  <c r="R685" i="36"/>
  <c r="P685" i="36"/>
  <c r="Q685" i="36"/>
  <c r="S685" i="36"/>
  <c r="T685" i="36"/>
  <c r="AA685" i="36"/>
  <c r="AB685" i="36"/>
  <c r="I686" i="36"/>
  <c r="R686" i="36"/>
  <c r="P686" i="36"/>
  <c r="Q686" i="36"/>
  <c r="S686" i="36"/>
  <c r="T686" i="36"/>
  <c r="AA686" i="36"/>
  <c r="AB686" i="36"/>
  <c r="I687" i="36"/>
  <c r="R687" i="36"/>
  <c r="P687" i="36"/>
  <c r="Q687" i="36"/>
  <c r="S687" i="36"/>
  <c r="T687" i="36"/>
  <c r="AA687" i="36"/>
  <c r="AB687" i="36"/>
  <c r="I2328" i="36"/>
  <c r="R2328" i="36"/>
  <c r="P2328" i="36"/>
  <c r="Q2328" i="36"/>
  <c r="S2328" i="36"/>
  <c r="T2328" i="36"/>
  <c r="AA2328" i="36"/>
  <c r="AB2328" i="36"/>
  <c r="I1953" i="36"/>
  <c r="R1953" i="36"/>
  <c r="P1953" i="36"/>
  <c r="Q1953" i="36"/>
  <c r="S1953" i="36"/>
  <c r="T1953" i="36"/>
  <c r="AA1953" i="36"/>
  <c r="AB1953" i="36"/>
  <c r="I688" i="36"/>
  <c r="R688" i="36"/>
  <c r="P688" i="36"/>
  <c r="Q688" i="36"/>
  <c r="S688" i="36"/>
  <c r="T688" i="36"/>
  <c r="AA688" i="36"/>
  <c r="AB688" i="36"/>
  <c r="I689" i="36"/>
  <c r="P689" i="36"/>
  <c r="Q689" i="36"/>
  <c r="S689" i="36"/>
  <c r="T689" i="36"/>
  <c r="AA689" i="36"/>
  <c r="AB689" i="36"/>
  <c r="I690" i="36"/>
  <c r="R690" i="36"/>
  <c r="P690" i="36"/>
  <c r="Q690" i="36"/>
  <c r="S690" i="36"/>
  <c r="T690" i="36"/>
  <c r="AA690" i="36"/>
  <c r="AB690" i="36"/>
  <c r="I2483" i="36"/>
  <c r="P2483" i="36"/>
  <c r="Q2483" i="36"/>
  <c r="S2483" i="36"/>
  <c r="T2483" i="36"/>
  <c r="AA2483" i="36"/>
  <c r="AB2483" i="36"/>
  <c r="I691" i="36"/>
  <c r="R691" i="36"/>
  <c r="P691" i="36"/>
  <c r="Q691" i="36"/>
  <c r="S691" i="36"/>
  <c r="T691" i="36"/>
  <c r="AA691" i="36"/>
  <c r="AB691" i="36"/>
  <c r="I692" i="36"/>
  <c r="P692" i="36"/>
  <c r="Q692" i="36"/>
  <c r="S692" i="36"/>
  <c r="T692" i="36"/>
  <c r="AA692" i="36"/>
  <c r="AB692" i="36"/>
  <c r="I693" i="36"/>
  <c r="P693" i="36"/>
  <c r="Q693" i="36"/>
  <c r="S693" i="36"/>
  <c r="T693" i="36"/>
  <c r="AA693" i="36"/>
  <c r="AB693" i="36"/>
  <c r="I694" i="36"/>
  <c r="P694" i="36"/>
  <c r="Q694" i="36"/>
  <c r="S694" i="36"/>
  <c r="T694" i="36"/>
  <c r="AA694" i="36"/>
  <c r="AB694" i="36"/>
  <c r="I695" i="36"/>
  <c r="P695" i="36"/>
  <c r="Q695" i="36"/>
  <c r="S695" i="36"/>
  <c r="T695" i="36"/>
  <c r="AA695" i="36"/>
  <c r="AB695" i="36"/>
  <c r="I1954" i="36"/>
  <c r="P1954" i="36"/>
  <c r="Q1954" i="36"/>
  <c r="S1954" i="36"/>
  <c r="T1954" i="36"/>
  <c r="AA1954" i="36"/>
  <c r="AB1954" i="36"/>
  <c r="I2" i="36"/>
  <c r="M2" i="36"/>
  <c r="AA2" i="36"/>
  <c r="I3" i="36"/>
  <c r="AA3" i="36"/>
  <c r="I4" i="36"/>
  <c r="AA4" i="36"/>
  <c r="I5" i="36"/>
  <c r="AA5" i="36"/>
  <c r="I6" i="36"/>
  <c r="AA6" i="36"/>
  <c r="I7" i="36"/>
  <c r="AA7" i="36"/>
  <c r="I8" i="36"/>
  <c r="AA8" i="36"/>
  <c r="I9" i="36"/>
  <c r="AA9" i="36"/>
  <c r="I10" i="36"/>
  <c r="AA10" i="36"/>
  <c r="I11" i="36"/>
  <c r="AA11" i="36"/>
  <c r="I12" i="36"/>
  <c r="AA12" i="36"/>
  <c r="I13" i="36"/>
  <c r="AA13" i="36"/>
  <c r="I14" i="36"/>
  <c r="AA14" i="36"/>
  <c r="I15" i="36"/>
  <c r="AA15" i="36"/>
  <c r="I16" i="36"/>
  <c r="AA16" i="36"/>
  <c r="I17" i="36"/>
  <c r="AA17" i="36"/>
  <c r="I18" i="36"/>
  <c r="AA18" i="36"/>
  <c r="I19" i="36"/>
  <c r="AA19" i="36"/>
  <c r="I20" i="36"/>
  <c r="AA20" i="36"/>
  <c r="I21" i="36"/>
  <c r="AA21" i="36"/>
  <c r="I22" i="36"/>
  <c r="AA22" i="36"/>
  <c r="I23" i="36"/>
  <c r="AA23" i="36"/>
  <c r="I2231" i="36"/>
  <c r="AA2231" i="36"/>
  <c r="I24" i="36"/>
  <c r="AA24" i="36"/>
  <c r="I25" i="36"/>
  <c r="AA25" i="36"/>
  <c r="I26" i="36"/>
  <c r="AA26" i="36"/>
  <c r="I27" i="36"/>
  <c r="AA27" i="36"/>
  <c r="I28" i="36"/>
  <c r="AA28" i="36"/>
  <c r="I2232" i="36"/>
  <c r="AA2232" i="36"/>
  <c r="I29" i="36"/>
  <c r="AA29" i="36"/>
  <c r="I1704" i="36"/>
  <c r="AA1704" i="36"/>
  <c r="I30" i="36"/>
  <c r="R30" i="36"/>
  <c r="P30" i="36"/>
  <c r="Q30" i="36"/>
  <c r="S30" i="36"/>
  <c r="T30" i="36"/>
  <c r="AA30" i="36"/>
  <c r="AB30" i="36"/>
  <c r="I31" i="36"/>
  <c r="R31" i="36"/>
  <c r="P31" i="36"/>
  <c r="Q31" i="36"/>
  <c r="S31" i="36"/>
  <c r="T31" i="36"/>
  <c r="AA31" i="36"/>
  <c r="AB31" i="36"/>
  <c r="I32" i="36"/>
  <c r="R32" i="36"/>
  <c r="P32" i="36"/>
  <c r="Q32" i="36"/>
  <c r="S32" i="36"/>
  <c r="T32" i="36"/>
  <c r="AA32" i="36"/>
  <c r="AB32" i="36"/>
  <c r="I34" i="36"/>
  <c r="AA34" i="36"/>
  <c r="I33" i="36"/>
  <c r="R33" i="36"/>
  <c r="P33" i="36"/>
  <c r="Q33" i="36"/>
  <c r="S33" i="36"/>
  <c r="T33" i="36"/>
  <c r="AA33" i="36"/>
  <c r="AB33" i="36"/>
  <c r="I35" i="36"/>
  <c r="R35" i="36"/>
  <c r="P35" i="36"/>
  <c r="Q35" i="36"/>
  <c r="S35" i="36"/>
  <c r="T35" i="36"/>
  <c r="AA35" i="36"/>
  <c r="AB35" i="36"/>
  <c r="I37" i="36"/>
  <c r="R37" i="36"/>
  <c r="P37" i="36"/>
  <c r="Q37" i="36"/>
  <c r="S37" i="36"/>
  <c r="T37" i="36"/>
  <c r="AA37" i="36"/>
  <c r="I36" i="36"/>
  <c r="R36" i="36"/>
  <c r="P36" i="36"/>
  <c r="Q36" i="36"/>
  <c r="S36" i="36"/>
  <c r="T36" i="36"/>
  <c r="AA36" i="36"/>
  <c r="AB36" i="36"/>
  <c r="I38" i="36"/>
  <c r="R38" i="36"/>
  <c r="P38" i="36"/>
  <c r="Q38" i="36"/>
  <c r="S38" i="36"/>
  <c r="T38" i="36"/>
  <c r="AA38" i="36"/>
  <c r="AB38" i="36"/>
  <c r="I39" i="36"/>
  <c r="R39" i="36"/>
  <c r="P39" i="36"/>
  <c r="Q39" i="36"/>
  <c r="S39" i="36"/>
  <c r="T39" i="36"/>
  <c r="AA39" i="36"/>
  <c r="AB39" i="36"/>
  <c r="I41" i="36"/>
  <c r="AA41" i="36"/>
  <c r="I40" i="36"/>
  <c r="R40" i="36"/>
  <c r="P40" i="36"/>
  <c r="Q40" i="36"/>
  <c r="S40" i="36"/>
  <c r="T40" i="36"/>
  <c r="AA40" i="36"/>
  <c r="AB40" i="36"/>
  <c r="I42" i="36"/>
  <c r="R42" i="36"/>
  <c r="P42" i="36"/>
  <c r="Q42" i="36"/>
  <c r="S42" i="36"/>
  <c r="T42" i="36"/>
  <c r="AA42" i="36"/>
  <c r="AB42" i="36"/>
  <c r="I1705" i="36"/>
  <c r="R1705" i="36"/>
  <c r="P1705" i="36"/>
  <c r="Q1705" i="36"/>
  <c r="S1705" i="36"/>
  <c r="T1705" i="36"/>
  <c r="AA1705" i="36"/>
  <c r="AB1705" i="36"/>
  <c r="I43" i="36"/>
  <c r="R43" i="36"/>
  <c r="P43" i="36"/>
  <c r="Q43" i="36"/>
  <c r="S43" i="36"/>
  <c r="T43" i="36"/>
  <c r="AA43" i="36"/>
  <c r="AB43" i="36"/>
  <c r="I44" i="36"/>
  <c r="R44" i="36"/>
  <c r="P44" i="36"/>
  <c r="Q44" i="36"/>
  <c r="S44" i="36"/>
  <c r="T44" i="36"/>
  <c r="AA44" i="36"/>
  <c r="AB44" i="36"/>
  <c r="I45" i="36"/>
  <c r="R45" i="36"/>
  <c r="P45" i="36"/>
  <c r="Q45" i="36"/>
  <c r="S45" i="36"/>
  <c r="T45" i="36"/>
  <c r="AA45" i="36"/>
  <c r="AB45" i="36"/>
  <c r="I46" i="36"/>
  <c r="AA46" i="36"/>
  <c r="I1706" i="36"/>
  <c r="R1706" i="36"/>
  <c r="P1706" i="36"/>
  <c r="Q1706" i="36"/>
  <c r="S1706" i="36"/>
  <c r="T1706" i="36"/>
  <c r="AA1706" i="36"/>
  <c r="AB1706" i="36"/>
  <c r="I47" i="36"/>
  <c r="R47" i="36"/>
  <c r="P47" i="36"/>
  <c r="Q47" i="36"/>
  <c r="S47" i="36"/>
  <c r="T47" i="36"/>
  <c r="AA47" i="36"/>
  <c r="AB47" i="36"/>
  <c r="I1707" i="36"/>
  <c r="R1707" i="36"/>
  <c r="P1707" i="36"/>
  <c r="Q1707" i="36"/>
  <c r="S1707" i="36"/>
  <c r="T1707" i="36"/>
  <c r="AA1707" i="36"/>
  <c r="AB1707" i="36"/>
  <c r="I48" i="36"/>
  <c r="AA48" i="36"/>
  <c r="I49" i="36"/>
  <c r="R49" i="36"/>
  <c r="P49" i="36"/>
  <c r="Q49" i="36"/>
  <c r="S49" i="36"/>
  <c r="T49" i="36"/>
  <c r="AA49" i="36"/>
  <c r="AB49" i="36"/>
  <c r="I50" i="36"/>
  <c r="R50" i="36"/>
  <c r="P50" i="36"/>
  <c r="Q50" i="36"/>
  <c r="S50" i="36"/>
  <c r="T50" i="36"/>
  <c r="AA50" i="36"/>
  <c r="AB50" i="36"/>
  <c r="I52" i="36"/>
  <c r="R52" i="36"/>
  <c r="P52" i="36"/>
  <c r="Q52" i="36"/>
  <c r="S52" i="36"/>
  <c r="T52" i="36"/>
  <c r="AA52" i="36"/>
  <c r="I51" i="36"/>
  <c r="R51" i="36"/>
  <c r="P51" i="36"/>
  <c r="Q51" i="36"/>
  <c r="S51" i="36"/>
  <c r="T51" i="36"/>
  <c r="AA51" i="36"/>
  <c r="AB51" i="36"/>
  <c r="I53" i="36"/>
  <c r="R53" i="36"/>
  <c r="P53" i="36"/>
  <c r="Q53" i="36"/>
  <c r="S53" i="36"/>
  <c r="T53" i="36"/>
  <c r="AA53" i="36"/>
  <c r="AB53" i="36"/>
  <c r="I54" i="36"/>
  <c r="R54" i="36"/>
  <c r="P54" i="36"/>
  <c r="Q54" i="36"/>
  <c r="S54" i="36"/>
  <c r="T54" i="36"/>
  <c r="AA54" i="36"/>
  <c r="AB54" i="36"/>
  <c r="I55" i="36"/>
  <c r="R55" i="36"/>
  <c r="P55" i="36"/>
  <c r="Q55" i="36"/>
  <c r="S55" i="36"/>
  <c r="T55" i="36"/>
  <c r="AA55" i="36"/>
  <c r="AB55" i="36"/>
  <c r="I56" i="36"/>
  <c r="R56" i="36"/>
  <c r="P56" i="36"/>
  <c r="Q56" i="36"/>
  <c r="S56" i="36"/>
  <c r="T56" i="36"/>
  <c r="AA56" i="36"/>
  <c r="AB56" i="36"/>
  <c r="I57" i="36"/>
  <c r="R57" i="36"/>
  <c r="P57" i="36"/>
  <c r="Q57" i="36"/>
  <c r="S57" i="36"/>
  <c r="T57" i="36"/>
  <c r="AA57" i="36"/>
  <c r="AB57" i="36"/>
  <c r="I58" i="36"/>
  <c r="R58" i="36"/>
  <c r="P58" i="36"/>
  <c r="Q58" i="36"/>
  <c r="S58" i="36"/>
  <c r="T58" i="36"/>
  <c r="AA58" i="36"/>
  <c r="AB58" i="36"/>
  <c r="I1708" i="36"/>
  <c r="R1708" i="36"/>
  <c r="P1708" i="36"/>
  <c r="Q1708" i="36"/>
  <c r="S1708" i="36"/>
  <c r="T1708" i="36"/>
  <c r="AA1708" i="36"/>
  <c r="AB1708" i="36"/>
  <c r="I59" i="36"/>
  <c r="R59" i="36"/>
  <c r="P59" i="36"/>
  <c r="Q59" i="36"/>
  <c r="S59" i="36"/>
  <c r="T59" i="36"/>
  <c r="AA59" i="36"/>
  <c r="AB59" i="36"/>
  <c r="I60" i="36"/>
  <c r="R60" i="36"/>
  <c r="P60" i="36"/>
  <c r="Q60" i="36"/>
  <c r="S60" i="36"/>
  <c r="T60" i="36"/>
  <c r="AA60" i="36"/>
  <c r="AB60" i="36"/>
  <c r="I2233" i="36"/>
  <c r="R2233" i="36"/>
  <c r="P2233" i="36"/>
  <c r="Q2233" i="36"/>
  <c r="S2233" i="36"/>
  <c r="T2233" i="36"/>
  <c r="AA2233" i="36"/>
  <c r="AB2233" i="36"/>
  <c r="I61" i="36"/>
  <c r="R61" i="36"/>
  <c r="P61" i="36"/>
  <c r="Q61" i="36"/>
  <c r="S61" i="36"/>
  <c r="T61" i="36"/>
  <c r="AA61" i="36"/>
  <c r="AB61" i="36"/>
  <c r="I62" i="36"/>
  <c r="R62" i="36"/>
  <c r="P62" i="36"/>
  <c r="Q62" i="36"/>
  <c r="S62" i="36"/>
  <c r="T62" i="36"/>
  <c r="AA62" i="36"/>
  <c r="AB62" i="36"/>
  <c r="I63" i="36"/>
  <c r="R63" i="36"/>
  <c r="P63" i="36"/>
  <c r="Q63" i="36"/>
  <c r="S63" i="36"/>
  <c r="T63" i="36"/>
  <c r="AA63" i="36"/>
  <c r="AB63" i="36"/>
  <c r="I64" i="36"/>
  <c r="R64" i="36"/>
  <c r="P64" i="36"/>
  <c r="Q64" i="36"/>
  <c r="S64" i="36"/>
  <c r="T64" i="36"/>
  <c r="AA64" i="36"/>
  <c r="AB64" i="36"/>
  <c r="I65" i="36"/>
  <c r="R65" i="36"/>
  <c r="P65" i="36"/>
  <c r="Q65" i="36"/>
  <c r="S65" i="36"/>
  <c r="T65" i="36"/>
  <c r="AA65" i="36"/>
  <c r="AB65" i="36"/>
  <c r="I66" i="36"/>
  <c r="R66" i="36"/>
  <c r="P66" i="36"/>
  <c r="Q66" i="36"/>
  <c r="S66" i="36"/>
  <c r="T66" i="36"/>
  <c r="AA66" i="36"/>
  <c r="AB66" i="36"/>
  <c r="I2234" i="36"/>
  <c r="R2234" i="36"/>
  <c r="P2234" i="36"/>
  <c r="Q2234" i="36"/>
  <c r="S2234" i="36"/>
  <c r="T2234" i="36"/>
  <c r="AA2234" i="36"/>
  <c r="AB2234" i="36"/>
  <c r="I67" i="36"/>
  <c r="R67" i="36"/>
  <c r="P67" i="36"/>
  <c r="Q67" i="36"/>
  <c r="S67" i="36"/>
  <c r="T67" i="36"/>
  <c r="AA67" i="36"/>
  <c r="AB67" i="36"/>
  <c r="I1709" i="36"/>
  <c r="R1709" i="36"/>
  <c r="P1709" i="36"/>
  <c r="Q1709" i="36"/>
  <c r="S1709" i="36"/>
  <c r="T1709" i="36"/>
  <c r="AA1709" i="36"/>
  <c r="AB1709" i="36"/>
  <c r="I68" i="36"/>
  <c r="R68" i="36"/>
  <c r="P68" i="36"/>
  <c r="Q68" i="36"/>
  <c r="S68" i="36"/>
  <c r="T68" i="36"/>
  <c r="AA68" i="36"/>
  <c r="AB68" i="36"/>
  <c r="I69" i="36"/>
  <c r="R69" i="36"/>
  <c r="P69" i="36"/>
  <c r="Q69" i="36"/>
  <c r="S69" i="36"/>
  <c r="T69" i="36"/>
  <c r="AA69" i="36"/>
  <c r="AB69" i="36"/>
  <c r="I70" i="36"/>
  <c r="R70" i="36"/>
  <c r="P70" i="36"/>
  <c r="Q70" i="36"/>
  <c r="S70" i="36"/>
  <c r="T70" i="36"/>
  <c r="AA70" i="36"/>
  <c r="AB70" i="36"/>
  <c r="I71" i="36"/>
  <c r="R71" i="36"/>
  <c r="P71" i="36"/>
  <c r="Q71" i="36"/>
  <c r="S71" i="36"/>
  <c r="T71" i="36"/>
  <c r="AA71" i="36"/>
  <c r="AB71" i="36"/>
  <c r="I72" i="36"/>
  <c r="R72" i="36"/>
  <c r="P72" i="36"/>
  <c r="Q72" i="36"/>
  <c r="S72" i="36"/>
  <c r="T72" i="36"/>
  <c r="AA72" i="36"/>
  <c r="AB72" i="36"/>
  <c r="I73" i="36"/>
  <c r="R73" i="36"/>
  <c r="P73" i="36"/>
  <c r="Q73" i="36"/>
  <c r="S73" i="36"/>
  <c r="T73" i="36"/>
  <c r="AA73" i="36"/>
  <c r="AB73" i="36"/>
  <c r="I74" i="36"/>
  <c r="R74" i="36"/>
  <c r="P74" i="36"/>
  <c r="Q74" i="36"/>
  <c r="S74" i="36"/>
  <c r="T74" i="36"/>
  <c r="AA74" i="36"/>
  <c r="AB74" i="36"/>
  <c r="I75" i="36"/>
  <c r="R75" i="36"/>
  <c r="P75" i="36"/>
  <c r="Q75" i="36"/>
  <c r="S75" i="36"/>
  <c r="T75" i="36"/>
  <c r="AA75" i="36"/>
  <c r="AB75" i="36"/>
  <c r="I76" i="36"/>
  <c r="R76" i="36"/>
  <c r="P76" i="36"/>
  <c r="Q76" i="36"/>
  <c r="S76" i="36"/>
  <c r="T76" i="36"/>
  <c r="AA76" i="36"/>
  <c r="AB76" i="36"/>
  <c r="I77" i="36"/>
  <c r="R77" i="36"/>
  <c r="P77" i="36"/>
  <c r="Q77" i="36"/>
  <c r="S77" i="36"/>
  <c r="T77" i="36"/>
  <c r="AA77" i="36"/>
  <c r="AB77" i="36"/>
  <c r="I78" i="36"/>
  <c r="R78" i="36"/>
  <c r="P78" i="36"/>
  <c r="Q78" i="36"/>
  <c r="S78" i="36"/>
  <c r="T78" i="36"/>
  <c r="AA78" i="36"/>
  <c r="AB78" i="36"/>
  <c r="I79" i="36"/>
  <c r="R79" i="36"/>
  <c r="P79" i="36"/>
  <c r="Q79" i="36"/>
  <c r="S79" i="36"/>
  <c r="T79" i="36"/>
  <c r="AA79" i="36"/>
  <c r="AB79" i="36"/>
  <c r="I1710" i="36"/>
  <c r="R1710" i="36"/>
  <c r="P1710" i="36"/>
  <c r="Q1710" i="36"/>
  <c r="S1710" i="36"/>
  <c r="T1710" i="36"/>
  <c r="AA1710" i="36"/>
  <c r="AB1710" i="36"/>
  <c r="I80" i="36"/>
  <c r="R80" i="36"/>
  <c r="P80" i="36"/>
  <c r="Q80" i="36"/>
  <c r="S80" i="36"/>
  <c r="T80" i="36"/>
  <c r="AA80" i="36"/>
  <c r="AB80" i="36"/>
  <c r="I81" i="36"/>
  <c r="R81" i="36"/>
  <c r="P81" i="36"/>
  <c r="Q81" i="36"/>
  <c r="S81" i="36"/>
  <c r="T81" i="36"/>
  <c r="AA81" i="36"/>
  <c r="AB81" i="36"/>
  <c r="I82" i="36"/>
  <c r="R82" i="36"/>
  <c r="P82" i="36"/>
  <c r="Q82" i="36"/>
  <c r="S82" i="36"/>
  <c r="T82" i="36"/>
  <c r="AA82" i="36"/>
  <c r="AB82" i="36"/>
  <c r="I83" i="36"/>
  <c r="R83" i="36"/>
  <c r="P83" i="36"/>
  <c r="Q83" i="36"/>
  <c r="S83" i="36"/>
  <c r="T83" i="36"/>
  <c r="AA83" i="36"/>
  <c r="AB83" i="36"/>
  <c r="I84" i="36"/>
  <c r="R84" i="36"/>
  <c r="P84" i="36"/>
  <c r="Q84" i="36"/>
  <c r="S84" i="36"/>
  <c r="T84" i="36"/>
  <c r="AA84" i="36"/>
  <c r="AB84" i="36"/>
  <c r="I85" i="36"/>
  <c r="R85" i="36"/>
  <c r="P85" i="36"/>
  <c r="Q85" i="36"/>
  <c r="S85" i="36"/>
  <c r="T85" i="36"/>
  <c r="AA85" i="36"/>
  <c r="AB85" i="36"/>
  <c r="I86" i="36"/>
  <c r="R86" i="36"/>
  <c r="P86" i="36"/>
  <c r="Q86" i="36"/>
  <c r="S86" i="36"/>
  <c r="T86" i="36"/>
  <c r="AA86" i="36"/>
  <c r="AB86" i="36"/>
  <c r="I1711" i="36"/>
  <c r="R1711" i="36"/>
  <c r="P1711" i="36"/>
  <c r="Q1711" i="36"/>
  <c r="S1711" i="36"/>
  <c r="T1711" i="36"/>
  <c r="AA1711" i="36"/>
  <c r="AB1711" i="36"/>
  <c r="I87" i="36"/>
  <c r="R87" i="36"/>
  <c r="P87" i="36"/>
  <c r="Q87" i="36"/>
  <c r="S87" i="36"/>
  <c r="T87" i="36"/>
  <c r="AA87" i="36"/>
  <c r="AB87" i="36"/>
  <c r="I88" i="36"/>
  <c r="R88" i="36"/>
  <c r="P88" i="36"/>
  <c r="Q88" i="36"/>
  <c r="S88" i="36"/>
  <c r="T88" i="36"/>
  <c r="AA88" i="36"/>
  <c r="AB88" i="36"/>
  <c r="I89" i="36"/>
  <c r="R89" i="36"/>
  <c r="P89" i="36"/>
  <c r="Q89" i="36"/>
  <c r="S89" i="36"/>
  <c r="T89" i="36"/>
  <c r="AA89" i="36"/>
  <c r="AB89" i="36"/>
  <c r="I90" i="36"/>
  <c r="R90" i="36"/>
  <c r="P90" i="36"/>
  <c r="Q90" i="36"/>
  <c r="S90" i="36"/>
  <c r="T90" i="36"/>
  <c r="AA90" i="36"/>
  <c r="AB90" i="36"/>
  <c r="I91" i="36"/>
  <c r="R91" i="36"/>
  <c r="P91" i="36"/>
  <c r="Q91" i="36"/>
  <c r="S91" i="36"/>
  <c r="T91" i="36"/>
  <c r="AA91" i="36"/>
  <c r="AB91" i="36"/>
  <c r="I1712" i="36"/>
  <c r="R1712" i="36"/>
  <c r="P1712" i="36"/>
  <c r="Q1712" i="36"/>
  <c r="S1712" i="36"/>
  <c r="T1712" i="36"/>
  <c r="AA1712" i="36"/>
  <c r="AB1712" i="36"/>
  <c r="I92" i="36"/>
  <c r="R92" i="36"/>
  <c r="P92" i="36"/>
  <c r="Q92" i="36"/>
  <c r="S92" i="36"/>
  <c r="T92" i="36"/>
  <c r="AA92" i="36"/>
  <c r="AB92" i="36"/>
  <c r="I93" i="36"/>
  <c r="R93" i="36"/>
  <c r="P93" i="36"/>
  <c r="Q93" i="36"/>
  <c r="S93" i="36"/>
  <c r="T93" i="36"/>
  <c r="AA93" i="36"/>
  <c r="AB93" i="36"/>
  <c r="I94" i="36"/>
  <c r="R94" i="36"/>
  <c r="P94" i="36"/>
  <c r="Q94" i="36"/>
  <c r="S94" i="36"/>
  <c r="T94" i="36"/>
  <c r="AA94" i="36"/>
  <c r="AB94" i="36"/>
  <c r="I95" i="36"/>
  <c r="R95" i="36"/>
  <c r="P95" i="36"/>
  <c r="Q95" i="36"/>
  <c r="S95" i="36"/>
  <c r="T95" i="36"/>
  <c r="AA95" i="36"/>
  <c r="AB95" i="36"/>
  <c r="I96" i="36"/>
  <c r="R96" i="36"/>
  <c r="P96" i="36"/>
  <c r="Q96" i="36"/>
  <c r="S96" i="36"/>
  <c r="T96" i="36"/>
  <c r="AA96" i="36"/>
  <c r="AB96" i="36"/>
  <c r="I98" i="36"/>
  <c r="S98" i="36"/>
  <c r="T98" i="36"/>
  <c r="AA98" i="36"/>
  <c r="I97" i="36"/>
  <c r="R97" i="36"/>
  <c r="P97" i="36"/>
  <c r="Q97" i="36"/>
  <c r="S97" i="36"/>
  <c r="T97" i="36"/>
  <c r="AA97" i="36"/>
  <c r="AB97" i="36"/>
  <c r="I99" i="36"/>
  <c r="R99" i="36"/>
  <c r="P99" i="36"/>
  <c r="Q99" i="36"/>
  <c r="S99" i="36"/>
  <c r="T99" i="36"/>
  <c r="AA99" i="36"/>
  <c r="AB99" i="36"/>
  <c r="I101" i="36"/>
  <c r="R101" i="36"/>
  <c r="P101" i="36"/>
  <c r="Q101" i="36"/>
  <c r="S101" i="36"/>
  <c r="T101" i="36"/>
  <c r="AA101" i="36"/>
  <c r="I100" i="36"/>
  <c r="R100" i="36"/>
  <c r="P100" i="36"/>
  <c r="Q100" i="36"/>
  <c r="S100" i="36"/>
  <c r="T100" i="36"/>
  <c r="AA100" i="36"/>
  <c r="AB100" i="36"/>
  <c r="I103" i="36"/>
  <c r="R103" i="36"/>
  <c r="P103" i="36"/>
  <c r="Q103" i="36"/>
  <c r="S103" i="36"/>
  <c r="T103" i="36"/>
  <c r="AA103" i="36"/>
  <c r="I102" i="36"/>
  <c r="R102" i="36"/>
  <c r="P102" i="36"/>
  <c r="Q102" i="36"/>
  <c r="S102" i="36"/>
  <c r="T102" i="36"/>
  <c r="AA102" i="36"/>
  <c r="AB102" i="36"/>
  <c r="I105" i="36"/>
  <c r="R105" i="36"/>
  <c r="P105" i="36"/>
  <c r="Q105" i="36"/>
  <c r="S105" i="36"/>
  <c r="T105" i="36"/>
  <c r="AA105" i="36"/>
  <c r="I104" i="36"/>
  <c r="R104" i="36"/>
  <c r="P104" i="36"/>
  <c r="Q104" i="36"/>
  <c r="S104" i="36"/>
  <c r="T104" i="36"/>
  <c r="AA104" i="36"/>
  <c r="AB104" i="36"/>
  <c r="I106" i="36"/>
  <c r="R106" i="36"/>
  <c r="P106" i="36"/>
  <c r="Q106" i="36"/>
  <c r="S106" i="36"/>
  <c r="T106" i="36"/>
  <c r="AA106" i="36"/>
  <c r="AB106" i="36"/>
  <c r="I108" i="36"/>
  <c r="R108" i="36"/>
  <c r="P108" i="36"/>
  <c r="Q108" i="36"/>
  <c r="S108" i="36"/>
  <c r="T108" i="36"/>
  <c r="AA108" i="36"/>
  <c r="I107" i="36"/>
  <c r="R107" i="36"/>
  <c r="P107" i="36"/>
  <c r="Q107" i="36"/>
  <c r="S107" i="36"/>
  <c r="AA107" i="36"/>
  <c r="AB107" i="36"/>
  <c r="I109" i="36"/>
  <c r="R109" i="36"/>
  <c r="P109" i="36"/>
  <c r="Q109" i="36"/>
  <c r="S109" i="36"/>
  <c r="T109" i="36"/>
  <c r="AA109" i="36"/>
  <c r="I1713" i="36"/>
  <c r="R1713" i="36"/>
  <c r="P1713" i="36"/>
  <c r="Q1713" i="36"/>
  <c r="S1713" i="36"/>
  <c r="T1713" i="36"/>
  <c r="AA1713" i="36"/>
  <c r="AB1713" i="36"/>
  <c r="I110" i="36"/>
  <c r="R110" i="36"/>
  <c r="P110" i="36"/>
  <c r="Q110" i="36"/>
  <c r="S110" i="36"/>
  <c r="T110" i="36"/>
  <c r="AA110" i="36"/>
  <c r="AB110" i="36"/>
  <c r="I111" i="36"/>
  <c r="R111" i="36"/>
  <c r="P111" i="36"/>
  <c r="Q111" i="36"/>
  <c r="S111" i="36"/>
  <c r="T111" i="36"/>
  <c r="AA111" i="36"/>
  <c r="AB111" i="36"/>
  <c r="I112" i="36"/>
  <c r="R112" i="36"/>
  <c r="P112" i="36"/>
  <c r="Q112" i="36"/>
  <c r="S112" i="36"/>
  <c r="T112" i="36"/>
  <c r="AA112" i="36"/>
  <c r="I114" i="36"/>
  <c r="R114" i="36"/>
  <c r="P114" i="36"/>
  <c r="Q114" i="36"/>
  <c r="S114" i="36"/>
  <c r="T114" i="36"/>
  <c r="AA114" i="36"/>
  <c r="I113" i="36"/>
  <c r="R113" i="36"/>
  <c r="P113" i="36"/>
  <c r="Q113" i="36"/>
  <c r="S113" i="36"/>
  <c r="T113" i="36"/>
  <c r="AA113" i="36"/>
  <c r="AB113" i="36"/>
  <c r="I115" i="36"/>
  <c r="R115" i="36"/>
  <c r="P115" i="36"/>
  <c r="Q115" i="36"/>
  <c r="S115" i="36"/>
  <c r="T115" i="36"/>
  <c r="AA115" i="36"/>
  <c r="AB115" i="36"/>
  <c r="I2235" i="36"/>
  <c r="R2235" i="36"/>
  <c r="P2235" i="36"/>
  <c r="Q2235" i="36"/>
  <c r="S2235" i="36"/>
  <c r="T2235" i="36"/>
  <c r="AA2235" i="36"/>
  <c r="AB2235" i="36"/>
  <c r="I116" i="36"/>
  <c r="R116" i="36"/>
  <c r="P116" i="36"/>
  <c r="Q116" i="36"/>
  <c r="S116" i="36"/>
  <c r="T116" i="36"/>
  <c r="AA116" i="36"/>
  <c r="AB116" i="36"/>
  <c r="I117" i="36"/>
  <c r="R117" i="36"/>
  <c r="P117" i="36"/>
  <c r="Q117" i="36"/>
  <c r="S117" i="36"/>
  <c r="T117" i="36"/>
  <c r="AA117" i="36"/>
  <c r="I1714" i="36"/>
  <c r="R1714" i="36"/>
  <c r="P1714" i="36"/>
  <c r="Q1714" i="36"/>
  <c r="S1714" i="36"/>
  <c r="T1714" i="36"/>
  <c r="AA1714" i="36"/>
  <c r="AB1714" i="36"/>
  <c r="I1715" i="36"/>
  <c r="R1715" i="36"/>
  <c r="P1715" i="36"/>
  <c r="Q1715" i="36"/>
  <c r="S1715" i="36"/>
  <c r="T1715" i="36"/>
  <c r="AA1715" i="36"/>
  <c r="AB1715" i="36"/>
  <c r="I118" i="36"/>
  <c r="R118" i="36"/>
  <c r="P118" i="36"/>
  <c r="Q118" i="36"/>
  <c r="S118" i="36"/>
  <c r="T118" i="36"/>
  <c r="AA118" i="36"/>
  <c r="I119" i="36"/>
  <c r="R119" i="36"/>
  <c r="P119" i="36"/>
  <c r="Q119" i="36"/>
  <c r="S119" i="36"/>
  <c r="T119" i="36"/>
  <c r="AA119" i="36"/>
  <c r="AB119" i="36"/>
  <c r="I121" i="36"/>
  <c r="R121" i="36"/>
  <c r="P121" i="36"/>
  <c r="Q121" i="36"/>
  <c r="S121" i="36"/>
  <c r="T121" i="36"/>
  <c r="AA121" i="36"/>
  <c r="I120" i="36"/>
  <c r="R120" i="36"/>
  <c r="P120" i="36"/>
  <c r="Q120" i="36"/>
  <c r="S120" i="36"/>
  <c r="T120" i="36"/>
  <c r="AA120" i="36"/>
  <c r="AB120" i="36"/>
  <c r="I1716" i="36"/>
  <c r="R1716" i="36"/>
  <c r="P1716" i="36"/>
  <c r="Q1716" i="36"/>
  <c r="S1716" i="36"/>
  <c r="T1716" i="36"/>
  <c r="AA1716" i="36"/>
  <c r="AB1716" i="36"/>
  <c r="I122" i="36"/>
  <c r="R122" i="36"/>
  <c r="P122" i="36"/>
  <c r="Q122" i="36"/>
  <c r="S122" i="36"/>
  <c r="T122" i="36"/>
  <c r="AA122" i="36"/>
  <c r="AB122" i="36"/>
  <c r="I123" i="36"/>
  <c r="R123" i="36"/>
  <c r="P123" i="36"/>
  <c r="Q123" i="36"/>
  <c r="S123" i="36"/>
  <c r="T123" i="36"/>
  <c r="AA123" i="36"/>
  <c r="I124" i="36"/>
  <c r="R124" i="36"/>
  <c r="P124" i="36"/>
  <c r="Q124" i="36"/>
  <c r="S124" i="36"/>
  <c r="T124" i="36"/>
  <c r="AA124" i="36"/>
  <c r="AB124" i="36"/>
  <c r="I126" i="36"/>
  <c r="R126" i="36"/>
  <c r="P126" i="36"/>
  <c r="Q126" i="36"/>
  <c r="S126" i="36"/>
  <c r="T126" i="36"/>
  <c r="AA126" i="36"/>
  <c r="I125" i="36"/>
  <c r="P125" i="36"/>
  <c r="Z125" i="36"/>
  <c r="Q125" i="36"/>
  <c r="S125" i="36"/>
  <c r="T125" i="36"/>
  <c r="AA125" i="36"/>
  <c r="AB125" i="36"/>
  <c r="I128" i="36"/>
  <c r="R128" i="36"/>
  <c r="P128" i="36"/>
  <c r="Q128" i="36"/>
  <c r="S128" i="36"/>
  <c r="T128" i="36"/>
  <c r="AA128" i="36"/>
  <c r="I127" i="36"/>
  <c r="P127" i="36"/>
  <c r="Z127" i="36"/>
  <c r="Q127" i="36"/>
  <c r="S127" i="36"/>
  <c r="T127" i="36"/>
  <c r="AA127" i="36"/>
  <c r="AB127" i="36"/>
  <c r="I129" i="36"/>
  <c r="R129" i="36"/>
  <c r="P129" i="36"/>
  <c r="Q129" i="36"/>
  <c r="S129" i="36"/>
  <c r="T129" i="36"/>
  <c r="AA129" i="36"/>
  <c r="I130" i="36"/>
  <c r="AA130" i="36"/>
  <c r="I131" i="36"/>
  <c r="P131" i="36"/>
  <c r="Z131" i="36"/>
  <c r="Q131" i="36"/>
  <c r="S131" i="36"/>
  <c r="T131" i="36"/>
  <c r="AA131" i="36"/>
  <c r="AB131" i="36"/>
  <c r="I132" i="36"/>
  <c r="R132" i="36"/>
  <c r="P132" i="36"/>
  <c r="Q132" i="36"/>
  <c r="S132" i="36"/>
  <c r="T132" i="36"/>
  <c r="AA132" i="36"/>
  <c r="I133" i="36"/>
  <c r="R133" i="36"/>
  <c r="P133" i="36"/>
  <c r="Q133" i="36"/>
  <c r="S133" i="36"/>
  <c r="T133" i="36"/>
  <c r="AA133" i="36"/>
  <c r="I1717" i="36"/>
  <c r="AA1717" i="36"/>
  <c r="I134" i="36"/>
  <c r="R134" i="36"/>
  <c r="P134" i="36"/>
  <c r="Q134" i="36"/>
  <c r="S134" i="36"/>
  <c r="T134" i="36"/>
  <c r="AA134" i="36"/>
  <c r="I135" i="36"/>
  <c r="AA135" i="36"/>
  <c r="I136" i="36"/>
  <c r="R136" i="36"/>
  <c r="P136" i="36"/>
  <c r="Q136" i="36"/>
  <c r="S136" i="36"/>
  <c r="T136" i="36"/>
  <c r="AA136" i="36"/>
  <c r="I1718" i="36"/>
  <c r="P1718" i="36"/>
  <c r="Z1718" i="36"/>
  <c r="Q1718" i="36"/>
  <c r="S1718" i="36"/>
  <c r="AA1718" i="36"/>
  <c r="AB1718" i="36"/>
  <c r="I137" i="36"/>
  <c r="R137" i="36"/>
  <c r="P137" i="36"/>
  <c r="Q137" i="36"/>
  <c r="S137" i="36"/>
  <c r="T137" i="36"/>
  <c r="AA137" i="36"/>
  <c r="I138" i="36"/>
  <c r="AA138" i="36"/>
  <c r="I139" i="36"/>
  <c r="P139" i="36"/>
  <c r="Z139" i="36"/>
  <c r="Q139" i="36"/>
  <c r="S139" i="36"/>
  <c r="AA139" i="36"/>
  <c r="AB139" i="36"/>
  <c r="I140" i="36"/>
  <c r="R140" i="36"/>
  <c r="P140" i="36"/>
  <c r="Q140" i="36"/>
  <c r="S140" i="36"/>
  <c r="T140" i="36"/>
  <c r="AA140" i="36"/>
  <c r="I141" i="36"/>
  <c r="R141" i="36"/>
  <c r="P141" i="36"/>
  <c r="Q141" i="36"/>
  <c r="S141" i="36"/>
  <c r="AA141" i="36"/>
  <c r="AB141" i="36"/>
  <c r="I142" i="36"/>
  <c r="R142" i="36"/>
  <c r="P142" i="36"/>
  <c r="Q142" i="36"/>
  <c r="S142" i="36"/>
  <c r="AA142" i="36"/>
  <c r="AB142" i="36"/>
  <c r="I143" i="36"/>
  <c r="R143" i="36"/>
  <c r="P143" i="36"/>
  <c r="Q143" i="36"/>
  <c r="S143" i="36"/>
  <c r="AA143" i="36"/>
  <c r="AB143" i="36"/>
  <c r="I145" i="36"/>
  <c r="R145" i="36"/>
  <c r="P145" i="36"/>
  <c r="Q145" i="36"/>
  <c r="S145" i="36"/>
  <c r="T145" i="36"/>
  <c r="AA145" i="36"/>
  <c r="I144" i="36"/>
  <c r="R144" i="36"/>
  <c r="P144" i="36"/>
  <c r="Q144" i="36"/>
  <c r="S144" i="36"/>
  <c r="AA144" i="36"/>
  <c r="AB144" i="36"/>
  <c r="I147" i="36"/>
  <c r="R147" i="36"/>
  <c r="P147" i="36"/>
  <c r="Q147" i="36"/>
  <c r="S147" i="36"/>
  <c r="T147" i="36"/>
  <c r="AA147" i="36"/>
  <c r="I146" i="36"/>
  <c r="R146" i="36"/>
  <c r="P146" i="36"/>
  <c r="Q146" i="36"/>
  <c r="S146" i="36"/>
  <c r="AA146" i="36"/>
  <c r="AB146" i="36"/>
  <c r="I148" i="36"/>
  <c r="R148" i="36"/>
  <c r="P148" i="36"/>
  <c r="Q148" i="36"/>
  <c r="S148" i="36"/>
  <c r="AA148" i="36"/>
  <c r="AB148" i="36"/>
  <c r="I149" i="36"/>
  <c r="R149" i="36"/>
  <c r="P149" i="36"/>
  <c r="Q149" i="36"/>
  <c r="S149" i="36"/>
  <c r="T149" i="36"/>
  <c r="AA149" i="36"/>
  <c r="I1719" i="36"/>
  <c r="AA1719" i="36"/>
  <c r="I1720" i="36"/>
  <c r="R1720" i="36"/>
  <c r="P1720" i="36"/>
  <c r="Q1720" i="36"/>
  <c r="S1720" i="36"/>
  <c r="AA1720" i="36"/>
  <c r="AB1720" i="36"/>
  <c r="I150" i="36"/>
  <c r="R150" i="36"/>
  <c r="P150" i="36"/>
  <c r="Q150" i="36"/>
  <c r="S150" i="36"/>
  <c r="T150" i="36"/>
  <c r="AA150" i="36"/>
  <c r="AB150" i="36"/>
  <c r="I1721" i="36"/>
  <c r="R1721" i="36"/>
  <c r="P1721" i="36"/>
  <c r="Q1721" i="36"/>
  <c r="S1721" i="36"/>
  <c r="T1721" i="36"/>
  <c r="AA1721" i="36"/>
  <c r="AB1721" i="36"/>
  <c r="I151" i="36"/>
  <c r="R151" i="36"/>
  <c r="P151" i="36"/>
  <c r="Q151" i="36"/>
  <c r="S151" i="36"/>
  <c r="T151" i="36"/>
  <c r="AA151" i="36"/>
  <c r="I152" i="36"/>
  <c r="R152" i="36"/>
  <c r="P152" i="36"/>
  <c r="Q152" i="36"/>
  <c r="S152" i="36"/>
  <c r="T152" i="36"/>
  <c r="AA152" i="36"/>
  <c r="AB152" i="36"/>
  <c r="I153" i="36"/>
  <c r="R153" i="36"/>
  <c r="P153" i="36"/>
  <c r="Q153" i="36"/>
  <c r="S153" i="36"/>
  <c r="AA153" i="36"/>
  <c r="AB153" i="36"/>
  <c r="I1722" i="36"/>
  <c r="R1722" i="36"/>
  <c r="P1722" i="36"/>
  <c r="Q1722" i="36"/>
  <c r="S1722" i="36"/>
  <c r="AA1722" i="36"/>
  <c r="AB1722" i="36"/>
  <c r="I1723" i="36"/>
  <c r="R1723" i="36"/>
  <c r="P1723" i="36"/>
  <c r="Q1723" i="36"/>
  <c r="S1723" i="36"/>
  <c r="T1723" i="36"/>
  <c r="AA1723" i="36"/>
  <c r="I154" i="36"/>
  <c r="R154" i="36"/>
  <c r="P154" i="36"/>
  <c r="Q154" i="36"/>
  <c r="S154" i="36"/>
  <c r="AA154" i="36"/>
  <c r="AB154" i="36"/>
  <c r="I155" i="36"/>
  <c r="R155" i="36"/>
  <c r="P155" i="36"/>
  <c r="Q155" i="36"/>
  <c r="S155" i="36"/>
  <c r="AA155" i="36"/>
  <c r="AB155" i="36"/>
  <c r="I156" i="36"/>
  <c r="R156" i="36"/>
  <c r="P156" i="36"/>
  <c r="Q156" i="36"/>
  <c r="S156" i="36"/>
  <c r="AA156" i="36"/>
  <c r="AB156" i="36"/>
  <c r="I157" i="36"/>
  <c r="R157" i="36"/>
  <c r="P157" i="36"/>
  <c r="Q157" i="36"/>
  <c r="S157" i="36"/>
  <c r="T157" i="36"/>
  <c r="AA157" i="36"/>
  <c r="I1724" i="36"/>
  <c r="R1724" i="36"/>
  <c r="P1724" i="36"/>
  <c r="Q1724" i="36"/>
  <c r="S1724" i="36"/>
  <c r="AA1724" i="36"/>
  <c r="AB1724" i="36"/>
  <c r="I158" i="36"/>
  <c r="R158" i="36"/>
  <c r="P158" i="36"/>
  <c r="Q158" i="36"/>
  <c r="S158" i="36"/>
  <c r="AA158" i="36"/>
  <c r="AB158" i="36"/>
  <c r="I1725" i="36"/>
  <c r="R1725" i="36"/>
  <c r="P1725" i="36"/>
  <c r="Q1725" i="36"/>
  <c r="S1725" i="36"/>
  <c r="AA1725" i="36"/>
  <c r="AB1725" i="36"/>
  <c r="I159" i="36"/>
  <c r="R159" i="36"/>
  <c r="P159" i="36"/>
  <c r="Q159" i="36"/>
  <c r="S159" i="36"/>
  <c r="AA159" i="36"/>
  <c r="AB159" i="36"/>
  <c r="I160" i="36"/>
  <c r="R160" i="36"/>
  <c r="P160" i="36"/>
  <c r="Q160" i="36"/>
  <c r="S160" i="36"/>
  <c r="T160" i="36"/>
  <c r="AA160" i="36"/>
  <c r="AB160" i="36"/>
  <c r="I161" i="36"/>
  <c r="R161" i="36"/>
  <c r="P161" i="36"/>
  <c r="Q161" i="36"/>
  <c r="S161" i="36"/>
  <c r="T161" i="36"/>
  <c r="AA161" i="36"/>
  <c r="AB161" i="36"/>
  <c r="I162" i="36"/>
  <c r="R162" i="36"/>
  <c r="P162" i="36"/>
  <c r="Q162" i="36"/>
  <c r="S162" i="36"/>
  <c r="T162" i="36"/>
  <c r="AA162" i="36"/>
  <c r="AB162" i="36"/>
  <c r="I163" i="36"/>
  <c r="R163" i="36"/>
  <c r="P163" i="36"/>
  <c r="Q163" i="36"/>
  <c r="S163" i="36"/>
  <c r="T163" i="36"/>
  <c r="AA163" i="36"/>
  <c r="AB163" i="36"/>
  <c r="I164" i="36"/>
  <c r="R164" i="36"/>
  <c r="P164" i="36"/>
  <c r="Q164" i="36"/>
  <c r="S164" i="36"/>
  <c r="T164" i="36"/>
  <c r="AA164" i="36"/>
  <c r="I165" i="36"/>
  <c r="AA165" i="36"/>
  <c r="I1726" i="36"/>
  <c r="AA1726" i="36"/>
  <c r="I166" i="36"/>
  <c r="R166" i="36"/>
  <c r="P166" i="36"/>
  <c r="Q166" i="36"/>
  <c r="S166" i="36"/>
  <c r="AA166" i="36"/>
  <c r="AB166" i="36"/>
  <c r="I1727" i="36"/>
  <c r="R1727" i="36"/>
  <c r="P1727" i="36"/>
  <c r="Q1727" i="36"/>
  <c r="S1727" i="36"/>
  <c r="T1727" i="36"/>
  <c r="AA1727" i="36"/>
  <c r="AB1727" i="36"/>
  <c r="I167" i="36"/>
  <c r="R167" i="36"/>
  <c r="P167" i="36"/>
  <c r="Q167" i="36"/>
  <c r="S167" i="36"/>
  <c r="T167" i="36"/>
  <c r="AA167" i="36"/>
  <c r="AB167" i="36"/>
  <c r="I168" i="36"/>
  <c r="R168" i="36"/>
  <c r="P168" i="36"/>
  <c r="Q168" i="36"/>
  <c r="S168" i="36"/>
  <c r="T168" i="36"/>
  <c r="AA168" i="36"/>
  <c r="AB168" i="36"/>
  <c r="I169" i="36"/>
  <c r="R169" i="36"/>
  <c r="P169" i="36"/>
  <c r="Q169" i="36"/>
  <c r="S169" i="36"/>
  <c r="T169" i="36"/>
  <c r="AA169" i="36"/>
  <c r="AB169" i="36"/>
  <c r="I171" i="36"/>
  <c r="R171" i="36"/>
  <c r="P171" i="36"/>
  <c r="Q171" i="36"/>
  <c r="S171" i="36"/>
  <c r="T171" i="36"/>
  <c r="AA171" i="36"/>
  <c r="I170" i="36"/>
  <c r="R170" i="36"/>
  <c r="P170" i="36"/>
  <c r="Q170" i="36"/>
  <c r="S170" i="36"/>
  <c r="T170" i="36"/>
  <c r="AA170" i="36"/>
  <c r="AB170" i="36"/>
  <c r="I173" i="36"/>
  <c r="R173" i="36"/>
  <c r="P173" i="36"/>
  <c r="Q173" i="36"/>
  <c r="S173" i="36"/>
  <c r="T173" i="36"/>
  <c r="AA173" i="36"/>
  <c r="AB173" i="36"/>
  <c r="I172" i="36"/>
  <c r="R172" i="36"/>
  <c r="P172" i="36"/>
  <c r="Q172" i="36"/>
  <c r="S172" i="36"/>
  <c r="T172" i="36"/>
  <c r="AA172" i="36"/>
  <c r="AB172" i="36"/>
  <c r="I175" i="36"/>
  <c r="R175" i="36"/>
  <c r="P175" i="36"/>
  <c r="Q175" i="36"/>
  <c r="S175" i="36"/>
  <c r="T175" i="36"/>
  <c r="AA175" i="36"/>
  <c r="AB175" i="36"/>
  <c r="I174" i="36"/>
  <c r="R174" i="36"/>
  <c r="P174" i="36"/>
  <c r="Q174" i="36"/>
  <c r="S174" i="36"/>
  <c r="T174" i="36"/>
  <c r="AA174" i="36"/>
  <c r="AB174" i="36"/>
  <c r="I177" i="36"/>
  <c r="R177" i="36"/>
  <c r="P177" i="36"/>
  <c r="Q177" i="36"/>
  <c r="S177" i="36"/>
  <c r="T177" i="36"/>
  <c r="AA177" i="36"/>
  <c r="I176" i="36"/>
  <c r="R176" i="36"/>
  <c r="P176" i="36"/>
  <c r="Q176" i="36"/>
  <c r="S176" i="36"/>
  <c r="AA176" i="36"/>
  <c r="AB176" i="36"/>
  <c r="I178" i="36"/>
  <c r="R178" i="36"/>
  <c r="P178" i="36"/>
  <c r="Q178" i="36"/>
  <c r="S178" i="36"/>
  <c r="AA178" i="36"/>
  <c r="AB178" i="36"/>
  <c r="I179" i="36"/>
  <c r="R179" i="36"/>
  <c r="P179" i="36"/>
  <c r="Q179" i="36"/>
  <c r="S179" i="36"/>
  <c r="AA179" i="36"/>
  <c r="AB179" i="36"/>
  <c r="I181" i="36"/>
  <c r="R181" i="36"/>
  <c r="P181" i="36"/>
  <c r="Q181" i="36"/>
  <c r="S181" i="36"/>
  <c r="T181" i="36"/>
  <c r="AA181" i="36"/>
  <c r="I180" i="36"/>
  <c r="R180" i="36"/>
  <c r="P180" i="36"/>
  <c r="Q180" i="36"/>
  <c r="S180" i="36"/>
  <c r="AA180" i="36"/>
  <c r="AB180" i="36"/>
  <c r="I2236" i="36"/>
  <c r="R2236" i="36"/>
  <c r="P2236" i="36"/>
  <c r="Q2236" i="36"/>
  <c r="S2236" i="36"/>
  <c r="AA2236" i="36"/>
  <c r="AB2236" i="36"/>
  <c r="I182" i="36"/>
  <c r="R182" i="36"/>
  <c r="P182" i="36"/>
  <c r="Q182" i="36"/>
  <c r="S182" i="36"/>
  <c r="AA182" i="36"/>
  <c r="AB182" i="36"/>
  <c r="I183" i="36"/>
  <c r="R183" i="36"/>
  <c r="P183" i="36"/>
  <c r="Q183" i="36"/>
  <c r="S183" i="36"/>
  <c r="T183" i="36"/>
  <c r="AA183" i="36"/>
  <c r="I1728" i="36"/>
  <c r="R1728" i="36"/>
  <c r="P1728" i="36"/>
  <c r="Q1728" i="36"/>
  <c r="S1728" i="36"/>
  <c r="AA1728" i="36"/>
  <c r="AB1728" i="36"/>
  <c r="I1729" i="36"/>
  <c r="R1729" i="36"/>
  <c r="P1729" i="36"/>
  <c r="Q1729" i="36"/>
  <c r="S1729" i="36"/>
  <c r="AA1729" i="36"/>
  <c r="AB1729" i="36"/>
  <c r="I184" i="36"/>
  <c r="R184" i="36"/>
  <c r="P184" i="36"/>
  <c r="Q184" i="36"/>
  <c r="S184" i="36"/>
  <c r="AA184" i="36"/>
  <c r="AB184" i="36"/>
  <c r="I185" i="36"/>
  <c r="R185" i="36"/>
  <c r="P185" i="36"/>
  <c r="Q185" i="36"/>
  <c r="S185" i="36"/>
  <c r="T185" i="36"/>
  <c r="AA185" i="36"/>
  <c r="I1730" i="36"/>
  <c r="R1730" i="36"/>
  <c r="P1730" i="36"/>
  <c r="Q1730" i="36"/>
  <c r="S1730" i="36"/>
  <c r="AA1730" i="36"/>
  <c r="AB1730" i="36"/>
  <c r="I186" i="36"/>
  <c r="P186" i="36"/>
  <c r="Z186" i="36"/>
  <c r="Q186" i="36"/>
  <c r="S186" i="36"/>
  <c r="AA186" i="36"/>
  <c r="AB186" i="36"/>
  <c r="I187" i="36"/>
  <c r="R187" i="36"/>
  <c r="P187" i="36"/>
  <c r="Q187" i="36"/>
  <c r="S187" i="36"/>
  <c r="AA187" i="36"/>
  <c r="AB187" i="36"/>
  <c r="I2237" i="36"/>
  <c r="P2237" i="36"/>
  <c r="Z2237" i="36"/>
  <c r="Q2237" i="36"/>
  <c r="S2237" i="36"/>
  <c r="AA2237" i="36"/>
  <c r="AB2237" i="36"/>
  <c r="I1731" i="36"/>
  <c r="R1731" i="36"/>
  <c r="P1731" i="36"/>
  <c r="Q1731" i="36"/>
  <c r="S1731" i="36"/>
  <c r="T1731" i="36"/>
  <c r="AA1731" i="36"/>
  <c r="I188" i="36"/>
  <c r="R188" i="36"/>
  <c r="P188" i="36"/>
  <c r="Q188" i="36"/>
  <c r="S188" i="36"/>
  <c r="AA188" i="36"/>
  <c r="AB188" i="36"/>
  <c r="I1732" i="36"/>
  <c r="R1732" i="36"/>
  <c r="P1732" i="36"/>
  <c r="Q1732" i="36"/>
  <c r="S1732" i="36"/>
  <c r="AA1732" i="36"/>
  <c r="AB1732" i="36"/>
  <c r="I189" i="36"/>
  <c r="R189" i="36"/>
  <c r="P189" i="36"/>
  <c r="Q189" i="36"/>
  <c r="S189" i="36"/>
  <c r="AA189" i="36"/>
  <c r="AB189" i="36"/>
  <c r="I190" i="36"/>
  <c r="R190" i="36"/>
  <c r="P190" i="36"/>
  <c r="Q190" i="36"/>
  <c r="S190" i="36"/>
  <c r="AA190" i="36"/>
  <c r="AB190" i="36"/>
  <c r="I191" i="36"/>
  <c r="R191" i="36"/>
  <c r="P191" i="36"/>
  <c r="Q191" i="36"/>
  <c r="S191" i="36"/>
  <c r="T191" i="36"/>
  <c r="AA191" i="36"/>
  <c r="I1734" i="36"/>
  <c r="P1734" i="36"/>
  <c r="Z1734" i="36"/>
  <c r="Q1734" i="36"/>
  <c r="S1734" i="36"/>
  <c r="AA1734" i="36"/>
  <c r="AB1734" i="36"/>
  <c r="I1733" i="36"/>
  <c r="R1733" i="36"/>
  <c r="P1733" i="36"/>
  <c r="Q1733" i="36"/>
  <c r="S1733" i="36"/>
  <c r="AA1733" i="36"/>
  <c r="AB1733" i="36"/>
  <c r="I1735" i="36"/>
  <c r="R1735" i="36"/>
  <c r="P1735" i="36"/>
  <c r="Q1735" i="36"/>
  <c r="S1735" i="36"/>
  <c r="AA1735" i="36"/>
  <c r="AB1735" i="36"/>
  <c r="I192" i="36"/>
  <c r="R192" i="36"/>
  <c r="P192" i="36"/>
  <c r="Q192" i="36"/>
  <c r="S192" i="36"/>
  <c r="AA192" i="36"/>
  <c r="AB192" i="36"/>
  <c r="I193" i="36"/>
  <c r="R193" i="36"/>
  <c r="P193" i="36"/>
  <c r="Q193" i="36"/>
  <c r="S193" i="36"/>
  <c r="T193" i="36"/>
  <c r="AA193" i="36"/>
  <c r="AB193" i="36"/>
  <c r="I194" i="36"/>
  <c r="R194" i="36"/>
  <c r="P194" i="36"/>
  <c r="Q194" i="36"/>
  <c r="S194" i="36"/>
  <c r="AA194" i="36"/>
  <c r="AB194" i="36"/>
  <c r="I1736" i="36"/>
  <c r="R1736" i="36"/>
  <c r="P1736" i="36"/>
  <c r="Q1736" i="36"/>
  <c r="S1736" i="36"/>
  <c r="AA1736" i="36"/>
  <c r="AB1736" i="36"/>
  <c r="I196" i="36"/>
  <c r="R196" i="36"/>
  <c r="P196" i="36"/>
  <c r="Q196" i="36"/>
  <c r="S196" i="36"/>
  <c r="T196" i="36"/>
  <c r="AA196" i="36"/>
  <c r="I195" i="36"/>
  <c r="R195" i="36"/>
  <c r="P195" i="36"/>
  <c r="Q195" i="36"/>
  <c r="S195" i="36"/>
  <c r="AA195" i="36"/>
  <c r="AB195" i="36"/>
  <c r="I1737" i="36"/>
  <c r="R1737" i="36"/>
  <c r="P1737" i="36"/>
  <c r="Q1737" i="36"/>
  <c r="S1737" i="36"/>
  <c r="AA1737" i="36"/>
  <c r="AB1737" i="36"/>
  <c r="I197" i="36"/>
  <c r="R197" i="36"/>
  <c r="P197" i="36"/>
  <c r="Q197" i="36"/>
  <c r="S197" i="36"/>
  <c r="AA197" i="36"/>
  <c r="AB197" i="36"/>
  <c r="I198" i="36"/>
  <c r="R198" i="36"/>
  <c r="P198" i="36"/>
  <c r="Q198" i="36"/>
  <c r="S198" i="36"/>
  <c r="AA198" i="36"/>
  <c r="AB198" i="36"/>
  <c r="I199" i="36"/>
  <c r="R199" i="36"/>
  <c r="P199" i="36"/>
  <c r="Q199" i="36"/>
  <c r="S199" i="36"/>
  <c r="T199" i="36"/>
  <c r="AA199" i="36"/>
  <c r="I200" i="36"/>
  <c r="R200" i="36"/>
  <c r="P200" i="36"/>
  <c r="Q200" i="36"/>
  <c r="S200" i="36"/>
  <c r="AA200" i="36"/>
  <c r="AB200" i="36"/>
  <c r="I1738" i="36"/>
  <c r="R1738" i="36"/>
  <c r="P1738" i="36"/>
  <c r="Q1738" i="36"/>
  <c r="S1738" i="36"/>
  <c r="AA1738" i="36"/>
  <c r="AB1738" i="36"/>
  <c r="I1739" i="36"/>
  <c r="R1739" i="36"/>
  <c r="P1739" i="36"/>
  <c r="Q1739" i="36"/>
  <c r="S1739" i="36"/>
  <c r="AA1739" i="36"/>
  <c r="AB1739" i="36"/>
  <c r="I201" i="36"/>
  <c r="R201" i="36"/>
  <c r="P201" i="36"/>
  <c r="Q201" i="36"/>
  <c r="S201" i="36"/>
  <c r="AA201" i="36"/>
  <c r="AB201" i="36"/>
  <c r="I202" i="36"/>
  <c r="R202" i="36"/>
  <c r="P202" i="36"/>
  <c r="Q202" i="36"/>
  <c r="S202" i="36"/>
  <c r="AA202" i="36"/>
  <c r="AB202" i="36"/>
  <c r="I203" i="36"/>
  <c r="R203" i="36"/>
  <c r="P203" i="36"/>
  <c r="Q203" i="36"/>
  <c r="S203" i="36"/>
  <c r="AA203" i="36"/>
  <c r="AB203" i="36"/>
  <c r="I204" i="36"/>
  <c r="P204" i="36"/>
  <c r="Z204" i="36"/>
  <c r="Q204" i="36"/>
  <c r="S204" i="36"/>
  <c r="AA204" i="36"/>
  <c r="AB204" i="36"/>
  <c r="I205" i="36"/>
  <c r="R205" i="36"/>
  <c r="P205" i="36"/>
  <c r="Q205" i="36"/>
  <c r="S205" i="36"/>
  <c r="T205" i="36"/>
  <c r="AA205" i="36"/>
  <c r="AB205" i="36"/>
  <c r="I206" i="36"/>
  <c r="R206" i="36"/>
  <c r="P206" i="36"/>
  <c r="Q206" i="36"/>
  <c r="S206" i="36"/>
  <c r="T206" i="36"/>
  <c r="AA206" i="36"/>
  <c r="AB206" i="36"/>
  <c r="I1740" i="36"/>
  <c r="R1740" i="36"/>
  <c r="P1740" i="36"/>
  <c r="Q1740" i="36"/>
  <c r="S1740" i="36"/>
  <c r="T1740" i="36"/>
  <c r="AA1740" i="36"/>
  <c r="AB1740" i="36"/>
  <c r="I207" i="36"/>
  <c r="R207" i="36"/>
  <c r="P207" i="36"/>
  <c r="Q207" i="36"/>
  <c r="S207" i="36"/>
  <c r="T207" i="36"/>
  <c r="AA207" i="36"/>
  <c r="AB207" i="36"/>
  <c r="I2437" i="36"/>
  <c r="R2437" i="36"/>
  <c r="P2437" i="36"/>
  <c r="Q2437" i="36"/>
  <c r="S2437" i="36"/>
  <c r="T2437" i="36"/>
  <c r="AA2437" i="36"/>
  <c r="AB2437" i="36"/>
  <c r="I208" i="36"/>
  <c r="R208" i="36"/>
  <c r="P208" i="36"/>
  <c r="Q208" i="36"/>
  <c r="S208" i="36"/>
  <c r="T208" i="36"/>
  <c r="AA208" i="36"/>
  <c r="AB208" i="36"/>
  <c r="I209" i="36"/>
  <c r="R209" i="36"/>
  <c r="P209" i="36"/>
  <c r="Q209" i="36"/>
  <c r="S209" i="36"/>
  <c r="T209" i="36"/>
  <c r="AA209" i="36"/>
  <c r="AB209" i="36"/>
  <c r="I1741" i="36"/>
  <c r="R1741" i="36"/>
  <c r="P1741" i="36"/>
  <c r="Q1741" i="36"/>
  <c r="S1741" i="36"/>
  <c r="T1741" i="36"/>
  <c r="AA1741" i="36"/>
  <c r="AB1741" i="36"/>
  <c r="I210" i="36"/>
  <c r="R210" i="36"/>
  <c r="P210" i="36"/>
  <c r="Q210" i="36"/>
  <c r="S210" i="36"/>
  <c r="T210" i="36"/>
  <c r="AA210" i="36"/>
  <c r="AB210" i="36"/>
  <c r="I211" i="36"/>
  <c r="R211" i="36"/>
  <c r="P211" i="36"/>
  <c r="Q211" i="36"/>
  <c r="S211" i="36"/>
  <c r="T211" i="36"/>
  <c r="AA211" i="36"/>
  <c r="AB211" i="36"/>
  <c r="I212" i="36"/>
  <c r="R212" i="36"/>
  <c r="P212" i="36"/>
  <c r="Q212" i="36"/>
  <c r="S212" i="36"/>
  <c r="T212" i="36"/>
  <c r="AA212" i="36"/>
  <c r="AB212" i="36"/>
  <c r="I213" i="36"/>
  <c r="R213" i="36"/>
  <c r="P213" i="36"/>
  <c r="Q213" i="36"/>
  <c r="S213" i="36"/>
  <c r="T213" i="36"/>
  <c r="AA213" i="36"/>
  <c r="AB213" i="36"/>
  <c r="I1742" i="36"/>
  <c r="R1742" i="36"/>
  <c r="P1742" i="36"/>
  <c r="Q1742" i="36"/>
  <c r="S1742" i="36"/>
  <c r="T1742" i="36"/>
  <c r="AA1742" i="36"/>
  <c r="AB1742" i="36"/>
  <c r="I2238" i="36"/>
  <c r="R2238" i="36"/>
  <c r="P2238" i="36"/>
  <c r="Q2238" i="36"/>
  <c r="S2238" i="36"/>
  <c r="T2238" i="36"/>
  <c r="AA2238" i="36"/>
  <c r="AB2238" i="36"/>
  <c r="I2239" i="36"/>
  <c r="R2239" i="36"/>
  <c r="P2239" i="36"/>
  <c r="Q2239" i="36"/>
  <c r="S2239" i="36"/>
  <c r="T2239" i="36"/>
  <c r="AA2239" i="36"/>
  <c r="AB2239" i="36"/>
  <c r="I1743" i="36"/>
  <c r="R1743" i="36"/>
  <c r="P1743" i="36"/>
  <c r="Q1743" i="36"/>
  <c r="S1743" i="36"/>
  <c r="T1743" i="36"/>
  <c r="AA1743" i="36"/>
  <c r="AB1743" i="36"/>
  <c r="I214" i="36"/>
  <c r="R214" i="36"/>
  <c r="P214" i="36"/>
  <c r="Q214" i="36"/>
  <c r="S214" i="36"/>
  <c r="T214" i="36"/>
  <c r="AA214" i="36"/>
  <c r="AB214" i="36"/>
  <c r="I215" i="36"/>
  <c r="R215" i="36"/>
  <c r="P215" i="36"/>
  <c r="Q215" i="36"/>
  <c r="S215" i="36"/>
  <c r="T215" i="36"/>
  <c r="AA215" i="36"/>
  <c r="AB215" i="36"/>
  <c r="I216" i="36"/>
  <c r="R216" i="36"/>
  <c r="P216" i="36"/>
  <c r="Q216" i="36"/>
  <c r="S216" i="36"/>
  <c r="T216" i="36"/>
  <c r="AA216" i="36"/>
  <c r="AB216" i="36"/>
  <c r="I217" i="36"/>
  <c r="R217" i="36"/>
  <c r="P217" i="36"/>
  <c r="Q217" i="36"/>
  <c r="S217" i="36"/>
  <c r="T217" i="36"/>
  <c r="AA217" i="36"/>
  <c r="AB217" i="36"/>
  <c r="I218" i="36"/>
  <c r="R218" i="36"/>
  <c r="P218" i="36"/>
  <c r="Q218" i="36"/>
  <c r="S218" i="36"/>
  <c r="T218" i="36"/>
  <c r="AA218" i="36"/>
  <c r="AB218" i="36"/>
  <c r="I2240" i="36"/>
  <c r="R2240" i="36"/>
  <c r="P2240" i="36"/>
  <c r="Q2240" i="36"/>
  <c r="S2240" i="36"/>
  <c r="T2240" i="36"/>
  <c r="AA2240" i="36"/>
  <c r="AB2240" i="36"/>
  <c r="I219" i="36"/>
  <c r="R219" i="36"/>
  <c r="P219" i="36"/>
  <c r="Q219" i="36"/>
  <c r="S219" i="36"/>
  <c r="T219" i="36"/>
  <c r="AA219" i="36"/>
  <c r="AB219" i="36"/>
  <c r="I220" i="36"/>
  <c r="R220" i="36"/>
  <c r="P220" i="36"/>
  <c r="Q220" i="36"/>
  <c r="S220" i="36"/>
  <c r="T220" i="36"/>
  <c r="AA220" i="36"/>
  <c r="I221" i="36"/>
  <c r="R221" i="36"/>
  <c r="P221" i="36"/>
  <c r="Q221" i="36"/>
  <c r="S221" i="36"/>
  <c r="T221" i="36"/>
  <c r="AA221" i="36"/>
  <c r="AB221" i="36"/>
  <c r="I222" i="36"/>
  <c r="R222" i="36"/>
  <c r="P222" i="36"/>
  <c r="Q222" i="36"/>
  <c r="S222" i="36"/>
  <c r="T222" i="36"/>
  <c r="AA222" i="36"/>
  <c r="I223" i="36"/>
  <c r="R223" i="36"/>
  <c r="P223" i="36"/>
  <c r="Q223" i="36"/>
  <c r="S223" i="36"/>
  <c r="T223" i="36"/>
  <c r="AA223" i="36"/>
  <c r="I2241" i="36"/>
  <c r="R2241" i="36"/>
  <c r="P2241" i="36"/>
  <c r="Q2241" i="36"/>
  <c r="S2241" i="36"/>
  <c r="T2241" i="36"/>
  <c r="AA2241" i="36"/>
  <c r="AB2241" i="36"/>
  <c r="I2614" i="36"/>
  <c r="R2614" i="36"/>
  <c r="P2614" i="36"/>
  <c r="Q2614" i="36"/>
  <c r="S2614" i="36"/>
  <c r="T2614" i="36"/>
  <c r="AA2614" i="36"/>
  <c r="AB2614" i="36"/>
  <c r="I225" i="36"/>
  <c r="R225" i="36"/>
  <c r="P225" i="36"/>
  <c r="Q225" i="36"/>
  <c r="S225" i="36"/>
  <c r="T225" i="36"/>
  <c r="AA225" i="36"/>
  <c r="I224" i="36"/>
  <c r="R224" i="36"/>
  <c r="P224" i="36"/>
  <c r="Q224" i="36"/>
  <c r="S224" i="36"/>
  <c r="T224" i="36"/>
  <c r="AA224" i="36"/>
  <c r="AB224" i="36"/>
  <c r="I226" i="36"/>
  <c r="R226" i="36"/>
  <c r="P226" i="36"/>
  <c r="Q226" i="36"/>
  <c r="S226" i="36"/>
  <c r="T226" i="36"/>
  <c r="AA226" i="36"/>
  <c r="AB226" i="36"/>
  <c r="I2242" i="36"/>
  <c r="R2242" i="36"/>
  <c r="P2242" i="36"/>
  <c r="Q2242" i="36"/>
  <c r="S2242" i="36"/>
  <c r="T2242" i="36"/>
  <c r="AA2242" i="36"/>
  <c r="AB2242" i="36"/>
  <c r="I228" i="36"/>
  <c r="R228" i="36"/>
  <c r="P228" i="36"/>
  <c r="Q228" i="36"/>
  <c r="S228" i="36"/>
  <c r="T228" i="36"/>
  <c r="AA228" i="36"/>
  <c r="AB228" i="36"/>
  <c r="I227" i="36"/>
  <c r="R227" i="36"/>
  <c r="P227" i="36"/>
  <c r="Q227" i="36"/>
  <c r="S227" i="36"/>
  <c r="T227" i="36"/>
  <c r="AA227" i="36"/>
  <c r="AB227" i="36"/>
  <c r="I2438" i="36"/>
  <c r="R2438" i="36"/>
  <c r="P2438" i="36"/>
  <c r="Q2438" i="36"/>
  <c r="S2438" i="36"/>
  <c r="T2438" i="36"/>
  <c r="AA2438" i="36"/>
  <c r="AB2438" i="36"/>
  <c r="I2439" i="36"/>
  <c r="R2439" i="36"/>
  <c r="P2439" i="36"/>
  <c r="Q2439" i="36"/>
  <c r="S2439" i="36"/>
  <c r="T2439" i="36"/>
  <c r="AA2439" i="36"/>
  <c r="AB2439" i="36"/>
  <c r="I229" i="36"/>
  <c r="R229" i="36"/>
  <c r="P229" i="36"/>
  <c r="Q229" i="36"/>
  <c r="S229" i="36"/>
  <c r="T229" i="36"/>
  <c r="AA229" i="36"/>
  <c r="AB229" i="36"/>
  <c r="I2533" i="36"/>
  <c r="R2533" i="36"/>
  <c r="P2533" i="36"/>
  <c r="Q2533" i="36"/>
  <c r="S2533" i="36"/>
  <c r="T2533" i="36"/>
  <c r="AA2533" i="36"/>
  <c r="AB2533" i="36"/>
  <c r="I230" i="36"/>
  <c r="R230" i="36"/>
  <c r="P230" i="36"/>
  <c r="Q230" i="36"/>
  <c r="S230" i="36"/>
  <c r="T230" i="36"/>
  <c r="AA230" i="36"/>
  <c r="AB230" i="36"/>
  <c r="I231" i="36"/>
  <c r="R231" i="36"/>
  <c r="P231" i="36"/>
  <c r="Q231" i="36"/>
  <c r="S231" i="36"/>
  <c r="T231" i="36"/>
  <c r="AA231" i="36"/>
  <c r="AB231" i="36"/>
  <c r="I1744" i="36"/>
  <c r="R1744" i="36"/>
  <c r="P1744" i="36"/>
  <c r="Q1744" i="36"/>
  <c r="S1744" i="36"/>
  <c r="T1744" i="36"/>
  <c r="AA1744" i="36"/>
  <c r="AB1744" i="36"/>
  <c r="I232" i="36"/>
  <c r="R232" i="36"/>
  <c r="P232" i="36"/>
  <c r="Q232" i="36"/>
  <c r="S232" i="36"/>
  <c r="T232" i="36"/>
  <c r="AA232" i="36"/>
  <c r="AB232" i="36"/>
  <c r="I233" i="36"/>
  <c r="R233" i="36"/>
  <c r="P233" i="36"/>
  <c r="Q233" i="36"/>
  <c r="S233" i="36"/>
  <c r="T233" i="36"/>
  <c r="AA233" i="36"/>
  <c r="AB233" i="36"/>
  <c r="I234" i="36"/>
  <c r="R234" i="36"/>
  <c r="P234" i="36"/>
  <c r="Q234" i="36"/>
  <c r="S234" i="36"/>
  <c r="T234" i="36"/>
  <c r="AA234" i="36"/>
  <c r="AB234" i="36"/>
  <c r="I2534" i="36"/>
  <c r="R2534" i="36"/>
  <c r="P2534" i="36"/>
  <c r="Q2534" i="36"/>
  <c r="S2534" i="36"/>
  <c r="T2534" i="36"/>
  <c r="AA2534" i="36"/>
  <c r="AB2534" i="36"/>
  <c r="I2243" i="36"/>
  <c r="R2243" i="36"/>
  <c r="P2243" i="36"/>
  <c r="Q2243" i="36"/>
  <c r="S2243" i="36"/>
  <c r="T2243" i="36"/>
  <c r="AA2243" i="36"/>
  <c r="AB2243" i="36"/>
  <c r="I235" i="36"/>
  <c r="R235" i="36"/>
  <c r="P235" i="36"/>
  <c r="Q235" i="36"/>
  <c r="S235" i="36"/>
  <c r="T235" i="36"/>
  <c r="AA235" i="36"/>
  <c r="AB235" i="36"/>
  <c r="I2244" i="36"/>
  <c r="R2244" i="36"/>
  <c r="P2244" i="36"/>
  <c r="Q2244" i="36"/>
  <c r="S2244" i="36"/>
  <c r="T2244" i="36"/>
  <c r="AA2244" i="36"/>
  <c r="AB2244" i="36"/>
  <c r="I236" i="36"/>
  <c r="R236" i="36"/>
  <c r="P236" i="36"/>
  <c r="Q236" i="36"/>
  <c r="S236" i="36"/>
  <c r="T236" i="36"/>
  <c r="AA236" i="36"/>
  <c r="AB236" i="36"/>
  <c r="I237" i="36"/>
  <c r="R237" i="36"/>
  <c r="P237" i="36"/>
  <c r="Q237" i="36"/>
  <c r="S237" i="36"/>
  <c r="T237" i="36"/>
  <c r="AA237" i="36"/>
  <c r="AB237" i="36"/>
  <c r="I2245" i="36"/>
  <c r="R2245" i="36"/>
  <c r="P2245" i="36"/>
  <c r="Q2245" i="36"/>
  <c r="S2245" i="36"/>
  <c r="T2245" i="36"/>
  <c r="AA2245" i="36"/>
  <c r="AB2245" i="36"/>
  <c r="I1745" i="36"/>
  <c r="R1745" i="36"/>
  <c r="P1745" i="36"/>
  <c r="Q1745" i="36"/>
  <c r="S1745" i="36"/>
  <c r="T1745" i="36"/>
  <c r="AA1745" i="36"/>
  <c r="AB1745" i="36"/>
  <c r="I238" i="36"/>
  <c r="R238" i="36"/>
  <c r="P238" i="36"/>
  <c r="Q238" i="36"/>
  <c r="S238" i="36"/>
  <c r="T238" i="36"/>
  <c r="AA238" i="36"/>
  <c r="AB238" i="36"/>
  <c r="I239" i="36"/>
  <c r="R239" i="36"/>
  <c r="P239" i="36"/>
  <c r="Q239" i="36"/>
  <c r="S239" i="36"/>
  <c r="T239" i="36"/>
  <c r="AA239" i="36"/>
  <c r="AB239" i="36"/>
  <c r="I240" i="36"/>
  <c r="R240" i="36"/>
  <c r="P240" i="36"/>
  <c r="Q240" i="36"/>
  <c r="S240" i="36"/>
  <c r="T240" i="36"/>
  <c r="AA240" i="36"/>
  <c r="AB240" i="36"/>
  <c r="I1746" i="36"/>
  <c r="R1746" i="36"/>
  <c r="P1746" i="36"/>
  <c r="Q1746" i="36"/>
  <c r="S1746" i="36"/>
  <c r="T1746" i="36"/>
  <c r="AA1746" i="36"/>
  <c r="AB1746" i="36"/>
  <c r="I1747" i="36"/>
  <c r="R1747" i="36"/>
  <c r="P1747" i="36"/>
  <c r="Q1747" i="36"/>
  <c r="S1747" i="36"/>
  <c r="T1747" i="36"/>
  <c r="AA1747" i="36"/>
  <c r="AB1747" i="36"/>
  <c r="I241" i="36"/>
  <c r="R241" i="36"/>
  <c r="P241" i="36"/>
  <c r="Q241" i="36"/>
  <c r="S241" i="36"/>
  <c r="T241" i="36"/>
  <c r="AA241" i="36"/>
  <c r="AB241" i="36"/>
  <c r="I242" i="36"/>
  <c r="R242" i="36"/>
  <c r="P242" i="36"/>
  <c r="Q242" i="36"/>
  <c r="S242" i="36"/>
  <c r="T242" i="36"/>
  <c r="AA242" i="36"/>
  <c r="AB242" i="36"/>
  <c r="I2246" i="36"/>
  <c r="R2246" i="36"/>
  <c r="P2246" i="36"/>
  <c r="Q2246" i="36"/>
  <c r="S2246" i="36"/>
  <c r="T2246" i="36"/>
  <c r="AA2246" i="36"/>
  <c r="AB2246" i="36"/>
  <c r="I1748" i="36"/>
  <c r="R1748" i="36"/>
  <c r="P1748" i="36"/>
  <c r="Q1748" i="36"/>
  <c r="S1748" i="36"/>
  <c r="T1748" i="36"/>
  <c r="AA1748" i="36"/>
  <c r="AB1748" i="36"/>
  <c r="I243" i="36"/>
  <c r="R243" i="36"/>
  <c r="P243" i="36"/>
  <c r="Q243" i="36"/>
  <c r="S243" i="36"/>
  <c r="T243" i="36"/>
  <c r="AA243" i="36"/>
  <c r="AB243" i="36"/>
  <c r="I244" i="36"/>
  <c r="R244" i="36"/>
  <c r="P244" i="36"/>
  <c r="Q244" i="36"/>
  <c r="S244" i="36"/>
  <c r="T244" i="36"/>
  <c r="AA244" i="36"/>
  <c r="AB244" i="36"/>
  <c r="I2535" i="36"/>
  <c r="R2535" i="36"/>
  <c r="P2535" i="36"/>
  <c r="Q2535" i="36"/>
  <c r="S2535" i="36"/>
  <c r="T2535" i="36"/>
  <c r="AA2535" i="36"/>
  <c r="AB2535" i="36"/>
  <c r="I1749" i="36"/>
  <c r="R1749" i="36"/>
  <c r="P1749" i="36"/>
  <c r="Q1749" i="36"/>
  <c r="S1749" i="36"/>
  <c r="T1749" i="36"/>
  <c r="AA1749" i="36"/>
  <c r="I245" i="36"/>
  <c r="R245" i="36"/>
  <c r="P245" i="36"/>
  <c r="Q245" i="36"/>
  <c r="S245" i="36"/>
  <c r="T245" i="36"/>
  <c r="AA245" i="36"/>
  <c r="AB245" i="36"/>
  <c r="I1750" i="36"/>
  <c r="R1750" i="36"/>
  <c r="P1750" i="36"/>
  <c r="Q1750" i="36"/>
  <c r="S1750" i="36"/>
  <c r="T1750" i="36"/>
  <c r="AA1750" i="36"/>
  <c r="AB1750" i="36"/>
  <c r="I246" i="36"/>
  <c r="R246" i="36"/>
  <c r="P246" i="36"/>
  <c r="Q246" i="36"/>
  <c r="S246" i="36"/>
  <c r="T246" i="36"/>
  <c r="AA246" i="36"/>
  <c r="I2440" i="36"/>
  <c r="R2440" i="36"/>
  <c r="P2440" i="36"/>
  <c r="Q2440" i="36"/>
  <c r="S2440" i="36"/>
  <c r="T2440" i="36"/>
  <c r="AA2440" i="36"/>
  <c r="AB2440" i="36"/>
  <c r="I2247" i="36"/>
  <c r="R2247" i="36"/>
  <c r="P2247" i="36"/>
  <c r="Q2247" i="36"/>
  <c r="S2247" i="36"/>
  <c r="T2247" i="36"/>
  <c r="AA2247" i="36"/>
  <c r="AB2247" i="36"/>
  <c r="I247" i="36"/>
  <c r="R247" i="36"/>
  <c r="P247" i="36"/>
  <c r="Q247" i="36"/>
  <c r="S247" i="36"/>
  <c r="T247" i="36"/>
  <c r="AA247" i="36"/>
  <c r="AB247" i="36"/>
  <c r="I248" i="36"/>
  <c r="R248" i="36"/>
  <c r="P248" i="36"/>
  <c r="Q248" i="36"/>
  <c r="S248" i="36"/>
  <c r="T248" i="36"/>
  <c r="AA248" i="36"/>
  <c r="AB248" i="36"/>
  <c r="I2629" i="36"/>
  <c r="R2629" i="36"/>
  <c r="P2629" i="36"/>
  <c r="Q2629" i="36"/>
  <c r="S2629" i="36"/>
  <c r="T2629" i="36"/>
  <c r="AA2629" i="36"/>
  <c r="AB2629" i="36"/>
  <c r="I1751" i="36"/>
  <c r="R1751" i="36"/>
  <c r="P1751" i="36"/>
  <c r="Q1751" i="36"/>
  <c r="S1751" i="36"/>
  <c r="T1751" i="36"/>
  <c r="AA1751" i="36"/>
  <c r="AB1751" i="36"/>
  <c r="I249" i="36"/>
  <c r="R249" i="36"/>
  <c r="P249" i="36"/>
  <c r="Q249" i="36"/>
  <c r="S249" i="36"/>
  <c r="T249" i="36"/>
  <c r="AA249" i="36"/>
  <c r="I2441" i="36"/>
  <c r="R2441" i="36"/>
  <c r="P2441" i="36"/>
  <c r="Q2441" i="36"/>
  <c r="S2441" i="36"/>
  <c r="T2441" i="36"/>
  <c r="AA2441" i="36"/>
  <c r="AB2441" i="36"/>
  <c r="I2248" i="36"/>
  <c r="R2248" i="36"/>
  <c r="P2248" i="36"/>
  <c r="Q2248" i="36"/>
  <c r="S2248" i="36"/>
  <c r="T2248" i="36"/>
  <c r="AA2248" i="36"/>
  <c r="AB2248" i="36"/>
  <c r="I2249" i="36"/>
  <c r="R2249" i="36"/>
  <c r="P2249" i="36"/>
  <c r="Q2249" i="36"/>
  <c r="S2249" i="36"/>
  <c r="T2249" i="36"/>
  <c r="AA2249" i="36"/>
  <c r="AB2249" i="36"/>
  <c r="I250" i="36"/>
  <c r="R250" i="36"/>
  <c r="P250" i="36"/>
  <c r="Q250" i="36"/>
  <c r="S250" i="36"/>
  <c r="T250" i="36"/>
  <c r="AA250" i="36"/>
  <c r="AB250" i="36"/>
  <c r="I252" i="36"/>
  <c r="R252" i="36"/>
  <c r="P252" i="36"/>
  <c r="Q252" i="36"/>
  <c r="S252" i="36"/>
  <c r="T252" i="36"/>
  <c r="AA252" i="36"/>
  <c r="I251" i="36"/>
  <c r="R251" i="36"/>
  <c r="P251" i="36"/>
  <c r="Q251" i="36"/>
  <c r="S251" i="36"/>
  <c r="T251" i="36"/>
  <c r="AA251" i="36"/>
  <c r="AB251" i="36"/>
  <c r="I253" i="36"/>
  <c r="R253" i="36"/>
  <c r="P253" i="36"/>
  <c r="Q253" i="36"/>
  <c r="S253" i="36"/>
  <c r="T253" i="36"/>
  <c r="AA253" i="36"/>
  <c r="AB253" i="36"/>
  <c r="I254" i="36"/>
  <c r="R254" i="36"/>
  <c r="P254" i="36"/>
  <c r="Q254" i="36"/>
  <c r="S254" i="36"/>
  <c r="T254" i="36"/>
  <c r="AA254" i="36"/>
  <c r="AB254" i="36"/>
  <c r="I255" i="36"/>
  <c r="R255" i="36"/>
  <c r="P255" i="36"/>
  <c r="Q255" i="36"/>
  <c r="S255" i="36"/>
  <c r="T255" i="36"/>
  <c r="AA255" i="36"/>
  <c r="I256" i="36"/>
  <c r="R256" i="36"/>
  <c r="P256" i="36"/>
  <c r="Q256" i="36"/>
  <c r="S256" i="36"/>
  <c r="T256" i="36"/>
  <c r="AA256" i="36"/>
  <c r="AB256" i="36"/>
  <c r="I257" i="36"/>
  <c r="R257" i="36"/>
  <c r="P257" i="36"/>
  <c r="Q257" i="36"/>
  <c r="S257" i="36"/>
  <c r="T257" i="36"/>
  <c r="AA257" i="36"/>
  <c r="AB257" i="36"/>
  <c r="I259" i="36"/>
  <c r="R259" i="36"/>
  <c r="P259" i="36"/>
  <c r="Q259" i="36"/>
  <c r="S259" i="36"/>
  <c r="T259" i="36"/>
  <c r="AA259" i="36"/>
  <c r="I258" i="36"/>
  <c r="R258" i="36"/>
  <c r="P258" i="36"/>
  <c r="Q258" i="36"/>
  <c r="S258" i="36"/>
  <c r="T258" i="36"/>
  <c r="AA258" i="36"/>
  <c r="AB258" i="36"/>
  <c r="I260" i="36"/>
  <c r="R260" i="36"/>
  <c r="P260" i="36"/>
  <c r="Q260" i="36"/>
  <c r="S260" i="36"/>
  <c r="T260" i="36"/>
  <c r="AA260" i="36"/>
  <c r="AB260" i="36"/>
  <c r="I1752" i="36"/>
  <c r="R1752" i="36"/>
  <c r="P1752" i="36"/>
  <c r="Q1752" i="36"/>
  <c r="S1752" i="36"/>
  <c r="T1752" i="36"/>
  <c r="AA1752" i="36"/>
  <c r="AB1752" i="36"/>
  <c r="I261" i="36"/>
  <c r="R261" i="36"/>
  <c r="P261" i="36"/>
  <c r="Q261" i="36"/>
  <c r="S261" i="36"/>
  <c r="T261" i="36"/>
  <c r="AA261" i="36"/>
  <c r="AB261" i="36"/>
  <c r="I1753" i="36"/>
  <c r="R1753" i="36"/>
  <c r="P1753" i="36"/>
  <c r="Q1753" i="36"/>
  <c r="S1753" i="36"/>
  <c r="T1753" i="36"/>
  <c r="AA1753" i="36"/>
  <c r="AB1753" i="36"/>
  <c r="I1754" i="36"/>
  <c r="R1754" i="36"/>
  <c r="P1754" i="36"/>
  <c r="Q1754" i="36"/>
  <c r="S1754" i="36"/>
  <c r="T1754" i="36"/>
  <c r="AA1754" i="36"/>
  <c r="AB1754" i="36"/>
  <c r="I262" i="36"/>
  <c r="R262" i="36"/>
  <c r="P262" i="36"/>
  <c r="Q262" i="36"/>
  <c r="S262" i="36"/>
  <c r="T262" i="36"/>
  <c r="AA262" i="36"/>
  <c r="AB262" i="36"/>
  <c r="I263" i="36"/>
  <c r="R263" i="36"/>
  <c r="P263" i="36"/>
  <c r="Q263" i="36"/>
  <c r="S263" i="36"/>
  <c r="T263" i="36"/>
  <c r="AA263" i="36"/>
  <c r="AB263" i="36"/>
  <c r="I264" i="36"/>
  <c r="R264" i="36"/>
  <c r="P264" i="36"/>
  <c r="Q264" i="36"/>
  <c r="S264" i="36"/>
  <c r="T264" i="36"/>
  <c r="AA264" i="36"/>
  <c r="AB264" i="36"/>
  <c r="I265" i="36"/>
  <c r="R265" i="36"/>
  <c r="P265" i="36"/>
  <c r="Q265" i="36"/>
  <c r="S265" i="36"/>
  <c r="T265" i="36"/>
  <c r="AA265" i="36"/>
  <c r="I1755" i="36"/>
  <c r="R1755" i="36"/>
  <c r="P1755" i="36"/>
  <c r="Q1755" i="36"/>
  <c r="S1755" i="36"/>
  <c r="T1755" i="36"/>
  <c r="AA1755" i="36"/>
  <c r="AB1755" i="36"/>
  <c r="I266" i="36"/>
  <c r="R266" i="36"/>
  <c r="P266" i="36"/>
  <c r="Q266" i="36"/>
  <c r="S266" i="36"/>
  <c r="T266" i="36"/>
  <c r="AA266" i="36"/>
  <c r="AB266" i="36"/>
  <c r="I2250" i="36"/>
  <c r="R2250" i="36"/>
  <c r="P2250" i="36"/>
  <c r="Q2250" i="36"/>
  <c r="S2250" i="36"/>
  <c r="T2250" i="36"/>
  <c r="AA2250" i="36"/>
  <c r="AB2250" i="36"/>
  <c r="I267" i="36"/>
  <c r="R267" i="36"/>
  <c r="P267" i="36"/>
  <c r="Q267" i="36"/>
  <c r="S267" i="36"/>
  <c r="T267" i="36"/>
  <c r="AA267" i="36"/>
  <c r="I2583" i="36"/>
  <c r="R2583" i="36"/>
  <c r="P2583" i="36"/>
  <c r="Q2583" i="36"/>
  <c r="S2583" i="36"/>
  <c r="T2583" i="36"/>
  <c r="AA2583" i="36"/>
  <c r="AB2583" i="36"/>
  <c r="I2251" i="36"/>
  <c r="R2251" i="36"/>
  <c r="P2251" i="36"/>
  <c r="Q2251" i="36"/>
  <c r="S2251" i="36"/>
  <c r="T2251" i="36"/>
  <c r="AA2251" i="36"/>
  <c r="AB2251" i="36"/>
  <c r="I268" i="36"/>
  <c r="R268" i="36"/>
  <c r="P268" i="36"/>
  <c r="Q268" i="36"/>
  <c r="S268" i="36"/>
  <c r="T268" i="36"/>
  <c r="AA268" i="36"/>
  <c r="AB268" i="36"/>
  <c r="I2252" i="36"/>
  <c r="R2252" i="36"/>
  <c r="P2252" i="36"/>
  <c r="Q2252" i="36"/>
  <c r="S2252" i="36"/>
  <c r="T2252" i="36"/>
  <c r="AA2252" i="36"/>
  <c r="AB2252" i="36"/>
  <c r="I2442" i="36"/>
  <c r="R2442" i="36"/>
  <c r="P2442" i="36"/>
  <c r="Q2442" i="36"/>
  <c r="S2442" i="36"/>
  <c r="T2442" i="36"/>
  <c r="AA2442" i="36"/>
  <c r="AB2442" i="36"/>
  <c r="I269" i="36"/>
  <c r="R269" i="36"/>
  <c r="P269" i="36"/>
  <c r="Q269" i="36"/>
  <c r="S269" i="36"/>
  <c r="T269" i="36"/>
  <c r="AA269" i="36"/>
  <c r="AB269" i="36"/>
  <c r="I1756" i="36"/>
  <c r="R1756" i="36"/>
  <c r="P1756" i="36"/>
  <c r="Q1756" i="36"/>
  <c r="S1756" i="36"/>
  <c r="T1756" i="36"/>
  <c r="AA1756" i="36"/>
  <c r="AB1756" i="36"/>
  <c r="I1757" i="36"/>
  <c r="R1757" i="36"/>
  <c r="P1757" i="36"/>
  <c r="Q1757" i="36"/>
  <c r="S1757" i="36"/>
  <c r="T1757" i="36"/>
  <c r="AA1757" i="36"/>
  <c r="AB1757" i="36"/>
  <c r="AL1757" i="36"/>
  <c r="I1758" i="36"/>
  <c r="R1758" i="36"/>
  <c r="P1758" i="36"/>
  <c r="Q1758" i="36"/>
  <c r="S1758" i="36"/>
  <c r="T1758" i="36"/>
  <c r="AA1758" i="36"/>
  <c r="AB1758" i="36"/>
  <c r="I270" i="36"/>
  <c r="R270" i="36"/>
  <c r="P270" i="36"/>
  <c r="Q270" i="36"/>
  <c r="S270" i="36"/>
  <c r="T270" i="36"/>
  <c r="AA270" i="36"/>
  <c r="AB270" i="36"/>
  <c r="I1759" i="36"/>
  <c r="R1759" i="36"/>
  <c r="P1759" i="36"/>
  <c r="Q1759" i="36"/>
  <c r="S1759" i="36"/>
  <c r="T1759" i="36"/>
  <c r="AA1759" i="36"/>
  <c r="AB1759" i="36"/>
  <c r="I2253" i="36"/>
  <c r="R2253" i="36"/>
  <c r="P2253" i="36"/>
  <c r="Q2253" i="36"/>
  <c r="S2253" i="36"/>
  <c r="T2253" i="36"/>
  <c r="AA2253" i="36"/>
  <c r="AB2253" i="36"/>
  <c r="I271" i="36"/>
  <c r="R271" i="36"/>
  <c r="P271" i="36"/>
  <c r="Q271" i="36"/>
  <c r="S271" i="36"/>
  <c r="T271" i="36"/>
  <c r="AA271" i="36"/>
  <c r="AB271" i="36"/>
  <c r="I272" i="36"/>
  <c r="R272" i="36"/>
  <c r="P272" i="36"/>
  <c r="Q272" i="36"/>
  <c r="S272" i="36"/>
  <c r="T272" i="36"/>
  <c r="AA272" i="36"/>
  <c r="I273" i="36"/>
  <c r="R273" i="36"/>
  <c r="P273" i="36"/>
  <c r="Q273" i="36"/>
  <c r="S273" i="36"/>
  <c r="T273" i="36"/>
  <c r="AA273" i="36"/>
  <c r="AB273" i="36"/>
  <c r="I1760" i="36"/>
  <c r="R1760" i="36"/>
  <c r="P1760" i="36"/>
  <c r="Q1760" i="36"/>
  <c r="S1760" i="36"/>
  <c r="T1760" i="36"/>
  <c r="AA1760" i="36"/>
  <c r="AB1760" i="36"/>
  <c r="I1761" i="36"/>
  <c r="R1761" i="36"/>
  <c r="P1761" i="36"/>
  <c r="Q1761" i="36"/>
  <c r="S1761" i="36"/>
  <c r="T1761" i="36"/>
  <c r="AA1761" i="36"/>
  <c r="AB1761" i="36"/>
  <c r="I274" i="36"/>
  <c r="R274" i="36"/>
  <c r="P274" i="36"/>
  <c r="Q274" i="36"/>
  <c r="S274" i="36"/>
  <c r="T274" i="36"/>
  <c r="AA274" i="36"/>
  <c r="I1762" i="36"/>
  <c r="R1762" i="36"/>
  <c r="P1762" i="36"/>
  <c r="Q1762" i="36"/>
  <c r="S1762" i="36"/>
  <c r="T1762" i="36"/>
  <c r="AA1762" i="36"/>
  <c r="AB1762" i="36"/>
  <c r="I275" i="36"/>
  <c r="R275" i="36"/>
  <c r="P275" i="36"/>
  <c r="Q275" i="36"/>
  <c r="S275" i="36"/>
  <c r="T275" i="36"/>
  <c r="AA275" i="36"/>
  <c r="AB275" i="36"/>
  <c r="I1763" i="36"/>
  <c r="R1763" i="36"/>
  <c r="P1763" i="36"/>
  <c r="Q1763" i="36"/>
  <c r="S1763" i="36"/>
  <c r="T1763" i="36"/>
  <c r="AA1763" i="36"/>
  <c r="AB1763" i="36"/>
  <c r="I1764" i="36"/>
  <c r="R1764" i="36"/>
  <c r="P1764" i="36"/>
  <c r="Q1764" i="36"/>
  <c r="S1764" i="36"/>
  <c r="T1764" i="36"/>
  <c r="AA1764" i="36"/>
  <c r="AB1764" i="36"/>
  <c r="I276" i="36"/>
  <c r="R276" i="36"/>
  <c r="P276" i="36"/>
  <c r="Q276" i="36"/>
  <c r="S276" i="36"/>
  <c r="T276" i="36"/>
  <c r="AA276" i="36"/>
  <c r="AB276" i="36"/>
  <c r="I277" i="36"/>
  <c r="R277" i="36"/>
  <c r="P277" i="36"/>
  <c r="Q277" i="36"/>
  <c r="S277" i="36"/>
  <c r="T277" i="36"/>
  <c r="AA277" i="36"/>
  <c r="AB277" i="36"/>
  <c r="I278" i="36"/>
  <c r="R278" i="36"/>
  <c r="P278" i="36"/>
  <c r="Q278" i="36"/>
  <c r="S278" i="36"/>
  <c r="T278" i="36"/>
  <c r="AA278" i="36"/>
  <c r="AB278" i="36"/>
  <c r="I279" i="36"/>
  <c r="R279" i="36"/>
  <c r="P279" i="36"/>
  <c r="Q279" i="36"/>
  <c r="S279" i="36"/>
  <c r="T279" i="36"/>
  <c r="AA279" i="36"/>
  <c r="AB279" i="36"/>
  <c r="I280" i="36"/>
  <c r="R280" i="36"/>
  <c r="P280" i="36"/>
  <c r="Q280" i="36"/>
  <c r="S280" i="36"/>
  <c r="T280" i="36"/>
  <c r="AA280" i="36"/>
  <c r="AB280" i="36"/>
  <c r="I2254" i="36"/>
  <c r="R2254" i="36"/>
  <c r="P2254" i="36"/>
  <c r="Q2254" i="36"/>
  <c r="S2254" i="36"/>
  <c r="T2254" i="36"/>
  <c r="AA2254" i="36"/>
  <c r="AB2254" i="36"/>
  <c r="I281" i="36"/>
  <c r="R281" i="36"/>
  <c r="P281" i="36"/>
  <c r="Q281" i="36"/>
  <c r="S281" i="36"/>
  <c r="T281" i="36"/>
  <c r="AA281" i="36"/>
  <c r="AB281" i="36"/>
  <c r="I282" i="36"/>
  <c r="R282" i="36"/>
  <c r="P282" i="36"/>
  <c r="Q282" i="36"/>
  <c r="S282" i="36"/>
  <c r="T282" i="36"/>
  <c r="AA282" i="36"/>
  <c r="I283" i="36"/>
  <c r="R283" i="36"/>
  <c r="P283" i="36"/>
  <c r="Q283" i="36"/>
  <c r="S283" i="36"/>
  <c r="T283" i="36"/>
  <c r="AA283" i="36"/>
  <c r="AB283" i="36"/>
  <c r="I284" i="36"/>
  <c r="R284" i="36"/>
  <c r="P284" i="36"/>
  <c r="Q284" i="36"/>
  <c r="S284" i="36"/>
  <c r="T284" i="36"/>
  <c r="AA284" i="36"/>
  <c r="AB284" i="36"/>
  <c r="I1765" i="36"/>
  <c r="R1765" i="36"/>
  <c r="P1765" i="36"/>
  <c r="Q1765" i="36"/>
  <c r="S1765" i="36"/>
  <c r="T1765" i="36"/>
  <c r="AA1765" i="36"/>
  <c r="AB1765" i="36"/>
  <c r="AL1765" i="36"/>
  <c r="I285" i="36"/>
  <c r="R285" i="36"/>
  <c r="P285" i="36"/>
  <c r="Q285" i="36"/>
  <c r="S285" i="36"/>
  <c r="T285" i="36"/>
  <c r="AA285" i="36"/>
  <c r="I1766" i="36"/>
  <c r="R1766" i="36"/>
  <c r="P1766" i="36"/>
  <c r="Q1766" i="36"/>
  <c r="S1766" i="36"/>
  <c r="T1766" i="36"/>
  <c r="AA1766" i="36"/>
  <c r="AB1766" i="36"/>
  <c r="AL1766" i="36"/>
  <c r="I1767" i="36"/>
  <c r="R1767" i="36"/>
  <c r="P1767" i="36"/>
  <c r="Q1767" i="36"/>
  <c r="S1767" i="36"/>
  <c r="T1767" i="36"/>
  <c r="AA1767" i="36"/>
  <c r="AB1767" i="36"/>
  <c r="I286" i="36"/>
  <c r="R286" i="36"/>
  <c r="P286" i="36"/>
  <c r="Q286" i="36"/>
  <c r="S286" i="36"/>
  <c r="T286" i="36"/>
  <c r="AA286" i="36"/>
  <c r="AB286" i="36"/>
  <c r="I1768" i="36"/>
  <c r="R1768" i="36"/>
  <c r="P1768" i="36"/>
  <c r="Q1768" i="36"/>
  <c r="S1768" i="36"/>
  <c r="T1768" i="36"/>
  <c r="AA1768" i="36"/>
  <c r="AB1768" i="36"/>
  <c r="AL1768" i="36"/>
  <c r="I2255" i="36"/>
  <c r="R2255" i="36"/>
  <c r="P2255" i="36"/>
  <c r="Q2255" i="36"/>
  <c r="S2255" i="36"/>
  <c r="T2255" i="36"/>
  <c r="AA2255" i="36"/>
  <c r="AB2255" i="36"/>
  <c r="AL2255" i="36"/>
  <c r="I1769" i="36"/>
  <c r="R1769" i="36"/>
  <c r="P1769" i="36"/>
  <c r="Q1769" i="36"/>
  <c r="S1769" i="36"/>
  <c r="T1769" i="36"/>
  <c r="AA1769" i="36"/>
  <c r="AB1769" i="36"/>
  <c r="AL1769" i="36"/>
  <c r="I288" i="36"/>
  <c r="R288" i="36"/>
  <c r="P288" i="36"/>
  <c r="Q288" i="36"/>
  <c r="S288" i="36"/>
  <c r="T288" i="36"/>
  <c r="AA288" i="36"/>
  <c r="I287" i="36"/>
  <c r="R287" i="36"/>
  <c r="P287" i="36"/>
  <c r="Q287" i="36"/>
  <c r="S287" i="36"/>
  <c r="T287" i="36"/>
  <c r="AA287" i="36"/>
  <c r="AB287" i="36"/>
  <c r="I289" i="36"/>
  <c r="R289" i="36"/>
  <c r="P289" i="36"/>
  <c r="Q289" i="36"/>
  <c r="S289" i="36"/>
  <c r="T289" i="36"/>
  <c r="AA289" i="36"/>
  <c r="AB289" i="36"/>
  <c r="I290" i="36"/>
  <c r="R290" i="36"/>
  <c r="P290" i="36"/>
  <c r="Q290" i="36"/>
  <c r="S290" i="36"/>
  <c r="T290" i="36"/>
  <c r="AA290" i="36"/>
  <c r="AB290" i="36"/>
  <c r="I291" i="36"/>
  <c r="R291" i="36"/>
  <c r="P291" i="36"/>
  <c r="Q291" i="36"/>
  <c r="S291" i="36"/>
  <c r="T291" i="36"/>
  <c r="AA291" i="36"/>
  <c r="I1770" i="36"/>
  <c r="R1770" i="36"/>
  <c r="P1770" i="36"/>
  <c r="Q1770" i="36"/>
  <c r="S1770" i="36"/>
  <c r="T1770" i="36"/>
  <c r="AA1770" i="36"/>
  <c r="AB1770" i="36"/>
  <c r="I292" i="36"/>
  <c r="R292" i="36"/>
  <c r="P292" i="36"/>
  <c r="Q292" i="36"/>
  <c r="S292" i="36"/>
  <c r="T292" i="36"/>
  <c r="AA292" i="36"/>
  <c r="AB292" i="36"/>
  <c r="I293" i="36"/>
  <c r="R293" i="36"/>
  <c r="P293" i="36"/>
  <c r="Q293" i="36"/>
  <c r="S293" i="36"/>
  <c r="T293" i="36"/>
  <c r="AA293" i="36"/>
  <c r="I1771" i="36"/>
  <c r="R1771" i="36"/>
  <c r="P1771" i="36"/>
  <c r="Q1771" i="36"/>
  <c r="S1771" i="36"/>
  <c r="T1771" i="36"/>
  <c r="AA1771" i="36"/>
  <c r="AB1771" i="36"/>
  <c r="I294" i="36"/>
  <c r="R294" i="36"/>
  <c r="P294" i="36"/>
  <c r="Q294" i="36"/>
  <c r="S294" i="36"/>
  <c r="T294" i="36"/>
  <c r="AA294" i="36"/>
  <c r="I295" i="36"/>
  <c r="R295" i="36"/>
  <c r="P295" i="36"/>
  <c r="Q295" i="36"/>
  <c r="S295" i="36"/>
  <c r="T295" i="36"/>
  <c r="AA295" i="36"/>
  <c r="AB295" i="36"/>
  <c r="I296" i="36"/>
  <c r="R296" i="36"/>
  <c r="P296" i="36"/>
  <c r="Q296" i="36"/>
  <c r="S296" i="36"/>
  <c r="T296" i="36"/>
  <c r="AA296" i="36"/>
  <c r="I297" i="36"/>
  <c r="R297" i="36"/>
  <c r="P297" i="36"/>
  <c r="Q297" i="36"/>
  <c r="S297" i="36"/>
  <c r="T297" i="36"/>
  <c r="AA297" i="36"/>
  <c r="AB297" i="36"/>
  <c r="I298" i="36"/>
  <c r="R298" i="36"/>
  <c r="P298" i="36"/>
  <c r="Q298" i="36"/>
  <c r="S298" i="36"/>
  <c r="T298" i="36"/>
  <c r="AA298" i="36"/>
  <c r="I299" i="36"/>
  <c r="R299" i="36"/>
  <c r="P299" i="36"/>
  <c r="Q299" i="36"/>
  <c r="S299" i="36"/>
  <c r="T299" i="36"/>
  <c r="AA299" i="36"/>
  <c r="AB299" i="36"/>
  <c r="I300" i="36"/>
  <c r="R300" i="36"/>
  <c r="P300" i="36"/>
  <c r="Q300" i="36"/>
  <c r="S300" i="36"/>
  <c r="T300" i="36"/>
  <c r="AA300" i="36"/>
  <c r="I301" i="36"/>
  <c r="R301" i="36"/>
  <c r="P301" i="36"/>
  <c r="Q301" i="36"/>
  <c r="S301" i="36"/>
  <c r="T301" i="36"/>
  <c r="AA301" i="36"/>
  <c r="AB301" i="36"/>
  <c r="I302" i="36"/>
  <c r="R302" i="36"/>
  <c r="P302" i="36"/>
  <c r="Q302" i="36"/>
  <c r="S302" i="36"/>
  <c r="T302" i="36"/>
  <c r="AA302" i="36"/>
  <c r="I303" i="36"/>
  <c r="R303" i="36"/>
  <c r="P303" i="36"/>
  <c r="Q303" i="36"/>
  <c r="S303" i="36"/>
  <c r="T303" i="36"/>
  <c r="AA303" i="36"/>
  <c r="AB303" i="36"/>
  <c r="I304" i="36"/>
  <c r="R304" i="36"/>
  <c r="P304" i="36"/>
  <c r="Q304" i="36"/>
  <c r="S304" i="36"/>
  <c r="T304" i="36"/>
  <c r="AA304" i="36"/>
  <c r="I305" i="36"/>
  <c r="R305" i="36"/>
  <c r="P305" i="36"/>
  <c r="Q305" i="36"/>
  <c r="S305" i="36"/>
  <c r="T305" i="36"/>
  <c r="AA305" i="36"/>
  <c r="AB305" i="36"/>
  <c r="I306" i="36"/>
  <c r="R306" i="36"/>
  <c r="P306" i="36"/>
  <c r="Q306" i="36"/>
  <c r="S306" i="36"/>
  <c r="T306" i="36"/>
  <c r="AA306" i="36"/>
  <c r="I307" i="36"/>
  <c r="R307" i="36"/>
  <c r="P307" i="36"/>
  <c r="Q307" i="36"/>
  <c r="S307" i="36"/>
  <c r="T307" i="36"/>
  <c r="AA307" i="36"/>
  <c r="AB307" i="36"/>
  <c r="I308" i="36"/>
  <c r="R308" i="36"/>
  <c r="P308" i="36"/>
  <c r="Q308" i="36"/>
  <c r="S308" i="36"/>
  <c r="T308" i="36"/>
  <c r="AA308" i="36"/>
  <c r="I1772" i="36"/>
  <c r="R1772" i="36"/>
  <c r="P1772" i="36"/>
  <c r="Q1772" i="36"/>
  <c r="S1772" i="36"/>
  <c r="T1772" i="36"/>
  <c r="AA1772" i="36"/>
  <c r="AB1772" i="36"/>
  <c r="AL1772" i="36"/>
  <c r="I309" i="36"/>
  <c r="R309" i="36"/>
  <c r="P309" i="36"/>
  <c r="Q309" i="36"/>
  <c r="S309" i="36"/>
  <c r="T309" i="36"/>
  <c r="AA309" i="36"/>
  <c r="AB309" i="36"/>
  <c r="I1773" i="36"/>
  <c r="R1773" i="36"/>
  <c r="P1773" i="36"/>
  <c r="Q1773" i="36"/>
  <c r="S1773" i="36"/>
  <c r="T1773" i="36"/>
  <c r="AA1773" i="36"/>
  <c r="AB1773" i="36"/>
  <c r="I2256" i="36"/>
  <c r="R2256" i="36"/>
  <c r="P2256" i="36"/>
  <c r="Q2256" i="36"/>
  <c r="S2256" i="36"/>
  <c r="T2256" i="36"/>
  <c r="AA2256" i="36"/>
  <c r="AB2256" i="36"/>
  <c r="AL2256" i="36"/>
  <c r="I310" i="36"/>
  <c r="R310" i="36"/>
  <c r="P310" i="36"/>
  <c r="Q310" i="36"/>
  <c r="S310" i="36"/>
  <c r="T310" i="36"/>
  <c r="AA310" i="36"/>
  <c r="AB310" i="36"/>
  <c r="I311" i="36"/>
  <c r="R311" i="36"/>
  <c r="P311" i="36"/>
  <c r="Q311" i="36"/>
  <c r="S311" i="36"/>
  <c r="T311" i="36"/>
  <c r="AA311" i="36"/>
  <c r="AB311" i="36"/>
  <c r="AL311" i="36"/>
  <c r="I1774" i="36"/>
  <c r="R1774" i="36"/>
  <c r="P1774" i="36"/>
  <c r="Q1774" i="36"/>
  <c r="S1774" i="36"/>
  <c r="T1774" i="36"/>
  <c r="AA1774" i="36"/>
  <c r="AB1774" i="36"/>
  <c r="AL1774" i="36"/>
  <c r="I312" i="36"/>
  <c r="R312" i="36"/>
  <c r="P312" i="36"/>
  <c r="Q312" i="36"/>
  <c r="S312" i="36"/>
  <c r="T312" i="36"/>
  <c r="AA312" i="36"/>
  <c r="AB312" i="36"/>
  <c r="I2257" i="36"/>
  <c r="R2257" i="36"/>
  <c r="P2257" i="36"/>
  <c r="Q2257" i="36"/>
  <c r="S2257" i="36"/>
  <c r="T2257" i="36"/>
  <c r="AA2257" i="36"/>
  <c r="AB2257" i="36"/>
  <c r="AL2257" i="36"/>
  <c r="I313" i="36"/>
  <c r="R313" i="36"/>
  <c r="P313" i="36"/>
  <c r="Q313" i="36"/>
  <c r="S313" i="36"/>
  <c r="T313" i="36"/>
  <c r="AA313" i="36"/>
  <c r="AB313" i="36"/>
  <c r="I314" i="36"/>
  <c r="R314" i="36"/>
  <c r="P314" i="36"/>
  <c r="Q314" i="36"/>
  <c r="S314" i="36"/>
  <c r="T314" i="36"/>
  <c r="AA314" i="36"/>
  <c r="AB314" i="36"/>
  <c r="I1775" i="36"/>
  <c r="R1775" i="36"/>
  <c r="P1775" i="36"/>
  <c r="Q1775" i="36"/>
  <c r="S1775" i="36"/>
  <c r="T1775" i="36"/>
  <c r="AA1775" i="36"/>
  <c r="AB1775" i="36"/>
  <c r="I315" i="36"/>
  <c r="R315" i="36"/>
  <c r="P315" i="36"/>
  <c r="Q315" i="36"/>
  <c r="S315" i="36"/>
  <c r="T315" i="36"/>
  <c r="AA315" i="36"/>
  <c r="AB315" i="36"/>
  <c r="I316" i="36"/>
  <c r="R316" i="36"/>
  <c r="P316" i="36"/>
  <c r="Q316" i="36"/>
  <c r="S316" i="36"/>
  <c r="T316" i="36"/>
  <c r="AA316" i="36"/>
  <c r="AB316" i="36"/>
  <c r="I317" i="36"/>
  <c r="R317" i="36"/>
  <c r="P317" i="36"/>
  <c r="Q317" i="36"/>
  <c r="S317" i="36"/>
  <c r="T317" i="36"/>
  <c r="AA317" i="36"/>
  <c r="AB317" i="36"/>
  <c r="I1776" i="36"/>
  <c r="R1776" i="36"/>
  <c r="P1776" i="36"/>
  <c r="Q1776" i="36"/>
  <c r="S1776" i="36"/>
  <c r="T1776" i="36"/>
  <c r="AA1776" i="36"/>
  <c r="AB1776" i="36"/>
  <c r="AL1776" i="36"/>
  <c r="I1777" i="36"/>
  <c r="R1777" i="36"/>
  <c r="P1777" i="36"/>
  <c r="Q1777" i="36"/>
  <c r="S1777" i="36"/>
  <c r="T1777" i="36"/>
  <c r="AA1777" i="36"/>
  <c r="AB1777" i="36"/>
  <c r="I2258" i="36"/>
  <c r="R2258" i="36"/>
  <c r="P2258" i="36"/>
  <c r="Q2258" i="36"/>
  <c r="S2258" i="36"/>
  <c r="T2258" i="36"/>
  <c r="AA2258" i="36"/>
  <c r="AB2258" i="36"/>
  <c r="AL2258" i="36"/>
  <c r="I1778" i="36"/>
  <c r="R1778" i="36"/>
  <c r="P1778" i="36"/>
  <c r="Q1778" i="36"/>
  <c r="S1778" i="36"/>
  <c r="T1778" i="36"/>
  <c r="AA1778" i="36"/>
  <c r="AB1778" i="36"/>
  <c r="AL1778" i="36"/>
  <c r="I2259" i="36"/>
  <c r="R2259" i="36"/>
  <c r="P2259" i="36"/>
  <c r="Q2259" i="36"/>
  <c r="S2259" i="36"/>
  <c r="T2259" i="36"/>
  <c r="AA2259" i="36"/>
  <c r="AB2259" i="36"/>
  <c r="AL2259" i="36"/>
  <c r="I1779" i="36"/>
  <c r="R1779" i="36"/>
  <c r="P1779" i="36"/>
  <c r="Q1779" i="36"/>
  <c r="S1779" i="36"/>
  <c r="T1779" i="36"/>
  <c r="AA1779" i="36"/>
  <c r="AB1779" i="36"/>
  <c r="I2260" i="36"/>
  <c r="R2260" i="36"/>
  <c r="P2260" i="36"/>
  <c r="Q2260" i="36"/>
  <c r="S2260" i="36"/>
  <c r="T2260" i="36"/>
  <c r="AA2260" i="36"/>
  <c r="AB2260" i="36"/>
  <c r="AL2260" i="36"/>
  <c r="I1780" i="36"/>
  <c r="R1780" i="36"/>
  <c r="P1780" i="36"/>
  <c r="Q1780" i="36"/>
  <c r="S1780" i="36"/>
  <c r="T1780" i="36"/>
  <c r="AA1780" i="36"/>
  <c r="AB1780" i="36"/>
  <c r="I2536" i="36"/>
  <c r="R2536" i="36"/>
  <c r="P2536" i="36"/>
  <c r="Q2536" i="36"/>
  <c r="S2536" i="36"/>
  <c r="T2536" i="36"/>
  <c r="AA2536" i="36"/>
  <c r="AB2536" i="36"/>
  <c r="AL2536" i="36"/>
  <c r="I1781" i="36"/>
  <c r="R1781" i="36"/>
  <c r="P1781" i="36"/>
  <c r="Q1781" i="36"/>
  <c r="S1781" i="36"/>
  <c r="T1781" i="36"/>
  <c r="AA1781" i="36"/>
  <c r="AB1781" i="36"/>
  <c r="AL1781" i="36"/>
  <c r="I318" i="36"/>
  <c r="R318" i="36"/>
  <c r="P318" i="36"/>
  <c r="Q318" i="36"/>
  <c r="S318" i="36"/>
  <c r="T318" i="36"/>
  <c r="AA318" i="36"/>
  <c r="AB318" i="36"/>
  <c r="I319" i="36"/>
  <c r="R319" i="36"/>
  <c r="P319" i="36"/>
  <c r="Q319" i="36"/>
  <c r="S319" i="36"/>
  <c r="T319" i="36"/>
  <c r="AA319" i="36"/>
  <c r="I1782" i="36"/>
  <c r="R1782" i="36"/>
  <c r="P1782" i="36"/>
  <c r="Q1782" i="36"/>
  <c r="S1782" i="36"/>
  <c r="T1782" i="36"/>
  <c r="AA1782" i="36"/>
  <c r="AB1782" i="36"/>
  <c r="I320" i="36"/>
  <c r="R320" i="36"/>
  <c r="P320" i="36"/>
  <c r="Q320" i="36"/>
  <c r="S320" i="36"/>
  <c r="T320" i="36"/>
  <c r="AA320" i="36"/>
  <c r="AB320" i="36"/>
  <c r="I2261" i="36"/>
  <c r="R2261" i="36"/>
  <c r="P2261" i="36"/>
  <c r="Q2261" i="36"/>
  <c r="S2261" i="36"/>
  <c r="T2261" i="36"/>
  <c r="AA2261" i="36"/>
  <c r="AB2261" i="36"/>
  <c r="AL2261" i="36"/>
  <c r="I321" i="36"/>
  <c r="R321" i="36"/>
  <c r="P321" i="36"/>
  <c r="Q321" i="36"/>
  <c r="S321" i="36"/>
  <c r="T321" i="36"/>
  <c r="AA321" i="36"/>
  <c r="AB321" i="36"/>
  <c r="I322" i="36"/>
  <c r="R322" i="36"/>
  <c r="P322" i="36"/>
  <c r="Q322" i="36"/>
  <c r="S322" i="36"/>
  <c r="T322" i="36"/>
  <c r="AA322" i="36"/>
  <c r="AB322" i="36"/>
  <c r="I323" i="36"/>
  <c r="R323" i="36"/>
  <c r="P323" i="36"/>
  <c r="Q323" i="36"/>
  <c r="S323" i="36"/>
  <c r="T323" i="36"/>
  <c r="AA323" i="36"/>
  <c r="AB323" i="36"/>
  <c r="I2262" i="36"/>
  <c r="R2262" i="36"/>
  <c r="P2262" i="36"/>
  <c r="Q2262" i="36"/>
  <c r="S2262" i="36"/>
  <c r="T2262" i="36"/>
  <c r="AA2262" i="36"/>
  <c r="AB2262" i="36"/>
  <c r="I1783" i="36"/>
  <c r="R1783" i="36"/>
  <c r="P1783" i="36"/>
  <c r="Q1783" i="36"/>
  <c r="S1783" i="36"/>
  <c r="T1783" i="36"/>
  <c r="AA1783" i="36"/>
  <c r="AB1783" i="36"/>
  <c r="I2443" i="36"/>
  <c r="R2443" i="36"/>
  <c r="P2443" i="36"/>
  <c r="Q2443" i="36"/>
  <c r="S2443" i="36"/>
  <c r="T2443" i="36"/>
  <c r="AA2443" i="36"/>
  <c r="AB2443" i="36"/>
  <c r="AL2443" i="36"/>
  <c r="I1784" i="36"/>
  <c r="R1784" i="36"/>
  <c r="P1784" i="36"/>
  <c r="Q1784" i="36"/>
  <c r="S1784" i="36"/>
  <c r="T1784" i="36"/>
  <c r="AA1784" i="36"/>
  <c r="AB1784" i="36"/>
  <c r="AL1784" i="36"/>
  <c r="I2444" i="36"/>
  <c r="R2444" i="36"/>
  <c r="P2444" i="36"/>
  <c r="Q2444" i="36"/>
  <c r="S2444" i="36"/>
  <c r="T2444" i="36"/>
  <c r="AA2444" i="36"/>
  <c r="AB2444" i="36"/>
  <c r="AL2444" i="36"/>
  <c r="I1785" i="36"/>
  <c r="R1785" i="36"/>
  <c r="P1785" i="36"/>
  <c r="Q1785" i="36"/>
  <c r="S1785" i="36"/>
  <c r="T1785" i="36"/>
  <c r="AA1785" i="36"/>
  <c r="AB1785" i="36"/>
  <c r="AL1785" i="36"/>
  <c r="I2445" i="36"/>
  <c r="K2445" i="36"/>
  <c r="AB2445" i="36"/>
  <c r="Q2445" i="36"/>
  <c r="S2445" i="36"/>
  <c r="T2445" i="36"/>
  <c r="AA2445" i="36"/>
  <c r="AL2445" i="36"/>
  <c r="I324" i="36"/>
  <c r="R324" i="36"/>
  <c r="P324" i="36"/>
  <c r="Q324" i="36"/>
  <c r="S324" i="36"/>
  <c r="T324" i="36"/>
  <c r="AA324" i="36"/>
  <c r="AB324" i="36"/>
  <c r="I325" i="36"/>
  <c r="R325" i="36"/>
  <c r="P325" i="36"/>
  <c r="Q325" i="36"/>
  <c r="S325" i="36"/>
  <c r="T325" i="36"/>
  <c r="AA325" i="36"/>
  <c r="AB325" i="36"/>
  <c r="I1786" i="36"/>
  <c r="R1786" i="36"/>
  <c r="P1786" i="36"/>
  <c r="Q1786" i="36"/>
  <c r="S1786" i="36"/>
  <c r="T1786" i="36"/>
  <c r="AA1786" i="36"/>
  <c r="AB1786" i="36"/>
  <c r="AL1786" i="36"/>
  <c r="I2263" i="36"/>
  <c r="R2263" i="36"/>
  <c r="P2263" i="36"/>
  <c r="Q2263" i="36"/>
  <c r="S2263" i="36"/>
  <c r="T2263" i="36"/>
  <c r="AA2263" i="36"/>
  <c r="AB2263" i="36"/>
  <c r="AL2263" i="36"/>
  <c r="I2264" i="36"/>
  <c r="R2264" i="36"/>
  <c r="P2264" i="36"/>
  <c r="Q2264" i="36"/>
  <c r="S2264" i="36"/>
  <c r="T2264" i="36"/>
  <c r="AA2264" i="36"/>
  <c r="I1787" i="36"/>
  <c r="R1787" i="36"/>
  <c r="P1787" i="36"/>
  <c r="Q1787" i="36"/>
  <c r="S1787" i="36"/>
  <c r="T1787" i="36"/>
  <c r="AA1787" i="36"/>
  <c r="AB1787" i="36"/>
  <c r="AL1787" i="36"/>
  <c r="I326" i="36"/>
  <c r="R326" i="36"/>
  <c r="P326" i="36"/>
  <c r="Q326" i="36"/>
  <c r="S326" i="36"/>
  <c r="T326" i="36"/>
  <c r="AA326" i="36"/>
  <c r="AB326" i="36"/>
  <c r="I327" i="36"/>
  <c r="R327" i="36"/>
  <c r="P327" i="36"/>
  <c r="Q327" i="36"/>
  <c r="S327" i="36"/>
  <c r="T327" i="36"/>
  <c r="AA327" i="36"/>
  <c r="AB327" i="36"/>
  <c r="I2265" i="36"/>
  <c r="R2265" i="36"/>
  <c r="P2265" i="36"/>
  <c r="Q2265" i="36"/>
  <c r="S2265" i="36"/>
  <c r="T2265" i="36"/>
  <c r="AA2265" i="36"/>
  <c r="AB2265" i="36"/>
  <c r="AL2265" i="36"/>
  <c r="I328" i="36"/>
  <c r="R328" i="36"/>
  <c r="P328" i="36"/>
  <c r="Q328" i="36"/>
  <c r="S328" i="36"/>
  <c r="T328" i="36"/>
  <c r="AA328" i="36"/>
  <c r="AB328" i="36"/>
  <c r="AL328" i="36"/>
  <c r="I1788" i="36"/>
  <c r="R1788" i="36"/>
  <c r="P1788" i="36"/>
  <c r="Q1788" i="36"/>
  <c r="S1788" i="36"/>
  <c r="T1788" i="36"/>
  <c r="AA1788" i="36"/>
  <c r="AB1788" i="36"/>
  <c r="AL1788" i="36"/>
  <c r="I330" i="36"/>
  <c r="R330" i="36"/>
  <c r="P330" i="36"/>
  <c r="Q330" i="36"/>
  <c r="S330" i="36"/>
  <c r="T330" i="36"/>
  <c r="AA330" i="36"/>
  <c r="AB330" i="36"/>
  <c r="I329" i="36"/>
  <c r="R329" i="36"/>
  <c r="P329" i="36"/>
  <c r="Q329" i="36"/>
  <c r="S329" i="36"/>
  <c r="T329" i="36"/>
  <c r="AA329" i="36"/>
  <c r="AB329" i="36"/>
  <c r="I2446" i="36"/>
  <c r="R2446" i="36"/>
  <c r="P2446" i="36"/>
  <c r="Q2446" i="36"/>
  <c r="S2446" i="36"/>
  <c r="T2446" i="36"/>
  <c r="AA2446" i="36"/>
  <c r="AB2446" i="36"/>
  <c r="AL2446" i="36"/>
  <c r="I331" i="36"/>
  <c r="R331" i="36"/>
  <c r="P331" i="36"/>
  <c r="Q331" i="36"/>
  <c r="S331" i="36"/>
  <c r="T331" i="36"/>
  <c r="AA331" i="36"/>
  <c r="AB331" i="36"/>
  <c r="I2266" i="36"/>
  <c r="R2266" i="36"/>
  <c r="P2266" i="36"/>
  <c r="Q2266" i="36"/>
  <c r="S2266" i="36"/>
  <c r="T2266" i="36"/>
  <c r="AA2266" i="36"/>
  <c r="AB2266" i="36"/>
  <c r="AL2266" i="36"/>
  <c r="I332" i="36"/>
  <c r="R332" i="36"/>
  <c r="P332" i="36"/>
  <c r="Q332" i="36"/>
  <c r="S332" i="36"/>
  <c r="T332" i="36"/>
  <c r="AA332" i="36"/>
  <c r="AB332" i="36"/>
  <c r="I1789" i="36"/>
  <c r="R1789" i="36"/>
  <c r="P1789" i="36"/>
  <c r="Q1789" i="36"/>
  <c r="S1789" i="36"/>
  <c r="T1789" i="36"/>
  <c r="AA1789" i="36"/>
  <c r="AB1789" i="36"/>
  <c r="AL1789" i="36"/>
  <c r="I333" i="36"/>
  <c r="R333" i="36"/>
  <c r="P333" i="36"/>
  <c r="Q333" i="36"/>
  <c r="S333" i="36"/>
  <c r="T333" i="36"/>
  <c r="AA333" i="36"/>
  <c r="AB333" i="36"/>
  <c r="I1790" i="36"/>
  <c r="R1790" i="36"/>
  <c r="P1790" i="36"/>
  <c r="Q1790" i="36"/>
  <c r="S1790" i="36"/>
  <c r="T1790" i="36"/>
  <c r="AA1790" i="36"/>
  <c r="AB1790" i="36"/>
  <c r="AL1790" i="36"/>
  <c r="I2537" i="36"/>
  <c r="R2537" i="36"/>
  <c r="P2537" i="36"/>
  <c r="Q2537" i="36"/>
  <c r="S2537" i="36"/>
  <c r="T2537" i="36"/>
  <c r="AA2537" i="36"/>
  <c r="AB2537" i="36"/>
  <c r="AL2537" i="36"/>
  <c r="I334" i="36"/>
  <c r="R334" i="36"/>
  <c r="P334" i="36"/>
  <c r="Q334" i="36"/>
  <c r="S334" i="36"/>
  <c r="T334" i="36"/>
  <c r="AA334" i="36"/>
  <c r="AB334" i="36"/>
  <c r="I336" i="36"/>
  <c r="R336" i="36"/>
  <c r="P336" i="36"/>
  <c r="Q336" i="36"/>
  <c r="S336" i="36"/>
  <c r="T336" i="36"/>
  <c r="AA336" i="36"/>
  <c r="AB336" i="36"/>
  <c r="I335" i="36"/>
  <c r="R335" i="36"/>
  <c r="P335" i="36"/>
  <c r="Q335" i="36"/>
  <c r="S335" i="36"/>
  <c r="T335" i="36"/>
  <c r="AA335" i="36"/>
  <c r="AB335" i="36"/>
  <c r="I1791" i="36"/>
  <c r="R1791" i="36"/>
  <c r="P1791" i="36"/>
  <c r="Q1791" i="36"/>
  <c r="S1791" i="36"/>
  <c r="T1791" i="36"/>
  <c r="AA1791" i="36"/>
  <c r="AB1791" i="36"/>
  <c r="I337" i="36"/>
  <c r="R337" i="36"/>
  <c r="P337" i="36"/>
  <c r="Q337" i="36"/>
  <c r="S337" i="36"/>
  <c r="T337" i="36"/>
  <c r="AA337" i="36"/>
  <c r="AB337" i="36"/>
  <c r="I1792" i="36"/>
  <c r="R1792" i="36"/>
  <c r="P1792" i="36"/>
  <c r="Q1792" i="36"/>
  <c r="S1792" i="36"/>
  <c r="T1792" i="36"/>
  <c r="AA1792" i="36"/>
  <c r="AB1792" i="36"/>
  <c r="AL1792" i="36"/>
  <c r="I1793" i="36"/>
  <c r="R1793" i="36"/>
  <c r="P1793" i="36"/>
  <c r="Q1793" i="36"/>
  <c r="S1793" i="36"/>
  <c r="T1793" i="36"/>
  <c r="AA1793" i="36"/>
  <c r="AB1793" i="36"/>
  <c r="I338" i="36"/>
  <c r="R338" i="36"/>
  <c r="P338" i="36"/>
  <c r="Q338" i="36"/>
  <c r="S338" i="36"/>
  <c r="T338" i="36"/>
  <c r="AA338" i="36"/>
  <c r="AB338" i="36"/>
  <c r="I2267" i="36"/>
  <c r="R2267" i="36"/>
  <c r="P2267" i="36"/>
  <c r="Q2267" i="36"/>
  <c r="S2267" i="36"/>
  <c r="T2267" i="36"/>
  <c r="AA2267" i="36"/>
  <c r="AB2267" i="36"/>
  <c r="AL2267" i="36"/>
  <c r="I1794" i="36"/>
  <c r="R1794" i="36"/>
  <c r="P1794" i="36"/>
  <c r="Q1794" i="36"/>
  <c r="S1794" i="36"/>
  <c r="T1794" i="36"/>
  <c r="AA1794" i="36"/>
  <c r="AB1794" i="36"/>
  <c r="AL1794" i="36"/>
  <c r="I2447" i="36"/>
  <c r="R2447" i="36"/>
  <c r="P2447" i="36"/>
  <c r="Q2447" i="36"/>
  <c r="S2447" i="36"/>
  <c r="T2447" i="36"/>
  <c r="AA2447" i="36"/>
  <c r="AB2447" i="36"/>
  <c r="AL2447" i="36"/>
  <c r="I1795" i="36"/>
  <c r="R1795" i="36"/>
  <c r="P1795" i="36"/>
  <c r="Q1795" i="36"/>
  <c r="S1795" i="36"/>
  <c r="T1795" i="36"/>
  <c r="AA1795" i="36"/>
  <c r="AB1795" i="36"/>
  <c r="I339" i="36"/>
  <c r="R339" i="36"/>
  <c r="P339" i="36"/>
  <c r="Q339" i="36"/>
  <c r="S339" i="36"/>
  <c r="T339" i="36"/>
  <c r="AA339" i="36"/>
  <c r="AB339" i="36"/>
  <c r="I1796" i="36"/>
  <c r="R1796" i="36"/>
  <c r="P1796" i="36"/>
  <c r="Q1796" i="36"/>
  <c r="S1796" i="36"/>
  <c r="T1796" i="36"/>
  <c r="AA1796" i="36"/>
  <c r="AB1796" i="36"/>
  <c r="AL1796" i="36"/>
  <c r="I1797" i="36"/>
  <c r="R1797" i="36"/>
  <c r="P1797" i="36"/>
  <c r="Q1797" i="36"/>
  <c r="S1797" i="36"/>
  <c r="T1797" i="36"/>
  <c r="AA1797" i="36"/>
  <c r="AB1797" i="36"/>
  <c r="I2268" i="36"/>
  <c r="R2268" i="36"/>
  <c r="P2268" i="36"/>
  <c r="Q2268" i="36"/>
  <c r="S2268" i="36"/>
  <c r="T2268" i="36"/>
  <c r="AA2268" i="36"/>
  <c r="AB2268" i="36"/>
  <c r="AL2268" i="36"/>
  <c r="I341" i="36"/>
  <c r="R341" i="36"/>
  <c r="P341" i="36"/>
  <c r="Q341" i="36"/>
  <c r="S341" i="36"/>
  <c r="T341" i="36"/>
  <c r="AA341" i="36"/>
  <c r="AB341" i="36"/>
  <c r="I340" i="36"/>
  <c r="R340" i="36"/>
  <c r="P340" i="36"/>
  <c r="Q340" i="36"/>
  <c r="S340" i="36"/>
  <c r="T340" i="36"/>
  <c r="AA340" i="36"/>
  <c r="AB340" i="36"/>
  <c r="I2584" i="36"/>
  <c r="R2584" i="36"/>
  <c r="P2584" i="36"/>
  <c r="Q2584" i="36"/>
  <c r="S2584" i="36"/>
  <c r="T2584" i="36"/>
  <c r="AA2584" i="36"/>
  <c r="AB2584" i="36"/>
  <c r="AL2584" i="36"/>
  <c r="I1798" i="36"/>
  <c r="R1798" i="36"/>
  <c r="P1798" i="36"/>
  <c r="Q1798" i="36"/>
  <c r="S1798" i="36"/>
  <c r="T1798" i="36"/>
  <c r="AA1798" i="36"/>
  <c r="AB1798" i="36"/>
  <c r="AL1798" i="36"/>
  <c r="I1799" i="36"/>
  <c r="R1799" i="36"/>
  <c r="P1799" i="36"/>
  <c r="Q1799" i="36"/>
  <c r="S1799" i="36"/>
  <c r="T1799" i="36"/>
  <c r="AA1799" i="36"/>
  <c r="AB1799" i="36"/>
  <c r="I343" i="36"/>
  <c r="R343" i="36"/>
  <c r="P343" i="36"/>
  <c r="Q343" i="36"/>
  <c r="S343" i="36"/>
  <c r="T343" i="36"/>
  <c r="AA343" i="36"/>
  <c r="AB343" i="36"/>
  <c r="I342" i="36"/>
  <c r="R342" i="36"/>
  <c r="P342" i="36"/>
  <c r="Q342" i="36"/>
  <c r="S342" i="36"/>
  <c r="T342" i="36"/>
  <c r="AA342" i="36"/>
  <c r="AB342" i="36"/>
  <c r="I2269" i="36"/>
  <c r="R2269" i="36"/>
  <c r="P2269" i="36"/>
  <c r="Q2269" i="36"/>
  <c r="S2269" i="36"/>
  <c r="T2269" i="36"/>
  <c r="AA2269" i="36"/>
  <c r="AB2269" i="36"/>
  <c r="AL2269" i="36"/>
  <c r="I1800" i="36"/>
  <c r="R1800" i="36"/>
  <c r="P1800" i="36"/>
  <c r="Q1800" i="36"/>
  <c r="S1800" i="36"/>
  <c r="T1800" i="36"/>
  <c r="AA1800" i="36"/>
  <c r="AB1800" i="36"/>
  <c r="AL1800" i="36"/>
  <c r="I2538" i="36"/>
  <c r="R2538" i="36"/>
  <c r="P2538" i="36"/>
  <c r="Q2538" i="36"/>
  <c r="S2538" i="36"/>
  <c r="T2538" i="36"/>
  <c r="AA2538" i="36"/>
  <c r="AB2538" i="36"/>
  <c r="AL2538" i="36"/>
  <c r="I1802" i="36"/>
  <c r="R1802" i="36"/>
  <c r="P1802" i="36"/>
  <c r="Q1802" i="36"/>
  <c r="S1802" i="36"/>
  <c r="T1802" i="36"/>
  <c r="AA1802" i="36"/>
  <c r="AB1802" i="36"/>
  <c r="AK1802" i="36"/>
  <c r="I1801" i="36"/>
  <c r="R1801" i="36"/>
  <c r="P1801" i="36"/>
  <c r="Q1801" i="36"/>
  <c r="S1801" i="36"/>
  <c r="T1801" i="36"/>
  <c r="AA1801" i="36"/>
  <c r="AB1801" i="36"/>
  <c r="AK1801" i="36"/>
  <c r="AL1801" i="36"/>
  <c r="I2270" i="36"/>
  <c r="R2270" i="36"/>
  <c r="P2270" i="36"/>
  <c r="Q2270" i="36"/>
  <c r="S2270" i="36"/>
  <c r="T2270" i="36"/>
  <c r="AA2270" i="36"/>
  <c r="AB2270" i="36"/>
  <c r="AK2270" i="36"/>
  <c r="AL2270" i="36"/>
  <c r="I1803" i="36"/>
  <c r="R1803" i="36"/>
  <c r="P1803" i="36"/>
  <c r="Q1803" i="36"/>
  <c r="S1803" i="36"/>
  <c r="T1803" i="36"/>
  <c r="AA1803" i="36"/>
  <c r="AB1803" i="36"/>
  <c r="AK1803" i="36"/>
  <c r="AL1803" i="36"/>
  <c r="I344" i="36"/>
  <c r="R344" i="36"/>
  <c r="P344" i="36"/>
  <c r="Q344" i="36"/>
  <c r="S344" i="36"/>
  <c r="T344" i="36"/>
  <c r="AA344" i="36"/>
  <c r="AB344" i="36"/>
  <c r="AK344" i="36"/>
  <c r="I1804" i="36"/>
  <c r="R1804" i="36"/>
  <c r="P1804" i="36"/>
  <c r="Q1804" i="36"/>
  <c r="S1804" i="36"/>
  <c r="T1804" i="36"/>
  <c r="AA1804" i="36"/>
  <c r="AB1804" i="36"/>
  <c r="AK1804" i="36"/>
  <c r="AL1804" i="36"/>
  <c r="I345" i="36"/>
  <c r="R345" i="36"/>
  <c r="P345" i="36"/>
  <c r="Q345" i="36"/>
  <c r="S345" i="36"/>
  <c r="T345" i="36"/>
  <c r="AA345" i="36"/>
  <c r="AB345" i="36"/>
  <c r="AK345" i="36"/>
  <c r="I2271" i="36"/>
  <c r="R2271" i="36"/>
  <c r="P2271" i="36"/>
  <c r="Q2271" i="36"/>
  <c r="S2271" i="36"/>
  <c r="T2271" i="36"/>
  <c r="AA2271" i="36"/>
  <c r="AB2271" i="36"/>
  <c r="AK2271" i="36"/>
  <c r="AL2271" i="36"/>
  <c r="I346" i="36"/>
  <c r="R346" i="36"/>
  <c r="P346" i="36"/>
  <c r="Q346" i="36"/>
  <c r="S346" i="36"/>
  <c r="T346" i="36"/>
  <c r="AA346" i="36"/>
  <c r="AB346" i="36"/>
  <c r="AK346" i="36"/>
  <c r="I1805" i="36"/>
  <c r="R1805" i="36"/>
  <c r="P1805" i="36"/>
  <c r="Q1805" i="36"/>
  <c r="S1805" i="36"/>
  <c r="T1805" i="36"/>
  <c r="AA1805" i="36"/>
  <c r="AB1805" i="36"/>
  <c r="AK1805" i="36"/>
  <c r="AL1805" i="36"/>
  <c r="I347" i="36"/>
  <c r="R347" i="36"/>
  <c r="P347" i="36"/>
  <c r="Q347" i="36"/>
  <c r="S347" i="36"/>
  <c r="T347" i="36"/>
  <c r="AA347" i="36"/>
  <c r="AB347" i="36"/>
  <c r="AK347" i="36"/>
  <c r="I1806" i="36"/>
  <c r="R1806" i="36"/>
  <c r="P1806" i="36"/>
  <c r="Q1806" i="36"/>
  <c r="S1806" i="36"/>
  <c r="T1806" i="36"/>
  <c r="AA1806" i="36"/>
  <c r="AB1806" i="36"/>
  <c r="AK1806" i="36"/>
  <c r="AL1806" i="36"/>
  <c r="I348" i="36"/>
  <c r="R348" i="36"/>
  <c r="P348" i="36"/>
  <c r="Q348" i="36"/>
  <c r="S348" i="36"/>
  <c r="T348" i="36"/>
  <c r="AA348" i="36"/>
  <c r="AB348" i="36"/>
  <c r="AK348" i="36"/>
  <c r="I1807" i="36"/>
  <c r="R1807" i="36"/>
  <c r="P1807" i="36"/>
  <c r="Q1807" i="36"/>
  <c r="S1807" i="36"/>
  <c r="T1807" i="36"/>
  <c r="AA1807" i="36"/>
  <c r="AB1807" i="36"/>
  <c r="AK1807" i="36"/>
  <c r="AL1807" i="36"/>
  <c r="I2539" i="36"/>
  <c r="R2539" i="36"/>
  <c r="P2539" i="36"/>
  <c r="Q2539" i="36"/>
  <c r="S2539" i="36"/>
  <c r="T2539" i="36"/>
  <c r="AA2539" i="36"/>
  <c r="AB2539" i="36"/>
  <c r="AK2539" i="36"/>
  <c r="AL2539" i="36"/>
  <c r="I1808" i="36"/>
  <c r="R1808" i="36"/>
  <c r="P1808" i="36"/>
  <c r="Q1808" i="36"/>
  <c r="S1808" i="36"/>
  <c r="T1808" i="36"/>
  <c r="AA1808" i="36"/>
  <c r="AB1808" i="36"/>
  <c r="AK1808" i="36"/>
  <c r="AL1808" i="36"/>
  <c r="I349" i="36"/>
  <c r="R349" i="36"/>
  <c r="P349" i="36"/>
  <c r="Q349" i="36"/>
  <c r="S349" i="36"/>
  <c r="T349" i="36"/>
  <c r="AA349" i="36"/>
  <c r="AB349" i="36"/>
  <c r="AK349" i="36"/>
  <c r="I350" i="36"/>
  <c r="R350" i="36"/>
  <c r="P350" i="36"/>
  <c r="Q350" i="36"/>
  <c r="S350" i="36"/>
  <c r="T350" i="36"/>
  <c r="AA350" i="36"/>
  <c r="AB350" i="36"/>
  <c r="AK350" i="36"/>
  <c r="I1809" i="36"/>
  <c r="R1809" i="36"/>
  <c r="P1809" i="36"/>
  <c r="Q1809" i="36"/>
  <c r="S1809" i="36"/>
  <c r="T1809" i="36"/>
  <c r="AA1809" i="36"/>
  <c r="AB1809" i="36"/>
  <c r="AK1809" i="36"/>
  <c r="AL1809" i="36"/>
  <c r="I2540" i="36"/>
  <c r="R2540" i="36"/>
  <c r="P2540" i="36"/>
  <c r="Q2540" i="36"/>
  <c r="S2540" i="36"/>
  <c r="T2540" i="36"/>
  <c r="AA2540" i="36"/>
  <c r="AB2540" i="36"/>
  <c r="AK2540" i="36"/>
  <c r="AL2540" i="36"/>
  <c r="I351" i="36"/>
  <c r="R351" i="36"/>
  <c r="P351" i="36"/>
  <c r="Q351" i="36"/>
  <c r="S351" i="36"/>
  <c r="T351" i="36"/>
  <c r="AA351" i="36"/>
  <c r="AB351" i="36"/>
  <c r="AK351" i="36"/>
  <c r="AL351" i="36"/>
  <c r="I352" i="36"/>
  <c r="R352" i="36"/>
  <c r="P352" i="36"/>
  <c r="Q352" i="36"/>
  <c r="S352" i="36"/>
  <c r="T352" i="36"/>
  <c r="AA352" i="36"/>
  <c r="AB352" i="36"/>
  <c r="AK352" i="36"/>
  <c r="I353" i="36"/>
  <c r="R353" i="36"/>
  <c r="P353" i="36"/>
  <c r="Q353" i="36"/>
  <c r="S353" i="36"/>
  <c r="T353" i="36"/>
  <c r="AA353" i="36"/>
  <c r="AB353" i="36"/>
  <c r="AK353" i="36"/>
  <c r="I354" i="36"/>
  <c r="R354" i="36"/>
  <c r="P354" i="36"/>
  <c r="Q354" i="36"/>
  <c r="S354" i="36"/>
  <c r="T354" i="36"/>
  <c r="AA354" i="36"/>
  <c r="AB354" i="36"/>
  <c r="AK354" i="36"/>
  <c r="I2448" i="36"/>
  <c r="R2448" i="36"/>
  <c r="P2448" i="36"/>
  <c r="Q2448" i="36"/>
  <c r="S2448" i="36"/>
  <c r="T2448" i="36"/>
  <c r="AA2448" i="36"/>
  <c r="AB2448" i="36"/>
  <c r="AK2448" i="36"/>
  <c r="AL2448" i="36"/>
  <c r="I355" i="36"/>
  <c r="R355" i="36"/>
  <c r="P355" i="36"/>
  <c r="Q355" i="36"/>
  <c r="S355" i="36"/>
  <c r="T355" i="36"/>
  <c r="AA355" i="36"/>
  <c r="AB355" i="36"/>
  <c r="AK355" i="36"/>
  <c r="AL355" i="36"/>
  <c r="I356" i="36"/>
  <c r="R356" i="36"/>
  <c r="P356" i="36"/>
  <c r="Q356" i="36"/>
  <c r="S356" i="36"/>
  <c r="T356" i="36"/>
  <c r="AA356" i="36"/>
  <c r="AB356" i="36"/>
  <c r="AK356" i="36"/>
  <c r="I357" i="36"/>
  <c r="R357" i="36"/>
  <c r="P357" i="36"/>
  <c r="Q357" i="36"/>
  <c r="S357" i="36"/>
  <c r="T357" i="36"/>
  <c r="AA357" i="36"/>
  <c r="AB357" i="36"/>
  <c r="AK357" i="36"/>
  <c r="I358" i="36"/>
  <c r="R358" i="36"/>
  <c r="P358" i="36"/>
  <c r="Q358" i="36"/>
  <c r="S358" i="36"/>
  <c r="T358" i="36"/>
  <c r="AA358" i="36"/>
  <c r="AB358" i="36"/>
  <c r="AK358" i="36"/>
  <c r="I359" i="36"/>
  <c r="R359" i="36"/>
  <c r="P359" i="36"/>
  <c r="Q359" i="36"/>
  <c r="S359" i="36"/>
  <c r="T359" i="36"/>
  <c r="AA359" i="36"/>
  <c r="AB359" i="36"/>
  <c r="AK359" i="36"/>
  <c r="I1810" i="36"/>
  <c r="R1810" i="36"/>
  <c r="P1810" i="36"/>
  <c r="Q1810" i="36"/>
  <c r="S1810" i="36"/>
  <c r="T1810" i="36"/>
  <c r="AA1810" i="36"/>
  <c r="AB1810" i="36"/>
  <c r="AK1810" i="36"/>
  <c r="AL1810" i="36"/>
  <c r="I1811" i="36"/>
  <c r="R1811" i="36"/>
  <c r="P1811" i="36"/>
  <c r="Q1811" i="36"/>
  <c r="S1811" i="36"/>
  <c r="T1811" i="36"/>
  <c r="AA1811" i="36"/>
  <c r="AB1811" i="36"/>
  <c r="AK1811" i="36"/>
  <c r="AL1811" i="36"/>
  <c r="I360" i="36"/>
  <c r="R360" i="36"/>
  <c r="P360" i="36"/>
  <c r="Q360" i="36"/>
  <c r="S360" i="36"/>
  <c r="T360" i="36"/>
  <c r="AA360" i="36"/>
  <c r="AB360" i="36"/>
  <c r="AK360" i="36"/>
  <c r="I1812" i="36"/>
  <c r="R1812" i="36"/>
  <c r="P1812" i="36"/>
  <c r="Q1812" i="36"/>
  <c r="S1812" i="36"/>
  <c r="T1812" i="36"/>
  <c r="AA1812" i="36"/>
  <c r="AB1812" i="36"/>
  <c r="AK1812" i="36"/>
  <c r="AL1812" i="36"/>
  <c r="I2449" i="36"/>
  <c r="R2449" i="36"/>
  <c r="P2449" i="36"/>
  <c r="Q2449" i="36"/>
  <c r="S2449" i="36"/>
  <c r="T2449" i="36"/>
  <c r="AA2449" i="36"/>
  <c r="AB2449" i="36"/>
  <c r="AK2449" i="36"/>
  <c r="AL2449" i="36"/>
  <c r="I1813" i="36"/>
  <c r="R1813" i="36"/>
  <c r="P1813" i="36"/>
  <c r="Q1813" i="36"/>
  <c r="S1813" i="36"/>
  <c r="T1813" i="36"/>
  <c r="AA1813" i="36"/>
  <c r="AB1813" i="36"/>
  <c r="AK1813" i="36"/>
  <c r="AL1813" i="36"/>
  <c r="I2450" i="36"/>
  <c r="R2450" i="36"/>
  <c r="P2450" i="36"/>
  <c r="Q2450" i="36"/>
  <c r="S2450" i="36"/>
  <c r="T2450" i="36"/>
  <c r="AA2450" i="36"/>
  <c r="AB2450" i="36"/>
  <c r="AK2450" i="36"/>
  <c r="AL2450" i="36"/>
  <c r="I361" i="36"/>
  <c r="R361" i="36"/>
  <c r="P361" i="36"/>
  <c r="Q361" i="36"/>
  <c r="S361" i="36"/>
  <c r="T361" i="36"/>
  <c r="AA361" i="36"/>
  <c r="AB361" i="36"/>
  <c r="AK361" i="36"/>
  <c r="I2272" i="36"/>
  <c r="R2272" i="36"/>
  <c r="P2272" i="36"/>
  <c r="Q2272" i="36"/>
  <c r="S2272" i="36"/>
  <c r="T2272" i="36"/>
  <c r="AA2272" i="36"/>
  <c r="AB2272" i="36"/>
  <c r="AK2272" i="36"/>
  <c r="AL2272" i="36"/>
  <c r="I362" i="36"/>
  <c r="R362" i="36"/>
  <c r="P362" i="36"/>
  <c r="Q362" i="36"/>
  <c r="S362" i="36"/>
  <c r="T362" i="36"/>
  <c r="AA362" i="36"/>
  <c r="AB362" i="36"/>
  <c r="AK362" i="36"/>
  <c r="AL362" i="36"/>
  <c r="I1815" i="36"/>
  <c r="R1815" i="36"/>
  <c r="P1815" i="36"/>
  <c r="Q1815" i="36"/>
  <c r="S1815" i="36"/>
  <c r="T1815" i="36"/>
  <c r="AA1815" i="36"/>
  <c r="AB1815" i="36"/>
  <c r="AK1815" i="36"/>
  <c r="I1814" i="36"/>
  <c r="R1814" i="36"/>
  <c r="P1814" i="36"/>
  <c r="Q1814" i="36"/>
  <c r="S1814" i="36"/>
  <c r="T1814" i="36"/>
  <c r="AA1814" i="36"/>
  <c r="AB1814" i="36"/>
  <c r="AK1814" i="36"/>
  <c r="I2451" i="36"/>
  <c r="R2451" i="36"/>
  <c r="P2451" i="36"/>
  <c r="Q2451" i="36"/>
  <c r="S2451" i="36"/>
  <c r="T2451" i="36"/>
  <c r="AA2451" i="36"/>
  <c r="AB2451" i="36"/>
  <c r="AK2451" i="36"/>
  <c r="AL2451" i="36"/>
  <c r="I363" i="36"/>
  <c r="R363" i="36"/>
  <c r="P363" i="36"/>
  <c r="Q363" i="36"/>
  <c r="S363" i="36"/>
  <c r="T363" i="36"/>
  <c r="AA363" i="36"/>
  <c r="AB363" i="36"/>
  <c r="AK363" i="36"/>
  <c r="I2273" i="36"/>
  <c r="R2273" i="36"/>
  <c r="P2273" i="36"/>
  <c r="Q2273" i="36"/>
  <c r="S2273" i="36"/>
  <c r="T2273" i="36"/>
  <c r="AA2273" i="36"/>
  <c r="AB2273" i="36"/>
  <c r="AK2273" i="36"/>
  <c r="AL2273" i="36"/>
  <c r="I2541" i="36"/>
  <c r="R2541" i="36"/>
  <c r="P2541" i="36"/>
  <c r="Q2541" i="36"/>
  <c r="S2541" i="36"/>
  <c r="T2541" i="36"/>
  <c r="AA2541" i="36"/>
  <c r="AB2541" i="36"/>
  <c r="AK2541" i="36"/>
  <c r="I2274" i="36"/>
  <c r="R2274" i="36"/>
  <c r="P2274" i="36"/>
  <c r="Q2274" i="36"/>
  <c r="S2274" i="36"/>
  <c r="T2274" i="36"/>
  <c r="AA2274" i="36"/>
  <c r="AB2274" i="36"/>
  <c r="AK2274" i="36"/>
  <c r="AL2274" i="36"/>
  <c r="I1816" i="36"/>
  <c r="R1816" i="36"/>
  <c r="P1816" i="36"/>
  <c r="Q1816" i="36"/>
  <c r="S1816" i="36"/>
  <c r="T1816" i="36"/>
  <c r="AA1816" i="36"/>
  <c r="AB1816" i="36"/>
  <c r="AK1816" i="36"/>
  <c r="AL1816" i="36"/>
  <c r="I364" i="36"/>
  <c r="R364" i="36"/>
  <c r="P364" i="36"/>
  <c r="Q364" i="36"/>
  <c r="S364" i="36"/>
  <c r="T364" i="36"/>
  <c r="AA364" i="36"/>
  <c r="AB364" i="36"/>
  <c r="AK364" i="36"/>
  <c r="I1817" i="36"/>
  <c r="R1817" i="36"/>
  <c r="P1817" i="36"/>
  <c r="Q1817" i="36"/>
  <c r="S1817" i="36"/>
  <c r="T1817" i="36"/>
  <c r="AA1817" i="36"/>
  <c r="AB1817" i="36"/>
  <c r="AK1817" i="36"/>
  <c r="AL1817" i="36"/>
  <c r="I2542" i="36"/>
  <c r="R2542" i="36"/>
  <c r="P2542" i="36"/>
  <c r="Q2542" i="36"/>
  <c r="S2542" i="36"/>
  <c r="T2542" i="36"/>
  <c r="AA2542" i="36"/>
  <c r="AB2542" i="36"/>
  <c r="AK2542" i="36"/>
  <c r="AL2542" i="36"/>
  <c r="I2452" i="36"/>
  <c r="R2452" i="36"/>
  <c r="P2452" i="36"/>
  <c r="Q2452" i="36"/>
  <c r="S2452" i="36"/>
  <c r="T2452" i="36"/>
  <c r="AA2452" i="36"/>
  <c r="AB2452" i="36"/>
  <c r="AK2452" i="36"/>
  <c r="I2453" i="36"/>
  <c r="R2453" i="36"/>
  <c r="P2453" i="36"/>
  <c r="Q2453" i="36"/>
  <c r="S2453" i="36"/>
  <c r="T2453" i="36"/>
  <c r="AA2453" i="36"/>
  <c r="AB2453" i="36"/>
  <c r="AK2453" i="36"/>
  <c r="AL2453" i="36"/>
  <c r="I365" i="36"/>
  <c r="R365" i="36"/>
  <c r="P365" i="36"/>
  <c r="Q365" i="36"/>
  <c r="S365" i="36"/>
  <c r="T365" i="36"/>
  <c r="AA365" i="36"/>
  <c r="AB365" i="36"/>
  <c r="AK365" i="36"/>
  <c r="I2628" i="36"/>
  <c r="R2628" i="36"/>
  <c r="P2628" i="36"/>
  <c r="Q2628" i="36"/>
  <c r="S2628" i="36"/>
  <c r="T2628" i="36"/>
  <c r="AA2628" i="36"/>
  <c r="AB2628" i="36"/>
  <c r="AK2628" i="36"/>
  <c r="AL2628" i="36"/>
  <c r="I366" i="36"/>
  <c r="R366" i="36"/>
  <c r="P366" i="36"/>
  <c r="Q366" i="36"/>
  <c r="S366" i="36"/>
  <c r="T366" i="36"/>
  <c r="AA366" i="36"/>
  <c r="AB366" i="36"/>
  <c r="AK366" i="36"/>
  <c r="I2454" i="36"/>
  <c r="R2454" i="36"/>
  <c r="P2454" i="36"/>
  <c r="Q2454" i="36"/>
  <c r="S2454" i="36"/>
  <c r="T2454" i="36"/>
  <c r="AA2454" i="36"/>
  <c r="AB2454" i="36"/>
  <c r="AK2454" i="36"/>
  <c r="AL2454" i="36"/>
  <c r="I1818" i="36"/>
  <c r="R1818" i="36"/>
  <c r="P1818" i="36"/>
  <c r="Q1818" i="36"/>
  <c r="S1818" i="36"/>
  <c r="T1818" i="36"/>
  <c r="AA1818" i="36"/>
  <c r="AB1818" i="36"/>
  <c r="AK1818" i="36"/>
  <c r="AL1818" i="36"/>
  <c r="I367" i="36"/>
  <c r="R367" i="36"/>
  <c r="P367" i="36"/>
  <c r="Q367" i="36"/>
  <c r="S367" i="36"/>
  <c r="T367" i="36"/>
  <c r="AA367" i="36"/>
  <c r="AB367" i="36"/>
  <c r="AK367" i="36"/>
  <c r="AL367" i="36"/>
  <c r="I1819" i="36"/>
  <c r="R1819" i="36"/>
  <c r="P1819" i="36"/>
  <c r="Q1819" i="36"/>
  <c r="S1819" i="36"/>
  <c r="T1819" i="36"/>
  <c r="AA1819" i="36"/>
  <c r="AB1819" i="36"/>
  <c r="AK1819" i="36"/>
  <c r="AL1819" i="36"/>
  <c r="I2275" i="36"/>
  <c r="R2275" i="36"/>
  <c r="P2275" i="36"/>
  <c r="Q2275" i="36"/>
  <c r="S2275" i="36"/>
  <c r="T2275" i="36"/>
  <c r="AA2275" i="36"/>
  <c r="AB2275" i="36"/>
  <c r="AK2275" i="36"/>
  <c r="AL2275" i="36"/>
  <c r="I368" i="36"/>
  <c r="R368" i="36"/>
  <c r="P368" i="36"/>
  <c r="Q368" i="36"/>
  <c r="S368" i="36"/>
  <c r="T368" i="36"/>
  <c r="AA368" i="36"/>
  <c r="AB368" i="36"/>
  <c r="AK368" i="36"/>
  <c r="I1820" i="36"/>
  <c r="R1820" i="36"/>
  <c r="P1820" i="36"/>
  <c r="Q1820" i="36"/>
  <c r="S1820" i="36"/>
  <c r="T1820" i="36"/>
  <c r="AA1820" i="36"/>
  <c r="AB1820" i="36"/>
  <c r="AK1820" i="36"/>
  <c r="I1821" i="36"/>
  <c r="R1821" i="36"/>
  <c r="P1821" i="36"/>
  <c r="Q1821" i="36"/>
  <c r="S1821" i="36"/>
  <c r="T1821" i="36"/>
  <c r="AA1821" i="36"/>
  <c r="AB1821" i="36"/>
  <c r="AK1821" i="36"/>
  <c r="I1822" i="36"/>
  <c r="R1822" i="36"/>
  <c r="P1822" i="36"/>
  <c r="Q1822" i="36"/>
  <c r="S1822" i="36"/>
  <c r="T1822" i="36"/>
  <c r="AA1822" i="36"/>
  <c r="AB1822" i="36"/>
  <c r="AK1822" i="36"/>
  <c r="AL1822" i="36"/>
  <c r="I2543" i="36"/>
  <c r="R2543" i="36"/>
  <c r="P2543" i="36"/>
  <c r="Q2543" i="36"/>
  <c r="S2543" i="36"/>
  <c r="T2543" i="36"/>
  <c r="AA2543" i="36"/>
  <c r="AB2543" i="36"/>
  <c r="AK2543" i="36"/>
  <c r="AL2543" i="36"/>
  <c r="I1823" i="36"/>
  <c r="R1823" i="36"/>
  <c r="P1823" i="36"/>
  <c r="Q1823" i="36"/>
  <c r="S1823" i="36"/>
  <c r="T1823" i="36"/>
  <c r="AA1823" i="36"/>
  <c r="AB1823" i="36"/>
  <c r="AK1823" i="36"/>
  <c r="AL1823" i="36"/>
  <c r="I1824" i="36"/>
  <c r="R1824" i="36"/>
  <c r="P1824" i="36"/>
  <c r="Q1824" i="36"/>
  <c r="S1824" i="36"/>
  <c r="T1824" i="36"/>
  <c r="AA1824" i="36"/>
  <c r="AB1824" i="36"/>
  <c r="AK1824" i="36"/>
  <c r="AL1824" i="36"/>
  <c r="I369" i="36"/>
  <c r="R369" i="36"/>
  <c r="P369" i="36"/>
  <c r="Q369" i="36"/>
  <c r="S369" i="36"/>
  <c r="T369" i="36"/>
  <c r="AA369" i="36"/>
  <c r="AB369" i="36"/>
  <c r="AK369" i="36"/>
  <c r="I2544" i="36"/>
  <c r="R2544" i="36"/>
  <c r="P2544" i="36"/>
  <c r="Q2544" i="36"/>
  <c r="S2544" i="36"/>
  <c r="T2544" i="36"/>
  <c r="AA2544" i="36"/>
  <c r="AB2544" i="36"/>
  <c r="AK2544" i="36"/>
  <c r="AL2544" i="36"/>
  <c r="I1825" i="36"/>
  <c r="R1825" i="36"/>
  <c r="P1825" i="36"/>
  <c r="Q1825" i="36"/>
  <c r="S1825" i="36"/>
  <c r="T1825" i="36"/>
  <c r="AA1825" i="36"/>
  <c r="AB1825" i="36"/>
  <c r="AK1825" i="36"/>
  <c r="AL1825" i="36"/>
  <c r="I1826" i="36"/>
  <c r="R1826" i="36"/>
  <c r="P1826" i="36"/>
  <c r="Q1826" i="36"/>
  <c r="S1826" i="36"/>
  <c r="T1826" i="36"/>
  <c r="AA1826" i="36"/>
  <c r="AB1826" i="36"/>
  <c r="AK1826" i="36"/>
  <c r="I2276" i="36"/>
  <c r="R2276" i="36"/>
  <c r="P2276" i="36"/>
  <c r="Q2276" i="36"/>
  <c r="S2276" i="36"/>
  <c r="T2276" i="36"/>
  <c r="AA2276" i="36"/>
  <c r="AB2276" i="36"/>
  <c r="AK2276" i="36"/>
  <c r="AL2276" i="36"/>
  <c r="I371" i="36"/>
  <c r="R371" i="36"/>
  <c r="P371" i="36"/>
  <c r="Q371" i="36"/>
  <c r="S371" i="36"/>
  <c r="T371" i="36"/>
  <c r="AA371" i="36"/>
  <c r="AB371" i="36"/>
  <c r="AK371" i="36"/>
  <c r="I370" i="36"/>
  <c r="R370" i="36"/>
  <c r="P370" i="36"/>
  <c r="Q370" i="36"/>
  <c r="S370" i="36"/>
  <c r="T370" i="36"/>
  <c r="AA370" i="36"/>
  <c r="AB370" i="36"/>
  <c r="AK370" i="36"/>
  <c r="I2455" i="36"/>
  <c r="R2455" i="36"/>
  <c r="P2455" i="36"/>
  <c r="Q2455" i="36"/>
  <c r="S2455" i="36"/>
  <c r="T2455" i="36"/>
  <c r="AA2455" i="36"/>
  <c r="AB2455" i="36"/>
  <c r="AK2455" i="36"/>
  <c r="AL2455" i="36"/>
  <c r="I372" i="36"/>
  <c r="R372" i="36"/>
  <c r="P372" i="36"/>
  <c r="Q372" i="36"/>
  <c r="S372" i="36"/>
  <c r="T372" i="36"/>
  <c r="AA372" i="36"/>
  <c r="AB372" i="36"/>
  <c r="AK372" i="36"/>
  <c r="I1827" i="36"/>
  <c r="R1827" i="36"/>
  <c r="P1827" i="36"/>
  <c r="Q1827" i="36"/>
  <c r="S1827" i="36"/>
  <c r="T1827" i="36"/>
  <c r="AA1827" i="36"/>
  <c r="AB1827" i="36"/>
  <c r="AK1827" i="36"/>
  <c r="AL1827" i="36"/>
  <c r="I1828" i="36"/>
  <c r="R1828" i="36"/>
  <c r="P1828" i="36"/>
  <c r="Q1828" i="36"/>
  <c r="S1828" i="36"/>
  <c r="T1828" i="36"/>
  <c r="AA1828" i="36"/>
  <c r="AB1828" i="36"/>
  <c r="AK1828" i="36"/>
  <c r="AL1828" i="36"/>
  <c r="I373" i="36"/>
  <c r="R373" i="36"/>
  <c r="P373" i="36"/>
  <c r="Q373" i="36"/>
  <c r="S373" i="36"/>
  <c r="T373" i="36"/>
  <c r="AA373" i="36"/>
  <c r="AB373" i="36"/>
  <c r="AK373" i="36"/>
  <c r="I374" i="36"/>
  <c r="R374" i="36"/>
  <c r="P374" i="36"/>
  <c r="Q374" i="36"/>
  <c r="S374" i="36"/>
  <c r="T374" i="36"/>
  <c r="AA374" i="36"/>
  <c r="AB374" i="36"/>
  <c r="AK374" i="36"/>
  <c r="I2456" i="36"/>
  <c r="R2456" i="36"/>
  <c r="P2456" i="36"/>
  <c r="Q2456" i="36"/>
  <c r="S2456" i="36"/>
  <c r="T2456" i="36"/>
  <c r="AA2456" i="36"/>
  <c r="AB2456" i="36"/>
  <c r="AK2456" i="36"/>
  <c r="I375" i="36"/>
  <c r="R375" i="36"/>
  <c r="P375" i="36"/>
  <c r="Q375" i="36"/>
  <c r="S375" i="36"/>
  <c r="T375" i="36"/>
  <c r="AA375" i="36"/>
  <c r="AB375" i="36"/>
  <c r="AK375" i="36"/>
  <c r="I2457" i="36"/>
  <c r="R2457" i="36"/>
  <c r="P2457" i="36"/>
  <c r="Q2457" i="36"/>
  <c r="S2457" i="36"/>
  <c r="T2457" i="36"/>
  <c r="AA2457" i="36"/>
  <c r="AB2457" i="36"/>
  <c r="AK2457" i="36"/>
  <c r="AL2457" i="36"/>
  <c r="I2621" i="36"/>
  <c r="R2621" i="36"/>
  <c r="P2621" i="36"/>
  <c r="Q2621" i="36"/>
  <c r="S2621" i="36"/>
  <c r="T2621" i="36"/>
  <c r="AA2621" i="36"/>
  <c r="AB2621" i="36"/>
  <c r="AK2621" i="36"/>
  <c r="AL2621" i="36"/>
  <c r="I376" i="36"/>
  <c r="R376" i="36"/>
  <c r="P376" i="36"/>
  <c r="Q376" i="36"/>
  <c r="S376" i="36"/>
  <c r="T376" i="36"/>
  <c r="AA376" i="36"/>
  <c r="AB376" i="36"/>
  <c r="AK376" i="36"/>
  <c r="I2277" i="36"/>
  <c r="R2277" i="36"/>
  <c r="P2277" i="36"/>
  <c r="Q2277" i="36"/>
  <c r="S2277" i="36"/>
  <c r="T2277" i="36"/>
  <c r="AA2277" i="36"/>
  <c r="AB2277" i="36"/>
  <c r="AK2277" i="36"/>
  <c r="AL2277" i="36"/>
  <c r="I377" i="36"/>
  <c r="R377" i="36"/>
  <c r="P377" i="36"/>
  <c r="Q377" i="36"/>
  <c r="S377" i="36"/>
  <c r="T377" i="36"/>
  <c r="AA377" i="36"/>
  <c r="AB377" i="36"/>
  <c r="AK377" i="36"/>
  <c r="I1829" i="36"/>
  <c r="R1829" i="36"/>
  <c r="P1829" i="36"/>
  <c r="Q1829" i="36"/>
  <c r="S1829" i="36"/>
  <c r="T1829" i="36"/>
  <c r="AA1829" i="36"/>
  <c r="AB1829" i="36"/>
  <c r="AK1829" i="36"/>
  <c r="AL1829" i="36"/>
  <c r="I2585" i="36"/>
  <c r="R2585" i="36"/>
  <c r="P2585" i="36"/>
  <c r="Q2585" i="36"/>
  <c r="S2585" i="36"/>
  <c r="T2585" i="36"/>
  <c r="AA2585" i="36"/>
  <c r="AB2585" i="36"/>
  <c r="AK2585" i="36"/>
  <c r="I1830" i="36"/>
  <c r="R1830" i="36"/>
  <c r="P1830" i="36"/>
  <c r="Q1830" i="36"/>
  <c r="S1830" i="36"/>
  <c r="T1830" i="36"/>
  <c r="AA1830" i="36"/>
  <c r="AB1830" i="36"/>
  <c r="AK1830" i="36"/>
  <c r="I378" i="36"/>
  <c r="R378" i="36"/>
  <c r="P378" i="36"/>
  <c r="Q378" i="36"/>
  <c r="S378" i="36"/>
  <c r="T378" i="36"/>
  <c r="AA378" i="36"/>
  <c r="AB378" i="36"/>
  <c r="AK378" i="36"/>
  <c r="I379" i="36"/>
  <c r="R379" i="36"/>
  <c r="P379" i="36"/>
  <c r="Q379" i="36"/>
  <c r="S379" i="36"/>
  <c r="T379" i="36"/>
  <c r="AA379" i="36"/>
  <c r="AB379" i="36"/>
  <c r="AK379" i="36"/>
  <c r="I1831" i="36"/>
  <c r="R1831" i="36"/>
  <c r="P1831" i="36"/>
  <c r="Q1831" i="36"/>
  <c r="S1831" i="36"/>
  <c r="T1831" i="36"/>
  <c r="AA1831" i="36"/>
  <c r="AB1831" i="36"/>
  <c r="AK1831" i="36"/>
  <c r="I1832" i="36"/>
  <c r="R1832" i="36"/>
  <c r="P1832" i="36"/>
  <c r="Q1832" i="36"/>
  <c r="S1832" i="36"/>
  <c r="T1832" i="36"/>
  <c r="AA1832" i="36"/>
  <c r="AB1832" i="36"/>
  <c r="AK1832" i="36"/>
  <c r="I2606" i="36"/>
  <c r="R2606" i="36"/>
  <c r="P2606" i="36"/>
  <c r="Q2606" i="36"/>
  <c r="S2606" i="36"/>
  <c r="T2606" i="36"/>
  <c r="AA2606" i="36"/>
  <c r="AB2606" i="36"/>
  <c r="AK2606" i="36"/>
  <c r="I1833" i="36"/>
  <c r="R1833" i="36"/>
  <c r="P1833" i="36"/>
  <c r="Q1833" i="36"/>
  <c r="S1833" i="36"/>
  <c r="T1833" i="36"/>
  <c r="AA1833" i="36"/>
  <c r="AB1833" i="36"/>
  <c r="AK1833" i="36"/>
  <c r="AL1833" i="36"/>
  <c r="I1834" i="36"/>
  <c r="R1834" i="36"/>
  <c r="P1834" i="36"/>
  <c r="Q1834" i="36"/>
  <c r="S1834" i="36"/>
  <c r="T1834" i="36"/>
  <c r="AA1834" i="36"/>
  <c r="AB1834" i="36"/>
  <c r="AK1834" i="36"/>
  <c r="I1835" i="36"/>
  <c r="R1835" i="36"/>
  <c r="P1835" i="36"/>
  <c r="Q1835" i="36"/>
  <c r="S1835" i="36"/>
  <c r="T1835" i="36"/>
  <c r="AA1835" i="36"/>
  <c r="AB1835" i="36"/>
  <c r="AK1835" i="36"/>
  <c r="I2458" i="36"/>
  <c r="R2458" i="36"/>
  <c r="P2458" i="36"/>
  <c r="Q2458" i="36"/>
  <c r="S2458" i="36"/>
  <c r="T2458" i="36"/>
  <c r="AA2458" i="36"/>
  <c r="AB2458" i="36"/>
  <c r="AK2458" i="36"/>
  <c r="AL2458" i="36"/>
  <c r="I380" i="36"/>
  <c r="R380" i="36"/>
  <c r="P380" i="36"/>
  <c r="Q380" i="36"/>
  <c r="S380" i="36"/>
  <c r="T380" i="36"/>
  <c r="AA380" i="36"/>
  <c r="AB380" i="36"/>
  <c r="AK380" i="36"/>
  <c r="I2586" i="36"/>
  <c r="R2586" i="36"/>
  <c r="P2586" i="36"/>
  <c r="Q2586" i="36"/>
  <c r="S2586" i="36"/>
  <c r="T2586" i="36"/>
  <c r="AA2586" i="36"/>
  <c r="AB2586" i="36"/>
  <c r="AK2586" i="36"/>
  <c r="AL2586" i="36"/>
  <c r="I2278" i="36"/>
  <c r="R2278" i="36"/>
  <c r="P2278" i="36"/>
  <c r="Q2278" i="36"/>
  <c r="S2278" i="36"/>
  <c r="T2278" i="36"/>
  <c r="AA2278" i="36"/>
  <c r="AB2278" i="36"/>
  <c r="AK2278" i="36"/>
  <c r="I2587" i="36"/>
  <c r="R2587" i="36"/>
  <c r="P2587" i="36"/>
  <c r="Q2587" i="36"/>
  <c r="S2587" i="36"/>
  <c r="T2587" i="36"/>
  <c r="AA2587" i="36"/>
  <c r="AB2587" i="36"/>
  <c r="AK2587" i="36"/>
  <c r="AL2587" i="36"/>
  <c r="I1836" i="36"/>
  <c r="R1836" i="36"/>
  <c r="P1836" i="36"/>
  <c r="Q1836" i="36"/>
  <c r="S1836" i="36"/>
  <c r="T1836" i="36"/>
  <c r="AA1836" i="36"/>
  <c r="AB1836" i="36"/>
  <c r="AK1836" i="36"/>
  <c r="I1837" i="36"/>
  <c r="R1837" i="36"/>
  <c r="P1837" i="36"/>
  <c r="Q1837" i="36"/>
  <c r="S1837" i="36"/>
  <c r="T1837" i="36"/>
  <c r="AA1837" i="36"/>
  <c r="AB1837" i="36"/>
  <c r="AK1837" i="36"/>
  <c r="AL1837" i="36"/>
  <c r="I381" i="36"/>
  <c r="R381" i="36"/>
  <c r="P381" i="36"/>
  <c r="Q381" i="36"/>
  <c r="S381" i="36"/>
  <c r="T381" i="36"/>
  <c r="AA381" i="36"/>
  <c r="AB381" i="36"/>
  <c r="AK381" i="36"/>
  <c r="I382" i="36"/>
  <c r="R382" i="36"/>
  <c r="P382" i="36"/>
  <c r="Q382" i="36"/>
  <c r="S382" i="36"/>
  <c r="T382" i="36"/>
  <c r="AA382" i="36"/>
  <c r="AB382" i="36"/>
  <c r="AK382" i="36"/>
  <c r="I2615" i="36"/>
  <c r="R2615" i="36"/>
  <c r="P2615" i="36"/>
  <c r="Q2615" i="36"/>
  <c r="S2615" i="36"/>
  <c r="T2615" i="36"/>
  <c r="AA2615" i="36"/>
  <c r="AB2615" i="36"/>
  <c r="AK2615" i="36"/>
  <c r="I383" i="36"/>
  <c r="R383" i="36"/>
  <c r="P383" i="36"/>
  <c r="Q383" i="36"/>
  <c r="S383" i="36"/>
  <c r="T383" i="36"/>
  <c r="AA383" i="36"/>
  <c r="AB383" i="36"/>
  <c r="AK383" i="36"/>
  <c r="I2279" i="36"/>
  <c r="R2279" i="36"/>
  <c r="P2279" i="36"/>
  <c r="Q2279" i="36"/>
  <c r="S2279" i="36"/>
  <c r="T2279" i="36"/>
  <c r="AA2279" i="36"/>
  <c r="AB2279" i="36"/>
  <c r="AK2279" i="36"/>
  <c r="I1838" i="36"/>
  <c r="R1838" i="36"/>
  <c r="P1838" i="36"/>
  <c r="Q1838" i="36"/>
  <c r="S1838" i="36"/>
  <c r="T1838" i="36"/>
  <c r="AA1838" i="36"/>
  <c r="AB1838" i="36"/>
  <c r="AK1838" i="36"/>
  <c r="AL1838" i="36"/>
  <c r="I2459" i="36"/>
  <c r="R2459" i="36"/>
  <c r="P2459" i="36"/>
  <c r="Q2459" i="36"/>
  <c r="S2459" i="36"/>
  <c r="T2459" i="36"/>
  <c r="AA2459" i="36"/>
  <c r="AB2459" i="36"/>
  <c r="AK2459" i="36"/>
  <c r="AL2459" i="36"/>
  <c r="I384" i="36"/>
  <c r="R384" i="36"/>
  <c r="P384" i="36"/>
  <c r="Q384" i="36"/>
  <c r="S384" i="36"/>
  <c r="T384" i="36"/>
  <c r="AA384" i="36"/>
  <c r="AB384" i="36"/>
  <c r="AK384" i="36"/>
  <c r="I385" i="36"/>
  <c r="R385" i="36"/>
  <c r="P385" i="36"/>
  <c r="Q385" i="36"/>
  <c r="S385" i="36"/>
  <c r="T385" i="36"/>
  <c r="AA385" i="36"/>
  <c r="AB385" i="36"/>
  <c r="AK385" i="36"/>
  <c r="I386" i="36"/>
  <c r="R386" i="36"/>
  <c r="P386" i="36"/>
  <c r="Q386" i="36"/>
  <c r="S386" i="36"/>
  <c r="T386" i="36"/>
  <c r="AA386" i="36"/>
  <c r="AB386" i="36"/>
  <c r="AK386" i="36"/>
  <c r="I2460" i="36"/>
  <c r="R2460" i="36"/>
  <c r="P2460" i="36"/>
  <c r="Q2460" i="36"/>
  <c r="S2460" i="36"/>
  <c r="T2460" i="36"/>
  <c r="AA2460" i="36"/>
  <c r="AB2460" i="36"/>
  <c r="AK2460" i="36"/>
  <c r="AL2460" i="36"/>
  <c r="I387" i="36"/>
  <c r="R387" i="36"/>
  <c r="P387" i="36"/>
  <c r="Q387" i="36"/>
  <c r="S387" i="36"/>
  <c r="T387" i="36"/>
  <c r="AA387" i="36"/>
  <c r="AB387" i="36"/>
  <c r="AK387" i="36"/>
  <c r="I1839" i="36"/>
  <c r="R1839" i="36"/>
  <c r="P1839" i="36"/>
  <c r="Q1839" i="36"/>
  <c r="S1839" i="36"/>
  <c r="T1839" i="36"/>
  <c r="AA1839" i="36"/>
  <c r="AB1839" i="36"/>
  <c r="AK1839" i="36"/>
  <c r="AL1839" i="36"/>
  <c r="I388" i="36"/>
  <c r="R388" i="36"/>
  <c r="P388" i="36"/>
  <c r="Q388" i="36"/>
  <c r="S388" i="36"/>
  <c r="T388" i="36"/>
  <c r="AA388" i="36"/>
  <c r="AB388" i="36"/>
  <c r="AK388" i="36"/>
  <c r="I2461" i="36"/>
  <c r="R2461" i="36"/>
  <c r="P2461" i="36"/>
  <c r="Q2461" i="36"/>
  <c r="S2461" i="36"/>
  <c r="T2461" i="36"/>
  <c r="AA2461" i="36"/>
  <c r="AB2461" i="36"/>
  <c r="AK2461" i="36"/>
  <c r="I2280" i="36"/>
  <c r="R2280" i="36"/>
  <c r="P2280" i="36"/>
  <c r="Q2280" i="36"/>
  <c r="S2280" i="36"/>
  <c r="T2280" i="36"/>
  <c r="AA2280" i="36"/>
  <c r="AB2280" i="36"/>
  <c r="AK2280" i="36"/>
  <c r="AL2280" i="36"/>
  <c r="I389" i="36"/>
  <c r="R389" i="36"/>
  <c r="P389" i="36"/>
  <c r="Q389" i="36"/>
  <c r="S389" i="36"/>
  <c r="T389" i="36"/>
  <c r="AA389" i="36"/>
  <c r="AB389" i="36"/>
  <c r="AK389" i="36"/>
  <c r="I2281" i="36"/>
  <c r="R2281" i="36"/>
  <c r="P2281" i="36"/>
  <c r="Q2281" i="36"/>
  <c r="S2281" i="36"/>
  <c r="T2281" i="36"/>
  <c r="AA2281" i="36"/>
  <c r="AB2281" i="36"/>
  <c r="AK2281" i="36"/>
  <c r="AL2281" i="36"/>
  <c r="I390" i="36"/>
  <c r="R390" i="36"/>
  <c r="P390" i="36"/>
  <c r="Q390" i="36"/>
  <c r="S390" i="36"/>
  <c r="T390" i="36"/>
  <c r="AA390" i="36"/>
  <c r="AB390" i="36"/>
  <c r="AK390" i="36"/>
  <c r="I1840" i="36"/>
  <c r="R1840" i="36"/>
  <c r="P1840" i="36"/>
  <c r="Q1840" i="36"/>
  <c r="S1840" i="36"/>
  <c r="T1840" i="36"/>
  <c r="AA1840" i="36"/>
  <c r="AB1840" i="36"/>
  <c r="AK1840" i="36"/>
  <c r="I2588" i="36"/>
  <c r="R2588" i="36"/>
  <c r="P2588" i="36"/>
  <c r="Q2588" i="36"/>
  <c r="S2588" i="36"/>
  <c r="T2588" i="36"/>
  <c r="AA2588" i="36"/>
  <c r="AB2588" i="36"/>
  <c r="AK2588" i="36"/>
  <c r="I2545" i="36"/>
  <c r="R2545" i="36"/>
  <c r="P2545" i="36"/>
  <c r="Q2545" i="36"/>
  <c r="S2545" i="36"/>
  <c r="T2545" i="36"/>
  <c r="AA2545" i="36"/>
  <c r="AB2545" i="36"/>
  <c r="AK2545" i="36"/>
  <c r="AL2545" i="36"/>
  <c r="I391" i="36"/>
  <c r="R391" i="36"/>
  <c r="P391" i="36"/>
  <c r="Q391" i="36"/>
  <c r="S391" i="36"/>
  <c r="T391" i="36"/>
  <c r="AA391" i="36"/>
  <c r="AB391" i="36"/>
  <c r="AK391" i="36"/>
  <c r="I2462" i="36"/>
  <c r="R2462" i="36"/>
  <c r="P2462" i="36"/>
  <c r="Q2462" i="36"/>
  <c r="S2462" i="36"/>
  <c r="T2462" i="36"/>
  <c r="AA2462" i="36"/>
  <c r="AB2462" i="36"/>
  <c r="AK2462" i="36"/>
  <c r="AL2462" i="36"/>
  <c r="I392" i="36"/>
  <c r="R392" i="36"/>
  <c r="P392" i="36"/>
  <c r="Q392" i="36"/>
  <c r="S392" i="36"/>
  <c r="T392" i="36"/>
  <c r="AA392" i="36"/>
  <c r="AB392" i="36"/>
  <c r="AK392" i="36"/>
  <c r="I1841" i="36"/>
  <c r="R1841" i="36"/>
  <c r="P1841" i="36"/>
  <c r="Q1841" i="36"/>
  <c r="S1841" i="36"/>
  <c r="T1841" i="36"/>
  <c r="AA1841" i="36"/>
  <c r="AB1841" i="36"/>
  <c r="AK1841" i="36"/>
  <c r="AL1841" i="36"/>
  <c r="I2463" i="36"/>
  <c r="R2463" i="36"/>
  <c r="P2463" i="36"/>
  <c r="Q2463" i="36"/>
  <c r="S2463" i="36"/>
  <c r="T2463" i="36"/>
  <c r="AA2463" i="36"/>
  <c r="AB2463" i="36"/>
  <c r="AK2463" i="36"/>
  <c r="I393" i="36"/>
  <c r="R393" i="36"/>
  <c r="P393" i="36"/>
  <c r="Q393" i="36"/>
  <c r="S393" i="36"/>
  <c r="T393" i="36"/>
  <c r="AA393" i="36"/>
  <c r="AB393" i="36"/>
  <c r="AK393" i="36"/>
  <c r="I2616" i="36"/>
  <c r="R2616" i="36"/>
  <c r="P2616" i="36"/>
  <c r="Q2616" i="36"/>
  <c r="S2616" i="36"/>
  <c r="T2616" i="36"/>
  <c r="AA2616" i="36"/>
  <c r="AB2616" i="36"/>
  <c r="AK2616" i="36"/>
  <c r="AL2616" i="36"/>
  <c r="I2282" i="36"/>
  <c r="R2282" i="36"/>
  <c r="P2282" i="36"/>
  <c r="Q2282" i="36"/>
  <c r="S2282" i="36"/>
  <c r="T2282" i="36"/>
  <c r="AA2282" i="36"/>
  <c r="AB2282" i="36"/>
  <c r="AK2282" i="36"/>
  <c r="I394" i="36"/>
  <c r="R394" i="36"/>
  <c r="P394" i="36"/>
  <c r="Q394" i="36"/>
  <c r="S394" i="36"/>
  <c r="T394" i="36"/>
  <c r="AA394" i="36"/>
  <c r="AB394" i="36"/>
  <c r="AK394" i="36"/>
  <c r="I395" i="36"/>
  <c r="R395" i="36"/>
  <c r="P395" i="36"/>
  <c r="Q395" i="36"/>
  <c r="S395" i="36"/>
  <c r="T395" i="36"/>
  <c r="AA395" i="36"/>
  <c r="AB395" i="36"/>
  <c r="AK395" i="36"/>
  <c r="I2546" i="36"/>
  <c r="R2546" i="36"/>
  <c r="P2546" i="36"/>
  <c r="Q2546" i="36"/>
  <c r="S2546" i="36"/>
  <c r="T2546" i="36"/>
  <c r="AA2546" i="36"/>
  <c r="AB2546" i="36"/>
  <c r="AK2546" i="36"/>
  <c r="I1842" i="36"/>
  <c r="R1842" i="36"/>
  <c r="P1842" i="36"/>
  <c r="Q1842" i="36"/>
  <c r="S1842" i="36"/>
  <c r="T1842" i="36"/>
  <c r="AA1842" i="36"/>
  <c r="AB1842" i="36"/>
  <c r="AK1842" i="36"/>
  <c r="I1843" i="36"/>
  <c r="R1843" i="36"/>
  <c r="P1843" i="36"/>
  <c r="Q1843" i="36"/>
  <c r="S1843" i="36"/>
  <c r="T1843" i="36"/>
  <c r="AA1843" i="36"/>
  <c r="AB1843" i="36"/>
  <c r="AK1843" i="36"/>
  <c r="AL1843" i="36"/>
  <c r="I2589" i="36"/>
  <c r="R2589" i="36"/>
  <c r="P2589" i="36"/>
  <c r="Q2589" i="36"/>
  <c r="S2589" i="36"/>
  <c r="T2589" i="36"/>
  <c r="AA2589" i="36"/>
  <c r="AB2589" i="36"/>
  <c r="AK2589" i="36"/>
  <c r="AL2589" i="36"/>
  <c r="I396" i="36"/>
  <c r="R396" i="36"/>
  <c r="P396" i="36"/>
  <c r="Q396" i="36"/>
  <c r="S396" i="36"/>
  <c r="T396" i="36"/>
  <c r="AA396" i="36"/>
  <c r="AB396" i="36"/>
  <c r="AK396" i="36"/>
  <c r="I2547" i="36"/>
  <c r="R2547" i="36"/>
  <c r="P2547" i="36"/>
  <c r="Q2547" i="36"/>
  <c r="S2547" i="36"/>
  <c r="T2547" i="36"/>
  <c r="AA2547" i="36"/>
  <c r="AB2547" i="36"/>
  <c r="AK2547" i="36"/>
  <c r="AL2547" i="36"/>
  <c r="I1844" i="36"/>
  <c r="R1844" i="36"/>
  <c r="P1844" i="36"/>
  <c r="Q1844" i="36"/>
  <c r="S1844" i="36"/>
  <c r="T1844" i="36"/>
  <c r="AA1844" i="36"/>
  <c r="AB1844" i="36"/>
  <c r="AK1844" i="36"/>
  <c r="AL1844" i="36"/>
  <c r="I397" i="36"/>
  <c r="R397" i="36"/>
  <c r="P397" i="36"/>
  <c r="Q397" i="36"/>
  <c r="S397" i="36"/>
  <c r="T397" i="36"/>
  <c r="AA397" i="36"/>
  <c r="AB397" i="36"/>
  <c r="AK397" i="36"/>
  <c r="I2548" i="36"/>
  <c r="R2548" i="36"/>
  <c r="P2548" i="36"/>
  <c r="Q2548" i="36"/>
  <c r="S2548" i="36"/>
  <c r="T2548" i="36"/>
  <c r="AA2548" i="36"/>
  <c r="AB2548" i="36"/>
  <c r="AK2548" i="36"/>
  <c r="AL2548" i="36"/>
  <c r="I398" i="36"/>
  <c r="R398" i="36"/>
  <c r="P398" i="36"/>
  <c r="Q398" i="36"/>
  <c r="S398" i="36"/>
  <c r="T398" i="36"/>
  <c r="AA398" i="36"/>
  <c r="AB398" i="36"/>
  <c r="AK398" i="36"/>
  <c r="I399" i="36"/>
  <c r="R399" i="36"/>
  <c r="P399" i="36"/>
  <c r="Q399" i="36"/>
  <c r="S399" i="36"/>
  <c r="T399" i="36"/>
  <c r="AA399" i="36"/>
  <c r="AB399" i="36"/>
  <c r="AK399" i="36"/>
  <c r="I2464" i="36"/>
  <c r="R2464" i="36"/>
  <c r="P2464" i="36"/>
  <c r="Q2464" i="36"/>
  <c r="S2464" i="36"/>
  <c r="T2464" i="36"/>
  <c r="AA2464" i="36"/>
  <c r="AB2464" i="36"/>
  <c r="AK2464" i="36"/>
  <c r="I2283" i="36"/>
  <c r="R2283" i="36"/>
  <c r="P2283" i="36"/>
  <c r="Q2283" i="36"/>
  <c r="S2283" i="36"/>
  <c r="T2283" i="36"/>
  <c r="AA2283" i="36"/>
  <c r="AB2283" i="36"/>
  <c r="AK2283" i="36"/>
  <c r="I1845" i="36"/>
  <c r="R1845" i="36"/>
  <c r="P1845" i="36"/>
  <c r="Q1845" i="36"/>
  <c r="S1845" i="36"/>
  <c r="T1845" i="36"/>
  <c r="AA1845" i="36"/>
  <c r="AB1845" i="36"/>
  <c r="AK1845" i="36"/>
  <c r="I2284" i="36"/>
  <c r="R2284" i="36"/>
  <c r="P2284" i="36"/>
  <c r="Q2284" i="36"/>
  <c r="S2284" i="36"/>
  <c r="T2284" i="36"/>
  <c r="AA2284" i="36"/>
  <c r="AB2284" i="36"/>
  <c r="AK2284" i="36"/>
  <c r="AL2284" i="36"/>
  <c r="I400" i="36"/>
  <c r="R400" i="36"/>
  <c r="P400" i="36"/>
  <c r="Q400" i="36"/>
  <c r="S400" i="36"/>
  <c r="T400" i="36"/>
  <c r="AA400" i="36"/>
  <c r="AB400" i="36"/>
  <c r="AK400" i="36"/>
  <c r="I401" i="36"/>
  <c r="R401" i="36"/>
  <c r="P401" i="36"/>
  <c r="Q401" i="36"/>
  <c r="S401" i="36"/>
  <c r="T401" i="36"/>
  <c r="AA401" i="36"/>
  <c r="AB401" i="36"/>
  <c r="AK401" i="36"/>
  <c r="I402" i="36"/>
  <c r="R402" i="36"/>
  <c r="P402" i="36"/>
  <c r="Q402" i="36"/>
  <c r="S402" i="36"/>
  <c r="T402" i="36"/>
  <c r="AA402" i="36"/>
  <c r="AB402" i="36"/>
  <c r="AK402" i="36"/>
  <c r="I2285" i="36"/>
  <c r="R2285" i="36"/>
  <c r="P2285" i="36"/>
  <c r="Q2285" i="36"/>
  <c r="S2285" i="36"/>
  <c r="T2285" i="36"/>
  <c r="AA2285" i="36"/>
  <c r="AB2285" i="36"/>
  <c r="AK2285" i="36"/>
  <c r="I403" i="36"/>
  <c r="R403" i="36"/>
  <c r="P403" i="36"/>
  <c r="Q403" i="36"/>
  <c r="S403" i="36"/>
  <c r="T403" i="36"/>
  <c r="AA403" i="36"/>
  <c r="AB403" i="36"/>
  <c r="AK403" i="36"/>
  <c r="I1846" i="36"/>
  <c r="R1846" i="36"/>
  <c r="P1846" i="36"/>
  <c r="Q1846" i="36"/>
  <c r="S1846" i="36"/>
  <c r="T1846" i="36"/>
  <c r="AA1846" i="36"/>
  <c r="AB1846" i="36"/>
  <c r="AK1846" i="36"/>
  <c r="I404" i="36"/>
  <c r="R404" i="36"/>
  <c r="P404" i="36"/>
  <c r="Q404" i="36"/>
  <c r="S404" i="36"/>
  <c r="T404" i="36"/>
  <c r="AA404" i="36"/>
  <c r="AB404" i="36"/>
  <c r="AK404" i="36"/>
  <c r="I2286" i="36"/>
  <c r="R2286" i="36"/>
  <c r="P2286" i="36"/>
  <c r="Q2286" i="36"/>
  <c r="S2286" i="36"/>
  <c r="T2286" i="36"/>
  <c r="AA2286" i="36"/>
  <c r="AB2286" i="36"/>
  <c r="AK2286" i="36"/>
  <c r="I405" i="36"/>
  <c r="R405" i="36"/>
  <c r="P405" i="36"/>
  <c r="Q405" i="36"/>
  <c r="S405" i="36"/>
  <c r="T405" i="36"/>
  <c r="AA405" i="36"/>
  <c r="AB405" i="36"/>
  <c r="AK405" i="36"/>
  <c r="I1847" i="36"/>
  <c r="R1847" i="36"/>
  <c r="P1847" i="36"/>
  <c r="Q1847" i="36"/>
  <c r="S1847" i="36"/>
  <c r="T1847" i="36"/>
  <c r="AA1847" i="36"/>
  <c r="AB1847" i="36"/>
  <c r="AK1847" i="36"/>
  <c r="I406" i="36"/>
  <c r="R406" i="36"/>
  <c r="P406" i="36"/>
  <c r="Q406" i="36"/>
  <c r="S406" i="36"/>
  <c r="T406" i="36"/>
  <c r="AA406" i="36"/>
  <c r="AB406" i="36"/>
  <c r="AK406" i="36"/>
  <c r="I407" i="36"/>
  <c r="R407" i="36"/>
  <c r="P407" i="36"/>
  <c r="Q407" i="36"/>
  <c r="S407" i="36"/>
  <c r="T407" i="36"/>
  <c r="AA407" i="36"/>
  <c r="AB407" i="36"/>
  <c r="AK407" i="36"/>
  <c r="I408" i="36"/>
  <c r="R408" i="36"/>
  <c r="P408" i="36"/>
  <c r="Q408" i="36"/>
  <c r="S408" i="36"/>
  <c r="T408" i="36"/>
  <c r="AA408" i="36"/>
  <c r="AB408" i="36"/>
  <c r="AK408" i="36"/>
  <c r="I409" i="36"/>
  <c r="R409" i="36"/>
  <c r="P409" i="36"/>
  <c r="Q409" i="36"/>
  <c r="S409" i="36"/>
  <c r="T409" i="36"/>
  <c r="AA409" i="36"/>
  <c r="AB409" i="36"/>
  <c r="AK409" i="36"/>
  <c r="I410" i="36"/>
  <c r="R410" i="36"/>
  <c r="P410" i="36"/>
  <c r="Q410" i="36"/>
  <c r="S410" i="36"/>
  <c r="T410" i="36"/>
  <c r="AA410" i="36"/>
  <c r="AB410" i="36"/>
  <c r="AK410" i="36"/>
  <c r="I411" i="36"/>
  <c r="R411" i="36"/>
  <c r="P411" i="36"/>
  <c r="Q411" i="36"/>
  <c r="S411" i="36"/>
  <c r="T411" i="36"/>
  <c r="AA411" i="36"/>
  <c r="AB411" i="36"/>
  <c r="AK411" i="36"/>
  <c r="I412" i="36"/>
  <c r="R412" i="36"/>
  <c r="P412" i="36"/>
  <c r="Q412" i="36"/>
  <c r="S412" i="36"/>
  <c r="T412" i="36"/>
  <c r="AA412" i="36"/>
  <c r="AB412" i="36"/>
  <c r="AK412" i="36"/>
  <c r="I1848" i="36"/>
  <c r="R1848" i="36"/>
  <c r="P1848" i="36"/>
  <c r="Q1848" i="36"/>
  <c r="S1848" i="36"/>
  <c r="T1848" i="36"/>
  <c r="AA1848" i="36"/>
  <c r="AB1848" i="36"/>
  <c r="AK1848" i="36"/>
  <c r="I413" i="36"/>
  <c r="R413" i="36"/>
  <c r="P413" i="36"/>
  <c r="Q413" i="36"/>
  <c r="S413" i="36"/>
  <c r="T413" i="36"/>
  <c r="AA413" i="36"/>
  <c r="AB413" i="36"/>
  <c r="AK413" i="36"/>
  <c r="I414" i="36"/>
  <c r="R414" i="36"/>
  <c r="P414" i="36"/>
  <c r="Q414" i="36"/>
  <c r="S414" i="36"/>
  <c r="T414" i="36"/>
  <c r="AA414" i="36"/>
  <c r="AB414" i="36"/>
  <c r="AK414" i="36"/>
  <c r="I415" i="36"/>
  <c r="R415" i="36"/>
  <c r="P415" i="36"/>
  <c r="Q415" i="36"/>
  <c r="S415" i="36"/>
  <c r="T415" i="36"/>
  <c r="AA415" i="36"/>
  <c r="AB415" i="36"/>
  <c r="AK415" i="36"/>
  <c r="I1849" i="36"/>
  <c r="R1849" i="36"/>
  <c r="P1849" i="36"/>
  <c r="Q1849" i="36"/>
  <c r="S1849" i="36"/>
  <c r="T1849" i="36"/>
  <c r="AA1849" i="36"/>
  <c r="AB1849" i="36"/>
  <c r="AK1849" i="36"/>
  <c r="I416" i="36"/>
  <c r="R416" i="36"/>
  <c r="P416" i="36"/>
  <c r="Q416" i="36"/>
  <c r="S416" i="36"/>
  <c r="T416" i="36"/>
  <c r="AA416" i="36"/>
  <c r="AB416" i="36"/>
  <c r="AK416" i="36"/>
  <c r="I2590" i="36"/>
  <c r="R2590" i="36"/>
  <c r="P2590" i="36"/>
  <c r="Q2590" i="36"/>
  <c r="S2590" i="36"/>
  <c r="T2590" i="36"/>
  <c r="AA2590" i="36"/>
  <c r="AB2590" i="36"/>
  <c r="AK2590" i="36"/>
  <c r="I417" i="36"/>
  <c r="R417" i="36"/>
  <c r="P417" i="36"/>
  <c r="Q417" i="36"/>
  <c r="S417" i="36"/>
  <c r="T417" i="36"/>
  <c r="AA417" i="36"/>
  <c r="AB417" i="36"/>
  <c r="AK417" i="36"/>
  <c r="I2465" i="36"/>
  <c r="R2465" i="36"/>
  <c r="P2465" i="36"/>
  <c r="Q2465" i="36"/>
  <c r="S2465" i="36"/>
  <c r="T2465" i="36"/>
  <c r="AA2465" i="36"/>
  <c r="AB2465" i="36"/>
  <c r="AK2465" i="36"/>
  <c r="I1850" i="36"/>
  <c r="R1850" i="36"/>
  <c r="P1850" i="36"/>
  <c r="Q1850" i="36"/>
  <c r="S1850" i="36"/>
  <c r="T1850" i="36"/>
  <c r="AA1850" i="36"/>
  <c r="AB1850" i="36"/>
  <c r="AK1850" i="36"/>
  <c r="R2640" i="36"/>
  <c r="P2640" i="36"/>
  <c r="Q2640" i="36"/>
  <c r="S2640" i="36"/>
  <c r="AL2640" i="36"/>
  <c r="T2640" i="36"/>
  <c r="AA2640" i="36"/>
  <c r="AB2640" i="36"/>
  <c r="AK2640" i="36"/>
  <c r="I2617" i="36"/>
  <c r="R2617" i="36"/>
  <c r="P2617" i="36"/>
  <c r="Q2617" i="36"/>
  <c r="S2617" i="36"/>
  <c r="AL2617" i="36"/>
  <c r="T2617" i="36"/>
  <c r="AA2617" i="36"/>
  <c r="AB2617" i="36"/>
  <c r="AK2617" i="36"/>
  <c r="I1851" i="36"/>
  <c r="R1851" i="36"/>
  <c r="P1851" i="36"/>
  <c r="Q1851" i="36"/>
  <c r="S1851" i="36"/>
  <c r="T1851" i="36"/>
  <c r="AA1851" i="36"/>
  <c r="AB1851" i="36"/>
  <c r="AK1851" i="36"/>
  <c r="I418" i="36"/>
  <c r="R418" i="36"/>
  <c r="P418" i="36"/>
  <c r="Q418" i="36"/>
  <c r="S418" i="36"/>
  <c r="T418" i="36"/>
  <c r="AA418" i="36"/>
  <c r="AB418" i="36"/>
  <c r="AK418" i="36"/>
  <c r="I419" i="36"/>
  <c r="R419" i="36"/>
  <c r="P419" i="36"/>
  <c r="Q419" i="36"/>
  <c r="S419" i="36"/>
  <c r="T419" i="36"/>
  <c r="AA419" i="36"/>
  <c r="AB419" i="36"/>
  <c r="AK419" i="36"/>
  <c r="I2466" i="36"/>
  <c r="R2466" i="36"/>
  <c r="P2466" i="36"/>
  <c r="Q2466" i="36"/>
  <c r="S2466" i="36"/>
  <c r="T2466" i="36"/>
  <c r="AA2466" i="36"/>
  <c r="AB2466" i="36"/>
  <c r="AK2466" i="36"/>
  <c r="I2591" i="36"/>
  <c r="R2591" i="36"/>
  <c r="P2591" i="36"/>
  <c r="Q2591" i="36"/>
  <c r="S2591" i="36"/>
  <c r="T2591" i="36"/>
  <c r="AA2591" i="36"/>
  <c r="AB2591" i="36"/>
  <c r="AK2591" i="36"/>
  <c r="AL2591" i="36"/>
  <c r="I420" i="36"/>
  <c r="R420" i="36"/>
  <c r="P420" i="36"/>
  <c r="Q420" i="36"/>
  <c r="S420" i="36"/>
  <c r="T420" i="36"/>
  <c r="AA420" i="36"/>
  <c r="AB420" i="36"/>
  <c r="AK420" i="36"/>
  <c r="I1852" i="36"/>
  <c r="R1852" i="36"/>
  <c r="P1852" i="36"/>
  <c r="Q1852" i="36"/>
  <c r="S1852" i="36"/>
  <c r="T1852" i="36"/>
  <c r="AA1852" i="36"/>
  <c r="AB1852" i="36"/>
  <c r="AK1852" i="36"/>
  <c r="I1853" i="36"/>
  <c r="R1853" i="36"/>
  <c r="P1853" i="36"/>
  <c r="Q1853" i="36"/>
  <c r="S1853" i="36"/>
  <c r="T1853" i="36"/>
  <c r="AA1853" i="36"/>
  <c r="AB1853" i="36"/>
  <c r="AK1853" i="36"/>
  <c r="I421" i="36"/>
  <c r="R421" i="36"/>
  <c r="P421" i="36"/>
  <c r="Q421" i="36"/>
  <c r="S421" i="36"/>
  <c r="T421" i="36"/>
  <c r="AA421" i="36"/>
  <c r="AB421" i="36"/>
  <c r="AK421" i="36"/>
  <c r="I422" i="36"/>
  <c r="R422" i="36"/>
  <c r="P422" i="36"/>
  <c r="Q422" i="36"/>
  <c r="S422" i="36"/>
  <c r="T422" i="36"/>
  <c r="AA422" i="36"/>
  <c r="AB422" i="36"/>
  <c r="AK422" i="36"/>
  <c r="I423" i="36"/>
  <c r="R423" i="36"/>
  <c r="P423" i="36"/>
  <c r="Q423" i="36"/>
  <c r="S423" i="36"/>
  <c r="T423" i="36"/>
  <c r="AA423" i="36"/>
  <c r="AB423" i="36"/>
  <c r="AK423" i="36"/>
  <c r="I1854" i="36"/>
  <c r="R1854" i="36"/>
  <c r="P1854" i="36"/>
  <c r="Q1854" i="36"/>
  <c r="S1854" i="36"/>
  <c r="T1854" i="36"/>
  <c r="AA1854" i="36"/>
  <c r="AB1854" i="36"/>
  <c r="AK1854" i="36"/>
  <c r="I424" i="36"/>
  <c r="R424" i="36"/>
  <c r="P424" i="36"/>
  <c r="Q424" i="36"/>
  <c r="S424" i="36"/>
  <c r="T424" i="36"/>
  <c r="AA424" i="36"/>
  <c r="AB424" i="36"/>
  <c r="AK424" i="36"/>
  <c r="I426" i="36"/>
  <c r="R426" i="36"/>
  <c r="P426" i="36"/>
  <c r="Q426" i="36"/>
  <c r="S426" i="36"/>
  <c r="T426" i="36"/>
  <c r="AA426" i="36"/>
  <c r="AB426" i="36"/>
  <c r="AK426" i="36"/>
  <c r="I425" i="36"/>
  <c r="R425" i="36"/>
  <c r="P425" i="36"/>
  <c r="Q425" i="36"/>
  <c r="S425" i="36"/>
  <c r="T425" i="36"/>
  <c r="AA425" i="36"/>
  <c r="AB425" i="36"/>
  <c r="AK425" i="36"/>
  <c r="I427" i="36"/>
  <c r="R427" i="36"/>
  <c r="P427" i="36"/>
  <c r="Q427" i="36"/>
  <c r="S427" i="36"/>
  <c r="T427" i="36"/>
  <c r="AA427" i="36"/>
  <c r="AB427" i="36"/>
  <c r="AK427" i="36"/>
  <c r="I429" i="36"/>
  <c r="R429" i="36"/>
  <c r="P429" i="36"/>
  <c r="Q429" i="36"/>
  <c r="S429" i="36"/>
  <c r="T429" i="36"/>
  <c r="AA429" i="36"/>
  <c r="AB429" i="36"/>
  <c r="AK429" i="36"/>
  <c r="I428" i="36"/>
  <c r="R428" i="36"/>
  <c r="P428" i="36"/>
  <c r="Q428" i="36"/>
  <c r="S428" i="36"/>
  <c r="T428" i="36"/>
  <c r="AA428" i="36"/>
  <c r="AB428" i="36"/>
  <c r="AK428" i="36"/>
  <c r="I1855" i="36"/>
  <c r="R1855" i="36"/>
  <c r="P1855" i="36"/>
  <c r="Q1855" i="36"/>
  <c r="S1855" i="36"/>
  <c r="T1855" i="36"/>
  <c r="AA1855" i="36"/>
  <c r="AB1855" i="36"/>
  <c r="AK1855" i="36"/>
  <c r="I430" i="36"/>
  <c r="R430" i="36"/>
  <c r="P430" i="36"/>
  <c r="Q430" i="36"/>
  <c r="S430" i="36"/>
  <c r="T430" i="36"/>
  <c r="AA430" i="36"/>
  <c r="AB430" i="36"/>
  <c r="AK430" i="36"/>
  <c r="I2467" i="36"/>
  <c r="R2467" i="36"/>
  <c r="P2467" i="36"/>
  <c r="Q2467" i="36"/>
  <c r="S2467" i="36"/>
  <c r="T2467" i="36"/>
  <c r="AA2467" i="36"/>
  <c r="AB2467" i="36"/>
  <c r="AK2467" i="36"/>
  <c r="I431" i="36"/>
  <c r="R431" i="36"/>
  <c r="P431" i="36"/>
  <c r="Q431" i="36"/>
  <c r="S431" i="36"/>
  <c r="T431" i="36"/>
  <c r="AA431" i="36"/>
  <c r="AB431" i="36"/>
  <c r="AK431" i="36"/>
  <c r="I432" i="36"/>
  <c r="R432" i="36"/>
  <c r="P432" i="36"/>
  <c r="Q432" i="36"/>
  <c r="S432" i="36"/>
  <c r="T432" i="36"/>
  <c r="AA432" i="36"/>
  <c r="AB432" i="36"/>
  <c r="AK432" i="36"/>
  <c r="I1856" i="36"/>
  <c r="R1856" i="36"/>
  <c r="P1856" i="36"/>
  <c r="Q1856" i="36"/>
  <c r="S1856" i="36"/>
  <c r="T1856" i="36"/>
  <c r="AA1856" i="36"/>
  <c r="AB1856" i="36"/>
  <c r="AK1856" i="36"/>
  <c r="I433" i="36"/>
  <c r="R433" i="36"/>
  <c r="P433" i="36"/>
  <c r="Q433" i="36"/>
  <c r="S433" i="36"/>
  <c r="T433" i="36"/>
  <c r="AA433" i="36"/>
  <c r="AB433" i="36"/>
  <c r="AK433" i="36"/>
  <c r="I1857" i="36"/>
  <c r="R1857" i="36"/>
  <c r="P1857" i="36"/>
  <c r="Q1857" i="36"/>
  <c r="S1857" i="36"/>
  <c r="T1857" i="36"/>
  <c r="AA1857" i="36"/>
  <c r="AB1857" i="36"/>
  <c r="AK1857" i="36"/>
  <c r="I2549" i="36"/>
  <c r="R2549" i="36"/>
  <c r="P2549" i="36"/>
  <c r="Q2549" i="36"/>
  <c r="S2549" i="36"/>
  <c r="T2549" i="36"/>
  <c r="AA2549" i="36"/>
  <c r="AB2549" i="36"/>
  <c r="AK2549" i="36"/>
  <c r="I2287" i="36"/>
  <c r="R2287" i="36"/>
  <c r="P2287" i="36"/>
  <c r="Q2287" i="36"/>
  <c r="S2287" i="36"/>
  <c r="T2287" i="36"/>
  <c r="AA2287" i="36"/>
  <c r="AB2287" i="36"/>
  <c r="AK2287" i="36"/>
  <c r="I434" i="36"/>
  <c r="R434" i="36"/>
  <c r="P434" i="36"/>
  <c r="Q434" i="36"/>
  <c r="S434" i="36"/>
  <c r="T434" i="36"/>
  <c r="AA434" i="36"/>
  <c r="AB434" i="36"/>
  <c r="AK434" i="36"/>
  <c r="I435" i="36"/>
  <c r="R435" i="36"/>
  <c r="P435" i="36"/>
  <c r="Q435" i="36"/>
  <c r="S435" i="36"/>
  <c r="T435" i="36"/>
  <c r="AA435" i="36"/>
  <c r="AB435" i="36"/>
  <c r="AK435" i="36"/>
  <c r="I1858" i="36"/>
  <c r="R1858" i="36"/>
  <c r="P1858" i="36"/>
  <c r="Q1858" i="36"/>
  <c r="S1858" i="36"/>
  <c r="T1858" i="36"/>
  <c r="AA1858" i="36"/>
  <c r="AB1858" i="36"/>
  <c r="AK1858" i="36"/>
  <c r="I436" i="36"/>
  <c r="R436" i="36"/>
  <c r="P436" i="36"/>
  <c r="Q436" i="36"/>
  <c r="S436" i="36"/>
  <c r="T436" i="36"/>
  <c r="AA436" i="36"/>
  <c r="AB436" i="36"/>
  <c r="AK436" i="36"/>
  <c r="I1859" i="36"/>
  <c r="R1859" i="36"/>
  <c r="P1859" i="36"/>
  <c r="Q1859" i="36"/>
  <c r="S1859" i="36"/>
  <c r="T1859" i="36"/>
  <c r="AA1859" i="36"/>
  <c r="AB1859" i="36"/>
  <c r="AK1859" i="36"/>
  <c r="I1860" i="36"/>
  <c r="R1860" i="36"/>
  <c r="P1860" i="36"/>
  <c r="Q1860" i="36"/>
  <c r="S1860" i="36"/>
  <c r="T1860" i="36"/>
  <c r="AA1860" i="36"/>
  <c r="AB1860" i="36"/>
  <c r="AK1860" i="36"/>
  <c r="I437" i="36"/>
  <c r="R437" i="36"/>
  <c r="P437" i="36"/>
  <c r="Q437" i="36"/>
  <c r="S437" i="36"/>
  <c r="T437" i="36"/>
  <c r="AA437" i="36"/>
  <c r="AB437" i="36"/>
  <c r="AK437" i="36"/>
  <c r="I1861" i="36"/>
  <c r="R1861" i="36"/>
  <c r="P1861" i="36"/>
  <c r="Q1861" i="36"/>
  <c r="S1861" i="36"/>
  <c r="T1861" i="36"/>
  <c r="AA1861" i="36"/>
  <c r="AB1861" i="36"/>
  <c r="AK1861" i="36"/>
  <c r="I1862" i="36"/>
  <c r="R1862" i="36"/>
  <c r="P1862" i="36"/>
  <c r="Q1862" i="36"/>
  <c r="S1862" i="36"/>
  <c r="T1862" i="36"/>
  <c r="AA1862" i="36"/>
  <c r="AB1862" i="36"/>
  <c r="AK1862" i="36"/>
  <c r="I438" i="36"/>
  <c r="R438" i="36"/>
  <c r="P438" i="36"/>
  <c r="Q438" i="36"/>
  <c r="S438" i="36"/>
  <c r="T438" i="36"/>
  <c r="AA438" i="36"/>
  <c r="AB438" i="36"/>
  <c r="AK438" i="36"/>
  <c r="I2607" i="36"/>
  <c r="R2607" i="36"/>
  <c r="P2607" i="36"/>
  <c r="Q2607" i="36"/>
  <c r="S2607" i="36"/>
  <c r="T2607" i="36"/>
  <c r="AA2607" i="36"/>
  <c r="AB2607" i="36"/>
  <c r="AK2607" i="36"/>
  <c r="I2288" i="36"/>
  <c r="R2288" i="36"/>
  <c r="P2288" i="36"/>
  <c r="Q2288" i="36"/>
  <c r="S2288" i="36"/>
  <c r="T2288" i="36"/>
  <c r="AA2288" i="36"/>
  <c r="AB2288" i="36"/>
  <c r="AK2288" i="36"/>
  <c r="I439" i="36"/>
  <c r="R439" i="36"/>
  <c r="P439" i="36"/>
  <c r="Q439" i="36"/>
  <c r="S439" i="36"/>
  <c r="T439" i="36"/>
  <c r="AA439" i="36"/>
  <c r="AB439" i="36"/>
  <c r="AK439" i="36"/>
  <c r="I1863" i="36"/>
  <c r="R1863" i="36"/>
  <c r="P1863" i="36"/>
  <c r="Q1863" i="36"/>
  <c r="S1863" i="36"/>
  <c r="T1863" i="36"/>
  <c r="AA1863" i="36"/>
  <c r="AB1863" i="36"/>
  <c r="AK1863" i="36"/>
  <c r="I440" i="36"/>
  <c r="R440" i="36"/>
  <c r="P440" i="36"/>
  <c r="Q440" i="36"/>
  <c r="S440" i="36"/>
  <c r="T440" i="36"/>
  <c r="AA440" i="36"/>
  <c r="AB440" i="36"/>
  <c r="AK440" i="36"/>
  <c r="I2468" i="36"/>
  <c r="R2468" i="36"/>
  <c r="P2468" i="36"/>
  <c r="Q2468" i="36"/>
  <c r="S2468" i="36"/>
  <c r="T2468" i="36"/>
  <c r="AA2468" i="36"/>
  <c r="AB2468" i="36"/>
  <c r="AK2468" i="36"/>
  <c r="I441" i="36"/>
  <c r="R441" i="36"/>
  <c r="P441" i="36"/>
  <c r="Q441" i="36"/>
  <c r="S441" i="36"/>
  <c r="T441" i="36"/>
  <c r="AA441" i="36"/>
  <c r="AB441" i="36"/>
  <c r="AK441" i="36"/>
  <c r="I1864" i="36"/>
  <c r="R1864" i="36"/>
  <c r="P1864" i="36"/>
  <c r="Q1864" i="36"/>
  <c r="S1864" i="36"/>
  <c r="T1864" i="36"/>
  <c r="AA1864" i="36"/>
  <c r="AB1864" i="36"/>
  <c r="AK1864" i="36"/>
  <c r="I442" i="36"/>
  <c r="R442" i="36"/>
  <c r="P442" i="36"/>
  <c r="Q442" i="36"/>
  <c r="S442" i="36"/>
  <c r="T442" i="36"/>
  <c r="AA442" i="36"/>
  <c r="AB442" i="36"/>
  <c r="AK442" i="36"/>
  <c r="I444" i="36"/>
  <c r="R444" i="36"/>
  <c r="P444" i="36"/>
  <c r="Q444" i="36"/>
  <c r="S444" i="36"/>
  <c r="T444" i="36"/>
  <c r="AA444" i="36"/>
  <c r="AB444" i="36"/>
  <c r="AK444" i="36"/>
  <c r="I443" i="36"/>
  <c r="R443" i="36"/>
  <c r="P443" i="36"/>
  <c r="Q443" i="36"/>
  <c r="S443" i="36"/>
  <c r="T443" i="36"/>
  <c r="AA443" i="36"/>
  <c r="AB443" i="36"/>
  <c r="AK443" i="36"/>
  <c r="I1865" i="36"/>
  <c r="R1865" i="36"/>
  <c r="P1865" i="36"/>
  <c r="Q1865" i="36"/>
  <c r="S1865" i="36"/>
  <c r="T1865" i="36"/>
  <c r="AA1865" i="36"/>
  <c r="AB1865" i="36"/>
  <c r="AK1865" i="36"/>
  <c r="I2469" i="36"/>
  <c r="R2469" i="36"/>
  <c r="P2469" i="36"/>
  <c r="Q2469" i="36"/>
  <c r="S2469" i="36"/>
  <c r="T2469" i="36"/>
  <c r="AA2469" i="36"/>
  <c r="AB2469" i="36"/>
  <c r="AK2469" i="36"/>
  <c r="AL2469" i="36"/>
  <c r="I445" i="36"/>
  <c r="R445" i="36"/>
  <c r="P445" i="36"/>
  <c r="Q445" i="36"/>
  <c r="S445" i="36"/>
  <c r="T445" i="36"/>
  <c r="AA445" i="36"/>
  <c r="AB445" i="36"/>
  <c r="AK445" i="36"/>
  <c r="I446" i="36"/>
  <c r="R446" i="36"/>
  <c r="P446" i="36"/>
  <c r="Q446" i="36"/>
  <c r="S446" i="36"/>
  <c r="T446" i="36"/>
  <c r="AA446" i="36"/>
  <c r="AB446" i="36"/>
  <c r="AK446" i="36"/>
  <c r="I2289" i="36"/>
  <c r="R2289" i="36"/>
  <c r="P2289" i="36"/>
  <c r="Q2289" i="36"/>
  <c r="S2289" i="36"/>
  <c r="T2289" i="36"/>
  <c r="AA2289" i="36"/>
  <c r="AB2289" i="36"/>
  <c r="AK2289" i="36"/>
  <c r="I447" i="36"/>
  <c r="R447" i="36"/>
  <c r="P447" i="36"/>
  <c r="Q447" i="36"/>
  <c r="S447" i="36"/>
  <c r="T447" i="36"/>
  <c r="AA447" i="36"/>
  <c r="AB447" i="36"/>
  <c r="AK447" i="36"/>
  <c r="I1867" i="36"/>
  <c r="R1867" i="36"/>
  <c r="P1867" i="36"/>
  <c r="Q1867" i="36"/>
  <c r="S1867" i="36"/>
  <c r="T1867" i="36"/>
  <c r="AA1867" i="36"/>
  <c r="AB1867" i="36"/>
  <c r="AK1867" i="36"/>
  <c r="I1866" i="36"/>
  <c r="R1866" i="36"/>
  <c r="P1866" i="36"/>
  <c r="Q1866" i="36"/>
  <c r="S1866" i="36"/>
  <c r="T1866" i="36"/>
  <c r="AA1866" i="36"/>
  <c r="AB1866" i="36"/>
  <c r="AK1866" i="36"/>
  <c r="I1868" i="36"/>
  <c r="R1868" i="36"/>
  <c r="P1868" i="36"/>
  <c r="Q1868" i="36"/>
  <c r="S1868" i="36"/>
  <c r="T1868" i="36"/>
  <c r="AA1868" i="36"/>
  <c r="AB1868" i="36"/>
  <c r="AK1868" i="36"/>
  <c r="I2592" i="36"/>
  <c r="R2592" i="36"/>
  <c r="P2592" i="36"/>
  <c r="Q2592" i="36"/>
  <c r="S2592" i="36"/>
  <c r="T2592" i="36"/>
  <c r="AA2592" i="36"/>
  <c r="AB2592" i="36"/>
  <c r="AK2592" i="36"/>
  <c r="I449" i="36"/>
  <c r="R449" i="36"/>
  <c r="P449" i="36"/>
  <c r="Q449" i="36"/>
  <c r="S449" i="36"/>
  <c r="T449" i="36"/>
  <c r="AA449" i="36"/>
  <c r="AB449" i="36"/>
  <c r="AK449" i="36"/>
  <c r="I448" i="36"/>
  <c r="R448" i="36"/>
  <c r="P448" i="36"/>
  <c r="Q448" i="36"/>
  <c r="S448" i="36"/>
  <c r="T448" i="36"/>
  <c r="AA448" i="36"/>
  <c r="AB448" i="36"/>
  <c r="AK448" i="36"/>
  <c r="I450" i="36"/>
  <c r="R450" i="36"/>
  <c r="P450" i="36"/>
  <c r="Q450" i="36"/>
  <c r="S450" i="36"/>
  <c r="T450" i="36"/>
  <c r="AA450" i="36"/>
  <c r="AB450" i="36"/>
  <c r="AK450" i="36"/>
  <c r="I451" i="36"/>
  <c r="R451" i="36"/>
  <c r="P451" i="36"/>
  <c r="Q451" i="36"/>
  <c r="S451" i="36"/>
  <c r="T451" i="36"/>
  <c r="AA451" i="36"/>
  <c r="AB451" i="36"/>
  <c r="AK451" i="36"/>
  <c r="I1870" i="36"/>
  <c r="R1870" i="36"/>
  <c r="P1870" i="36"/>
  <c r="Q1870" i="36"/>
  <c r="S1870" i="36"/>
  <c r="T1870" i="36"/>
  <c r="AA1870" i="36"/>
  <c r="AB1870" i="36"/>
  <c r="AK1870" i="36"/>
  <c r="I1869" i="36"/>
  <c r="R1869" i="36"/>
  <c r="P1869" i="36"/>
  <c r="Q1869" i="36"/>
  <c r="S1869" i="36"/>
  <c r="T1869" i="36"/>
  <c r="AA1869" i="36"/>
  <c r="AB1869" i="36"/>
  <c r="AK1869" i="36"/>
  <c r="I452" i="36"/>
  <c r="R452" i="36"/>
  <c r="P452" i="36"/>
  <c r="Q452" i="36"/>
  <c r="S452" i="36"/>
  <c r="T452" i="36"/>
  <c r="AA452" i="36"/>
  <c r="AB452" i="36"/>
  <c r="AK452" i="36"/>
  <c r="I1871" i="36"/>
  <c r="R1871" i="36"/>
  <c r="P1871" i="36"/>
  <c r="Q1871" i="36"/>
  <c r="S1871" i="36"/>
  <c r="T1871" i="36"/>
  <c r="AA1871" i="36"/>
  <c r="AB1871" i="36"/>
  <c r="AJ1871" i="36"/>
  <c r="AK1871" i="36"/>
  <c r="I454" i="36"/>
  <c r="R454" i="36"/>
  <c r="P454" i="36"/>
  <c r="Q454" i="36"/>
  <c r="S454" i="36"/>
  <c r="T454" i="36"/>
  <c r="AA454" i="36"/>
  <c r="AB454" i="36"/>
  <c r="AK454" i="36"/>
  <c r="I453" i="36"/>
  <c r="R453" i="36"/>
  <c r="P453" i="36"/>
  <c r="Q453" i="36"/>
  <c r="S453" i="36"/>
  <c r="T453" i="36"/>
  <c r="AA453" i="36"/>
  <c r="AB453" i="36"/>
  <c r="AK453" i="36"/>
  <c r="I1872" i="36"/>
  <c r="R1872" i="36"/>
  <c r="P1872" i="36"/>
  <c r="Q1872" i="36"/>
  <c r="S1872" i="36"/>
  <c r="T1872" i="36"/>
  <c r="AA1872" i="36"/>
  <c r="AB1872" i="36"/>
  <c r="AK1872" i="36"/>
  <c r="I2593" i="36"/>
  <c r="R2593" i="36"/>
  <c r="P2593" i="36"/>
  <c r="Q2593" i="36"/>
  <c r="S2593" i="36"/>
  <c r="T2593" i="36"/>
  <c r="AA2593" i="36"/>
  <c r="AB2593" i="36"/>
  <c r="AK2593" i="36"/>
  <c r="AL2593" i="36"/>
  <c r="I455" i="36"/>
  <c r="R455" i="36"/>
  <c r="P455" i="36"/>
  <c r="Q455" i="36"/>
  <c r="S455" i="36"/>
  <c r="T455" i="36"/>
  <c r="AA455" i="36"/>
  <c r="AB455" i="36"/>
  <c r="AK455" i="36"/>
  <c r="I456" i="36"/>
  <c r="R456" i="36"/>
  <c r="P456" i="36"/>
  <c r="Q456" i="36"/>
  <c r="S456" i="36"/>
  <c r="T456" i="36"/>
  <c r="AA456" i="36"/>
  <c r="AB456" i="36"/>
  <c r="AK456" i="36"/>
  <c r="I1873" i="36"/>
  <c r="R1873" i="36"/>
  <c r="P1873" i="36"/>
  <c r="Q1873" i="36"/>
  <c r="S1873" i="36"/>
  <c r="T1873" i="36"/>
  <c r="AA1873" i="36"/>
  <c r="AB1873" i="36"/>
  <c r="AJ1873" i="36"/>
  <c r="AK1873" i="36"/>
  <c r="I457" i="36"/>
  <c r="R457" i="36"/>
  <c r="P457" i="36"/>
  <c r="Q457" i="36"/>
  <c r="S457" i="36"/>
  <c r="T457" i="36"/>
  <c r="AA457" i="36"/>
  <c r="AB457" i="36"/>
  <c r="AJ457" i="36"/>
  <c r="AK457" i="36"/>
  <c r="I2290" i="36"/>
  <c r="R2290" i="36"/>
  <c r="P2290" i="36"/>
  <c r="Q2290" i="36"/>
  <c r="S2290" i="36"/>
  <c r="T2290" i="36"/>
  <c r="AA2290" i="36"/>
  <c r="AB2290" i="36"/>
  <c r="AJ2290" i="36"/>
  <c r="AK2290" i="36"/>
  <c r="I458" i="36"/>
  <c r="R458" i="36"/>
  <c r="P458" i="36"/>
  <c r="Q458" i="36"/>
  <c r="S458" i="36"/>
  <c r="T458" i="36"/>
  <c r="AA458" i="36"/>
  <c r="AB458" i="36"/>
  <c r="AK458" i="36"/>
  <c r="I459" i="36"/>
  <c r="R459" i="36"/>
  <c r="P459" i="36"/>
  <c r="Q459" i="36"/>
  <c r="S459" i="36"/>
  <c r="T459" i="36"/>
  <c r="AA459" i="36"/>
  <c r="AB459" i="36"/>
  <c r="AK459" i="36"/>
  <c r="I1874" i="36"/>
  <c r="R1874" i="36"/>
  <c r="P1874" i="36"/>
  <c r="Q1874" i="36"/>
  <c r="S1874" i="36"/>
  <c r="T1874" i="36"/>
  <c r="AA1874" i="36"/>
  <c r="AB1874" i="36"/>
  <c r="AK1874" i="36"/>
  <c r="I460" i="36"/>
  <c r="R460" i="36"/>
  <c r="P460" i="36"/>
  <c r="Q460" i="36"/>
  <c r="S460" i="36"/>
  <c r="T460" i="36"/>
  <c r="AA460" i="36"/>
  <c r="AB460" i="36"/>
  <c r="AK460" i="36"/>
  <c r="I461" i="36"/>
  <c r="R461" i="36"/>
  <c r="P461" i="36"/>
  <c r="Q461" i="36"/>
  <c r="S461" i="36"/>
  <c r="T461" i="36"/>
  <c r="AA461" i="36"/>
  <c r="AB461" i="36"/>
  <c r="AK461" i="36"/>
  <c r="I462" i="36"/>
  <c r="R462" i="36"/>
  <c r="P462" i="36"/>
  <c r="Q462" i="36"/>
  <c r="S462" i="36"/>
  <c r="T462" i="36"/>
  <c r="AA462" i="36"/>
  <c r="AB462" i="36"/>
  <c r="AK462" i="36"/>
  <c r="I463" i="36"/>
  <c r="R463" i="36"/>
  <c r="P463" i="36"/>
  <c r="Q463" i="36"/>
  <c r="S463" i="36"/>
  <c r="T463" i="36"/>
  <c r="AA463" i="36"/>
  <c r="AB463" i="36"/>
  <c r="AJ463" i="36"/>
  <c r="AK463" i="36"/>
  <c r="I464" i="36"/>
  <c r="R464" i="36"/>
  <c r="P464" i="36"/>
  <c r="Q464" i="36"/>
  <c r="S464" i="36"/>
  <c r="T464" i="36"/>
  <c r="AA464" i="36"/>
  <c r="AB464" i="36"/>
  <c r="AK464" i="36"/>
  <c r="I466" i="36"/>
  <c r="R466" i="36"/>
  <c r="P466" i="36"/>
  <c r="Q466" i="36"/>
  <c r="S466" i="36"/>
  <c r="T466" i="36"/>
  <c r="AA466" i="36"/>
  <c r="AB466" i="36"/>
  <c r="AK466" i="36"/>
  <c r="I465" i="36"/>
  <c r="R465" i="36"/>
  <c r="P465" i="36"/>
  <c r="Q465" i="36"/>
  <c r="S465" i="36"/>
  <c r="T465" i="36"/>
  <c r="AA465" i="36"/>
  <c r="AB465" i="36"/>
  <c r="AK465" i="36"/>
  <c r="I468" i="36"/>
  <c r="R468" i="36"/>
  <c r="P468" i="36"/>
  <c r="Q468" i="36"/>
  <c r="S468" i="36"/>
  <c r="T468" i="36"/>
  <c r="AA468" i="36"/>
  <c r="AB468" i="36"/>
  <c r="AK468" i="36"/>
  <c r="I467" i="36"/>
  <c r="R467" i="36"/>
  <c r="P467" i="36"/>
  <c r="Q467" i="36"/>
  <c r="S467" i="36"/>
  <c r="T467" i="36"/>
  <c r="AA467" i="36"/>
  <c r="AB467" i="36"/>
  <c r="AK467" i="36"/>
  <c r="I469" i="36"/>
  <c r="R469" i="36"/>
  <c r="P469" i="36"/>
  <c r="Q469" i="36"/>
  <c r="S469" i="36"/>
  <c r="T469" i="36"/>
  <c r="AA469" i="36"/>
  <c r="AB469" i="36"/>
  <c r="AK469" i="36"/>
  <c r="I470" i="36"/>
  <c r="R470" i="36"/>
  <c r="P470" i="36"/>
  <c r="Q470" i="36"/>
  <c r="S470" i="36"/>
  <c r="T470" i="36"/>
  <c r="AA470" i="36"/>
  <c r="AB470" i="36"/>
  <c r="AK470" i="36"/>
  <c r="I1875" i="36"/>
  <c r="R1875" i="36"/>
  <c r="P1875" i="36"/>
  <c r="Q1875" i="36"/>
  <c r="S1875" i="36"/>
  <c r="T1875" i="36"/>
  <c r="AA1875" i="36"/>
  <c r="AB1875" i="36"/>
  <c r="AK1875" i="36"/>
  <c r="I472" i="36"/>
  <c r="R472" i="36"/>
  <c r="P472" i="36"/>
  <c r="Q472" i="36"/>
  <c r="S472" i="36"/>
  <c r="T472" i="36"/>
  <c r="AA472" i="36"/>
  <c r="AB472" i="36"/>
  <c r="AK472" i="36"/>
  <c r="I471" i="36"/>
  <c r="R471" i="36"/>
  <c r="P471" i="36"/>
  <c r="Q471" i="36"/>
  <c r="S471" i="36"/>
  <c r="T471" i="36"/>
  <c r="AA471" i="36"/>
  <c r="AB471" i="36"/>
  <c r="AK471" i="36"/>
  <c r="I473" i="36"/>
  <c r="R473" i="36"/>
  <c r="P473" i="36"/>
  <c r="Q473" i="36"/>
  <c r="S473" i="36"/>
  <c r="T473" i="36"/>
  <c r="AA473" i="36"/>
  <c r="AB473" i="36"/>
  <c r="AK473" i="36"/>
  <c r="I1876" i="36"/>
  <c r="R1876" i="36"/>
  <c r="P1876" i="36"/>
  <c r="Q1876" i="36"/>
  <c r="S1876" i="36"/>
  <c r="T1876" i="36"/>
  <c r="AA1876" i="36"/>
  <c r="AB1876" i="36"/>
  <c r="AK1876" i="36"/>
  <c r="I1877" i="36"/>
  <c r="R1877" i="36"/>
  <c r="P1877" i="36"/>
  <c r="Q1877" i="36"/>
  <c r="S1877" i="36"/>
  <c r="T1877" i="36"/>
  <c r="AA1877" i="36"/>
  <c r="AB1877" i="36"/>
  <c r="AK1877" i="36"/>
  <c r="I474" i="36"/>
  <c r="R474" i="36"/>
  <c r="P474" i="36"/>
  <c r="Q474" i="36"/>
  <c r="S474" i="36"/>
  <c r="T474" i="36"/>
  <c r="AA474" i="36"/>
  <c r="AB474" i="36"/>
  <c r="AK474" i="36"/>
  <c r="I475" i="36"/>
  <c r="R475" i="36"/>
  <c r="P475" i="36"/>
  <c r="Q475" i="36"/>
  <c r="S475" i="36"/>
  <c r="T475" i="36"/>
  <c r="AA475" i="36"/>
  <c r="AB475" i="36"/>
  <c r="AK475" i="36"/>
  <c r="I476" i="36"/>
  <c r="R476" i="36"/>
  <c r="P476" i="36"/>
  <c r="Q476" i="36"/>
  <c r="S476" i="36"/>
  <c r="T476" i="36"/>
  <c r="AA476" i="36"/>
  <c r="AB476" i="36"/>
  <c r="AK476" i="36"/>
  <c r="I1878" i="36"/>
  <c r="R1878" i="36"/>
  <c r="P1878" i="36"/>
  <c r="Q1878" i="36"/>
  <c r="S1878" i="36"/>
  <c r="T1878" i="36"/>
  <c r="AA1878" i="36"/>
  <c r="AB1878" i="36"/>
  <c r="AK1878" i="36"/>
  <c r="I477" i="36"/>
  <c r="R477" i="36"/>
  <c r="P477" i="36"/>
  <c r="Q477" i="36"/>
  <c r="S477" i="36"/>
  <c r="T477" i="36"/>
  <c r="AA477" i="36"/>
  <c r="AB477" i="36"/>
  <c r="AK477" i="36"/>
  <c r="I1879" i="36"/>
  <c r="R1879" i="36"/>
  <c r="P1879" i="36"/>
  <c r="Q1879" i="36"/>
  <c r="S1879" i="36"/>
  <c r="T1879" i="36"/>
  <c r="AA1879" i="36"/>
  <c r="AB1879" i="36"/>
  <c r="AK1879" i="36"/>
  <c r="I478" i="36"/>
  <c r="R478" i="36"/>
  <c r="P478" i="36"/>
  <c r="Q478" i="36"/>
  <c r="S478" i="36"/>
  <c r="T478" i="36"/>
  <c r="AA478" i="36"/>
  <c r="AB478" i="36"/>
  <c r="AK478" i="36"/>
  <c r="I1880" i="36"/>
  <c r="R1880" i="36"/>
  <c r="P1880" i="36"/>
  <c r="Q1880" i="36"/>
  <c r="S1880" i="36"/>
  <c r="T1880" i="36"/>
  <c r="AA1880" i="36"/>
  <c r="AB1880" i="36"/>
  <c r="AK1880" i="36"/>
  <c r="I479" i="36"/>
  <c r="R479" i="36"/>
  <c r="P479" i="36"/>
  <c r="Q479" i="36"/>
  <c r="S479" i="36"/>
  <c r="T479" i="36"/>
  <c r="AA479" i="36"/>
  <c r="AB479" i="36"/>
  <c r="AK479" i="36"/>
  <c r="I1881" i="36"/>
  <c r="R1881" i="36"/>
  <c r="P1881" i="36"/>
  <c r="Q1881" i="36"/>
  <c r="S1881" i="36"/>
  <c r="T1881" i="36"/>
  <c r="AA1881" i="36"/>
  <c r="AB1881" i="36"/>
  <c r="AK1881" i="36"/>
  <c r="I1882" i="36"/>
  <c r="R1882" i="36"/>
  <c r="P1882" i="36"/>
  <c r="Q1882" i="36"/>
  <c r="S1882" i="36"/>
  <c r="T1882" i="36"/>
  <c r="AA1882" i="36"/>
  <c r="AB1882" i="36"/>
  <c r="AK1882" i="36"/>
  <c r="I480" i="36"/>
  <c r="R480" i="36"/>
  <c r="P480" i="36"/>
  <c r="Q480" i="36"/>
  <c r="S480" i="36"/>
  <c r="T480" i="36"/>
  <c r="AA480" i="36"/>
  <c r="AB480" i="36"/>
  <c r="AK480" i="36"/>
  <c r="I481" i="36"/>
  <c r="R481" i="36"/>
  <c r="P481" i="36"/>
  <c r="Q481" i="36"/>
  <c r="S481" i="36"/>
  <c r="T481" i="36"/>
  <c r="AA481" i="36"/>
  <c r="AB481" i="36"/>
  <c r="AK481" i="36"/>
  <c r="I482" i="36"/>
  <c r="R482" i="36"/>
  <c r="P482" i="36"/>
  <c r="Q482" i="36"/>
  <c r="S482" i="36"/>
  <c r="T482" i="36"/>
  <c r="AA482" i="36"/>
  <c r="AB482" i="36"/>
  <c r="AK482" i="36"/>
  <c r="I483" i="36"/>
  <c r="R483" i="36"/>
  <c r="P483" i="36"/>
  <c r="Q483" i="36"/>
  <c r="S483" i="36"/>
  <c r="T483" i="36"/>
  <c r="AA483" i="36"/>
  <c r="AB483" i="36"/>
  <c r="AK483" i="36"/>
  <c r="I485" i="36"/>
  <c r="R485" i="36"/>
  <c r="P485" i="36"/>
  <c r="Q485" i="36"/>
  <c r="S485" i="36"/>
  <c r="T485" i="36"/>
  <c r="AA485" i="36"/>
  <c r="AB485" i="36"/>
  <c r="AK485" i="36"/>
  <c r="I484" i="36"/>
  <c r="R484" i="36"/>
  <c r="P484" i="36"/>
  <c r="Q484" i="36"/>
  <c r="S484" i="36"/>
  <c r="T484" i="36"/>
  <c r="AA484" i="36"/>
  <c r="AB484" i="36"/>
  <c r="AK484" i="36"/>
  <c r="I2291" i="36"/>
  <c r="R2291" i="36"/>
  <c r="P2291" i="36"/>
  <c r="Q2291" i="36"/>
  <c r="S2291" i="36"/>
  <c r="T2291" i="36"/>
  <c r="AA2291" i="36"/>
  <c r="AB2291" i="36"/>
  <c r="AK2291" i="36"/>
  <c r="I486" i="36"/>
  <c r="R486" i="36"/>
  <c r="P486" i="36"/>
  <c r="Q486" i="36"/>
  <c r="S486" i="36"/>
  <c r="T486" i="36"/>
  <c r="AA486" i="36"/>
  <c r="AB486" i="36"/>
  <c r="AK486" i="36"/>
  <c r="I487" i="36"/>
  <c r="R487" i="36"/>
  <c r="P487" i="36"/>
  <c r="Q487" i="36"/>
  <c r="S487" i="36"/>
  <c r="T487" i="36"/>
  <c r="AA487" i="36"/>
  <c r="AB487" i="36"/>
  <c r="AK487" i="36"/>
  <c r="I488" i="36"/>
  <c r="R488" i="36"/>
  <c r="P488" i="36"/>
  <c r="Q488" i="36"/>
  <c r="S488" i="36"/>
  <c r="T488" i="36"/>
  <c r="AA488" i="36"/>
  <c r="AB488" i="36"/>
  <c r="AK488" i="36"/>
  <c r="I2292" i="36"/>
  <c r="R2292" i="36"/>
  <c r="P2292" i="36"/>
  <c r="Q2292" i="36"/>
  <c r="S2292" i="36"/>
  <c r="T2292" i="36"/>
  <c r="AA2292" i="36"/>
  <c r="AB2292" i="36"/>
  <c r="AK2292" i="36"/>
  <c r="I489" i="36"/>
  <c r="R489" i="36"/>
  <c r="P489" i="36"/>
  <c r="Q489" i="36"/>
  <c r="S489" i="36"/>
  <c r="T489" i="36"/>
  <c r="AA489" i="36"/>
  <c r="AB489" i="36"/>
  <c r="AK489" i="36"/>
  <c r="I1883" i="36"/>
  <c r="R1883" i="36"/>
  <c r="P1883" i="36"/>
  <c r="Q1883" i="36"/>
  <c r="S1883" i="36"/>
  <c r="T1883" i="36"/>
  <c r="AA1883" i="36"/>
  <c r="AB1883" i="36"/>
  <c r="AK1883" i="36"/>
  <c r="I490" i="36"/>
  <c r="R490" i="36"/>
  <c r="P490" i="36"/>
  <c r="Q490" i="36"/>
  <c r="S490" i="36"/>
  <c r="T490" i="36"/>
  <c r="AA490" i="36"/>
  <c r="AB490" i="36"/>
  <c r="AK490" i="36"/>
  <c r="I492" i="36"/>
  <c r="R492" i="36"/>
  <c r="P492" i="36"/>
  <c r="Q492" i="36"/>
  <c r="S492" i="36"/>
  <c r="T492" i="36"/>
  <c r="AA492" i="36"/>
  <c r="AB492" i="36"/>
  <c r="AK492" i="36"/>
  <c r="I491" i="36"/>
  <c r="R491" i="36"/>
  <c r="P491" i="36"/>
  <c r="Q491" i="36"/>
  <c r="S491" i="36"/>
  <c r="T491" i="36"/>
  <c r="AA491" i="36"/>
  <c r="AB491" i="36"/>
  <c r="AK491" i="36"/>
  <c r="I494" i="36"/>
  <c r="R494" i="36"/>
  <c r="P494" i="36"/>
  <c r="Q494" i="36"/>
  <c r="S494" i="36"/>
  <c r="T494" i="36"/>
  <c r="AA494" i="36"/>
  <c r="AB494" i="36"/>
  <c r="AK494" i="36"/>
  <c r="I493" i="36"/>
  <c r="R493" i="36"/>
  <c r="P493" i="36"/>
  <c r="Q493" i="36"/>
  <c r="S493" i="36"/>
  <c r="T493" i="36"/>
  <c r="AA493" i="36"/>
  <c r="AB493" i="36"/>
  <c r="AK493" i="36"/>
  <c r="I1884" i="36"/>
  <c r="R1884" i="36"/>
  <c r="P1884" i="36"/>
  <c r="Q1884" i="36"/>
  <c r="S1884" i="36"/>
  <c r="T1884" i="36"/>
  <c r="AA1884" i="36"/>
  <c r="AB1884" i="36"/>
  <c r="AK1884" i="36"/>
  <c r="AL1884" i="36"/>
  <c r="I2293" i="36"/>
  <c r="R2293" i="36"/>
  <c r="P2293" i="36"/>
  <c r="Q2293" i="36"/>
  <c r="S2293" i="36"/>
  <c r="T2293" i="36"/>
  <c r="AA2293" i="36"/>
  <c r="AB2293" i="36"/>
  <c r="AK2293" i="36"/>
  <c r="AL2293" i="36"/>
  <c r="I496" i="36"/>
  <c r="R496" i="36"/>
  <c r="P496" i="36"/>
  <c r="Q496" i="36"/>
  <c r="S496" i="36"/>
  <c r="T496" i="36"/>
  <c r="AA496" i="36"/>
  <c r="AB496" i="36"/>
  <c r="AK496" i="36"/>
  <c r="I497" i="36"/>
  <c r="R497" i="36"/>
  <c r="P497" i="36"/>
  <c r="Q497" i="36"/>
  <c r="S497" i="36"/>
  <c r="T497" i="36"/>
  <c r="AA497" i="36"/>
  <c r="AB497" i="36"/>
  <c r="AK497" i="36"/>
  <c r="I495" i="36"/>
  <c r="R495" i="36"/>
  <c r="P495" i="36"/>
  <c r="Q495" i="36"/>
  <c r="S495" i="36"/>
  <c r="T495" i="36"/>
  <c r="AA495" i="36"/>
  <c r="AB495" i="36"/>
  <c r="AK495" i="36"/>
  <c r="I1885" i="36"/>
  <c r="R1885" i="36"/>
  <c r="P1885" i="36"/>
  <c r="Q1885" i="36"/>
  <c r="S1885" i="36"/>
  <c r="T1885" i="36"/>
  <c r="AA1885" i="36"/>
  <c r="AB1885" i="36"/>
  <c r="AK1885" i="36"/>
  <c r="AL1885" i="36"/>
  <c r="I498" i="36"/>
  <c r="R498" i="36"/>
  <c r="P498" i="36"/>
  <c r="Q498" i="36"/>
  <c r="S498" i="36"/>
  <c r="T498" i="36"/>
  <c r="AA498" i="36"/>
  <c r="AB498" i="36"/>
  <c r="AK498" i="36"/>
  <c r="I2294" i="36"/>
  <c r="R2294" i="36"/>
  <c r="P2294" i="36"/>
  <c r="Q2294" i="36"/>
  <c r="S2294" i="36"/>
  <c r="T2294" i="36"/>
  <c r="AA2294" i="36"/>
  <c r="AB2294" i="36"/>
  <c r="AK2294" i="36"/>
  <c r="I499" i="36"/>
  <c r="R499" i="36"/>
  <c r="P499" i="36"/>
  <c r="Q499" i="36"/>
  <c r="S499" i="36"/>
  <c r="T499" i="36"/>
  <c r="AA499" i="36"/>
  <c r="AB499" i="36"/>
  <c r="AK499" i="36"/>
  <c r="I2295" i="36"/>
  <c r="R2295" i="36"/>
  <c r="P2295" i="36"/>
  <c r="Q2295" i="36"/>
  <c r="S2295" i="36"/>
  <c r="T2295" i="36"/>
  <c r="AA2295" i="36"/>
  <c r="AB2295" i="36"/>
  <c r="AK2295" i="36"/>
  <c r="I1886" i="36"/>
  <c r="R1886" i="36"/>
  <c r="P1886" i="36"/>
  <c r="Q1886" i="36"/>
  <c r="S1886" i="36"/>
  <c r="T1886" i="36"/>
  <c r="AA1886" i="36"/>
  <c r="AB1886" i="36"/>
  <c r="AK1886" i="36"/>
  <c r="I500" i="36"/>
  <c r="R500" i="36"/>
  <c r="P500" i="36"/>
  <c r="Q500" i="36"/>
  <c r="S500" i="36"/>
  <c r="T500" i="36"/>
  <c r="AA500" i="36"/>
  <c r="AB500" i="36"/>
  <c r="AK500" i="36"/>
  <c r="I1887" i="36"/>
  <c r="R1887" i="36"/>
  <c r="P1887" i="36"/>
  <c r="Q1887" i="36"/>
  <c r="S1887" i="36"/>
  <c r="T1887" i="36"/>
  <c r="AA1887" i="36"/>
  <c r="AB1887" i="36"/>
  <c r="AK1887" i="36"/>
  <c r="I501" i="36"/>
  <c r="R501" i="36"/>
  <c r="P501" i="36"/>
  <c r="Q501" i="36"/>
  <c r="S501" i="36"/>
  <c r="T501" i="36"/>
  <c r="AA501" i="36"/>
  <c r="AB501" i="36"/>
  <c r="AK501" i="36"/>
  <c r="I502" i="36"/>
  <c r="R502" i="36"/>
  <c r="P502" i="36"/>
  <c r="Q502" i="36"/>
  <c r="S502" i="36"/>
  <c r="T502" i="36"/>
  <c r="AA502" i="36"/>
  <c r="AB502" i="36"/>
  <c r="AK502" i="36"/>
  <c r="I503" i="36"/>
  <c r="R503" i="36"/>
  <c r="P503" i="36"/>
  <c r="Q503" i="36"/>
  <c r="S503" i="36"/>
  <c r="T503" i="36"/>
  <c r="AA503" i="36"/>
  <c r="AB503" i="36"/>
  <c r="AK503" i="36"/>
  <c r="I1888" i="36"/>
  <c r="R1888" i="36"/>
  <c r="P1888" i="36"/>
  <c r="Q1888" i="36"/>
  <c r="S1888" i="36"/>
  <c r="T1888" i="36"/>
  <c r="AA1888" i="36"/>
  <c r="AB1888" i="36"/>
  <c r="AK1888" i="36"/>
  <c r="AL1888" i="36"/>
  <c r="I504" i="36"/>
  <c r="R504" i="36"/>
  <c r="P504" i="36"/>
  <c r="Q504" i="36"/>
  <c r="S504" i="36"/>
  <c r="T504" i="36"/>
  <c r="AA504" i="36"/>
  <c r="AB504" i="36"/>
  <c r="AK504" i="36"/>
  <c r="I1889" i="36"/>
  <c r="R1889" i="36"/>
  <c r="P1889" i="36"/>
  <c r="Q1889" i="36"/>
  <c r="S1889" i="36"/>
  <c r="T1889" i="36"/>
  <c r="AA1889" i="36"/>
  <c r="AB1889" i="36"/>
  <c r="AK1889" i="36"/>
  <c r="AL1889" i="36"/>
  <c r="I1890" i="36"/>
  <c r="R1890" i="36"/>
  <c r="P1890" i="36"/>
  <c r="Q1890" i="36"/>
  <c r="S1890" i="36"/>
  <c r="T1890" i="36"/>
  <c r="AA1890" i="36"/>
  <c r="AB1890" i="36"/>
  <c r="AK1890" i="36"/>
  <c r="AL1890" i="36"/>
  <c r="I505" i="36"/>
  <c r="R505" i="36"/>
  <c r="P505" i="36"/>
  <c r="Q505" i="36"/>
  <c r="S505" i="36"/>
  <c r="T505" i="36"/>
  <c r="AA505" i="36"/>
  <c r="AB505" i="36"/>
  <c r="AK505" i="36"/>
  <c r="I2470" i="36"/>
  <c r="R2470" i="36"/>
  <c r="P2470" i="36"/>
  <c r="Q2470" i="36"/>
  <c r="S2470" i="36"/>
  <c r="T2470" i="36"/>
  <c r="AA2470" i="36"/>
  <c r="AB2470" i="36"/>
  <c r="AK2470" i="36"/>
  <c r="AL2470" i="36"/>
  <c r="I2296" i="36"/>
  <c r="R2296" i="36"/>
  <c r="P2296" i="36"/>
  <c r="Q2296" i="36"/>
  <c r="S2296" i="36"/>
  <c r="T2296" i="36"/>
  <c r="AA2296" i="36"/>
  <c r="AB2296" i="36"/>
  <c r="AK2296" i="36"/>
  <c r="I506" i="36"/>
  <c r="R506" i="36"/>
  <c r="P506" i="36"/>
  <c r="Q506" i="36"/>
  <c r="S506" i="36"/>
  <c r="T506" i="36"/>
  <c r="AA506" i="36"/>
  <c r="AB506" i="36"/>
  <c r="AK506" i="36"/>
  <c r="I507" i="36"/>
  <c r="R507" i="36"/>
  <c r="P507" i="36"/>
  <c r="Q507" i="36"/>
  <c r="S507" i="36"/>
  <c r="T507" i="36"/>
  <c r="AA507" i="36"/>
  <c r="AB507" i="36"/>
  <c r="AK507" i="36"/>
  <c r="I1891" i="36"/>
  <c r="R1891" i="36"/>
  <c r="P1891" i="36"/>
  <c r="Q1891" i="36"/>
  <c r="S1891" i="36"/>
  <c r="T1891" i="36"/>
  <c r="AA1891" i="36"/>
  <c r="AB1891" i="36"/>
  <c r="AK1891" i="36"/>
  <c r="AL1891" i="36"/>
  <c r="I508" i="36"/>
  <c r="R508" i="36"/>
  <c r="P508" i="36"/>
  <c r="Q508" i="36"/>
  <c r="S508" i="36"/>
  <c r="T508" i="36"/>
  <c r="AA508" i="36"/>
  <c r="AB508" i="36"/>
  <c r="AK508" i="36"/>
  <c r="I510" i="36"/>
  <c r="R510" i="36"/>
  <c r="P510" i="36"/>
  <c r="Q510" i="36"/>
  <c r="S510" i="36"/>
  <c r="T510" i="36"/>
  <c r="AA510" i="36"/>
  <c r="AB510" i="36"/>
  <c r="AK510" i="36"/>
  <c r="I509" i="36"/>
  <c r="R509" i="36"/>
  <c r="P509" i="36"/>
  <c r="Q509" i="36"/>
  <c r="S509" i="36"/>
  <c r="T509" i="36"/>
  <c r="AA509" i="36"/>
  <c r="AB509" i="36"/>
  <c r="AK509" i="36"/>
  <c r="I511" i="36"/>
  <c r="R511" i="36"/>
  <c r="P511" i="36"/>
  <c r="Q511" i="36"/>
  <c r="S511" i="36"/>
  <c r="T511" i="36"/>
  <c r="AA511" i="36"/>
  <c r="AB511" i="36"/>
  <c r="AK511" i="36"/>
  <c r="I2642" i="36"/>
  <c r="R2642" i="36"/>
  <c r="P2642" i="36"/>
  <c r="Q2642" i="36"/>
  <c r="S2642" i="36"/>
  <c r="T2642" i="36"/>
  <c r="AA2642" i="36"/>
  <c r="AB2642" i="36"/>
  <c r="AK2642" i="36"/>
  <c r="I513" i="36"/>
  <c r="R513" i="36"/>
  <c r="P513" i="36"/>
  <c r="Q513" i="36"/>
  <c r="S513" i="36"/>
  <c r="T513" i="36"/>
  <c r="AA513" i="36"/>
  <c r="AB513" i="36"/>
  <c r="AK513" i="36"/>
  <c r="I512" i="36"/>
  <c r="R512" i="36"/>
  <c r="P512" i="36"/>
  <c r="Q512" i="36"/>
  <c r="S512" i="36"/>
  <c r="T512" i="36"/>
  <c r="AA512" i="36"/>
  <c r="AB512" i="36"/>
  <c r="AK512" i="36"/>
  <c r="I515" i="36"/>
  <c r="R515" i="36"/>
  <c r="P515" i="36"/>
  <c r="Q515" i="36"/>
  <c r="S515" i="36"/>
  <c r="T515" i="36"/>
  <c r="AA515" i="36"/>
  <c r="AB515" i="36"/>
  <c r="AK515" i="36"/>
  <c r="I1892" i="36"/>
  <c r="R1892" i="36"/>
  <c r="P1892" i="36"/>
  <c r="Q1892" i="36"/>
  <c r="S1892" i="36"/>
  <c r="T1892" i="36"/>
  <c r="AA1892" i="36"/>
  <c r="AB1892" i="36"/>
  <c r="AK1892" i="36"/>
  <c r="I514" i="36"/>
  <c r="R514" i="36"/>
  <c r="P514" i="36"/>
  <c r="Q514" i="36"/>
  <c r="S514" i="36"/>
  <c r="T514" i="36"/>
  <c r="AA514" i="36"/>
  <c r="AB514" i="36"/>
  <c r="AK514" i="36"/>
  <c r="I2297" i="36"/>
  <c r="R2297" i="36"/>
  <c r="P2297" i="36"/>
  <c r="Q2297" i="36"/>
  <c r="S2297" i="36"/>
  <c r="T2297" i="36"/>
  <c r="AA2297" i="36"/>
  <c r="AB2297" i="36"/>
  <c r="AK2297" i="36"/>
  <c r="AL2297" i="36"/>
  <c r="I1893" i="36"/>
  <c r="R1893" i="36"/>
  <c r="P1893" i="36"/>
  <c r="Q1893" i="36"/>
  <c r="S1893" i="36"/>
  <c r="T1893" i="36"/>
  <c r="AA1893" i="36"/>
  <c r="AB1893" i="36"/>
  <c r="AK1893" i="36"/>
  <c r="AL1893" i="36"/>
  <c r="I516" i="36"/>
  <c r="R516" i="36"/>
  <c r="P516" i="36"/>
  <c r="Q516" i="36"/>
  <c r="S516" i="36"/>
  <c r="T516" i="36"/>
  <c r="AA516" i="36"/>
  <c r="AB516" i="36"/>
  <c r="AK516" i="36"/>
  <c r="I517" i="36"/>
  <c r="R517" i="36"/>
  <c r="P517" i="36"/>
  <c r="Q517" i="36"/>
  <c r="S517" i="36"/>
  <c r="T517" i="36"/>
  <c r="AA517" i="36"/>
  <c r="AB517" i="36"/>
  <c r="AK517" i="36"/>
  <c r="I2298" i="36"/>
  <c r="R2298" i="36"/>
  <c r="P2298" i="36"/>
  <c r="Q2298" i="36"/>
  <c r="S2298" i="36"/>
  <c r="T2298" i="36"/>
  <c r="AA2298" i="36"/>
  <c r="AB2298" i="36"/>
  <c r="AK2298" i="36"/>
  <c r="I518" i="36"/>
  <c r="R518" i="36"/>
  <c r="P518" i="36"/>
  <c r="Q518" i="36"/>
  <c r="S518" i="36"/>
  <c r="T518" i="36"/>
  <c r="AA518" i="36"/>
  <c r="AB518" i="36"/>
  <c r="AK518" i="36"/>
  <c r="I519" i="36"/>
  <c r="R519" i="36"/>
  <c r="P519" i="36"/>
  <c r="Q519" i="36"/>
  <c r="S519" i="36"/>
  <c r="T519" i="36"/>
  <c r="AA519" i="36"/>
  <c r="AB519" i="36"/>
  <c r="AK519" i="36"/>
  <c r="I1894" i="36"/>
  <c r="R1894" i="36"/>
  <c r="P1894" i="36"/>
  <c r="Q1894" i="36"/>
  <c r="S1894" i="36"/>
  <c r="T1894" i="36"/>
  <c r="AA1894" i="36"/>
  <c r="AB1894" i="36"/>
  <c r="AK1894" i="36"/>
  <c r="I2299" i="36"/>
  <c r="R2299" i="36"/>
  <c r="P2299" i="36"/>
  <c r="Q2299" i="36"/>
  <c r="S2299" i="36"/>
  <c r="T2299" i="36"/>
  <c r="AA2299" i="36"/>
  <c r="AB2299" i="36"/>
  <c r="AK2299" i="36"/>
  <c r="I520" i="36"/>
  <c r="R520" i="36"/>
  <c r="P520" i="36"/>
  <c r="Q520" i="36"/>
  <c r="S520" i="36"/>
  <c r="T520" i="36"/>
  <c r="AA520" i="36"/>
  <c r="AB520" i="36"/>
  <c r="AJ520" i="36"/>
  <c r="AK520" i="36"/>
  <c r="I521" i="36"/>
  <c r="R521" i="36"/>
  <c r="P521" i="36"/>
  <c r="Q521" i="36"/>
  <c r="S521" i="36"/>
  <c r="T521" i="36"/>
  <c r="AA521" i="36"/>
  <c r="AB521" i="36"/>
  <c r="AK521" i="36"/>
  <c r="I1895" i="36"/>
  <c r="R1895" i="36"/>
  <c r="P1895" i="36"/>
  <c r="Q1895" i="36"/>
  <c r="S1895" i="36"/>
  <c r="T1895" i="36"/>
  <c r="AA1895" i="36"/>
  <c r="AB1895" i="36"/>
  <c r="AK1895" i="36"/>
  <c r="AL1895" i="36"/>
  <c r="I2471" i="36"/>
  <c r="R2471" i="36"/>
  <c r="P2471" i="36"/>
  <c r="Q2471" i="36"/>
  <c r="S2471" i="36"/>
  <c r="T2471" i="36"/>
  <c r="AA2471" i="36"/>
  <c r="AB2471" i="36"/>
  <c r="AK2471" i="36"/>
  <c r="AL2471" i="36"/>
  <c r="I522" i="36"/>
  <c r="R522" i="36"/>
  <c r="P522" i="36"/>
  <c r="Q522" i="36"/>
  <c r="S522" i="36"/>
  <c r="T522" i="36"/>
  <c r="AA522" i="36"/>
  <c r="AB522" i="36"/>
  <c r="AK522" i="36"/>
  <c r="I2300" i="36"/>
  <c r="R2300" i="36"/>
  <c r="P2300" i="36"/>
  <c r="Q2300" i="36"/>
  <c r="S2300" i="36"/>
  <c r="T2300" i="36"/>
  <c r="AA2300" i="36"/>
  <c r="AB2300" i="36"/>
  <c r="AK2300" i="36"/>
  <c r="AL2300" i="36"/>
  <c r="I2472" i="36"/>
  <c r="R2472" i="36"/>
  <c r="P2472" i="36"/>
  <c r="Q2472" i="36"/>
  <c r="S2472" i="36"/>
  <c r="T2472" i="36"/>
  <c r="AA2472" i="36"/>
  <c r="AB2472" i="36"/>
  <c r="AK2472" i="36"/>
  <c r="AL2472" i="36"/>
  <c r="I523" i="36"/>
  <c r="R523" i="36"/>
  <c r="P523" i="36"/>
  <c r="Q523" i="36"/>
  <c r="S523" i="36"/>
  <c r="T523" i="36"/>
  <c r="AA523" i="36"/>
  <c r="AB523" i="36"/>
  <c r="AK523" i="36"/>
  <c r="I524" i="36"/>
  <c r="R524" i="36"/>
  <c r="P524" i="36"/>
  <c r="Q524" i="36"/>
  <c r="S524" i="36"/>
  <c r="T524" i="36"/>
  <c r="AA524" i="36"/>
  <c r="AB524" i="36"/>
  <c r="AK524" i="36"/>
  <c r="I525" i="36"/>
  <c r="R525" i="36"/>
  <c r="P525" i="36"/>
  <c r="Q525" i="36"/>
  <c r="S525" i="36"/>
  <c r="T525" i="36"/>
  <c r="AA525" i="36"/>
  <c r="AB525" i="36"/>
  <c r="AK525" i="36"/>
  <c r="I2301" i="36"/>
  <c r="R2301" i="36"/>
  <c r="P2301" i="36"/>
  <c r="Q2301" i="36"/>
  <c r="S2301" i="36"/>
  <c r="T2301" i="36"/>
  <c r="AA2301" i="36"/>
  <c r="AB2301" i="36"/>
  <c r="AK2301" i="36"/>
  <c r="I2473" i="36"/>
  <c r="R2473" i="36"/>
  <c r="P2473" i="36"/>
  <c r="Q2473" i="36"/>
  <c r="S2473" i="36"/>
  <c r="T2473" i="36"/>
  <c r="AA2473" i="36"/>
  <c r="AB2473" i="36"/>
  <c r="AK2473" i="36"/>
  <c r="I1896" i="36"/>
  <c r="R1896" i="36"/>
  <c r="P1896" i="36"/>
  <c r="Q1896" i="36"/>
  <c r="S1896" i="36"/>
  <c r="T1896" i="36"/>
  <c r="AA1896" i="36"/>
  <c r="AB1896" i="36"/>
  <c r="AK1896" i="36"/>
  <c r="I1898" i="36"/>
  <c r="R1898" i="36"/>
  <c r="P1898" i="36"/>
  <c r="Q1898" i="36"/>
  <c r="S1898" i="36"/>
  <c r="T1898" i="36"/>
  <c r="AA1898" i="36"/>
  <c r="AB1898" i="36"/>
  <c r="AK1898" i="36"/>
  <c r="I1897" i="36"/>
  <c r="R1897" i="36"/>
  <c r="P1897" i="36"/>
  <c r="Q1897" i="36"/>
  <c r="S1897" i="36"/>
  <c r="T1897" i="36"/>
  <c r="AA1897" i="36"/>
  <c r="AB1897" i="36"/>
  <c r="AK1897" i="36"/>
  <c r="I526" i="36"/>
  <c r="R526" i="36"/>
  <c r="P526" i="36"/>
  <c r="Q526" i="36"/>
  <c r="S526" i="36"/>
  <c r="T526" i="36"/>
  <c r="AA526" i="36"/>
  <c r="AB526" i="36"/>
  <c r="AK526" i="36"/>
  <c r="I527" i="36"/>
  <c r="R527" i="36"/>
  <c r="P527" i="36"/>
  <c r="Q527" i="36"/>
  <c r="S527" i="36"/>
  <c r="T527" i="36"/>
  <c r="AA527" i="36"/>
  <c r="AB527" i="36"/>
  <c r="AK527" i="36"/>
  <c r="I528" i="36"/>
  <c r="R528" i="36"/>
  <c r="P528" i="36"/>
  <c r="Q528" i="36"/>
  <c r="S528" i="36"/>
  <c r="T528" i="36"/>
  <c r="AA528" i="36"/>
  <c r="AB528" i="36"/>
  <c r="AK528" i="36"/>
  <c r="I2302" i="36"/>
  <c r="R2302" i="36"/>
  <c r="P2302" i="36"/>
  <c r="Q2302" i="36"/>
  <c r="S2302" i="36"/>
  <c r="T2302" i="36"/>
  <c r="AA2302" i="36"/>
  <c r="AB2302" i="36"/>
  <c r="AK2302" i="36"/>
  <c r="I529" i="36"/>
  <c r="R529" i="36"/>
  <c r="P529" i="36"/>
  <c r="Q529" i="36"/>
  <c r="S529" i="36"/>
  <c r="T529" i="36"/>
  <c r="AA529" i="36"/>
  <c r="AB529" i="36"/>
  <c r="AK529" i="36"/>
  <c r="I1899" i="36"/>
  <c r="R1899" i="36"/>
  <c r="P1899" i="36"/>
  <c r="Q1899" i="36"/>
  <c r="S1899" i="36"/>
  <c r="T1899" i="36"/>
  <c r="AA1899" i="36"/>
  <c r="AB1899" i="36"/>
  <c r="AK1899" i="36"/>
  <c r="I530" i="36"/>
  <c r="R530" i="36"/>
  <c r="P530" i="36"/>
  <c r="Q530" i="36"/>
  <c r="S530" i="36"/>
  <c r="T530" i="36"/>
  <c r="AA530" i="36"/>
  <c r="AB530" i="36"/>
  <c r="AK530" i="36"/>
  <c r="I1900" i="36"/>
  <c r="R1900" i="36"/>
  <c r="P1900" i="36"/>
  <c r="Q1900" i="36"/>
  <c r="S1900" i="36"/>
  <c r="T1900" i="36"/>
  <c r="AA1900" i="36"/>
  <c r="AB1900" i="36"/>
  <c r="AK1900" i="36"/>
  <c r="I532" i="36"/>
  <c r="R532" i="36"/>
  <c r="P532" i="36"/>
  <c r="Q532" i="36"/>
  <c r="S532" i="36"/>
  <c r="T532" i="36"/>
  <c r="AA532" i="36"/>
  <c r="AB532" i="36"/>
  <c r="AK532" i="36"/>
  <c r="I531" i="36"/>
  <c r="R531" i="36"/>
  <c r="P531" i="36"/>
  <c r="Q531" i="36"/>
  <c r="S531" i="36"/>
  <c r="T531" i="36"/>
  <c r="AA531" i="36"/>
  <c r="AB531" i="36"/>
  <c r="AK531" i="36"/>
  <c r="I1901" i="36"/>
  <c r="R1901" i="36"/>
  <c r="P1901" i="36"/>
  <c r="Q1901" i="36"/>
  <c r="S1901" i="36"/>
  <c r="T1901" i="36"/>
  <c r="AA1901" i="36"/>
  <c r="AB1901" i="36"/>
  <c r="AK1901" i="36"/>
  <c r="I2303" i="36"/>
  <c r="R2303" i="36"/>
  <c r="P2303" i="36"/>
  <c r="Q2303" i="36"/>
  <c r="S2303" i="36"/>
  <c r="T2303" i="36"/>
  <c r="AA2303" i="36"/>
  <c r="AB2303" i="36"/>
  <c r="AK2303" i="36"/>
  <c r="I533" i="36"/>
  <c r="R533" i="36"/>
  <c r="P533" i="36"/>
  <c r="Q533" i="36"/>
  <c r="S533" i="36"/>
  <c r="T533" i="36"/>
  <c r="AA533" i="36"/>
  <c r="AB533" i="36"/>
  <c r="AK533" i="36"/>
  <c r="I534" i="36"/>
  <c r="R534" i="36"/>
  <c r="P534" i="36"/>
  <c r="Q534" i="36"/>
  <c r="S534" i="36"/>
  <c r="T534" i="36"/>
  <c r="AA534" i="36"/>
  <c r="AB534" i="36"/>
  <c r="AK534" i="36"/>
  <c r="I535" i="36"/>
  <c r="R535" i="36"/>
  <c r="P535" i="36"/>
  <c r="Q535" i="36"/>
  <c r="S535" i="36"/>
  <c r="T535" i="36"/>
  <c r="AA535" i="36"/>
  <c r="AB535" i="36"/>
  <c r="AK535" i="36"/>
  <c r="I536" i="36"/>
  <c r="R536" i="36"/>
  <c r="P536" i="36"/>
  <c r="Q536" i="36"/>
  <c r="S536" i="36"/>
  <c r="T536" i="36"/>
  <c r="AA536" i="36"/>
  <c r="AB536" i="36"/>
  <c r="AJ536" i="36"/>
  <c r="AK536" i="36"/>
  <c r="I1902" i="36"/>
  <c r="R1902" i="36"/>
  <c r="P1902" i="36"/>
  <c r="Q1902" i="36"/>
  <c r="S1902" i="36"/>
  <c r="T1902" i="36"/>
  <c r="AA1902" i="36"/>
  <c r="AB1902" i="36"/>
  <c r="AK1902" i="36"/>
  <c r="I1903" i="36"/>
  <c r="R1903" i="36"/>
  <c r="P1903" i="36"/>
  <c r="Q1903" i="36"/>
  <c r="S1903" i="36"/>
  <c r="T1903" i="36"/>
  <c r="AA1903" i="36"/>
  <c r="AB1903" i="36"/>
  <c r="AK1903" i="36"/>
  <c r="I538" i="36"/>
  <c r="R538" i="36"/>
  <c r="P538" i="36"/>
  <c r="Q538" i="36"/>
  <c r="S538" i="36"/>
  <c r="T538" i="36"/>
  <c r="AA538" i="36"/>
  <c r="AB538" i="36"/>
  <c r="AJ538" i="36"/>
  <c r="AK538" i="36"/>
  <c r="I537" i="36"/>
  <c r="R537" i="36"/>
  <c r="P537" i="36"/>
  <c r="Q537" i="36"/>
  <c r="S537" i="36"/>
  <c r="T537" i="36"/>
  <c r="AA537" i="36"/>
  <c r="AB537" i="36"/>
  <c r="AK537" i="36"/>
  <c r="I539" i="36"/>
  <c r="R539" i="36"/>
  <c r="P539" i="36"/>
  <c r="Q539" i="36"/>
  <c r="S539" i="36"/>
  <c r="T539" i="36"/>
  <c r="AA539" i="36"/>
  <c r="AB539" i="36"/>
  <c r="AK539" i="36"/>
  <c r="I2474" i="36"/>
  <c r="R2474" i="36"/>
  <c r="P2474" i="36"/>
  <c r="Q2474" i="36"/>
  <c r="S2474" i="36"/>
  <c r="T2474" i="36"/>
  <c r="AA2474" i="36"/>
  <c r="AB2474" i="36"/>
  <c r="AK2474" i="36"/>
  <c r="I540" i="36"/>
  <c r="R540" i="36"/>
  <c r="P540" i="36"/>
  <c r="Q540" i="36"/>
  <c r="S540" i="36"/>
  <c r="T540" i="36"/>
  <c r="AA540" i="36"/>
  <c r="AB540" i="36"/>
  <c r="AK540" i="36"/>
  <c r="I2304" i="36"/>
  <c r="R2304" i="36"/>
  <c r="P2304" i="36"/>
  <c r="Q2304" i="36"/>
  <c r="S2304" i="36"/>
  <c r="T2304" i="36"/>
  <c r="AA2304" i="36"/>
  <c r="AB2304" i="36"/>
  <c r="AK2304" i="36"/>
  <c r="I541" i="36"/>
  <c r="R541" i="36"/>
  <c r="P541" i="36"/>
  <c r="Q541" i="36"/>
  <c r="S541" i="36"/>
  <c r="T541" i="36"/>
  <c r="AA541" i="36"/>
  <c r="AB541" i="36"/>
  <c r="AK541" i="36"/>
  <c r="I542" i="36"/>
  <c r="R542" i="36"/>
  <c r="P542" i="36"/>
  <c r="Q542" i="36"/>
  <c r="S542" i="36"/>
  <c r="T542" i="36"/>
  <c r="AA542" i="36"/>
  <c r="AB542" i="36"/>
  <c r="AK542" i="36"/>
  <c r="I1904" i="36"/>
  <c r="R1904" i="36"/>
  <c r="P1904" i="36"/>
  <c r="Q1904" i="36"/>
  <c r="S1904" i="36"/>
  <c r="T1904" i="36"/>
  <c r="AA1904" i="36"/>
  <c r="AB1904" i="36"/>
  <c r="AK1904" i="36"/>
  <c r="I544" i="36"/>
  <c r="R544" i="36"/>
  <c r="P544" i="36"/>
  <c r="Q544" i="36"/>
  <c r="S544" i="36"/>
  <c r="T544" i="36"/>
  <c r="AA544" i="36"/>
  <c r="AB544" i="36"/>
  <c r="AK544" i="36"/>
  <c r="I543" i="36"/>
  <c r="R543" i="36"/>
  <c r="P543" i="36"/>
  <c r="Q543" i="36"/>
  <c r="S543" i="36"/>
  <c r="T543" i="36"/>
  <c r="AA543" i="36"/>
  <c r="AB543" i="36"/>
  <c r="AK543" i="36"/>
  <c r="I2305" i="36"/>
  <c r="R2305" i="36"/>
  <c r="P2305" i="36"/>
  <c r="Q2305" i="36"/>
  <c r="S2305" i="36"/>
  <c r="T2305" i="36"/>
  <c r="AA2305" i="36"/>
  <c r="AB2305" i="36"/>
  <c r="AK2305" i="36"/>
  <c r="I545" i="36"/>
  <c r="R545" i="36"/>
  <c r="P545" i="36"/>
  <c r="Q545" i="36"/>
  <c r="S545" i="36"/>
  <c r="T545" i="36"/>
  <c r="AA545" i="36"/>
  <c r="AB545" i="36"/>
  <c r="AK545" i="36"/>
  <c r="I546" i="36"/>
  <c r="R546" i="36"/>
  <c r="P546" i="36"/>
  <c r="Q546" i="36"/>
  <c r="S546" i="36"/>
  <c r="T546" i="36"/>
  <c r="AA546" i="36"/>
  <c r="AB546" i="36"/>
  <c r="AK546" i="36"/>
  <c r="I547" i="36"/>
  <c r="R547" i="36"/>
  <c r="P547" i="36"/>
  <c r="Q547" i="36"/>
  <c r="S547" i="36"/>
  <c r="T547" i="36"/>
  <c r="AA547" i="36"/>
  <c r="AB547" i="36"/>
  <c r="AK547" i="36"/>
  <c r="I1905" i="36"/>
  <c r="R1905" i="36"/>
  <c r="P1905" i="36"/>
  <c r="Q1905" i="36"/>
  <c r="S1905" i="36"/>
  <c r="T1905" i="36"/>
  <c r="AA1905" i="36"/>
  <c r="AB1905" i="36"/>
  <c r="AK1905" i="36"/>
  <c r="I548" i="36"/>
  <c r="R548" i="36"/>
  <c r="P548" i="36"/>
  <c r="Q548" i="36"/>
  <c r="S548" i="36"/>
  <c r="T548" i="36"/>
  <c r="AA548" i="36"/>
  <c r="AB548" i="36"/>
  <c r="AK548" i="36"/>
  <c r="I1906" i="36"/>
  <c r="R1906" i="36"/>
  <c r="P1906" i="36"/>
  <c r="Q1906" i="36"/>
  <c r="S1906" i="36"/>
  <c r="T1906" i="36"/>
  <c r="AA1906" i="36"/>
  <c r="AB1906" i="36"/>
  <c r="AK1906" i="36"/>
  <c r="I549" i="36"/>
  <c r="R549" i="36"/>
  <c r="P549" i="36"/>
  <c r="Q549" i="36"/>
  <c r="S549" i="36"/>
  <c r="T549" i="36"/>
  <c r="AA549" i="36"/>
  <c r="AB549" i="36"/>
  <c r="AK549" i="36"/>
  <c r="I2306" i="36"/>
  <c r="R2306" i="36"/>
  <c r="P2306" i="36"/>
  <c r="Q2306" i="36"/>
  <c r="S2306" i="36"/>
  <c r="T2306" i="36"/>
  <c r="AA2306" i="36"/>
  <c r="AB2306" i="36"/>
  <c r="AK2306" i="36"/>
  <c r="I550" i="36"/>
  <c r="R550" i="36"/>
  <c r="P550" i="36"/>
  <c r="Q550" i="36"/>
  <c r="S550" i="36"/>
  <c r="T550" i="36"/>
  <c r="AA550" i="36"/>
  <c r="AB550" i="36"/>
  <c r="AK550" i="36"/>
  <c r="I1907" i="36"/>
  <c r="R1907" i="36"/>
  <c r="P1907" i="36"/>
  <c r="Q1907" i="36"/>
  <c r="S1907" i="36"/>
  <c r="T1907" i="36"/>
  <c r="AA1907" i="36"/>
  <c r="AB1907" i="36"/>
  <c r="AK1907" i="36"/>
  <c r="I1908" i="36"/>
  <c r="R1908" i="36"/>
  <c r="P1908" i="36"/>
  <c r="Q1908" i="36"/>
  <c r="S1908" i="36"/>
  <c r="T1908" i="36"/>
  <c r="AA1908" i="36"/>
  <c r="AB1908" i="36"/>
  <c r="AK1908" i="36"/>
  <c r="I551" i="36"/>
  <c r="R551" i="36"/>
  <c r="P551" i="36"/>
  <c r="Q551" i="36"/>
  <c r="S551" i="36"/>
  <c r="T551" i="36"/>
  <c r="AA551" i="36"/>
  <c r="AB551" i="36"/>
  <c r="AK551" i="36"/>
  <c r="I2475" i="36"/>
  <c r="R2475" i="36"/>
  <c r="P2475" i="36"/>
  <c r="Q2475" i="36"/>
  <c r="S2475" i="36"/>
  <c r="T2475" i="36"/>
  <c r="AA2475" i="36"/>
  <c r="AB2475" i="36"/>
  <c r="I1909" i="36"/>
  <c r="R1909" i="36"/>
  <c r="P1909" i="36"/>
  <c r="Q1909" i="36"/>
  <c r="S1909" i="36"/>
  <c r="T1909" i="36"/>
  <c r="AA1909" i="36"/>
  <c r="AB1909" i="36"/>
  <c r="I552" i="36"/>
  <c r="R552" i="36"/>
  <c r="P552" i="36"/>
  <c r="Q552" i="36"/>
  <c r="S552" i="36"/>
  <c r="T552" i="36"/>
  <c r="AA552" i="36"/>
  <c r="AB552" i="36"/>
  <c r="I2594" i="36"/>
  <c r="R2594" i="36"/>
  <c r="P2594" i="36"/>
  <c r="Q2594" i="36"/>
  <c r="S2594" i="36"/>
  <c r="T2594" i="36"/>
  <c r="AA2594" i="36"/>
  <c r="AB2594" i="36"/>
  <c r="I1910" i="36"/>
  <c r="R1910" i="36"/>
  <c r="P1910" i="36"/>
  <c r="Q1910" i="36"/>
  <c r="S1910" i="36"/>
  <c r="T1910" i="36"/>
  <c r="AA1910" i="36"/>
  <c r="AB1910" i="36"/>
  <c r="AL1910" i="36"/>
  <c r="I553" i="36"/>
  <c r="R553" i="36"/>
  <c r="P553" i="36"/>
  <c r="Q553" i="36"/>
  <c r="S553" i="36"/>
  <c r="T553" i="36"/>
  <c r="AA553" i="36"/>
  <c r="AB553" i="36"/>
  <c r="I2307" i="36"/>
  <c r="R2307" i="36"/>
  <c r="P2307" i="36"/>
  <c r="Q2307" i="36"/>
  <c r="S2307" i="36"/>
  <c r="T2307" i="36"/>
  <c r="AA2307" i="36"/>
  <c r="AB2307" i="36"/>
  <c r="I554" i="36"/>
  <c r="R554" i="36"/>
  <c r="P554" i="36"/>
  <c r="Q554" i="36"/>
  <c r="S554" i="36"/>
  <c r="T554" i="36"/>
  <c r="AA554" i="36"/>
  <c r="AB554" i="36"/>
  <c r="I1911" i="36"/>
  <c r="R1911" i="36"/>
  <c r="P1911" i="36"/>
  <c r="Q1911" i="36"/>
  <c r="S1911" i="36"/>
  <c r="T1911" i="36"/>
  <c r="AA1911" i="36"/>
  <c r="AB1911" i="36"/>
  <c r="AL1911" i="36"/>
  <c r="I556" i="36"/>
  <c r="R556" i="36"/>
  <c r="P556" i="36"/>
  <c r="Q556" i="36"/>
  <c r="S556" i="36"/>
  <c r="T556" i="36"/>
  <c r="AA556" i="36"/>
  <c r="AB556" i="36"/>
  <c r="I555" i="36"/>
  <c r="R555" i="36"/>
  <c r="P555" i="36"/>
  <c r="Q555" i="36"/>
  <c r="S555" i="36"/>
  <c r="T555" i="36"/>
  <c r="AA555" i="36"/>
  <c r="AB555" i="36"/>
  <c r="I557" i="36"/>
  <c r="R557" i="36"/>
  <c r="P557" i="36"/>
  <c r="Q557" i="36"/>
  <c r="S557" i="36"/>
  <c r="T557" i="36"/>
  <c r="AA557" i="36"/>
  <c r="AB557" i="36"/>
  <c r="I1912" i="36"/>
  <c r="R1912" i="36"/>
  <c r="P1912" i="36"/>
  <c r="Q1912" i="36"/>
  <c r="S1912" i="36"/>
  <c r="T1912" i="36"/>
  <c r="AA1912" i="36"/>
  <c r="AB1912" i="36"/>
  <c r="I1913" i="36"/>
  <c r="R1913" i="36"/>
  <c r="P1913" i="36"/>
  <c r="Q1913" i="36"/>
  <c r="S1913" i="36"/>
  <c r="T1913" i="36"/>
  <c r="AA1913" i="36"/>
  <c r="AB1913" i="36"/>
  <c r="I1914" i="36"/>
  <c r="R1914" i="36"/>
  <c r="P1914" i="36"/>
  <c r="Q1914" i="36"/>
  <c r="S1914" i="36"/>
  <c r="T1914" i="36"/>
  <c r="AA1914" i="36"/>
  <c r="AB1914" i="36"/>
  <c r="I558" i="36"/>
  <c r="R558" i="36"/>
  <c r="P558" i="36"/>
  <c r="Q558" i="36"/>
  <c r="S558" i="36"/>
  <c r="T558" i="36"/>
  <c r="AA558" i="36"/>
  <c r="AB558" i="36"/>
  <c r="I560" i="36"/>
  <c r="R560" i="36"/>
  <c r="P560" i="36"/>
  <c r="Q560" i="36"/>
  <c r="S560" i="36"/>
  <c r="T560" i="36"/>
  <c r="AA560" i="36"/>
  <c r="AB560" i="36"/>
  <c r="I559" i="36"/>
  <c r="R559" i="36"/>
  <c r="P559" i="36"/>
  <c r="Q559" i="36"/>
  <c r="S559" i="36"/>
  <c r="T559" i="36"/>
  <c r="AA559" i="36"/>
  <c r="AB559" i="36"/>
  <c r="I561" i="36"/>
  <c r="R561" i="36"/>
  <c r="P561" i="36"/>
  <c r="Q561" i="36"/>
  <c r="S561" i="36"/>
  <c r="T561" i="36"/>
  <c r="AA561" i="36"/>
  <c r="AB561" i="36"/>
  <c r="I562" i="36"/>
  <c r="R562" i="36"/>
  <c r="P562" i="36"/>
  <c r="Q562" i="36"/>
  <c r="S562" i="36"/>
  <c r="T562" i="36"/>
  <c r="AA562" i="36"/>
  <c r="AB562" i="36"/>
  <c r="I564" i="36"/>
  <c r="R564" i="36"/>
  <c r="P564" i="36"/>
  <c r="Q564" i="36"/>
  <c r="S564" i="36"/>
  <c r="T564" i="36"/>
  <c r="AA564" i="36"/>
  <c r="AB564" i="36"/>
  <c r="I563" i="36"/>
  <c r="R563" i="36"/>
  <c r="P563" i="36"/>
  <c r="Q563" i="36"/>
  <c r="S563" i="36"/>
  <c r="T563" i="36"/>
  <c r="AA563" i="36"/>
  <c r="AB563" i="36"/>
  <c r="I565" i="36"/>
  <c r="R565" i="36"/>
  <c r="P565" i="36"/>
  <c r="Q565" i="36"/>
  <c r="S565" i="36"/>
  <c r="T565" i="36"/>
  <c r="AA565" i="36"/>
  <c r="AB565" i="36"/>
  <c r="I2308" i="36"/>
  <c r="R2308" i="36"/>
  <c r="P2308" i="36"/>
  <c r="Q2308" i="36"/>
  <c r="S2308" i="36"/>
  <c r="T2308" i="36"/>
  <c r="AA2308" i="36"/>
  <c r="AB2308" i="36"/>
  <c r="I566" i="36"/>
  <c r="R566" i="36"/>
  <c r="P566" i="36"/>
  <c r="Q566" i="36"/>
  <c r="S566" i="36"/>
  <c r="T566" i="36"/>
  <c r="AA566" i="36"/>
  <c r="AB566" i="36"/>
  <c r="I2476" i="36"/>
  <c r="R2476" i="36"/>
  <c r="P2476" i="36"/>
  <c r="Q2476" i="36"/>
  <c r="S2476" i="36"/>
  <c r="T2476" i="36"/>
  <c r="AA2476" i="36"/>
  <c r="AB2476" i="36"/>
  <c r="I567" i="36"/>
  <c r="R567" i="36"/>
  <c r="P567" i="36"/>
  <c r="Q567" i="36"/>
  <c r="S567" i="36"/>
  <c r="T567" i="36"/>
  <c r="AA567" i="36"/>
  <c r="AB567" i="36"/>
  <c r="I568" i="36"/>
  <c r="R568" i="36"/>
  <c r="P568" i="36"/>
  <c r="Q568" i="36"/>
  <c r="S568" i="36"/>
  <c r="T568" i="36"/>
  <c r="AA568" i="36"/>
  <c r="AB568" i="36"/>
  <c r="I569" i="36"/>
  <c r="R569" i="36"/>
  <c r="P569" i="36"/>
  <c r="Q569" i="36"/>
  <c r="S569" i="36"/>
  <c r="T569" i="36"/>
  <c r="AA569" i="36"/>
  <c r="AB569" i="36"/>
  <c r="I571" i="36"/>
  <c r="R571" i="36"/>
  <c r="P571" i="36"/>
  <c r="Q571" i="36"/>
  <c r="S571" i="36"/>
  <c r="T571" i="36"/>
  <c r="AA571" i="36"/>
  <c r="AB571" i="36"/>
  <c r="I570" i="36"/>
  <c r="R570" i="36"/>
  <c r="P570" i="36"/>
  <c r="Q570" i="36"/>
  <c r="S570" i="36"/>
  <c r="T570" i="36"/>
  <c r="AA570" i="36"/>
  <c r="AB570" i="36"/>
  <c r="I2477" i="36"/>
  <c r="R2477" i="36"/>
  <c r="P2477" i="36"/>
  <c r="Q2477" i="36"/>
  <c r="S2477" i="36"/>
  <c r="T2477" i="36"/>
  <c r="AA2477" i="36"/>
  <c r="AB2477" i="36"/>
  <c r="AL2477" i="36"/>
  <c r="I572" i="36"/>
  <c r="R572" i="36"/>
  <c r="P572" i="36"/>
  <c r="Q572" i="36"/>
  <c r="S572" i="36"/>
  <c r="T572" i="36"/>
  <c r="AA572" i="36"/>
  <c r="AB572" i="36"/>
  <c r="I573" i="36"/>
  <c r="R573" i="36"/>
  <c r="P573" i="36"/>
  <c r="Q573" i="36"/>
  <c r="S573" i="36"/>
  <c r="T573" i="36"/>
  <c r="AA573" i="36"/>
  <c r="AB573" i="36"/>
  <c r="I2309" i="36"/>
  <c r="R2309" i="36"/>
  <c r="P2309" i="36"/>
  <c r="Q2309" i="36"/>
  <c r="S2309" i="36"/>
  <c r="T2309" i="36"/>
  <c r="AA2309" i="36"/>
  <c r="AB2309" i="36"/>
  <c r="I2310" i="36"/>
  <c r="R2310" i="36"/>
  <c r="P2310" i="36"/>
  <c r="Q2310" i="36"/>
  <c r="S2310" i="36"/>
  <c r="T2310" i="36"/>
  <c r="AA2310" i="36"/>
  <c r="AB2310" i="36"/>
  <c r="AL2310" i="36"/>
  <c r="I2311" i="36"/>
  <c r="R2311" i="36"/>
  <c r="P2311" i="36"/>
  <c r="Q2311" i="36"/>
  <c r="S2311" i="36"/>
  <c r="T2311" i="36"/>
  <c r="AA2311" i="36"/>
  <c r="AB2311" i="36"/>
  <c r="I574" i="36"/>
  <c r="R574" i="36"/>
  <c r="P574" i="36"/>
  <c r="Q574" i="36"/>
  <c r="S574" i="36"/>
  <c r="T574" i="36"/>
  <c r="AA574" i="36"/>
  <c r="AB574" i="36"/>
  <c r="I575" i="36"/>
  <c r="R575" i="36"/>
  <c r="P575" i="36"/>
  <c r="Q575" i="36"/>
  <c r="S575" i="36"/>
  <c r="T575" i="36"/>
  <c r="AA575" i="36"/>
  <c r="AB575" i="36"/>
  <c r="I2312" i="36"/>
  <c r="R2312" i="36"/>
  <c r="P2312" i="36"/>
  <c r="Q2312" i="36"/>
  <c r="S2312" i="36"/>
  <c r="T2312" i="36"/>
  <c r="AA2312" i="36"/>
  <c r="AB2312" i="36"/>
  <c r="I576" i="36"/>
  <c r="R576" i="36"/>
  <c r="P576" i="36"/>
  <c r="Q576" i="36"/>
  <c r="S576" i="36"/>
  <c r="T576" i="36"/>
  <c r="AA576" i="36"/>
  <c r="AB576" i="36"/>
  <c r="I2478" i="36"/>
  <c r="R2478" i="36"/>
  <c r="P2478" i="36"/>
  <c r="Q2478" i="36"/>
  <c r="S2478" i="36"/>
  <c r="T2478" i="36"/>
  <c r="AA2478" i="36"/>
  <c r="AB2478" i="36"/>
  <c r="I577" i="36"/>
  <c r="R577" i="36"/>
  <c r="P577" i="36"/>
  <c r="Q577" i="36"/>
  <c r="S577" i="36"/>
  <c r="T577" i="36"/>
  <c r="AA577" i="36"/>
  <c r="AB577" i="36"/>
  <c r="I1915" i="36"/>
  <c r="R1915" i="36"/>
  <c r="P1915" i="36"/>
  <c r="Q1915" i="36"/>
  <c r="S1915" i="36"/>
  <c r="T1915" i="36"/>
  <c r="AA1915" i="36"/>
  <c r="AB1915" i="36"/>
  <c r="AJ1915" i="36"/>
  <c r="AL1915" i="36"/>
  <c r="I2313" i="36"/>
  <c r="R2313" i="36"/>
  <c r="P2313" i="36"/>
  <c r="Q2313" i="36"/>
  <c r="S2313" i="36"/>
  <c r="T2313" i="36"/>
  <c r="AA2313" i="36"/>
  <c r="AB2313" i="36"/>
  <c r="I578" i="36"/>
  <c r="R578" i="36"/>
  <c r="P578" i="36"/>
  <c r="Q578" i="36"/>
  <c r="S578" i="36"/>
  <c r="T578" i="36"/>
  <c r="AA578" i="36"/>
  <c r="AB578" i="36"/>
  <c r="I579" i="36"/>
  <c r="R579" i="36"/>
  <c r="P579" i="36"/>
  <c r="Q579" i="36"/>
  <c r="S579" i="36"/>
  <c r="T579" i="36"/>
  <c r="AA579" i="36"/>
  <c r="AB579" i="36"/>
  <c r="AJ579" i="36"/>
  <c r="I2314" i="36"/>
  <c r="R2314" i="36"/>
  <c r="P2314" i="36"/>
  <c r="Q2314" i="36"/>
  <c r="S2314" i="36"/>
  <c r="T2314" i="36"/>
  <c r="AA2314" i="36"/>
  <c r="AB2314" i="36"/>
  <c r="I580" i="36"/>
  <c r="R580" i="36"/>
  <c r="P580" i="36"/>
  <c r="Q580" i="36"/>
  <c r="S580" i="36"/>
  <c r="T580" i="36"/>
  <c r="AA580" i="36"/>
  <c r="AB580" i="36"/>
  <c r="I2315" i="36"/>
  <c r="R2315" i="36"/>
  <c r="P2315" i="36"/>
  <c r="Q2315" i="36"/>
  <c r="S2315" i="36"/>
  <c r="T2315" i="36"/>
  <c r="AA2315" i="36"/>
  <c r="AB2315" i="36"/>
  <c r="I1916" i="36"/>
  <c r="R1916" i="36"/>
  <c r="P1916" i="36"/>
  <c r="Q1916" i="36"/>
  <c r="S1916" i="36"/>
  <c r="T1916" i="36"/>
  <c r="AA1916" i="36"/>
  <c r="AB1916" i="36"/>
  <c r="I2550" i="36"/>
  <c r="R2550" i="36"/>
  <c r="P2550" i="36"/>
  <c r="Q2550" i="36"/>
  <c r="S2550" i="36"/>
  <c r="T2550" i="36"/>
  <c r="AA2550" i="36"/>
  <c r="AB2550" i="36"/>
  <c r="I581" i="36"/>
  <c r="R581" i="36"/>
  <c r="P581" i="36"/>
  <c r="Q581" i="36"/>
  <c r="S581" i="36"/>
  <c r="T581" i="36"/>
  <c r="AA581" i="36"/>
  <c r="AB581" i="36"/>
  <c r="I1917" i="36"/>
  <c r="R1917" i="36"/>
  <c r="P1917" i="36"/>
  <c r="Q1917" i="36"/>
  <c r="S1917" i="36"/>
  <c r="T1917" i="36"/>
  <c r="AA1917" i="36"/>
  <c r="AB1917" i="36"/>
  <c r="I582" i="36"/>
  <c r="R582" i="36"/>
  <c r="P582" i="36"/>
  <c r="Q582" i="36"/>
  <c r="S582" i="36"/>
  <c r="T582" i="36"/>
  <c r="AA582" i="36"/>
  <c r="AB582" i="36"/>
  <c r="I1918" i="36"/>
  <c r="R1918" i="36"/>
  <c r="P1918" i="36"/>
  <c r="Q1918" i="36"/>
  <c r="S1918" i="36"/>
  <c r="T1918" i="36"/>
  <c r="AA1918" i="36"/>
  <c r="AB1918" i="36"/>
  <c r="I583" i="36"/>
  <c r="R583" i="36"/>
  <c r="P583" i="36"/>
  <c r="Q583" i="36"/>
  <c r="S583" i="36"/>
  <c r="T583" i="36"/>
  <c r="AA583" i="36"/>
  <c r="AB583" i="36"/>
  <c r="I584" i="36"/>
  <c r="R584" i="36"/>
  <c r="P584" i="36"/>
  <c r="Q584" i="36"/>
  <c r="S584" i="36"/>
  <c r="T584" i="36"/>
  <c r="AA584" i="36"/>
  <c r="AB584" i="36"/>
  <c r="I585" i="36"/>
  <c r="R585" i="36"/>
  <c r="P585" i="36"/>
  <c r="Q585" i="36"/>
  <c r="S585" i="36"/>
  <c r="T585" i="36"/>
  <c r="AA585" i="36"/>
  <c r="AB585" i="36"/>
  <c r="I586" i="36"/>
  <c r="R586" i="36"/>
  <c r="P586" i="36"/>
  <c r="Q586" i="36"/>
  <c r="S586" i="36"/>
  <c r="T586" i="36"/>
  <c r="AA586" i="36"/>
  <c r="AB586" i="36"/>
  <c r="I587" i="36"/>
  <c r="R587" i="36"/>
  <c r="P587" i="36"/>
  <c r="Q587" i="36"/>
  <c r="S587" i="36"/>
  <c r="T587" i="36"/>
  <c r="AA587" i="36"/>
  <c r="AB587" i="36"/>
  <c r="I1919" i="36"/>
  <c r="R1919" i="36"/>
  <c r="P1919" i="36"/>
  <c r="Q1919" i="36"/>
  <c r="S1919" i="36"/>
  <c r="T1919" i="36"/>
  <c r="AA1919" i="36"/>
  <c r="AB1919" i="36"/>
  <c r="I588" i="36"/>
  <c r="R588" i="36"/>
  <c r="P588" i="36"/>
  <c r="Q588" i="36"/>
  <c r="S588" i="36"/>
  <c r="T588" i="36"/>
  <c r="AA588" i="36"/>
  <c r="AB588" i="36"/>
  <c r="I1920" i="36"/>
  <c r="R1920" i="36"/>
  <c r="P1920" i="36"/>
  <c r="Q1920" i="36"/>
  <c r="S1920" i="36"/>
  <c r="T1920" i="36"/>
  <c r="AA1920" i="36"/>
  <c r="AB1920" i="36"/>
  <c r="I589" i="36"/>
  <c r="R589" i="36"/>
  <c r="P589" i="36"/>
  <c r="Q589" i="36"/>
  <c r="S589" i="36"/>
  <c r="T589" i="36"/>
  <c r="AA589" i="36"/>
  <c r="AB589" i="36"/>
  <c r="I1921" i="36"/>
  <c r="R1921" i="36"/>
  <c r="P1921" i="36"/>
  <c r="Q1921" i="36"/>
  <c r="S1921" i="36"/>
  <c r="T1921" i="36"/>
  <c r="AA1921" i="36"/>
  <c r="AB1921" i="36"/>
  <c r="I590" i="36"/>
  <c r="R590" i="36"/>
  <c r="P590" i="36"/>
  <c r="Q590" i="36"/>
  <c r="S590" i="36"/>
  <c r="T590" i="36"/>
  <c r="AA590" i="36"/>
  <c r="AB590" i="36"/>
  <c r="I591" i="36"/>
  <c r="R591" i="36"/>
  <c r="P591" i="36"/>
  <c r="Q591" i="36"/>
  <c r="S591" i="36"/>
  <c r="T591" i="36"/>
  <c r="AA591" i="36"/>
  <c r="AB591" i="36"/>
  <c r="I593" i="36"/>
  <c r="R593" i="36"/>
  <c r="P593" i="36"/>
  <c r="Q593" i="36"/>
  <c r="S593" i="36"/>
  <c r="T593" i="36"/>
  <c r="AA593" i="36"/>
  <c r="AB593" i="36"/>
  <c r="I592" i="36"/>
  <c r="R592" i="36"/>
  <c r="P592" i="36"/>
  <c r="Q592" i="36"/>
  <c r="S592" i="36"/>
  <c r="T592" i="36"/>
  <c r="AA592" i="36"/>
  <c r="AB592" i="36"/>
  <c r="I594" i="36"/>
  <c r="R594" i="36"/>
  <c r="P594" i="36"/>
  <c r="Q594" i="36"/>
  <c r="S594" i="36"/>
  <c r="T594" i="36"/>
  <c r="AA594" i="36"/>
  <c r="AB594" i="36"/>
  <c r="I595" i="36"/>
  <c r="R595" i="36"/>
  <c r="P595" i="36"/>
  <c r="Q595" i="36"/>
  <c r="S595" i="36"/>
  <c r="T595" i="36"/>
  <c r="AA595" i="36"/>
  <c r="AB595" i="36"/>
  <c r="I596" i="36"/>
  <c r="R596" i="36"/>
  <c r="P596" i="36"/>
  <c r="Q596" i="36"/>
  <c r="S596" i="36"/>
  <c r="T596" i="36"/>
  <c r="AA596" i="36"/>
  <c r="AB596" i="36"/>
  <c r="I2316" i="36"/>
  <c r="R2316" i="36"/>
  <c r="P2316" i="36"/>
  <c r="Q2316" i="36"/>
  <c r="S2316" i="36"/>
  <c r="T2316" i="36"/>
  <c r="AA2316" i="36"/>
  <c r="AB2316" i="36"/>
  <c r="I599" i="36"/>
  <c r="R599" i="36"/>
  <c r="P599" i="36"/>
  <c r="Q599" i="36"/>
  <c r="S599" i="36"/>
  <c r="T599" i="36"/>
  <c r="AA599" i="36"/>
  <c r="AB599" i="36"/>
  <c r="I598" i="36"/>
  <c r="R598" i="36"/>
  <c r="P598" i="36"/>
  <c r="Q598" i="36"/>
  <c r="S598" i="36"/>
  <c r="T598" i="36"/>
  <c r="AA598" i="36"/>
  <c r="AB598" i="36"/>
  <c r="I597" i="36"/>
  <c r="R597" i="36"/>
  <c r="P597" i="36"/>
  <c r="Q597" i="36"/>
  <c r="S597" i="36"/>
  <c r="T597" i="36"/>
  <c r="AA597" i="36"/>
  <c r="AB597" i="36"/>
  <c r="I1922" i="36"/>
  <c r="R1922" i="36"/>
  <c r="P1922" i="36"/>
  <c r="Q1922" i="36"/>
  <c r="S1922" i="36"/>
  <c r="T1922" i="36"/>
  <c r="AA1922" i="36"/>
  <c r="AB1922" i="36"/>
  <c r="I602" i="36"/>
  <c r="R602" i="36"/>
  <c r="P602" i="36"/>
  <c r="Q602" i="36"/>
  <c r="S602" i="36"/>
  <c r="T602" i="36"/>
  <c r="AA602" i="36"/>
  <c r="AB602" i="36"/>
  <c r="I601" i="36"/>
  <c r="R601" i="36"/>
  <c r="P601" i="36"/>
  <c r="Q601" i="36"/>
  <c r="S601" i="36"/>
  <c r="T601" i="36"/>
  <c r="AA601" i="36"/>
  <c r="AB601" i="36"/>
  <c r="I600" i="36"/>
  <c r="R600" i="36"/>
  <c r="P600" i="36"/>
  <c r="Q600" i="36"/>
  <c r="S600" i="36"/>
  <c r="T600" i="36"/>
  <c r="AA600" i="36"/>
  <c r="AB600" i="36"/>
  <c r="I603" i="36"/>
  <c r="R603" i="36"/>
  <c r="P603" i="36"/>
  <c r="Q603" i="36"/>
  <c r="S603" i="36"/>
  <c r="T603" i="36"/>
  <c r="AA603" i="36"/>
  <c r="AB603" i="36"/>
  <c r="I604" i="36"/>
  <c r="R604" i="36"/>
  <c r="P604" i="36"/>
  <c r="Q604" i="36"/>
  <c r="S604" i="36"/>
  <c r="T604" i="36"/>
  <c r="AA604" i="36"/>
  <c r="AB604" i="36"/>
  <c r="I606" i="36"/>
  <c r="R606" i="36"/>
  <c r="P606" i="36"/>
  <c r="Q606" i="36"/>
  <c r="S606" i="36"/>
  <c r="T606" i="36"/>
  <c r="AA606" i="36"/>
  <c r="AB606" i="36"/>
  <c r="I605" i="36"/>
  <c r="R605" i="36"/>
  <c r="P605" i="36"/>
  <c r="Q605" i="36"/>
  <c r="S605" i="36"/>
  <c r="T605" i="36"/>
  <c r="AA605" i="36"/>
  <c r="AB605" i="36"/>
  <c r="I1923" i="36"/>
  <c r="R1923" i="36"/>
  <c r="P1923" i="36"/>
  <c r="Q1923" i="36"/>
  <c r="S1923" i="36"/>
  <c r="T1923" i="36"/>
  <c r="AA1923" i="36"/>
  <c r="AB1923" i="36"/>
  <c r="I607" i="36"/>
  <c r="R607" i="36"/>
  <c r="P607" i="36"/>
  <c r="Q607" i="36"/>
  <c r="S607" i="36"/>
  <c r="T607" i="36"/>
  <c r="AA607" i="36"/>
  <c r="AB607" i="36"/>
  <c r="I608" i="36"/>
  <c r="R608" i="36"/>
  <c r="P608" i="36"/>
  <c r="Q608" i="36"/>
  <c r="S608" i="36"/>
  <c r="T608" i="36"/>
  <c r="AA608" i="36"/>
  <c r="AB608" i="36"/>
  <c r="I609" i="36"/>
  <c r="R609" i="36"/>
  <c r="P609" i="36"/>
  <c r="Q609" i="36"/>
  <c r="S609" i="36"/>
  <c r="T609" i="36"/>
  <c r="AA609" i="36"/>
  <c r="AB609" i="36"/>
  <c r="I610" i="36"/>
  <c r="R610" i="36"/>
  <c r="P610" i="36"/>
  <c r="Q610" i="36"/>
  <c r="S610" i="36"/>
  <c r="T610" i="36"/>
  <c r="AA610" i="36"/>
  <c r="AB610" i="36"/>
  <c r="I1924" i="36"/>
  <c r="R1924" i="36"/>
  <c r="P1924" i="36"/>
  <c r="Q1924" i="36"/>
  <c r="S1924" i="36"/>
  <c r="T1924" i="36"/>
  <c r="AA1924" i="36"/>
  <c r="AB1924" i="36"/>
  <c r="AL1924" i="36"/>
  <c r="I1925" i="36"/>
  <c r="R1925" i="36"/>
  <c r="P1925" i="36"/>
  <c r="Q1925" i="36"/>
  <c r="S1925" i="36"/>
  <c r="T1925" i="36"/>
  <c r="AA1925" i="36"/>
  <c r="AB1925" i="36"/>
  <c r="I2317" i="36"/>
  <c r="R2317" i="36"/>
  <c r="P2317" i="36"/>
  <c r="Q2317" i="36"/>
  <c r="S2317" i="36"/>
  <c r="T2317" i="36"/>
  <c r="AA2317" i="36"/>
  <c r="AB2317" i="36"/>
  <c r="AL2317" i="36"/>
  <c r="I611" i="36"/>
  <c r="R611" i="36"/>
  <c r="P611" i="36"/>
  <c r="Q611" i="36"/>
  <c r="S611" i="36"/>
  <c r="T611" i="36"/>
  <c r="AA611" i="36"/>
  <c r="AB611" i="36"/>
  <c r="I2318" i="36"/>
  <c r="R2318" i="36"/>
  <c r="P2318" i="36"/>
  <c r="Q2318" i="36"/>
  <c r="S2318" i="36"/>
  <c r="T2318" i="36"/>
  <c r="AA2318" i="36"/>
  <c r="AB2318" i="36"/>
  <c r="I2551" i="36"/>
  <c r="R2551" i="36"/>
  <c r="P2551" i="36"/>
  <c r="Q2551" i="36"/>
  <c r="S2551" i="36"/>
  <c r="T2551" i="36"/>
  <c r="AA2551" i="36"/>
  <c r="AB2551" i="36"/>
  <c r="AL2551" i="36"/>
  <c r="I612" i="36"/>
  <c r="R612" i="36"/>
  <c r="P612" i="36"/>
  <c r="Q612" i="36"/>
  <c r="S612" i="36"/>
  <c r="T612" i="36"/>
  <c r="AA612" i="36"/>
  <c r="AB612" i="36"/>
  <c r="I2319" i="36"/>
  <c r="R2319" i="36"/>
  <c r="P2319" i="36"/>
  <c r="Q2319" i="36"/>
  <c r="S2319" i="36"/>
  <c r="T2319" i="36"/>
  <c r="AA2319" i="36"/>
  <c r="AB2319" i="36"/>
  <c r="AL2319" i="36"/>
  <c r="I2552" i="36"/>
  <c r="R2552" i="36"/>
  <c r="P2552" i="36"/>
  <c r="Q2552" i="36"/>
  <c r="S2552" i="36"/>
  <c r="T2552" i="36"/>
  <c r="AA2552" i="36"/>
  <c r="AB2552" i="36"/>
  <c r="AL2552" i="36"/>
  <c r="I613" i="36"/>
  <c r="R613" i="36"/>
  <c r="P613" i="36"/>
  <c r="Q613" i="36"/>
  <c r="S613" i="36"/>
  <c r="T613" i="36"/>
  <c r="AA613" i="36"/>
  <c r="AB613" i="36"/>
  <c r="I615" i="36"/>
  <c r="R615" i="36"/>
  <c r="P615" i="36"/>
  <c r="Q615" i="36"/>
  <c r="S615" i="36"/>
  <c r="T615" i="36"/>
  <c r="AA615" i="36"/>
  <c r="AB615" i="36"/>
  <c r="I614" i="36"/>
  <c r="R614" i="36"/>
  <c r="P614" i="36"/>
  <c r="Q614" i="36"/>
  <c r="S614" i="36"/>
  <c r="T614" i="36"/>
  <c r="AA614" i="36"/>
  <c r="AB614" i="36"/>
  <c r="I616" i="36"/>
  <c r="R616" i="36"/>
  <c r="P616" i="36"/>
  <c r="Q616" i="36"/>
  <c r="S616" i="36"/>
  <c r="T616" i="36"/>
  <c r="AA616" i="36"/>
  <c r="AB616" i="36"/>
  <c r="I1926" i="36"/>
  <c r="R1926" i="36"/>
  <c r="P1926" i="36"/>
  <c r="Q1926" i="36"/>
  <c r="S1926" i="36"/>
  <c r="T1926" i="36"/>
  <c r="AA1926" i="36"/>
  <c r="AB1926" i="36"/>
  <c r="AL1926" i="36"/>
  <c r="I1927" i="36"/>
  <c r="R1927" i="36"/>
  <c r="P1927" i="36"/>
  <c r="Q1927" i="36"/>
  <c r="S1927" i="36"/>
  <c r="T1927" i="36"/>
  <c r="AA1927" i="36"/>
  <c r="AB1927" i="36"/>
  <c r="AL1927" i="36"/>
  <c r="I617" i="36"/>
  <c r="R617" i="36"/>
  <c r="P617" i="36"/>
  <c r="Q617" i="36"/>
  <c r="S617" i="36"/>
  <c r="T617" i="36"/>
  <c r="AA617" i="36"/>
  <c r="AB617" i="36"/>
  <c r="I618" i="36"/>
  <c r="R618" i="36"/>
  <c r="P618" i="36"/>
  <c r="Q618" i="36"/>
  <c r="S618" i="36"/>
  <c r="T618" i="36"/>
  <c r="AA618" i="36"/>
  <c r="AB618" i="36"/>
  <c r="I619" i="36"/>
  <c r="R619" i="36"/>
  <c r="P619" i="36"/>
  <c r="Q619" i="36"/>
  <c r="S619" i="36"/>
  <c r="T619" i="36"/>
  <c r="AA619" i="36"/>
  <c r="AB619" i="36"/>
  <c r="I1928" i="36"/>
  <c r="R1928" i="36"/>
  <c r="P1928" i="36"/>
  <c r="Q1928" i="36"/>
  <c r="S1928" i="36"/>
  <c r="T1928" i="36"/>
  <c r="AA1928" i="36"/>
  <c r="AB1928" i="36"/>
  <c r="AL1928" i="36"/>
  <c r="I620" i="36"/>
  <c r="R620" i="36"/>
  <c r="P620" i="36"/>
  <c r="Q620" i="36"/>
  <c r="S620" i="36"/>
  <c r="T620" i="36"/>
  <c r="AA620" i="36"/>
  <c r="AB620" i="36"/>
  <c r="I1929" i="36"/>
  <c r="R1929" i="36"/>
  <c r="P1929" i="36"/>
  <c r="Q1929" i="36"/>
  <c r="S1929" i="36"/>
  <c r="T1929" i="36"/>
  <c r="AA1929" i="36"/>
  <c r="AB1929" i="36"/>
  <c r="AL1929" i="36"/>
  <c r="I621" i="36"/>
  <c r="R621" i="36"/>
  <c r="P621" i="36"/>
  <c r="Q621" i="36"/>
  <c r="S621" i="36"/>
  <c r="T621" i="36"/>
  <c r="AA621" i="36"/>
  <c r="AB621" i="36"/>
  <c r="I622" i="36"/>
  <c r="R622" i="36"/>
  <c r="P622" i="36"/>
  <c r="Q622" i="36"/>
  <c r="S622" i="36"/>
  <c r="T622" i="36"/>
  <c r="AA622" i="36"/>
  <c r="AB622" i="36"/>
  <c r="I1930" i="36"/>
  <c r="R1930" i="36"/>
  <c r="P1930" i="36"/>
  <c r="Q1930" i="36"/>
  <c r="S1930" i="36"/>
  <c r="T1930" i="36"/>
  <c r="AA1930" i="36"/>
  <c r="AB1930" i="36"/>
  <c r="AL1930" i="36"/>
  <c r="I623" i="36"/>
  <c r="R623" i="36"/>
  <c r="P623" i="36"/>
  <c r="Q623" i="36"/>
  <c r="S623" i="36"/>
  <c r="T623" i="36"/>
  <c r="AA623" i="36"/>
  <c r="AB623" i="36"/>
  <c r="I624" i="36"/>
  <c r="R624" i="36"/>
  <c r="P624" i="36"/>
  <c r="Q624" i="36"/>
  <c r="S624" i="36"/>
  <c r="T624" i="36"/>
  <c r="AA624" i="36"/>
  <c r="AB624" i="36"/>
  <c r="I625" i="36"/>
  <c r="R625" i="36"/>
  <c r="P625" i="36"/>
  <c r="Q625" i="36"/>
  <c r="S625" i="36"/>
  <c r="T625" i="36"/>
  <c r="AA625" i="36"/>
  <c r="AB625" i="36"/>
  <c r="I626" i="36"/>
  <c r="R626" i="36"/>
  <c r="P626" i="36"/>
  <c r="Q626" i="36"/>
  <c r="S626" i="36"/>
  <c r="T626" i="36"/>
  <c r="AA626" i="36"/>
  <c r="AB626" i="36"/>
  <c r="I627" i="36"/>
  <c r="R627" i="36"/>
  <c r="P627" i="36"/>
  <c r="Q627" i="36"/>
  <c r="S627" i="36"/>
  <c r="T627" i="36"/>
  <c r="AA627" i="36"/>
  <c r="AB627" i="36"/>
  <c r="I628" i="36"/>
  <c r="R628" i="36"/>
  <c r="P628" i="36"/>
  <c r="Q628" i="36"/>
  <c r="S628" i="36"/>
  <c r="T628" i="36"/>
  <c r="AA628" i="36"/>
  <c r="AB628" i="36"/>
  <c r="I629" i="36"/>
  <c r="R629" i="36"/>
  <c r="P629" i="36"/>
  <c r="Q629" i="36"/>
  <c r="S629" i="36"/>
  <c r="T629" i="36"/>
  <c r="AA629" i="36"/>
  <c r="AB629" i="36"/>
  <c r="I1931" i="36"/>
  <c r="R1931" i="36"/>
  <c r="P1931" i="36"/>
  <c r="Q1931" i="36"/>
  <c r="S1931" i="36"/>
  <c r="T1931" i="36"/>
  <c r="AA1931" i="36"/>
  <c r="AB1931" i="36"/>
  <c r="I1932" i="36"/>
  <c r="R1932" i="36"/>
  <c r="P1932" i="36"/>
  <c r="Q1932" i="36"/>
  <c r="S1932" i="36"/>
  <c r="T1932" i="36"/>
  <c r="AA1932" i="36"/>
  <c r="AB1932" i="36"/>
  <c r="I631" i="36"/>
  <c r="R631" i="36"/>
  <c r="P631" i="36"/>
  <c r="Q631" i="36"/>
  <c r="S631" i="36"/>
  <c r="T631" i="36"/>
  <c r="AA631" i="36"/>
  <c r="AB631" i="36"/>
  <c r="I630" i="36"/>
  <c r="R630" i="36"/>
  <c r="P630" i="36"/>
  <c r="Q630" i="36"/>
  <c r="S630" i="36"/>
  <c r="T630" i="36"/>
  <c r="AA630" i="36"/>
  <c r="AB630" i="36"/>
  <c r="I632" i="36"/>
  <c r="R632" i="36"/>
  <c r="P632" i="36"/>
  <c r="Q632" i="36"/>
  <c r="S632" i="36"/>
  <c r="T632" i="36"/>
  <c r="AA632" i="36"/>
  <c r="AB632" i="36"/>
  <c r="I633" i="36"/>
  <c r="R633" i="36"/>
  <c r="P633" i="36"/>
  <c r="Q633" i="36"/>
  <c r="S633" i="36"/>
  <c r="T633" i="36"/>
  <c r="AA633" i="36"/>
  <c r="AB633" i="36"/>
  <c r="I634" i="36"/>
  <c r="R634" i="36"/>
  <c r="P634" i="36"/>
  <c r="Q634" i="36"/>
  <c r="S634" i="36"/>
  <c r="T634" i="36"/>
  <c r="AA634" i="36"/>
  <c r="AB634" i="36"/>
  <c r="I635" i="36"/>
  <c r="R635" i="36"/>
  <c r="P635" i="36"/>
  <c r="Q635" i="36"/>
  <c r="S635" i="36"/>
  <c r="T635" i="36"/>
  <c r="AA635" i="36"/>
  <c r="AB635" i="36"/>
  <c r="I1933" i="36"/>
  <c r="R1933" i="36"/>
  <c r="P1933" i="36"/>
  <c r="Q1933" i="36"/>
  <c r="S1933" i="36"/>
  <c r="T1933" i="36"/>
  <c r="AA1933" i="36"/>
  <c r="AB1933" i="36"/>
  <c r="I1934" i="36"/>
  <c r="R1934" i="36"/>
  <c r="P1934" i="36"/>
  <c r="Q1934" i="36"/>
  <c r="S1934" i="36"/>
  <c r="T1934" i="36"/>
  <c r="AA1934" i="36"/>
  <c r="AB1934" i="36"/>
  <c r="I636" i="36"/>
  <c r="R636" i="36"/>
  <c r="P636" i="36"/>
  <c r="Q636" i="36"/>
  <c r="S636" i="36"/>
  <c r="T636" i="36"/>
  <c r="AA636" i="36"/>
  <c r="AB636" i="36"/>
  <c r="I637" i="36"/>
  <c r="R637" i="36"/>
  <c r="P637" i="36"/>
  <c r="Q637" i="36"/>
  <c r="S637" i="36"/>
  <c r="T637" i="36"/>
  <c r="AA637" i="36"/>
  <c r="AB637" i="36"/>
  <c r="I2320" i="36"/>
  <c r="R2320" i="36"/>
  <c r="P2320" i="36"/>
  <c r="Q2320" i="36"/>
  <c r="S2320" i="36"/>
  <c r="T2320" i="36"/>
  <c r="AA2320" i="36"/>
  <c r="AB2320" i="36"/>
  <c r="I2321" i="36"/>
  <c r="R2321" i="36"/>
  <c r="P2321" i="36"/>
  <c r="Q2321" i="36"/>
  <c r="S2321" i="36"/>
  <c r="T2321" i="36"/>
  <c r="AA2321" i="36"/>
  <c r="AB2321" i="36"/>
  <c r="I2322" i="36"/>
  <c r="R2322" i="36"/>
  <c r="P2322" i="36"/>
  <c r="Q2322" i="36"/>
  <c r="S2322" i="36"/>
  <c r="T2322" i="36"/>
  <c r="AA2322" i="36"/>
  <c r="AB2322" i="36"/>
  <c r="I638" i="36"/>
  <c r="R638" i="36"/>
  <c r="P638" i="36"/>
  <c r="Q638" i="36"/>
  <c r="S638" i="36"/>
  <c r="T638" i="36"/>
  <c r="AA638" i="36"/>
  <c r="AB638" i="36"/>
  <c r="I639" i="36"/>
  <c r="R639" i="36"/>
  <c r="P639" i="36"/>
  <c r="Q639" i="36"/>
  <c r="S639" i="36"/>
  <c r="T639" i="36"/>
  <c r="AA639" i="36"/>
  <c r="AB639" i="36"/>
  <c r="I641" i="36"/>
  <c r="R641" i="36"/>
  <c r="P641" i="36"/>
  <c r="Q641" i="36"/>
  <c r="S641" i="36"/>
  <c r="T641" i="36"/>
  <c r="AA641" i="36"/>
  <c r="AB641" i="36"/>
  <c r="I640" i="36"/>
  <c r="R640" i="36"/>
  <c r="P640" i="36"/>
  <c r="Q640" i="36"/>
  <c r="S640" i="36"/>
  <c r="T640" i="36"/>
  <c r="AA640" i="36"/>
  <c r="AB640" i="36"/>
  <c r="I1935" i="36"/>
  <c r="R1935" i="36"/>
  <c r="P1935" i="36"/>
  <c r="Q1935" i="36"/>
  <c r="S1935" i="36"/>
  <c r="T1935" i="36"/>
  <c r="AA1935" i="36"/>
  <c r="AB1935" i="36"/>
  <c r="I642" i="36"/>
  <c r="R642" i="36"/>
  <c r="P642" i="36"/>
  <c r="Q642" i="36"/>
  <c r="S642" i="36"/>
  <c r="T642" i="36"/>
  <c r="AA642" i="36"/>
  <c r="AB642" i="36"/>
  <c r="I643" i="36"/>
  <c r="R643" i="36"/>
  <c r="P643" i="36"/>
  <c r="Q643" i="36"/>
  <c r="S643" i="36"/>
  <c r="T643" i="36"/>
  <c r="AA643" i="36"/>
  <c r="AB643" i="36"/>
  <c r="I644" i="36"/>
  <c r="R644" i="36"/>
  <c r="P644" i="36"/>
  <c r="Q644" i="36"/>
  <c r="S644" i="36"/>
  <c r="T644" i="36"/>
  <c r="AA644" i="36"/>
  <c r="AB644" i="36"/>
  <c r="I645" i="36"/>
  <c r="R645" i="36"/>
  <c r="P645" i="36"/>
  <c r="Q645" i="36"/>
  <c r="S645" i="36"/>
  <c r="T645" i="36"/>
  <c r="AA645" i="36"/>
  <c r="AB645" i="36"/>
  <c r="I646" i="36"/>
  <c r="R646" i="36"/>
  <c r="P646" i="36"/>
  <c r="Q646" i="36"/>
  <c r="S646" i="36"/>
  <c r="T646" i="36"/>
  <c r="AA646" i="36"/>
  <c r="AB646" i="36"/>
  <c r="I647" i="36"/>
  <c r="R647" i="36"/>
  <c r="P647" i="36"/>
  <c r="Q647" i="36"/>
  <c r="S647" i="36"/>
  <c r="T647" i="36"/>
  <c r="AA647" i="36"/>
  <c r="AB647" i="36"/>
  <c r="I1936" i="36"/>
  <c r="R1936" i="36"/>
  <c r="P1936" i="36"/>
  <c r="Q1936" i="36"/>
  <c r="S1936" i="36"/>
  <c r="T1936" i="36"/>
  <c r="AA1936" i="36"/>
  <c r="AB1936" i="36"/>
  <c r="I648" i="36"/>
  <c r="R648" i="36"/>
  <c r="P648" i="36"/>
  <c r="Q648" i="36"/>
  <c r="S648" i="36"/>
  <c r="T648" i="36"/>
  <c r="AA648" i="36"/>
  <c r="AB648" i="36"/>
  <c r="I649" i="36"/>
  <c r="R649" i="36"/>
  <c r="P649" i="36"/>
  <c r="Q649" i="36"/>
  <c r="S649" i="36"/>
  <c r="T649" i="36"/>
  <c r="AA649" i="36"/>
  <c r="AB649" i="36"/>
  <c r="I650" i="36"/>
  <c r="R650" i="36"/>
  <c r="P650" i="36"/>
  <c r="Q650" i="36"/>
  <c r="S650" i="36"/>
  <c r="T650" i="36"/>
  <c r="AA650" i="36"/>
  <c r="AB650" i="36"/>
  <c r="I651" i="36"/>
  <c r="R651" i="36"/>
  <c r="P651" i="36"/>
  <c r="Q651" i="36"/>
  <c r="S651" i="36"/>
  <c r="T651" i="36"/>
  <c r="AA651" i="36"/>
  <c r="AB651" i="36"/>
  <c r="I1937" i="36"/>
  <c r="R1937" i="36"/>
  <c r="P1937" i="36"/>
  <c r="Q1937" i="36"/>
  <c r="S1937" i="36"/>
  <c r="T1937" i="36"/>
  <c r="AA1937" i="36"/>
  <c r="AB1937" i="36"/>
  <c r="AL1937" i="36"/>
  <c r="I652" i="36"/>
  <c r="R652" i="36"/>
  <c r="P652" i="36"/>
  <c r="Q652" i="36"/>
  <c r="S652" i="36"/>
  <c r="T652" i="36"/>
  <c r="AA652" i="36"/>
  <c r="AB652" i="36"/>
  <c r="I653" i="36"/>
  <c r="R653" i="36"/>
  <c r="P653" i="36"/>
  <c r="Q653" i="36"/>
  <c r="S653" i="36"/>
  <c r="T653" i="36"/>
  <c r="AA653" i="36"/>
  <c r="AB653" i="36"/>
  <c r="I1938" i="36"/>
  <c r="R1938" i="36"/>
  <c r="P1938" i="36"/>
  <c r="Q1938" i="36"/>
  <c r="S1938" i="36"/>
  <c r="T1938" i="36"/>
  <c r="AA1938" i="36"/>
  <c r="AB1938" i="36"/>
  <c r="AL1938" i="36"/>
  <c r="I2479" i="36"/>
  <c r="R2479" i="36"/>
  <c r="P2479" i="36"/>
  <c r="Q2479" i="36"/>
  <c r="S2479" i="36"/>
  <c r="T2479" i="36"/>
  <c r="AA2479" i="36"/>
  <c r="AB2479" i="36"/>
  <c r="I1939" i="36"/>
  <c r="R1939" i="36"/>
  <c r="P1939" i="36"/>
  <c r="Q1939" i="36"/>
  <c r="S1939" i="36"/>
  <c r="T1939" i="36"/>
  <c r="AA1939" i="36"/>
  <c r="AB1939" i="36"/>
  <c r="AL1939" i="36"/>
  <c r="I654" i="36"/>
  <c r="R654" i="36"/>
  <c r="P654" i="36"/>
  <c r="Q654" i="36"/>
  <c r="S654" i="36"/>
  <c r="T654" i="36"/>
  <c r="AA654" i="36"/>
  <c r="AB654" i="36"/>
  <c r="I1940" i="36"/>
  <c r="R1940" i="36"/>
  <c r="P1940" i="36"/>
  <c r="Q1940" i="36"/>
  <c r="S1940" i="36"/>
  <c r="T1940" i="36"/>
  <c r="AA1940" i="36"/>
  <c r="AB1940" i="36"/>
  <c r="I2608" i="36"/>
  <c r="R2608" i="36"/>
  <c r="P2608" i="36"/>
  <c r="Q2608" i="36"/>
  <c r="S2608" i="36"/>
  <c r="T2608" i="36"/>
  <c r="AA2608" i="36"/>
  <c r="AB2608" i="36"/>
  <c r="I655" i="36"/>
  <c r="R655" i="36"/>
  <c r="P655" i="36"/>
  <c r="Q655" i="36"/>
  <c r="S655" i="36"/>
  <c r="T655" i="36"/>
  <c r="AA655" i="36"/>
  <c r="AB655" i="36"/>
  <c r="I2323" i="36"/>
  <c r="R2323" i="36"/>
  <c r="P2323" i="36"/>
  <c r="Q2323" i="36"/>
  <c r="S2323" i="36"/>
  <c r="T2323" i="36"/>
  <c r="AA2323" i="36"/>
  <c r="AB2323" i="36"/>
  <c r="I656" i="36"/>
  <c r="R656" i="36"/>
  <c r="P656" i="36"/>
  <c r="Q656" i="36"/>
  <c r="S656" i="36"/>
  <c r="T656" i="36"/>
  <c r="AA656" i="36"/>
  <c r="AB656" i="36"/>
  <c r="I1941" i="36"/>
  <c r="R1941" i="36"/>
  <c r="P1941" i="36"/>
  <c r="Q1941" i="36"/>
  <c r="S1941" i="36"/>
  <c r="T1941" i="36"/>
  <c r="AA1941" i="36"/>
  <c r="AB1941" i="36"/>
  <c r="I657" i="36"/>
  <c r="R657" i="36"/>
  <c r="P657" i="36"/>
  <c r="Q657" i="36"/>
  <c r="S657" i="36"/>
  <c r="T657" i="36"/>
  <c r="AA657" i="36"/>
  <c r="AB657" i="36"/>
  <c r="I2609" i="36"/>
  <c r="R2609" i="36"/>
  <c r="P2609" i="36"/>
  <c r="Q2609" i="36"/>
  <c r="S2609" i="36"/>
  <c r="T2609" i="36"/>
  <c r="AA2609" i="36"/>
  <c r="AB2609" i="36"/>
  <c r="I658" i="36"/>
  <c r="R658" i="36"/>
  <c r="P658" i="36"/>
  <c r="Q658" i="36"/>
  <c r="S658" i="36"/>
  <c r="T658" i="36"/>
  <c r="AA658" i="36"/>
  <c r="AB658" i="36"/>
  <c r="I660" i="36"/>
  <c r="R660" i="36"/>
  <c r="P660" i="36"/>
  <c r="Q660" i="36"/>
  <c r="S660" i="36"/>
  <c r="T660" i="36"/>
  <c r="AA660" i="36"/>
  <c r="AB660" i="36"/>
  <c r="I659" i="36"/>
  <c r="R659" i="36"/>
  <c r="P659" i="36"/>
  <c r="Q659" i="36"/>
  <c r="S659" i="36"/>
  <c r="T659" i="36"/>
  <c r="AA659" i="36"/>
  <c r="AB659" i="36"/>
  <c r="I1942" i="36"/>
  <c r="R1942" i="36"/>
  <c r="P1942" i="36"/>
  <c r="Q1942" i="36"/>
  <c r="S1942" i="36"/>
  <c r="T1942" i="36"/>
  <c r="AA1942" i="36"/>
  <c r="AB1942" i="36"/>
  <c r="I2553" i="36"/>
  <c r="R2553" i="36"/>
  <c r="P2553" i="36"/>
  <c r="Q2553" i="36"/>
  <c r="S2553" i="36"/>
  <c r="T2553" i="36"/>
  <c r="AA2553" i="36"/>
  <c r="AB2553" i="36"/>
  <c r="I661" i="36"/>
  <c r="R661" i="36"/>
  <c r="P661" i="36"/>
  <c r="Q661" i="36"/>
  <c r="S661" i="36"/>
  <c r="T661" i="36"/>
  <c r="AA661" i="36"/>
  <c r="AB661" i="36"/>
  <c r="I662" i="36"/>
  <c r="R662" i="36"/>
  <c r="P662" i="36"/>
  <c r="Q662" i="36"/>
  <c r="S662" i="36"/>
  <c r="T662" i="36"/>
  <c r="AA662" i="36"/>
  <c r="AB662" i="36"/>
  <c r="I663" i="36"/>
  <c r="R663" i="36"/>
  <c r="P663" i="36"/>
  <c r="Q663" i="36"/>
  <c r="S663" i="36"/>
  <c r="T663" i="36"/>
  <c r="AA663" i="36"/>
  <c r="AB663" i="36"/>
  <c r="I2480" i="36"/>
  <c r="R2480" i="36"/>
  <c r="P2480" i="36"/>
  <c r="Q2480" i="36"/>
  <c r="S2480" i="36"/>
  <c r="T2480" i="36"/>
  <c r="AA2480" i="36"/>
  <c r="AB2480" i="36"/>
  <c r="I1943" i="36"/>
  <c r="R1943" i="36"/>
  <c r="P1943" i="36"/>
  <c r="Q1943" i="36"/>
  <c r="S1943" i="36"/>
  <c r="T1943" i="36"/>
  <c r="AA1943" i="36"/>
  <c r="AB1943" i="36"/>
  <c r="I664" i="36"/>
  <c r="R664" i="36"/>
  <c r="P664" i="36"/>
  <c r="Q664" i="36"/>
  <c r="S664" i="36"/>
  <c r="T664" i="36"/>
  <c r="AA664" i="36"/>
  <c r="AB664" i="36"/>
  <c r="I665" i="36"/>
  <c r="R665" i="36"/>
  <c r="P665" i="36"/>
  <c r="Q665" i="36"/>
  <c r="S665" i="36"/>
  <c r="T665" i="36"/>
  <c r="AA665" i="36"/>
  <c r="AB665" i="36"/>
  <c r="I2554" i="36"/>
  <c r="R2554" i="36"/>
  <c r="P2554" i="36"/>
  <c r="Q2554" i="36"/>
  <c r="S2554" i="36"/>
  <c r="T2554" i="36"/>
  <c r="AA2554" i="36"/>
  <c r="AB2554" i="36"/>
  <c r="I1944" i="36"/>
  <c r="R1944" i="36"/>
  <c r="P1944" i="36"/>
  <c r="Q1944" i="36"/>
  <c r="S1944" i="36"/>
  <c r="T1944" i="36"/>
  <c r="AA1944" i="36"/>
  <c r="AB1944" i="36"/>
  <c r="I2618" i="36"/>
  <c r="R2618" i="36"/>
  <c r="P2618" i="36"/>
  <c r="Q2618" i="36"/>
  <c r="S2618" i="36"/>
  <c r="T2618" i="36"/>
  <c r="AA2618" i="36"/>
  <c r="AB2618" i="36"/>
  <c r="I666" i="36"/>
  <c r="R666" i="36"/>
  <c r="P666" i="36"/>
  <c r="Q666" i="36"/>
  <c r="S666" i="36"/>
  <c r="T666" i="36"/>
  <c r="AA666" i="36"/>
  <c r="AB666" i="36"/>
  <c r="I1945" i="36"/>
  <c r="R1945" i="36"/>
  <c r="P1945" i="36"/>
  <c r="Q1945" i="36"/>
  <c r="S1945" i="36"/>
  <c r="T1945" i="36"/>
  <c r="AA1945" i="36"/>
  <c r="AB1945" i="36"/>
  <c r="I1946" i="36"/>
  <c r="R1946" i="36"/>
  <c r="P1946" i="36"/>
  <c r="Q1946" i="36"/>
  <c r="S1946" i="36"/>
  <c r="T1946" i="36"/>
  <c r="AA1946" i="36"/>
  <c r="AB1946" i="36"/>
  <c r="I2595" i="36"/>
  <c r="R2595" i="36"/>
  <c r="P2595" i="36"/>
  <c r="Q2595" i="36"/>
  <c r="S2595" i="36"/>
  <c r="T2595" i="36"/>
  <c r="AA2595" i="36"/>
  <c r="AB2595" i="36"/>
  <c r="I667" i="36"/>
  <c r="R667" i="36"/>
  <c r="P667" i="36"/>
  <c r="Q667" i="36"/>
  <c r="S667" i="36"/>
  <c r="T667" i="36"/>
  <c r="AA667" i="36"/>
  <c r="AB667" i="36"/>
  <c r="I668" i="36"/>
  <c r="R668" i="36"/>
  <c r="P668" i="36"/>
  <c r="Q668" i="36"/>
  <c r="S668" i="36"/>
  <c r="T668" i="36"/>
  <c r="AA668" i="36"/>
  <c r="AB668" i="36"/>
  <c r="I1947" i="36"/>
  <c r="R1947" i="36"/>
  <c r="P1947" i="36"/>
  <c r="Q1947" i="36"/>
  <c r="S1947" i="36"/>
  <c r="T1947" i="36"/>
  <c r="AA1947" i="36"/>
  <c r="AB1947" i="36"/>
  <c r="I669" i="36"/>
  <c r="R669" i="36"/>
  <c r="P669" i="36"/>
  <c r="Q669" i="36"/>
  <c r="S669" i="36"/>
  <c r="T669" i="36"/>
  <c r="AA669" i="36"/>
  <c r="AB669" i="36"/>
  <c r="I1948" i="36"/>
  <c r="R1948" i="36"/>
  <c r="P1948" i="36"/>
  <c r="Q1948" i="36"/>
  <c r="S1948" i="36"/>
  <c r="T1948" i="36"/>
  <c r="AA1948" i="36"/>
  <c r="AB1948" i="36"/>
  <c r="I670" i="36"/>
  <c r="R670" i="36"/>
  <c r="P670" i="36"/>
  <c r="Q670" i="36"/>
  <c r="S670" i="36"/>
  <c r="T670" i="36"/>
  <c r="AA670" i="36"/>
  <c r="AB670" i="36"/>
  <c r="I671" i="36"/>
  <c r="R671" i="36"/>
  <c r="P671" i="36"/>
  <c r="Q671" i="36"/>
  <c r="S671" i="36"/>
  <c r="T671" i="36"/>
  <c r="AA671" i="36"/>
  <c r="AB671" i="36"/>
  <c r="I1949" i="36"/>
  <c r="R1949" i="36"/>
  <c r="P1949" i="36"/>
  <c r="Q1949" i="36"/>
  <c r="S1949" i="36"/>
  <c r="T1949" i="36"/>
  <c r="AA1949" i="36"/>
  <c r="AB1949" i="36"/>
  <c r="I2324" i="36"/>
  <c r="R2324" i="36"/>
  <c r="P2324" i="36"/>
  <c r="Q2324" i="36"/>
  <c r="S2324" i="36"/>
  <c r="T2324" i="36"/>
  <c r="AA2324" i="36"/>
  <c r="AB2324" i="36"/>
  <c r="I672" i="36"/>
  <c r="R672" i="36"/>
  <c r="P672" i="36"/>
  <c r="Q672" i="36"/>
  <c r="S672" i="36"/>
  <c r="T672" i="36"/>
  <c r="AA672" i="36"/>
  <c r="AB672" i="36"/>
  <c r="I673" i="36"/>
  <c r="R673" i="36"/>
  <c r="P673" i="36"/>
  <c r="Q673" i="36"/>
  <c r="S673" i="36"/>
  <c r="T673" i="36"/>
  <c r="AA673" i="36"/>
  <c r="AB673" i="36"/>
  <c r="I674" i="36"/>
  <c r="R674" i="36"/>
  <c r="P674" i="36"/>
  <c r="Q674" i="36"/>
  <c r="S674" i="36"/>
  <c r="T674" i="36"/>
  <c r="AA674" i="36"/>
  <c r="AB674" i="36"/>
  <c r="I675" i="36"/>
  <c r="R675" i="36"/>
  <c r="P675" i="36"/>
  <c r="Q675" i="36"/>
  <c r="S675" i="36"/>
  <c r="T675" i="36"/>
  <c r="AA675" i="36"/>
  <c r="AB675" i="36"/>
  <c r="I1950" i="36"/>
  <c r="R1950" i="36"/>
  <c r="P1950" i="36"/>
  <c r="Q1950" i="36"/>
  <c r="S1950" i="36"/>
  <c r="T1950" i="36"/>
  <c r="AA1950" i="36"/>
  <c r="AB1950" i="36"/>
  <c r="I676" i="36"/>
  <c r="R676" i="36"/>
  <c r="P676" i="36"/>
  <c r="Q676" i="36"/>
  <c r="S676" i="36"/>
  <c r="T676" i="36"/>
  <c r="AA676" i="36"/>
  <c r="AB676" i="36"/>
  <c r="I677" i="36"/>
  <c r="R677" i="36"/>
  <c r="P677" i="36"/>
  <c r="Q677" i="36"/>
  <c r="S677" i="36"/>
  <c r="T677" i="36"/>
  <c r="AA677" i="36"/>
  <c r="AB677" i="36"/>
  <c r="I2481" i="36"/>
  <c r="R2481" i="36"/>
  <c r="P2481" i="36"/>
  <c r="Q2481" i="36"/>
  <c r="S2481" i="36"/>
  <c r="T2481" i="36"/>
  <c r="AA2481" i="36"/>
  <c r="AB2481" i="36"/>
  <c r="I1951" i="36"/>
  <c r="R1951" i="36"/>
  <c r="P1951" i="36"/>
  <c r="Q1951" i="36"/>
  <c r="S1951" i="36"/>
  <c r="T1951" i="36"/>
  <c r="AA1951" i="36"/>
  <c r="AB1951" i="36"/>
  <c r="I678" i="36"/>
  <c r="R678" i="36"/>
  <c r="P678" i="36"/>
  <c r="Q678" i="36"/>
  <c r="S678" i="36"/>
  <c r="T678" i="36"/>
  <c r="AA678" i="36"/>
  <c r="AB678" i="36"/>
  <c r="P2445" i="36"/>
  <c r="AL2647" i="36"/>
  <c r="Z2028" i="36"/>
  <c r="Z932" i="36"/>
  <c r="Z920" i="36"/>
  <c r="Z2032" i="36"/>
  <c r="M696" i="36"/>
  <c r="R696" i="36"/>
  <c r="Z696" i="36"/>
  <c r="M2445" i="36"/>
  <c r="R2445" i="36"/>
  <c r="Z2445" i="36"/>
  <c r="Z927" i="36"/>
  <c r="Z714" i="36"/>
  <c r="Z922" i="36"/>
  <c r="Z1775" i="36"/>
  <c r="AB696" i="36"/>
  <c r="Z62" i="36"/>
  <c r="Z2334" i="36"/>
  <c r="Z51" i="36"/>
  <c r="Z162" i="36"/>
  <c r="Z229" i="36"/>
  <c r="Z106" i="36"/>
  <c r="Z2271" i="36"/>
  <c r="Z923" i="36"/>
  <c r="Z921" i="36"/>
  <c r="Z1756" i="36"/>
  <c r="Z195" i="36"/>
  <c r="Z156" i="36"/>
  <c r="Z346" i="36"/>
  <c r="Z1714" i="36"/>
  <c r="Z2628" i="36"/>
  <c r="Z487" i="36"/>
  <c r="Z460" i="36"/>
  <c r="Z193" i="36"/>
  <c r="Z264" i="36"/>
  <c r="Z2547" i="36"/>
  <c r="Z2272" i="36"/>
  <c r="Z360" i="36"/>
  <c r="Z245" i="36"/>
  <c r="Z236" i="36"/>
  <c r="Z113" i="36"/>
  <c r="Z97" i="36"/>
  <c r="Z95" i="36"/>
  <c r="Z82" i="36"/>
  <c r="Z81" i="36"/>
  <c r="Z45" i="36"/>
  <c r="Z719" i="36"/>
  <c r="Z737" i="36"/>
  <c r="Z1816" i="36"/>
  <c r="Z144" i="36"/>
  <c r="Z143" i="36"/>
  <c r="Z142" i="36"/>
  <c r="Z73" i="36"/>
  <c r="Z1707" i="36"/>
  <c r="Z2486" i="36"/>
  <c r="Z348" i="36"/>
  <c r="Z2585" i="36"/>
  <c r="Z2275" i="36"/>
  <c r="Z68" i="36"/>
  <c r="Z727" i="36"/>
  <c r="Z1798" i="36"/>
  <c r="Z830" i="36"/>
  <c r="Z823" i="36"/>
  <c r="Z1995" i="36"/>
  <c r="Z720" i="36"/>
  <c r="Z2016" i="36"/>
  <c r="Z2008" i="36"/>
  <c r="Z788" i="36"/>
  <c r="Z838" i="36"/>
  <c r="Z963" i="36"/>
  <c r="Z1902" i="36"/>
  <c r="Z532" i="36"/>
  <c r="Z1754" i="36"/>
  <c r="Z254" i="36"/>
  <c r="Z441" i="36"/>
  <c r="Z392" i="36"/>
  <c r="Z307" i="36"/>
  <c r="Z279" i="36"/>
  <c r="Z2583" i="36"/>
  <c r="Z226" i="36"/>
  <c r="Z207" i="36"/>
  <c r="Z872" i="36"/>
  <c r="Z962" i="36"/>
  <c r="Z1875" i="36"/>
  <c r="Z266" i="36"/>
  <c r="Z681" i="36"/>
  <c r="Z955" i="36"/>
  <c r="Z389" i="36"/>
  <c r="Z317" i="36"/>
  <c r="Z1735" i="36"/>
  <c r="Z190" i="36"/>
  <c r="Z189" i="36"/>
  <c r="Z1730" i="36"/>
  <c r="Z168" i="36"/>
  <c r="Z1721" i="36"/>
  <c r="Z65" i="36"/>
  <c r="Z38" i="36"/>
  <c r="Z32" i="36"/>
  <c r="Z218" i="36"/>
  <c r="Z405" i="36"/>
  <c r="Z57" i="36"/>
  <c r="Z212" i="36"/>
  <c r="Z943" i="36"/>
  <c r="Z321" i="36"/>
  <c r="Z257" i="36"/>
  <c r="Z237" i="36"/>
  <c r="Z227" i="36"/>
  <c r="Z150" i="36"/>
  <c r="Z451" i="36"/>
  <c r="Z1720" i="36"/>
  <c r="Z124" i="36"/>
  <c r="Z69" i="36"/>
  <c r="Z2326" i="36"/>
  <c r="Z828" i="36"/>
  <c r="Z1996" i="36"/>
  <c r="Z1994" i="36"/>
  <c r="Z2238" i="36"/>
  <c r="Z208" i="36"/>
  <c r="Z1727" i="36"/>
  <c r="Z166" i="36"/>
  <c r="Z835" i="36"/>
  <c r="Z507" i="36"/>
  <c r="Z344" i="36"/>
  <c r="Z815" i="36"/>
  <c r="Z832" i="36"/>
  <c r="Z826" i="36"/>
  <c r="Z819" i="36"/>
  <c r="Z840" i="36"/>
  <c r="Z839" i="36"/>
  <c r="Z2273" i="36"/>
  <c r="Z87" i="36"/>
  <c r="Z814" i="36"/>
  <c r="Z2344" i="36"/>
  <c r="Z824" i="36"/>
  <c r="Z817" i="36"/>
  <c r="Z1916" i="36"/>
  <c r="Z2290" i="36"/>
  <c r="Z448" i="36"/>
  <c r="Z363" i="36"/>
  <c r="Z1803" i="36"/>
  <c r="Z318" i="36"/>
  <c r="Z2256" i="36"/>
  <c r="Z215" i="36"/>
  <c r="Z206" i="36"/>
  <c r="Z940" i="36"/>
  <c r="Z1977" i="36"/>
  <c r="Z761" i="36"/>
  <c r="Z829" i="36"/>
  <c r="Z822" i="36"/>
  <c r="Z2556" i="36"/>
  <c r="Z470" i="36"/>
  <c r="Z401" i="36"/>
  <c r="Z173" i="36"/>
  <c r="Z1716" i="36"/>
  <c r="Z951" i="36"/>
  <c r="Z1934" i="36"/>
  <c r="Z1855" i="36"/>
  <c r="Z1794" i="36"/>
  <c r="Z333" i="36"/>
  <c r="Z1765" i="36"/>
  <c r="Z120" i="36"/>
  <c r="Z88" i="36"/>
  <c r="Z827" i="36"/>
  <c r="Z820" i="36"/>
  <c r="Z1993" i="36"/>
  <c r="Z476" i="36"/>
  <c r="Z1864" i="36"/>
  <c r="Z407" i="36"/>
  <c r="Z290" i="36"/>
  <c r="Z284" i="36"/>
  <c r="Z276" i="36"/>
  <c r="Z250" i="36"/>
  <c r="Z2246" i="36"/>
  <c r="Z2439" i="36"/>
  <c r="Z2241" i="36"/>
  <c r="Z1713" i="36"/>
  <c r="Z93" i="36"/>
  <c r="Z874" i="36"/>
  <c r="Z433" i="36"/>
  <c r="Z421" i="36"/>
  <c r="Z281" i="36"/>
  <c r="Z1763" i="36"/>
  <c r="Z1759" i="36"/>
  <c r="Z2252" i="36"/>
  <c r="Z666" i="36"/>
  <c r="Z584" i="36"/>
  <c r="Z536" i="36"/>
  <c r="Z2303" i="36"/>
  <c r="Z513" i="36"/>
  <c r="Z399" i="36"/>
  <c r="Z2278" i="36"/>
  <c r="Z2458" i="36"/>
  <c r="Z1783" i="36"/>
  <c r="Z2260" i="36"/>
  <c r="Z235" i="36"/>
  <c r="Z1742" i="36"/>
  <c r="Z104" i="36"/>
  <c r="Z92" i="36"/>
  <c r="Z2559" i="36"/>
  <c r="Z868" i="36"/>
  <c r="Z865" i="36"/>
  <c r="Z2352" i="36"/>
  <c r="Z1828" i="36"/>
  <c r="Z1786" i="36"/>
  <c r="Z91" i="36"/>
  <c r="Z53" i="36"/>
  <c r="Z44" i="36"/>
  <c r="Z1953" i="36"/>
  <c r="Z2482" i="36"/>
  <c r="Z2310" i="36"/>
  <c r="Z459" i="36"/>
  <c r="Z335" i="36"/>
  <c r="Z2322" i="36"/>
  <c r="Z1912" i="36"/>
  <c r="Z1890" i="36"/>
  <c r="Z444" i="36"/>
  <c r="Z2465" i="36"/>
  <c r="Z1847" i="36"/>
  <c r="Z1845" i="36"/>
  <c r="Z1844" i="36"/>
  <c r="Z2546" i="36"/>
  <c r="Z1826" i="36"/>
  <c r="Z369" i="36"/>
  <c r="Z1773" i="36"/>
  <c r="Z158" i="36"/>
  <c r="Z1724" i="36"/>
  <c r="Z155" i="36"/>
  <c r="Z679" i="36"/>
  <c r="Z1972" i="36"/>
  <c r="Z1931" i="36"/>
  <c r="Z592" i="36"/>
  <c r="Z579" i="36"/>
  <c r="Z531" i="36"/>
  <c r="Z430" i="36"/>
  <c r="Z1854" i="36"/>
  <c r="Z735" i="36"/>
  <c r="Z1969" i="36"/>
  <c r="Z577" i="36"/>
  <c r="Z569" i="36"/>
  <c r="Z649" i="36"/>
  <c r="Z1930" i="36"/>
  <c r="Z547" i="36"/>
  <c r="Z1858" i="36"/>
  <c r="Z387" i="36"/>
  <c r="Z353" i="36"/>
  <c r="Z341" i="36"/>
  <c r="Z1795" i="36"/>
  <c r="Z2249" i="36"/>
  <c r="Z1743" i="36"/>
  <c r="Z742" i="36"/>
  <c r="Z371" i="36"/>
  <c r="Z2274" i="36"/>
  <c r="Z219" i="36"/>
  <c r="Z1863" i="36"/>
  <c r="Z1860" i="36"/>
  <c r="Z425" i="36"/>
  <c r="Z2466" i="36"/>
  <c r="Z417" i="36"/>
  <c r="Z2616" i="36"/>
  <c r="Z1839" i="36"/>
  <c r="Z358" i="36"/>
  <c r="Z1802" i="36"/>
  <c r="Z2443" i="36"/>
  <c r="Z299" i="36"/>
  <c r="Z1753" i="36"/>
  <c r="Z253" i="36"/>
  <c r="Z1751" i="36"/>
  <c r="Z1746" i="36"/>
  <c r="Z2244" i="36"/>
  <c r="Z231" i="36"/>
  <c r="Z228" i="36"/>
  <c r="Z2235" i="36"/>
  <c r="Z1711" i="36"/>
  <c r="Z56" i="36"/>
  <c r="Z40" i="36"/>
  <c r="Z36" i="36"/>
  <c r="Z796" i="36"/>
  <c r="Z801" i="36"/>
  <c r="Z639" i="36"/>
  <c r="Z651" i="36"/>
  <c r="Z2476" i="36"/>
  <c r="Z1821" i="36"/>
  <c r="Z352" i="36"/>
  <c r="Z2268" i="36"/>
  <c r="Z328" i="36"/>
  <c r="Z273" i="36"/>
  <c r="Z248" i="36"/>
  <c r="Z244" i="36"/>
  <c r="Z192" i="36"/>
  <c r="Z1733" i="36"/>
  <c r="Z1732" i="36"/>
  <c r="Z188" i="36"/>
  <c r="Z170" i="36"/>
  <c r="Z115" i="36"/>
  <c r="Z100" i="36"/>
  <c r="Z1710" i="36"/>
  <c r="Z72" i="36"/>
  <c r="Z61" i="36"/>
  <c r="Z2233" i="36"/>
  <c r="Z656" i="36"/>
  <c r="Z753" i="36"/>
  <c r="Z781" i="36"/>
  <c r="Z774" i="36"/>
  <c r="Z1929" i="36"/>
  <c r="Z599" i="36"/>
  <c r="Z589" i="36"/>
  <c r="Z1895" i="36"/>
  <c r="Z1887" i="36"/>
  <c r="Z471" i="36"/>
  <c r="Z2451" i="36"/>
  <c r="Z362" i="36"/>
  <c r="Z310" i="36"/>
  <c r="Z271" i="36"/>
  <c r="Z260" i="36"/>
  <c r="Z187" i="36"/>
  <c r="Z184" i="36"/>
  <c r="Z1729" i="36"/>
  <c r="Z2236" i="36"/>
  <c r="Z179" i="36"/>
  <c r="Z178" i="36"/>
  <c r="Z176" i="36"/>
  <c r="Z690" i="36"/>
  <c r="Z779" i="36"/>
  <c r="Z586" i="36"/>
  <c r="Z581" i="36"/>
  <c r="Z2306" i="36"/>
  <c r="Z1880" i="36"/>
  <c r="Z461" i="36"/>
  <c r="Z1872" i="36"/>
  <c r="Z452" i="36"/>
  <c r="Z418" i="36"/>
  <c r="Z397" i="36"/>
  <c r="Z1842" i="36"/>
  <c r="Z370" i="36"/>
  <c r="Z1806" i="36"/>
  <c r="Z1973" i="36"/>
  <c r="Z450" i="36"/>
  <c r="Z2287" i="36"/>
  <c r="Z1831" i="36"/>
  <c r="Z2542" i="36"/>
  <c r="Z1964" i="36"/>
  <c r="Z631" i="36"/>
  <c r="Z2552" i="36"/>
  <c r="Z454" i="36"/>
  <c r="Z1919" i="36"/>
  <c r="Z1849" i="36"/>
  <c r="Z409" i="36"/>
  <c r="Z268" i="36"/>
  <c r="Z2248" i="36"/>
  <c r="Z2438" i="36"/>
  <c r="Z205" i="36"/>
  <c r="Z201" i="36"/>
  <c r="Z1739" i="36"/>
  <c r="Z1738" i="36"/>
  <c r="Z172" i="36"/>
  <c r="Z2332" i="36"/>
  <c r="Z702" i="36"/>
  <c r="Z697" i="36"/>
  <c r="Z2301" i="36"/>
  <c r="Z519" i="36"/>
  <c r="Z514" i="36"/>
  <c r="Z1881" i="36"/>
  <c r="Z467" i="36"/>
  <c r="Z1862" i="36"/>
  <c r="Z404" i="36"/>
  <c r="Z2462" i="36"/>
  <c r="Z381" i="36"/>
  <c r="Z364" i="36"/>
  <c r="Z2269" i="36"/>
  <c r="Z1796" i="36"/>
  <c r="Z2267" i="36"/>
  <c r="Z1772" i="36"/>
  <c r="Z280" i="36"/>
  <c r="Z1762" i="36"/>
  <c r="Z263" i="36"/>
  <c r="Z243" i="36"/>
  <c r="Z2242" i="36"/>
  <c r="Z1741" i="36"/>
  <c r="Z202" i="36"/>
  <c r="Z200" i="36"/>
  <c r="Z169" i="36"/>
  <c r="Z154" i="36"/>
  <c r="Z153" i="36"/>
  <c r="Z111" i="36"/>
  <c r="Z96" i="36"/>
  <c r="Z54" i="36"/>
  <c r="Z30" i="36"/>
  <c r="Z686" i="36"/>
  <c r="Z247" i="36"/>
  <c r="Z1737" i="36"/>
  <c r="Z1736" i="36"/>
  <c r="Z175" i="36"/>
  <c r="Z122" i="36"/>
  <c r="Z116" i="36"/>
  <c r="Z90" i="36"/>
  <c r="Z78" i="36"/>
  <c r="Z70" i="36"/>
  <c r="Z66" i="36"/>
  <c r="Z33" i="36"/>
  <c r="Z701" i="36"/>
  <c r="Z706" i="36"/>
  <c r="Z919" i="36"/>
  <c r="Z600" i="36"/>
  <c r="Z2316" i="36"/>
  <c r="Z554" i="36"/>
  <c r="Z2474" i="36"/>
  <c r="Z1889" i="36"/>
  <c r="Z503" i="36"/>
  <c r="Z2295" i="36"/>
  <c r="Z463" i="36"/>
  <c r="Z1868" i="36"/>
  <c r="Z2289" i="36"/>
  <c r="Z386" i="36"/>
  <c r="Z1833" i="36"/>
  <c r="Z2457" i="36"/>
  <c r="Z1827" i="36"/>
  <c r="Z1784" i="36"/>
  <c r="Z2257" i="36"/>
  <c r="Z295" i="36"/>
  <c r="Z278" i="36"/>
  <c r="Z2251" i="36"/>
  <c r="Z2534" i="36"/>
  <c r="Z224" i="36"/>
  <c r="Z84" i="36"/>
  <c r="Z77" i="36"/>
  <c r="Z1812" i="36"/>
  <c r="Z1804" i="36"/>
  <c r="Z674" i="36"/>
  <c r="Z669" i="36"/>
  <c r="Z1928" i="36"/>
  <c r="Z2317" i="36"/>
  <c r="Z546" i="36"/>
  <c r="Z541" i="36"/>
  <c r="Z2299" i="36"/>
  <c r="Z515" i="36"/>
  <c r="Z446" i="36"/>
  <c r="Z2640" i="36"/>
  <c r="Z403" i="36"/>
  <c r="Z385" i="36"/>
  <c r="Z376" i="36"/>
  <c r="Z375" i="36"/>
  <c r="Z372" i="36"/>
  <c r="Z1825" i="36"/>
  <c r="Z2454" i="36"/>
  <c r="Z1752" i="36"/>
  <c r="Z242" i="36"/>
  <c r="Z2614" i="36"/>
  <c r="Z213" i="36"/>
  <c r="Z58" i="36"/>
  <c r="Z47" i="36"/>
  <c r="Z2488" i="36"/>
  <c r="Z1838" i="36"/>
  <c r="Z378" i="36"/>
  <c r="Z1829" i="36"/>
  <c r="Z1822" i="36"/>
  <c r="Z2263" i="36"/>
  <c r="Z1774" i="36"/>
  <c r="Z287" i="36"/>
  <c r="Z286" i="36"/>
  <c r="Z1764" i="36"/>
  <c r="Z74" i="36"/>
  <c r="Z63" i="36"/>
  <c r="Z1706" i="36"/>
  <c r="Z1705" i="36"/>
  <c r="Z39" i="36"/>
  <c r="Z760" i="36"/>
  <c r="Z654" i="36"/>
  <c r="Z626" i="36"/>
  <c r="Z523" i="36"/>
  <c r="Z2294" i="36"/>
  <c r="Z489" i="36"/>
  <c r="Z1882" i="36"/>
  <c r="Z410" i="36"/>
  <c r="Z349" i="36"/>
  <c r="Z2446" i="36"/>
  <c r="Z2265" i="36"/>
  <c r="Z292" i="36"/>
  <c r="Z1744" i="36"/>
  <c r="Z1908" i="36"/>
  <c r="Z505" i="36"/>
  <c r="Z517" i="36"/>
  <c r="Z552" i="36"/>
  <c r="Z511" i="36"/>
  <c r="Z2291" i="36"/>
  <c r="Z1877" i="36"/>
  <c r="Z2468" i="36"/>
  <c r="Z414" i="36"/>
  <c r="Z2282" i="36"/>
  <c r="Z2588" i="36"/>
  <c r="Z2615" i="36"/>
  <c r="Z1837" i="36"/>
  <c r="Z2544" i="36"/>
  <c r="Z366" i="36"/>
  <c r="Z357" i="36"/>
  <c r="Z343" i="36"/>
  <c r="Z338" i="36"/>
  <c r="Z326" i="36"/>
  <c r="Z1785" i="36"/>
  <c r="Z2536" i="36"/>
  <c r="Z1778" i="36"/>
  <c r="Z316" i="36"/>
  <c r="Z1769" i="36"/>
  <c r="Z283" i="36"/>
  <c r="Z1761" i="36"/>
  <c r="Z1760" i="36"/>
  <c r="Z239" i="36"/>
  <c r="Z238" i="36"/>
  <c r="Z2243" i="36"/>
  <c r="Z230" i="36"/>
  <c r="Z209" i="36"/>
  <c r="Z182" i="36"/>
  <c r="Z35" i="36"/>
  <c r="Z31" i="36"/>
  <c r="Z746" i="36"/>
  <c r="Z748" i="36"/>
  <c r="Z777" i="36"/>
  <c r="Z847" i="36"/>
  <c r="Z833" i="36"/>
  <c r="Z894" i="36"/>
  <c r="Z881" i="36"/>
  <c r="Z876" i="36"/>
  <c r="Z2015" i="36"/>
  <c r="Z861" i="36"/>
  <c r="Z2558" i="36"/>
  <c r="Z2557" i="36"/>
  <c r="Z2345" i="36"/>
  <c r="Z1968" i="36"/>
  <c r="Z782" i="36"/>
  <c r="Z2338" i="36"/>
  <c r="Z2012" i="36"/>
  <c r="Z884" i="36"/>
  <c r="Z2480" i="36"/>
  <c r="Z1927" i="36"/>
  <c r="Z562" i="36"/>
  <c r="Z2305" i="36"/>
  <c r="Z1899" i="36"/>
  <c r="Z527" i="36"/>
  <c r="Z2293" i="36"/>
  <c r="Z494" i="36"/>
  <c r="Z481" i="36"/>
  <c r="Z1867" i="36"/>
  <c r="Z1865" i="36"/>
  <c r="Z2607" i="36"/>
  <c r="Z2548" i="36"/>
  <c r="Z388" i="36"/>
  <c r="Z1815" i="36"/>
  <c r="Z1810" i="36"/>
  <c r="Z356" i="36"/>
  <c r="Z2537" i="36"/>
  <c r="Z2266" i="36"/>
  <c r="Z325" i="36"/>
  <c r="Z2444" i="36"/>
  <c r="Z320" i="36"/>
  <c r="Z2258" i="36"/>
  <c r="Z2255" i="36"/>
  <c r="Z1766" i="36"/>
  <c r="Z1758" i="36"/>
  <c r="Z1745" i="36"/>
  <c r="Z141" i="36"/>
  <c r="Z64" i="36"/>
  <c r="Z691" i="36"/>
  <c r="Z733" i="36"/>
  <c r="Z710" i="36"/>
  <c r="Z765" i="36"/>
  <c r="Z1979" i="36"/>
  <c r="Z2592" i="36"/>
  <c r="Z2464" i="36"/>
  <c r="Z361" i="36"/>
  <c r="Z354" i="36"/>
  <c r="Z1801" i="36"/>
  <c r="Z1797" i="36"/>
  <c r="Z314" i="36"/>
  <c r="Z1771" i="36"/>
  <c r="Z289" i="36"/>
  <c r="Z2333" i="36"/>
  <c r="Z698" i="36"/>
  <c r="Z1956" i="36"/>
  <c r="Z752" i="36"/>
  <c r="Z640" i="36"/>
  <c r="Z566" i="36"/>
  <c r="Z456" i="36"/>
  <c r="Z1848" i="36"/>
  <c r="Z359" i="36"/>
  <c r="Z350" i="36"/>
  <c r="Z337" i="36"/>
  <c r="Z1790" i="36"/>
  <c r="Z323" i="36"/>
  <c r="Z1779" i="36"/>
  <c r="Z1777" i="36"/>
  <c r="Z1757" i="36"/>
  <c r="Z233" i="36"/>
  <c r="Z2240" i="36"/>
  <c r="Z161" i="36"/>
  <c r="Z79" i="36"/>
  <c r="Z1709" i="36"/>
  <c r="Z50" i="36"/>
  <c r="Z1952" i="36"/>
  <c r="Z722" i="36"/>
  <c r="Z1970" i="36"/>
  <c r="Z769" i="36"/>
  <c r="Z645" i="36"/>
  <c r="Z1962" i="36"/>
  <c r="Z803" i="36"/>
  <c r="Z420" i="36"/>
  <c r="Z412" i="36"/>
  <c r="Z2280" i="36"/>
  <c r="Z2621" i="36"/>
  <c r="Z1966" i="36"/>
  <c r="Z2340" i="36"/>
  <c r="Z663" i="36"/>
  <c r="Z2477" i="36"/>
  <c r="Z509" i="36"/>
  <c r="Z2296" i="36"/>
  <c r="Z493" i="36"/>
  <c r="Z485" i="36"/>
  <c r="Z428" i="36"/>
  <c r="Z76" i="36"/>
  <c r="Z59" i="36"/>
  <c r="Z1936" i="36"/>
  <c r="Z402" i="36"/>
  <c r="Z119" i="36"/>
  <c r="Z786" i="36"/>
  <c r="Z2321" i="36"/>
  <c r="Z1926" i="36"/>
  <c r="Z1925" i="36"/>
  <c r="Z2478" i="36"/>
  <c r="Z522" i="36"/>
  <c r="Z486" i="36"/>
  <c r="Z1874" i="36"/>
  <c r="Z445" i="36"/>
  <c r="Z1853" i="36"/>
  <c r="Z2292" i="36"/>
  <c r="Z1846" i="36"/>
  <c r="Z214" i="36"/>
  <c r="Z163" i="36"/>
  <c r="Z619" i="36"/>
  <c r="Z582" i="36"/>
  <c r="Z561" i="36"/>
  <c r="Z1909" i="36"/>
  <c r="Z1879" i="36"/>
  <c r="Z1856" i="36"/>
  <c r="Z704" i="36"/>
  <c r="Z2618" i="36"/>
  <c r="Z632" i="36"/>
  <c r="Z1905" i="36"/>
  <c r="Z2298" i="36"/>
  <c r="Z1891" i="36"/>
  <c r="Z479" i="36"/>
  <c r="Z2288" i="36"/>
  <c r="Z2467" i="36"/>
  <c r="Z413" i="36"/>
  <c r="Z1830" i="36"/>
  <c r="Z377" i="36"/>
  <c r="Z301" i="36"/>
  <c r="Z673" i="36"/>
  <c r="Z648" i="36"/>
  <c r="Z625" i="36"/>
  <c r="Z607" i="36"/>
  <c r="Z601" i="36"/>
  <c r="Z1920" i="36"/>
  <c r="Z2315" i="36"/>
  <c r="Z544" i="36"/>
  <c r="Z1903" i="36"/>
  <c r="Z1898" i="36"/>
  <c r="Z496" i="36"/>
  <c r="Z469" i="36"/>
  <c r="Z391" i="36"/>
  <c r="Z449" i="36"/>
  <c r="Z419" i="36"/>
  <c r="Z2286" i="36"/>
  <c r="Z2459" i="36"/>
  <c r="Z67" i="36"/>
  <c r="Z644" i="36"/>
  <c r="Z622" i="36"/>
  <c r="Z2551" i="36"/>
  <c r="Z593" i="36"/>
  <c r="Z492" i="36"/>
  <c r="Z465" i="36"/>
  <c r="Z345" i="36"/>
  <c r="Z1740" i="36"/>
  <c r="Z198" i="36"/>
  <c r="Z174" i="36"/>
  <c r="Z102" i="36"/>
  <c r="Z89" i="36"/>
  <c r="Z71" i="36"/>
  <c r="Z55" i="36"/>
  <c r="Z49" i="36"/>
  <c r="Z43" i="36"/>
  <c r="Z1988" i="36"/>
  <c r="Z845" i="36"/>
  <c r="Z2035" i="36"/>
  <c r="Z726" i="36"/>
  <c r="Z718" i="36"/>
  <c r="Z713" i="36"/>
  <c r="Z750" i="36"/>
  <c r="Z2341" i="36"/>
  <c r="Z853" i="36"/>
  <c r="Z2021" i="36"/>
  <c r="Z2040" i="36"/>
  <c r="Z965" i="36"/>
  <c r="Z993" i="36"/>
  <c r="Z994" i="36"/>
  <c r="Z731" i="36"/>
  <c r="Z724" i="36"/>
  <c r="Z717" i="36"/>
  <c r="Z712" i="36"/>
  <c r="Z1982" i="36"/>
  <c r="Z877" i="36"/>
  <c r="Z875" i="36"/>
  <c r="Z2023" i="36"/>
  <c r="Z944" i="36"/>
  <c r="Z961" i="36"/>
  <c r="Z966" i="36"/>
  <c r="Z758" i="36"/>
  <c r="Z2044" i="36"/>
  <c r="Z974" i="36"/>
  <c r="Z396" i="36"/>
  <c r="Z1843" i="36"/>
  <c r="Z2463" i="36"/>
  <c r="Z2545" i="36"/>
  <c r="Z390" i="36"/>
  <c r="Z2460" i="36"/>
  <c r="Z384" i="36"/>
  <c r="Z2277" i="36"/>
  <c r="Z2456" i="36"/>
  <c r="Z2455" i="36"/>
  <c r="Z2276" i="36"/>
  <c r="Z2543" i="36"/>
  <c r="Z1820" i="36"/>
  <c r="Z1818" i="36"/>
  <c r="Z2453" i="36"/>
  <c r="Z2449" i="36"/>
  <c r="Z313" i="36"/>
  <c r="Z217" i="36"/>
  <c r="Z203" i="36"/>
  <c r="Z167" i="36"/>
  <c r="Z780" i="36"/>
  <c r="Z846" i="36"/>
  <c r="Z871" i="36"/>
  <c r="Z886" i="36"/>
  <c r="Z2025" i="36"/>
  <c r="Z2283" i="36"/>
  <c r="Z334" i="36"/>
  <c r="Z275" i="36"/>
  <c r="Z795" i="36"/>
  <c r="Z1999" i="36"/>
  <c r="Z855" i="36"/>
  <c r="Z2005" i="36"/>
  <c r="Z910" i="36"/>
  <c r="Z2279" i="36"/>
  <c r="Z2586" i="36"/>
  <c r="Z1835" i="36"/>
  <c r="Z374" i="36"/>
  <c r="Z368" i="36"/>
  <c r="Z2452" i="36"/>
  <c r="Z1792" i="36"/>
  <c r="Z330" i="36"/>
  <c r="Z303" i="36"/>
  <c r="Z94" i="36"/>
  <c r="Z86" i="36"/>
  <c r="Z730" i="36"/>
  <c r="Z739" i="36"/>
  <c r="Z770" i="36"/>
  <c r="Z917" i="36"/>
  <c r="Z2493" i="36"/>
  <c r="Z1715" i="36"/>
  <c r="Z107" i="36"/>
  <c r="Z99" i="36"/>
  <c r="Z1712" i="36"/>
  <c r="Z684" i="36"/>
  <c r="Z60" i="36"/>
  <c r="Z146" i="36"/>
  <c r="Z1850" i="36"/>
  <c r="Z2590" i="36"/>
  <c r="Z406" i="36"/>
  <c r="Z2285" i="36"/>
  <c r="Z400" i="36"/>
  <c r="Z398" i="36"/>
  <c r="Z395" i="36"/>
  <c r="Z382" i="36"/>
  <c r="Z1836" i="36"/>
  <c r="Z2606" i="36"/>
  <c r="Z379" i="36"/>
  <c r="Z751" i="36"/>
  <c r="Z938" i="36"/>
  <c r="Z2037" i="36"/>
  <c r="Z2491" i="36"/>
  <c r="Z811" i="36"/>
  <c r="Z948" i="36"/>
  <c r="Z194" i="36"/>
  <c r="Z180" i="36"/>
  <c r="Z160" i="36"/>
  <c r="Z1725" i="36"/>
  <c r="Z1824" i="36"/>
  <c r="Z1819" i="36"/>
  <c r="Z1817" i="36"/>
  <c r="Z351" i="36"/>
  <c r="Z1808" i="36"/>
  <c r="Z2270" i="36"/>
  <c r="Z2538" i="36"/>
  <c r="Z342" i="36"/>
  <c r="Z340" i="36"/>
  <c r="Z332" i="36"/>
  <c r="Z324" i="36"/>
  <c r="Z2262" i="36"/>
  <c r="Z2261" i="36"/>
  <c r="Z2259" i="36"/>
  <c r="Z1776" i="36"/>
  <c r="Z311" i="36"/>
  <c r="Z309" i="36"/>
  <c r="Z2254" i="36"/>
  <c r="Z277" i="36"/>
  <c r="Z2442" i="36"/>
  <c r="Z262" i="36"/>
  <c r="Z251" i="36"/>
  <c r="Z2441" i="36"/>
  <c r="Z2440" i="36"/>
  <c r="Z1747" i="36"/>
  <c r="Z2245" i="36"/>
  <c r="Z234" i="36"/>
  <c r="Z2533" i="36"/>
  <c r="Z221" i="36"/>
  <c r="Z216" i="36"/>
  <c r="Z210" i="36"/>
  <c r="Z936" i="36"/>
  <c r="Z2039" i="36"/>
  <c r="Z964" i="36"/>
  <c r="Z971" i="36"/>
  <c r="Z980" i="36"/>
  <c r="Z986" i="36"/>
  <c r="Z837" i="36"/>
  <c r="Z2329" i="36"/>
  <c r="Z792" i="36"/>
  <c r="Z2011" i="36"/>
  <c r="Z912" i="36"/>
  <c r="Z464" i="36"/>
  <c r="Z434" i="36"/>
  <c r="Z424" i="36"/>
  <c r="Z422" i="36"/>
  <c r="Z408" i="36"/>
  <c r="Z373" i="36"/>
  <c r="Z365" i="36"/>
  <c r="Z1780" i="36"/>
  <c r="Z315" i="36"/>
  <c r="Z1767" i="36"/>
  <c r="Z2253" i="36"/>
  <c r="Z261" i="36"/>
  <c r="Z256" i="36"/>
  <c r="Z2629" i="36"/>
  <c r="Z1750" i="36"/>
  <c r="Z1748" i="36"/>
  <c r="Z240" i="36"/>
  <c r="Z232" i="36"/>
  <c r="Z197" i="36"/>
  <c r="Z1728" i="36"/>
  <c r="Z1722" i="36"/>
  <c r="Z2026" i="36"/>
  <c r="Z2036" i="36"/>
  <c r="Z959" i="36"/>
  <c r="Z1998" i="36"/>
  <c r="Z841" i="36"/>
  <c r="Z836" i="36"/>
  <c r="Z831" i="36"/>
  <c r="Z825" i="36"/>
  <c r="Z1992" i="36"/>
  <c r="Z159" i="36"/>
  <c r="Z148" i="36"/>
  <c r="Z813" i="36"/>
  <c r="Z85" i="36"/>
  <c r="Z80" i="36"/>
  <c r="Z721" i="36"/>
  <c r="Z715" i="36"/>
  <c r="Z709" i="36"/>
  <c r="Z678" i="36"/>
  <c r="Z676" i="36"/>
  <c r="Z671" i="36"/>
  <c r="Z2595" i="36"/>
  <c r="Z664" i="36"/>
  <c r="Z2553" i="36"/>
  <c r="Z657" i="36"/>
  <c r="Z642" i="36"/>
  <c r="Z637" i="36"/>
  <c r="Z634" i="36"/>
  <c r="Z627" i="36"/>
  <c r="Z615" i="36"/>
  <c r="Z611" i="36"/>
  <c r="Z609" i="36"/>
  <c r="Z597" i="36"/>
  <c r="Z1921" i="36"/>
  <c r="Z583" i="36"/>
  <c r="Z2314" i="36"/>
  <c r="Z575" i="36"/>
  <c r="Z573" i="36"/>
  <c r="Z563" i="36"/>
  <c r="Z558" i="36"/>
  <c r="Z551" i="36"/>
  <c r="Z1906" i="36"/>
  <c r="Z542" i="36"/>
  <c r="Z537" i="36"/>
  <c r="Z530" i="36"/>
  <c r="Z2471" i="36"/>
  <c r="Z520" i="36"/>
  <c r="Z2297" i="36"/>
  <c r="Z2470" i="36"/>
  <c r="Z501" i="36"/>
  <c r="Z1886" i="36"/>
  <c r="Z495" i="36"/>
  <c r="Z488" i="36"/>
  <c r="Z474" i="36"/>
  <c r="Z473" i="36"/>
  <c r="Z1873" i="36"/>
  <c r="Z2593" i="36"/>
  <c r="Z1870" i="36"/>
  <c r="Z2469" i="36"/>
  <c r="Z436" i="36"/>
  <c r="Z1857" i="36"/>
  <c r="Z416" i="36"/>
  <c r="Z2284" i="36"/>
  <c r="Z2589" i="36"/>
  <c r="Z394" i="36"/>
  <c r="Z1841" i="36"/>
  <c r="Z2281" i="36"/>
  <c r="Z2461" i="36"/>
  <c r="Z383" i="36"/>
  <c r="Z2587" i="36"/>
  <c r="Z380" i="36"/>
  <c r="Z1834" i="36"/>
  <c r="Z1832" i="36"/>
  <c r="Z1823" i="36"/>
  <c r="Z367" i="36"/>
  <c r="Z2541" i="36"/>
  <c r="Z1813" i="36"/>
  <c r="Z2448" i="36"/>
  <c r="Z2540" i="36"/>
  <c r="Z2539" i="36"/>
  <c r="Z1805" i="36"/>
  <c r="Z1800" i="36"/>
  <c r="Z1799" i="36"/>
  <c r="Z339" i="36"/>
  <c r="Z1791" i="36"/>
  <c r="Z331" i="36"/>
  <c r="Z1788" i="36"/>
  <c r="Z327" i="36"/>
  <c r="Z322" i="36"/>
  <c r="Z1782" i="36"/>
  <c r="Z312" i="36"/>
  <c r="Z1755" i="36"/>
  <c r="Z688" i="36"/>
  <c r="Z2325" i="36"/>
  <c r="Z849" i="36"/>
  <c r="Z858" i="36"/>
  <c r="Z866" i="36"/>
  <c r="Z2350" i="36"/>
  <c r="Z2024" i="36"/>
  <c r="Z915" i="36"/>
  <c r="Z941" i="36"/>
  <c r="Z960" i="36"/>
  <c r="Z1950" i="36"/>
  <c r="Z670" i="36"/>
  <c r="Z1946" i="36"/>
  <c r="Z1942" i="36"/>
  <c r="Z1940" i="36"/>
  <c r="Z1938" i="36"/>
  <c r="Z650" i="36"/>
  <c r="Z646" i="36"/>
  <c r="Z638" i="36"/>
  <c r="Z636" i="36"/>
  <c r="Z1932" i="36"/>
  <c r="Z620" i="36"/>
  <c r="Z613" i="36"/>
  <c r="Z612" i="36"/>
  <c r="Z604" i="36"/>
  <c r="Z598" i="36"/>
  <c r="Z594" i="36"/>
  <c r="Z587" i="36"/>
  <c r="Z2550" i="36"/>
  <c r="Z1915" i="36"/>
  <c r="Z574" i="36"/>
  <c r="Z564" i="36"/>
  <c r="Z1911" i="36"/>
  <c r="Z1897" i="36"/>
  <c r="Z2300" i="36"/>
  <c r="Z491" i="36"/>
  <c r="Z1883" i="36"/>
  <c r="Z484" i="36"/>
  <c r="Z482" i="36"/>
  <c r="Z478" i="36"/>
  <c r="Z1878" i="36"/>
  <c r="Z468" i="36"/>
  <c r="Z458" i="36"/>
  <c r="Z1871" i="36"/>
  <c r="Z1866" i="36"/>
  <c r="Z442" i="36"/>
  <c r="Z439" i="36"/>
  <c r="Z438" i="36"/>
  <c r="Z437" i="36"/>
  <c r="Z431" i="36"/>
  <c r="Z427" i="36"/>
  <c r="Z2617" i="36"/>
  <c r="Z411" i="36"/>
  <c r="Z393" i="36"/>
  <c r="Z1840" i="36"/>
  <c r="Z110" i="36"/>
  <c r="Z1954" i="36"/>
  <c r="Z2327" i="36"/>
  <c r="Z1959" i="36"/>
  <c r="Z759" i="36"/>
  <c r="Z747" i="36"/>
  <c r="Z1978" i="36"/>
  <c r="Z1984" i="36"/>
  <c r="Z2490" i="36"/>
  <c r="Z862" i="36"/>
  <c r="Z880" i="36"/>
  <c r="Z497" i="36"/>
  <c r="Z2484" i="36"/>
  <c r="Z725" i="36"/>
  <c r="Z741" i="36"/>
  <c r="Z790" i="36"/>
  <c r="Z802" i="36"/>
  <c r="Z806" i="36"/>
  <c r="Z810" i="36"/>
  <c r="Z844" i="36"/>
  <c r="Z2018" i="36"/>
  <c r="Z904" i="36"/>
  <c r="Z2357" i="36"/>
  <c r="Z972" i="36"/>
  <c r="Z152" i="36"/>
  <c r="Z805" i="36"/>
  <c r="Z1997" i="36"/>
  <c r="Z821" i="36"/>
  <c r="Z818" i="36"/>
  <c r="Z816" i="36"/>
  <c r="Z2007" i="36"/>
  <c r="Z864" i="36"/>
  <c r="Z2348" i="36"/>
  <c r="Z2353" i="36"/>
  <c r="Z1814" i="36"/>
  <c r="Z1809" i="36"/>
  <c r="Z347" i="36"/>
  <c r="Z2584" i="36"/>
  <c r="Z2447" i="36"/>
  <c r="Z336" i="36"/>
  <c r="Z329" i="36"/>
  <c r="Z1787" i="36"/>
  <c r="Z1781" i="36"/>
  <c r="Z305" i="36"/>
  <c r="Z297" i="36"/>
  <c r="Z1768" i="36"/>
  <c r="Z270" i="36"/>
  <c r="Z269" i="36"/>
  <c r="Z2250" i="36"/>
  <c r="Z258" i="36"/>
  <c r="Z2247" i="36"/>
  <c r="Z2535" i="36"/>
  <c r="Z241" i="36"/>
  <c r="Z2239" i="36"/>
  <c r="Z211" i="36"/>
  <c r="Z2437" i="36"/>
  <c r="Z2596" i="36"/>
  <c r="Z692" i="36"/>
  <c r="Z2335" i="36"/>
  <c r="Z799" i="36"/>
  <c r="Z905" i="36"/>
  <c r="Z913" i="36"/>
  <c r="Z946" i="36"/>
  <c r="Z957" i="36"/>
  <c r="Z984" i="36"/>
  <c r="Z988" i="36"/>
  <c r="Z992" i="36"/>
  <c r="Z1951" i="36"/>
  <c r="Z672" i="36"/>
  <c r="Z1944" i="36"/>
  <c r="Z662" i="36"/>
  <c r="Z658" i="36"/>
  <c r="Z2323" i="36"/>
  <c r="Z1939" i="36"/>
  <c r="Z641" i="36"/>
  <c r="Z1933" i="36"/>
  <c r="Z629" i="36"/>
  <c r="Z624" i="36"/>
  <c r="Z621" i="36"/>
  <c r="Z618" i="36"/>
  <c r="Z1923" i="36"/>
  <c r="Z591" i="36"/>
  <c r="Z585" i="36"/>
  <c r="Z1917" i="36"/>
  <c r="Z578" i="36"/>
  <c r="Z576" i="36"/>
  <c r="Z570" i="36"/>
  <c r="Z559" i="36"/>
  <c r="Z557" i="36"/>
  <c r="Z2307" i="36"/>
  <c r="Z545" i="36"/>
  <c r="Z535" i="36"/>
  <c r="Z1901" i="36"/>
  <c r="Z1900" i="36"/>
  <c r="Z529" i="36"/>
  <c r="Z525" i="36"/>
  <c r="Z1894" i="36"/>
  <c r="Z1893" i="36"/>
  <c r="Z1892" i="36"/>
  <c r="Z504" i="36"/>
  <c r="Z502" i="36"/>
  <c r="Z499" i="36"/>
  <c r="Z1885" i="36"/>
  <c r="Z480" i="36"/>
  <c r="Z1876" i="36"/>
  <c r="Z462" i="36"/>
  <c r="Z457" i="36"/>
  <c r="Z455" i="36"/>
  <c r="Z453" i="36"/>
  <c r="Z443" i="36"/>
  <c r="Z440" i="36"/>
  <c r="Z1859" i="36"/>
  <c r="Z435" i="36"/>
  <c r="Z2483" i="36"/>
  <c r="Z687" i="36"/>
  <c r="Z1957" i="36"/>
  <c r="Z700" i="36"/>
  <c r="Z1975" i="36"/>
  <c r="Z1985" i="36"/>
  <c r="Z1986" i="36"/>
  <c r="Z1990" i="36"/>
  <c r="Z800" i="36"/>
  <c r="Z2489" i="36"/>
  <c r="Z1991" i="36"/>
  <c r="Z2002" i="36"/>
  <c r="Z2347" i="36"/>
  <c r="Z2019" i="36"/>
  <c r="Z909" i="36"/>
  <c r="Z918" i="36"/>
  <c r="Z2363" i="36"/>
  <c r="Z967" i="36"/>
  <c r="Z2364" i="36"/>
  <c r="Z764" i="36"/>
  <c r="Z771" i="36"/>
  <c r="Z804" i="36"/>
  <c r="Z2000" i="36"/>
  <c r="Z2346" i="36"/>
  <c r="Z2354" i="36"/>
  <c r="Z1989" i="36"/>
  <c r="Z991" i="36"/>
  <c r="Z83" i="36"/>
  <c r="Z75" i="36"/>
  <c r="Z2234" i="36"/>
  <c r="Z1708" i="36"/>
  <c r="Z42" i="36"/>
  <c r="Z911" i="36"/>
  <c r="Z949" i="36"/>
  <c r="Z763" i="36"/>
  <c r="Z2033" i="36"/>
  <c r="Z749" i="36"/>
  <c r="Z783" i="36"/>
  <c r="Z778" i="36"/>
  <c r="Z2001" i="36"/>
  <c r="Z860" i="36"/>
  <c r="Z896" i="36"/>
  <c r="Z2022" i="36"/>
  <c r="Z738" i="36"/>
  <c r="Z950" i="36"/>
  <c r="Z900" i="36"/>
  <c r="Z2361" i="36"/>
  <c r="Z989" i="36"/>
  <c r="Z2622" i="36"/>
  <c r="Z661" i="36"/>
  <c r="Z2320" i="36"/>
  <c r="Z628" i="36"/>
  <c r="Z2318" i="36"/>
  <c r="Z580" i="36"/>
  <c r="Z2312" i="36"/>
  <c r="Z2309" i="36"/>
  <c r="Z560" i="36"/>
  <c r="Z1907" i="36"/>
  <c r="Z2304" i="36"/>
  <c r="Z526" i="36"/>
  <c r="Z1896" i="36"/>
  <c r="Z2642" i="36"/>
  <c r="Z510" i="36"/>
  <c r="Z942" i="36"/>
  <c r="Z2041" i="36"/>
  <c r="Z978" i="36"/>
  <c r="Z2045" i="36"/>
  <c r="Z2319" i="36"/>
  <c r="Z772" i="36"/>
  <c r="Z711" i="36"/>
  <c r="Z812" i="36"/>
  <c r="Z883" i="36"/>
  <c r="Z889" i="36"/>
  <c r="Z2042" i="36"/>
  <c r="Z982" i="36"/>
  <c r="Z1955" i="36"/>
  <c r="Z699" i="36"/>
  <c r="Z1961" i="36"/>
  <c r="Z773" i="36"/>
  <c r="Z2006" i="36"/>
  <c r="Z891" i="36"/>
  <c r="Z898" i="36"/>
  <c r="Z2360" i="36"/>
  <c r="Z2043" i="36"/>
  <c r="Z981" i="36"/>
  <c r="Z2450" i="36"/>
  <c r="Z1811" i="36"/>
  <c r="Z355" i="36"/>
  <c r="Z1770" i="36"/>
  <c r="Z2336" i="36"/>
  <c r="Z743" i="36"/>
  <c r="Z2632" i="36"/>
  <c r="Z490" i="36"/>
  <c r="Z483" i="36"/>
  <c r="Z477" i="36"/>
  <c r="Z475" i="36"/>
  <c r="Z466" i="36"/>
  <c r="Z1869" i="36"/>
  <c r="Z1861" i="36"/>
  <c r="Z2549" i="36"/>
  <c r="Z432" i="36"/>
  <c r="Z429" i="36"/>
  <c r="Z426" i="36"/>
  <c r="Z423" i="36"/>
  <c r="Z1852" i="36"/>
  <c r="Z1851" i="36"/>
  <c r="Z939" i="36"/>
  <c r="Z945" i="36"/>
  <c r="Z2608" i="36"/>
  <c r="Z789" i="36"/>
  <c r="Z887" i="36"/>
  <c r="Z901" i="36"/>
  <c r="Z953" i="36"/>
  <c r="Z689" i="36"/>
  <c r="Z682" i="36"/>
  <c r="Z1958" i="36"/>
  <c r="Z703" i="36"/>
  <c r="Z705" i="36"/>
  <c r="Z888" i="36"/>
  <c r="Z902" i="36"/>
  <c r="Z907" i="36"/>
  <c r="Z2362" i="36"/>
  <c r="Z954" i="36"/>
  <c r="Z956" i="36"/>
  <c r="Z2481" i="36"/>
  <c r="Z2324" i="36"/>
  <c r="Z668" i="36"/>
  <c r="Z2554" i="36"/>
  <c r="Z655" i="36"/>
  <c r="Z1937" i="36"/>
  <c r="Z643" i="36"/>
  <c r="Z630" i="36"/>
  <c r="Z616" i="36"/>
  <c r="Z1924" i="36"/>
  <c r="Z605" i="36"/>
  <c r="Z602" i="36"/>
  <c r="Z596" i="36"/>
  <c r="Z588" i="36"/>
  <c r="Z2313" i="36"/>
  <c r="Z571" i="36"/>
  <c r="Z2308" i="36"/>
  <c r="Z555" i="36"/>
  <c r="Z2475" i="36"/>
  <c r="Z549" i="36"/>
  <c r="Z1904" i="36"/>
  <c r="Z539" i="36"/>
  <c r="Z2472" i="36"/>
  <c r="Z521" i="36"/>
  <c r="Z500" i="36"/>
  <c r="Z685" i="36"/>
  <c r="Z744" i="36"/>
  <c r="Z2487" i="36"/>
  <c r="Z854" i="36"/>
  <c r="Z899" i="36"/>
  <c r="Z893" i="36"/>
  <c r="Z873" i="36"/>
  <c r="Z2351" i="36"/>
  <c r="Z2014" i="36"/>
  <c r="Z2010" i="36"/>
  <c r="Z856" i="36"/>
  <c r="Z2004" i="36"/>
  <c r="Z851" i="36"/>
  <c r="Z930" i="36"/>
  <c r="Z2358" i="36"/>
  <c r="Z987" i="36"/>
  <c r="Z677" i="36"/>
  <c r="Z1949" i="36"/>
  <c r="Z667" i="36"/>
  <c r="Z665" i="36"/>
  <c r="Z2609" i="36"/>
  <c r="Z2479" i="36"/>
  <c r="Z647" i="36"/>
  <c r="Z635" i="36"/>
  <c r="Z623" i="36"/>
  <c r="Z617" i="36"/>
  <c r="Z614" i="36"/>
  <c r="Z610" i="36"/>
  <c r="Z606" i="36"/>
  <c r="Z1922" i="36"/>
  <c r="Z595" i="36"/>
  <c r="Z590" i="36"/>
  <c r="Z565" i="36"/>
  <c r="Z556" i="36"/>
  <c r="Z553" i="36"/>
  <c r="Z534" i="36"/>
  <c r="Z2302" i="36"/>
  <c r="Z524" i="36"/>
  <c r="Z732" i="36"/>
  <c r="Z728" i="36"/>
  <c r="Z2555" i="36"/>
  <c r="Z716" i="36"/>
  <c r="Z1963" i="36"/>
  <c r="Z736" i="36"/>
  <c r="Z729" i="36"/>
  <c r="Z694" i="36"/>
  <c r="Z755" i="36"/>
  <c r="Z2337" i="36"/>
  <c r="Z791" i="36"/>
  <c r="Z797" i="36"/>
  <c r="Z2342" i="36"/>
  <c r="Z809" i="36"/>
  <c r="Z2017" i="36"/>
  <c r="Z2492" i="36"/>
  <c r="Z892" i="36"/>
  <c r="Z903" i="36"/>
  <c r="Z906" i="36"/>
  <c r="Z2020" i="36"/>
  <c r="Z969" i="36"/>
  <c r="Z975" i="36"/>
  <c r="Z976" i="36"/>
  <c r="Z1943" i="36"/>
  <c r="Z1941" i="36"/>
  <c r="Z695" i="36"/>
  <c r="Z1971" i="36"/>
  <c r="Z2339" i="36"/>
  <c r="Z843" i="36"/>
  <c r="Z897" i="36"/>
  <c r="Z890" i="36"/>
  <c r="Z885" i="36"/>
  <c r="Z878" i="36"/>
  <c r="Z870" i="36"/>
  <c r="Z867" i="36"/>
  <c r="Z2013" i="36"/>
  <c r="Z2009" i="36"/>
  <c r="Z857" i="36"/>
  <c r="Z2003" i="36"/>
  <c r="Z850" i="36"/>
  <c r="Z916" i="36"/>
  <c r="Z2027" i="36"/>
  <c r="Z2636" i="36"/>
  <c r="Z2359" i="36"/>
  <c r="Z952" i="36"/>
  <c r="Z970" i="36"/>
  <c r="Z983" i="36"/>
  <c r="Z568" i="36"/>
  <c r="Z1914" i="36"/>
  <c r="Z1910" i="36"/>
  <c r="Z550" i="36"/>
  <c r="Z540" i="36"/>
  <c r="Z533" i="36"/>
  <c r="Z528" i="36"/>
  <c r="Z2473" i="36"/>
  <c r="Z518" i="36"/>
  <c r="Z512" i="36"/>
  <c r="Z508" i="36"/>
  <c r="Z1888" i="36"/>
  <c r="Z498" i="36"/>
  <c r="Z745" i="36"/>
  <c r="Z740" i="36"/>
  <c r="Z1967" i="36"/>
  <c r="Z754" i="36"/>
  <c r="Z2485" i="36"/>
  <c r="Z1980" i="36"/>
  <c r="Z787" i="36"/>
  <c r="Z1981" i="36"/>
  <c r="Z793" i="36"/>
  <c r="Z869" i="36"/>
  <c r="Z2356" i="36"/>
  <c r="Z908" i="36"/>
  <c r="Z2355" i="36"/>
  <c r="Z794" i="36"/>
  <c r="Z675" i="36"/>
  <c r="Z1948" i="36"/>
  <c r="Z1945" i="36"/>
  <c r="Z659" i="36"/>
  <c r="Z660" i="36"/>
  <c r="Z653" i="36"/>
  <c r="Z652" i="36"/>
  <c r="Z1935" i="36"/>
  <c r="Z633" i="36"/>
  <c r="Z608" i="36"/>
  <c r="Z603" i="36"/>
  <c r="Z1918" i="36"/>
  <c r="Z2311" i="36"/>
  <c r="Z572" i="36"/>
  <c r="Z567" i="36"/>
  <c r="Z1913" i="36"/>
  <c r="Z2594" i="36"/>
  <c r="Z548" i="36"/>
  <c r="Z543" i="36"/>
  <c r="Z538" i="36"/>
  <c r="Z516" i="36"/>
  <c r="Z506" i="36"/>
  <c r="Z1884" i="36"/>
  <c r="Z693" i="36"/>
  <c r="Z2328" i="36"/>
  <c r="Z767" i="36"/>
  <c r="Z798" i="36"/>
  <c r="Z852" i="36"/>
  <c r="Z863" i="36"/>
  <c r="Z2349" i="36"/>
  <c r="Z842" i="36"/>
  <c r="Z834" i="36"/>
  <c r="Z882" i="36"/>
  <c r="Z937" i="36"/>
  <c r="Z2038" i="36"/>
  <c r="Z947" i="36"/>
  <c r="Z958" i="36"/>
  <c r="Z977" i="36"/>
  <c r="Z985" i="36"/>
  <c r="Z1947" i="36"/>
  <c r="Z762" i="36"/>
  <c r="Z776" i="36"/>
  <c r="Z785" i="36"/>
  <c r="Z1987" i="36"/>
  <c r="Z2343" i="36"/>
  <c r="Z848" i="36"/>
  <c r="Z990" i="36"/>
  <c r="Z472" i="36"/>
  <c r="Z447" i="36"/>
  <c r="Z2591" i="36"/>
  <c r="Z415" i="36"/>
  <c r="Z1807" i="36"/>
  <c r="Z1793" i="36"/>
  <c r="Z1789" i="36"/>
  <c r="Z680" i="36"/>
  <c r="Z2331" i="36"/>
  <c r="Z708" i="36"/>
  <c r="Z1974" i="36"/>
  <c r="Z766" i="36"/>
  <c r="Z1976" i="36"/>
  <c r="Z775" i="36"/>
  <c r="Z807" i="36"/>
  <c r="Z808" i="36"/>
  <c r="Z1983" i="36"/>
  <c r="Z859" i="36"/>
  <c r="Z879" i="36"/>
  <c r="Z895" i="36"/>
  <c r="Z914" i="36"/>
  <c r="Z2030" i="36"/>
  <c r="Z2034" i="36"/>
  <c r="Z968" i="36"/>
  <c r="Z973" i="36"/>
  <c r="Z979" i="36"/>
  <c r="Z756" i="36"/>
  <c r="Z784" i="36"/>
  <c r="Z734" i="36"/>
  <c r="Z768" i="36"/>
  <c r="Z723" i="36"/>
  <c r="Z1965" i="36"/>
  <c r="Z683" i="36"/>
  <c r="Z2330" i="36"/>
  <c r="Z1960" i="36"/>
  <c r="Z707" i="36"/>
  <c r="Z757" i="36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  <author>tc={A4EF3D08-736B-4613-A257-059EE466ED5C}</author>
    <author>tc={9D32FA9B-D303-480C-AF77-80C728062533}</author>
  </authors>
  <commentList>
    <comment ref="K504" authorId="0" shapeId="0" xr:uid="{7121E920-8DCB-4BE8-B921-59C959BED08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وزن المزرعه أقل من وزن الاستلام و ده فيه مشكله عند المورد 
</t>
        </r>
      </text>
    </comment>
    <comment ref="L504" authorId="1" shapeId="0" xr:uid="{A4EF3D08-736B-4613-A257-059EE466ED5C}">
      <text>
        <t>[Threaded comment]
Your version of Excel allows you to read this threaded comment; however, any edits to it will get removed if the file is opened in a newer version of Excel. Learn more: https://go.microsoft.com/fwlink/?linkid=870924
Comment:
    تم ارسال واتس لمحمد على و معرفة ان ميزان المورد نفسه فيه مشكلة و نعتمد زي ماهو</t>
      </text>
    </comment>
    <comment ref="Z504" authorId="2" shapeId="0" xr:uid="{9D32FA9B-D303-480C-AF77-80C728062533}">
      <text>
        <t>[Threaded comment]
Your version of Excel allows you to read this threaded comment; however, any edits to it will get removed if the file is opened in a newer version of Excel. Learn more: https://go.microsoft.com/fwlink/?linkid=870924
Comment:
    رساله واتس من محمد علي</t>
      </text>
    </comment>
  </commentList>
</comments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00000000-0015-0000-FFFF-FFFF00000000}" keepAlive="1" name="Query - Query1" description="Connection to the 'Query1' query in the workbook." type="5" refreshedVersion="8" background="1" saveData="1">
    <dbPr connection="Provider=Microsoft.Mashup.OleDb.1;Data Source=$Workbook$;Location=Query1;Extended Properties=&quot;&quot;" command="SELECT * FROM [Query1]"/>
  </connection>
  <connection id="2" xr16:uid="{00000000-0015-0000-FFFF-FFFF01000000}" keepAlive="1" name="ThisWorkbookDataModel" description="Data Model" type="5" refreshedVersion="6" minRefreshableVersion="5" background="1">
    <dbPr connection="Data Model Connection" command="Model" commandType="1"/>
    <olapPr sendLocale="1" rowDrillCount="1000"/>
    <extLst>
      <ext xmlns:x15="http://schemas.microsoft.com/office/spreadsheetml/2010/11/main" uri="{DE250136-89BD-433C-8126-D09CA5730AF9}">
        <x15:connection id="" model="1"/>
      </ext>
    </extLst>
  </connection>
  <connection id="3" xr16:uid="{00000000-0015-0000-FFFF-FFFF02000000}" name="WorksheetConnection_Table2" type="102" refreshedVersion="5" minRefreshableVersion="5">
    <extLst>
      <ext xmlns:x15="http://schemas.microsoft.com/office/spreadsheetml/2010/11/main" uri="{DE250136-89BD-433C-8126-D09CA5730AF9}">
        <x15:connection id="Table2-a85bee55-da0a-43b6-a9e2-0aacd4f81908" autoDelete="1" usedByAddin="1">
          <x15:rangePr sourceName="_xlcn.WorksheetConnection_Table2"/>
        </x15:connection>
      </ext>
    </extLst>
  </connection>
</connections>
</file>

<file path=xl/sharedStrings.xml><?xml version="1.0" encoding="utf-8"?>
<sst xmlns="http://schemas.openxmlformats.org/spreadsheetml/2006/main" count="11746" uniqueCount="3206">
  <si>
    <t>date</t>
  </si>
  <si>
    <t>type</t>
  </si>
  <si>
    <t>farm</t>
  </si>
  <si>
    <t>number</t>
  </si>
  <si>
    <t>received</t>
  </si>
  <si>
    <t>rejected</t>
  </si>
  <si>
    <t>rejection reasons</t>
  </si>
  <si>
    <t>total weight</t>
  </si>
  <si>
    <t>receiving weight</t>
  </si>
  <si>
    <t xml:space="preserve">transportation loss </t>
  </si>
  <si>
    <t xml:space="preserve"> carcass weight</t>
  </si>
  <si>
    <t xml:space="preserve"> kidneys fat quantity</t>
  </si>
  <si>
    <t>av.total weight</t>
  </si>
  <si>
    <t>av. Receiving weight</t>
  </si>
  <si>
    <t>av. Transportation loss</t>
  </si>
  <si>
    <t>av. Carcass weight</t>
  </si>
  <si>
    <t>av. Kidneys fat</t>
  </si>
  <si>
    <t>am</t>
  </si>
  <si>
    <t>slaughter house hygiene</t>
  </si>
  <si>
    <t>pm</t>
  </si>
  <si>
    <t>meat score</t>
  </si>
  <si>
    <t>meat transportation</t>
  </si>
  <si>
    <t>wight loss</t>
  </si>
  <si>
    <t>examination</t>
  </si>
  <si>
    <t>dressing %</t>
  </si>
  <si>
    <t>slaughtering evaluation</t>
  </si>
  <si>
    <t>condemnation</t>
  </si>
  <si>
    <t>cutting leg ligmants</t>
  </si>
  <si>
    <t>trimming</t>
  </si>
  <si>
    <t>heterogenous selection</t>
  </si>
  <si>
    <t>bad stamping</t>
  </si>
  <si>
    <t>bruises</t>
  </si>
  <si>
    <t>accepted as exception</t>
  </si>
  <si>
    <t>over capacity &amp; rough handling</t>
  </si>
  <si>
    <t>total rejected weight</t>
  </si>
  <si>
    <t>nagm</t>
  </si>
  <si>
    <t>karim al shazly</t>
  </si>
  <si>
    <t>teriaq</t>
  </si>
  <si>
    <t>mahmoud al bhery</t>
  </si>
  <si>
    <t>shetat</t>
  </si>
  <si>
    <t>gamal ismail</t>
  </si>
  <si>
    <t>hamza al tayar</t>
  </si>
  <si>
    <t>al rahmania</t>
  </si>
  <si>
    <t>al doaa</t>
  </si>
  <si>
    <t>family</t>
  </si>
  <si>
    <t>Bulls</t>
  </si>
  <si>
    <t>M. Fayed</t>
  </si>
  <si>
    <t>Al Rahmania</t>
  </si>
  <si>
    <t>c.bovis in the heart</t>
  </si>
  <si>
    <t>1 lung TB</t>
  </si>
  <si>
    <t>Shetat</t>
  </si>
  <si>
    <t>c.bovis in the heart of 3 carcasses</t>
  </si>
  <si>
    <t>1 liver abscess +  10 kidney cysts and stones</t>
  </si>
  <si>
    <t>2 liver cirrhosis fasciola</t>
  </si>
  <si>
    <t>1 liver (multiple abscess)</t>
  </si>
  <si>
    <t>1 liver abscess</t>
  </si>
  <si>
    <t>small liver abscess</t>
  </si>
  <si>
    <t>one single testicle</t>
  </si>
  <si>
    <t>Renal failure in both kidneys</t>
  </si>
  <si>
    <t>c. bovis in the heart and head</t>
  </si>
  <si>
    <t>age &gt; 3 years+ c. bovis in heart</t>
  </si>
  <si>
    <t>weight 340 kg</t>
  </si>
  <si>
    <t>1 fore quarter</t>
  </si>
  <si>
    <t>2 liver abscess + 2 inj site + heart</t>
  </si>
  <si>
    <t>c. bovis in the heart</t>
  </si>
  <si>
    <t>bad transportation 3 trucks</t>
  </si>
  <si>
    <t>2 liver cirrhosis</t>
  </si>
  <si>
    <t>3 trucks</t>
  </si>
  <si>
    <t>Al Masry</t>
  </si>
  <si>
    <t>3 liver abscesses</t>
  </si>
  <si>
    <t>3 livers abscesses</t>
  </si>
  <si>
    <t>2 livers</t>
  </si>
  <si>
    <t>1 single testicle</t>
  </si>
  <si>
    <t>c. bovis in the heart+ 1 pyelonephritis</t>
  </si>
  <si>
    <t>1 carcass (pyelonephritis)</t>
  </si>
  <si>
    <t>Ashgan</t>
  </si>
  <si>
    <t>c. bovis in 2 heart+ 1 age&gt;3 years</t>
  </si>
  <si>
    <t>1 liver + 4 kidneys</t>
  </si>
  <si>
    <t>1 liver fasciola</t>
  </si>
  <si>
    <t>1 internal abscess</t>
  </si>
  <si>
    <t>rough handling</t>
  </si>
  <si>
    <t>1 liver</t>
  </si>
  <si>
    <t>1 liver cirrhosis</t>
  </si>
  <si>
    <t>2 liver abscess</t>
  </si>
  <si>
    <t>2 liver abscess + 1 neck abscess</t>
  </si>
  <si>
    <t>1 hindquarter abscess</t>
  </si>
  <si>
    <t>c. bovis in 3 hearts + 1 head</t>
  </si>
  <si>
    <t>1 hematoma+ 1 liver abscess</t>
  </si>
  <si>
    <t>2 liver abscesses</t>
  </si>
  <si>
    <t>2 kidneys</t>
  </si>
  <si>
    <t>1 spleen</t>
  </si>
  <si>
    <t>2 abscesses</t>
  </si>
  <si>
    <t>c. bovis in the gracilis muscle</t>
  </si>
  <si>
    <t>8 liver asbscesses</t>
  </si>
  <si>
    <t>1 single kidney</t>
  </si>
  <si>
    <t>1 large hematoma</t>
  </si>
  <si>
    <t>3 c. bovis in the heart + 1 emaciated bull</t>
  </si>
  <si>
    <t xml:space="preserve">1 liver </t>
  </si>
  <si>
    <t>1 liver abscess + 1 bruise</t>
  </si>
  <si>
    <t>heavy infestation of C. Tenuicollis</t>
  </si>
  <si>
    <t>1 heart + 1 liver</t>
  </si>
  <si>
    <t>1 large abscess</t>
  </si>
  <si>
    <t>Antibiotic residues</t>
  </si>
  <si>
    <t>3 liver</t>
  </si>
  <si>
    <t>4 liver abscesses</t>
  </si>
  <si>
    <t>Nagm</t>
  </si>
  <si>
    <t>2 hearts + 1 liver</t>
  </si>
  <si>
    <t>3 c. bovis in the heart</t>
  </si>
  <si>
    <t>2 c. bovis in the heart</t>
  </si>
  <si>
    <t>2 bruises + 1 liver abscess</t>
  </si>
  <si>
    <t>1 hindquarter + 1 lung</t>
  </si>
  <si>
    <t>1 liver abscess + 2 bruises</t>
  </si>
  <si>
    <t>1 c. bovis in the heart</t>
  </si>
  <si>
    <t>1 heart</t>
  </si>
  <si>
    <t>4 injection site blemish</t>
  </si>
  <si>
    <t>1 bull age older than 3 years + 1 carcass c. bovis in the heart</t>
  </si>
  <si>
    <t>1 hindquarter + 1 liver + 1 lung</t>
  </si>
  <si>
    <t>1 lung</t>
  </si>
  <si>
    <t>5 liver abscesses</t>
  </si>
  <si>
    <t xml:space="preserve">1 single kidney + 1 liver </t>
  </si>
  <si>
    <t>1 sever bruise</t>
  </si>
  <si>
    <t>1 abscess</t>
  </si>
  <si>
    <t>11 livers + 3 hearts + 2 omentums</t>
  </si>
  <si>
    <t>1 c. bovis in the masseter ms of the head</t>
  </si>
  <si>
    <t>2 forequarter TB + 1 head TB</t>
  </si>
  <si>
    <t>1 age &gt; 3 years</t>
  </si>
  <si>
    <t>1 lung + 1 abscess + 1 liver abscess</t>
  </si>
  <si>
    <t>2 c. bovis in the heart  and in the masseter ms.</t>
  </si>
  <si>
    <t xml:space="preserve">1 forequarter TB + </t>
  </si>
  <si>
    <t>syrian</t>
  </si>
  <si>
    <t>5 c. bovis in the hearts</t>
  </si>
  <si>
    <t>2 c. bovis in the hearts</t>
  </si>
  <si>
    <t>1 chuck</t>
  </si>
  <si>
    <t>1 forequarter TB</t>
  </si>
  <si>
    <t>2 injection site abscesses + 2 liver abscesses</t>
  </si>
  <si>
    <t>1 hematoma</t>
  </si>
  <si>
    <t>3 not local breeds</t>
  </si>
  <si>
    <t>1 bruise</t>
  </si>
  <si>
    <t>1 abscess + 1 hematoma + 1 liver cirrhosis</t>
  </si>
  <si>
    <t>2 bruises (500 gm)</t>
  </si>
  <si>
    <t>1 liver (cirrhosis)</t>
  </si>
  <si>
    <t>3 bruises</t>
  </si>
  <si>
    <t>2 kidneys ( 800 gm)</t>
  </si>
  <si>
    <t>7 liver abscesses</t>
  </si>
  <si>
    <t>1 liver (2.5 kg)</t>
  </si>
  <si>
    <t>2 liver abscesses (750 gm)</t>
  </si>
  <si>
    <t>2 small abscesses (500 gm)</t>
  </si>
  <si>
    <t>1 liver 8 kg</t>
  </si>
  <si>
    <t>2 heads</t>
  </si>
  <si>
    <t>1 single testicles 250 gm</t>
  </si>
  <si>
    <t>1 large bruise 1 kg</t>
  </si>
  <si>
    <t>1 liver abscesses (14 kg)</t>
  </si>
  <si>
    <t>1 hematoma + 1 abscess 500 gm</t>
  </si>
  <si>
    <t>liver cirrhosis 2.5 kg</t>
  </si>
  <si>
    <t>1 head + 1 lung +1 liver</t>
  </si>
  <si>
    <t>hematoma + abscess</t>
  </si>
  <si>
    <t>3 liver cirrhosis + 1 hematoma</t>
  </si>
  <si>
    <t>2 liver abscesses + 2 bruises</t>
  </si>
  <si>
    <t>2 livers + 1 lung</t>
  </si>
  <si>
    <t>4 LIVERS + 2  injection site abscesses</t>
  </si>
  <si>
    <t>2 livers + 1 lung + 1  single testicle</t>
  </si>
  <si>
    <t>miliary tb</t>
  </si>
  <si>
    <t>2 bruises</t>
  </si>
  <si>
    <t>2 livers abscesses + 1 bruises</t>
  </si>
  <si>
    <t>1 liver abscesses + bruises</t>
  </si>
  <si>
    <t>Al Komy</t>
  </si>
  <si>
    <t>2 livers + 1 heart</t>
  </si>
  <si>
    <t>1 head + 1  liver</t>
  </si>
  <si>
    <t>2 hearts</t>
  </si>
  <si>
    <t>6 liver abscesses</t>
  </si>
  <si>
    <t>3 livers</t>
  </si>
  <si>
    <t>1 head + 2 livers</t>
  </si>
  <si>
    <t>2 livers + 2 hearts</t>
  </si>
  <si>
    <t>a small liver abscess</t>
  </si>
  <si>
    <t>1 heart + 4 omentum</t>
  </si>
  <si>
    <t>9 liver abscesses</t>
  </si>
  <si>
    <t>1 liver + 1 single testicle</t>
  </si>
  <si>
    <t>6 livers + 1 omentum</t>
  </si>
  <si>
    <t>1 liver absces</t>
  </si>
  <si>
    <t>1 liver + 2 lungs + 1 single testicle</t>
  </si>
  <si>
    <t>5 liver abscesses + 5 bruises</t>
  </si>
  <si>
    <t>1 hindquarter</t>
  </si>
  <si>
    <t>2 kidneys + 1 single testicle</t>
  </si>
  <si>
    <t>1 head</t>
  </si>
  <si>
    <t>1 lung + 1 liver</t>
  </si>
  <si>
    <t>2 liver abscsses + 3 bruises</t>
  </si>
  <si>
    <t>1 heart + 1 kidney</t>
  </si>
  <si>
    <t>TB in hepatic , left bronchial and retropharyngeal lns</t>
  </si>
  <si>
    <t xml:space="preserve">2 kidneys </t>
  </si>
  <si>
    <t>2 livers + 2 lungs</t>
  </si>
  <si>
    <t>2 livers + 1 head</t>
  </si>
  <si>
    <t>2 liver abscesses + 1 bruise</t>
  </si>
  <si>
    <t>1 liver + 1 heart</t>
  </si>
  <si>
    <t>3 liver abscesses + 5 injection site abscesses + 6 bruises</t>
  </si>
  <si>
    <t>1 c. bovis in the heart + 1 of purulent nephritis</t>
  </si>
  <si>
    <t>1 liver telangiectasis</t>
  </si>
  <si>
    <t>5 bruises</t>
  </si>
  <si>
    <t>5 livers+ single testicle</t>
  </si>
  <si>
    <t>2 c. bovis in a heart and in the head</t>
  </si>
  <si>
    <t>2 liver abscesses + 1  bruise</t>
  </si>
  <si>
    <t>4 c. bovis in their hearts</t>
  </si>
  <si>
    <t>1 liver + 1 head</t>
  </si>
  <si>
    <t>1 injection site abscess + 1 bruise</t>
  </si>
  <si>
    <t>2 liver multiple abscesses + cirrhosis</t>
  </si>
  <si>
    <t>2 c. bovis in a hearts</t>
  </si>
  <si>
    <t>1 liver + 1 single kidney</t>
  </si>
  <si>
    <t>1 liver abscess and 1 bruise</t>
  </si>
  <si>
    <t>1 liver abscess + 2 renal cysts</t>
  </si>
  <si>
    <t>3 c. bovis in a hearts</t>
  </si>
  <si>
    <t>3 liver abscess</t>
  </si>
  <si>
    <t xml:space="preserve">1 bull age older than 3 years + 2 carcasses miliary TB </t>
  </si>
  <si>
    <t>4 livers</t>
  </si>
  <si>
    <t xml:space="preserve">2 carcasses c. bovis + 1 carcasses miliary TB </t>
  </si>
  <si>
    <t>3 livers + 2 kidneys</t>
  </si>
  <si>
    <t>1 liver + 1 kidney</t>
  </si>
  <si>
    <t xml:space="preserve">1 liver + 1 head </t>
  </si>
  <si>
    <t>2 liver</t>
  </si>
  <si>
    <t>Bijin Emirates</t>
  </si>
  <si>
    <t>2 sheep not conform to standards</t>
  </si>
  <si>
    <t>2 small abscesses</t>
  </si>
  <si>
    <t>solid</t>
  </si>
  <si>
    <t>2 small liver abscesses</t>
  </si>
  <si>
    <t xml:space="preserve">1 bull age older than 3 years </t>
  </si>
  <si>
    <t>1 forequarter tb</t>
  </si>
  <si>
    <t xml:space="preserve">2 carcasses c. bovis  in the hearts+ 1 carcasses miliary TB </t>
  </si>
  <si>
    <t>1 liver + 1 lung</t>
  </si>
  <si>
    <t>2 liver cirrhosis and abscesses</t>
  </si>
  <si>
    <t>small abscess in hindquarter</t>
  </si>
  <si>
    <t>1 liver + 2 kidneys</t>
  </si>
  <si>
    <t xml:space="preserve">1 bull age older than 4 years </t>
  </si>
  <si>
    <t>2 c. bovis in the heart and head</t>
  </si>
  <si>
    <t>3 c. bovis in their hearts</t>
  </si>
  <si>
    <t>1 liver + 1 lung + 1 heart</t>
  </si>
  <si>
    <t>2 bad bruises</t>
  </si>
  <si>
    <t xml:space="preserve">1 carcasses miliary TB </t>
  </si>
  <si>
    <t>1 blood splash</t>
  </si>
  <si>
    <t>1 heart + 1 liver + 2 kidneys</t>
  </si>
  <si>
    <t>5 c. bovis in their hearts</t>
  </si>
  <si>
    <t>blood splash in 3 carcasses</t>
  </si>
  <si>
    <t>4 c. bovis in the heart</t>
  </si>
  <si>
    <t>1 bull not conform (older than 3 years)</t>
  </si>
  <si>
    <t>1 sever c. tenuicollis infestation</t>
  </si>
  <si>
    <t>2 livers + 2 kidneys</t>
  </si>
  <si>
    <t xml:space="preserve">2 livers abscesses </t>
  </si>
  <si>
    <t>1 liver abscesses</t>
  </si>
  <si>
    <t>4 kidneys + lung</t>
  </si>
  <si>
    <t>1 abscess + blood splash in 2 hindquarter</t>
  </si>
  <si>
    <t>1 heart + 2 kidneys</t>
  </si>
  <si>
    <t>2 c. bovis in their heads</t>
  </si>
  <si>
    <t>small liver abscesses</t>
  </si>
  <si>
    <t>liver telangiectasis</t>
  </si>
  <si>
    <t>1 liver + 2 kidneys + 1 single testicle</t>
  </si>
  <si>
    <t>1 small liver abscess</t>
  </si>
  <si>
    <t>3 liver + 1 single testicle</t>
  </si>
  <si>
    <t>1 bull older than 3 years + 3 carcasses c. bovis</t>
  </si>
  <si>
    <t>7 legs</t>
  </si>
  <si>
    <t>bruises and abscesses in 2 carcasses</t>
  </si>
  <si>
    <t xml:space="preserve">3 livers </t>
  </si>
  <si>
    <t>1 c. bovis in the heart + 1 carcass TB</t>
  </si>
  <si>
    <t>1 forequarter + 2 livers</t>
  </si>
  <si>
    <t>1 forequarter + 4 kidneys</t>
  </si>
  <si>
    <t>1 forequarter + 1 lung</t>
  </si>
  <si>
    <t>1 injection site plemish</t>
  </si>
  <si>
    <t>5 livers + 1 lung</t>
  </si>
  <si>
    <t>1 liver + 1 lung + 2 heads</t>
  </si>
  <si>
    <t>5 livers</t>
  </si>
  <si>
    <t>Mostafa</t>
  </si>
  <si>
    <t>8 kidneys</t>
  </si>
  <si>
    <t>1 liver + 1 bruise</t>
  </si>
  <si>
    <t xml:space="preserve">2 forequarter TB </t>
  </si>
  <si>
    <t>5 kidneys</t>
  </si>
  <si>
    <t>bruises and abscesses and wound myasis</t>
  </si>
  <si>
    <t>3 kidneys</t>
  </si>
  <si>
    <t>bruises in 3 carcasses</t>
  </si>
  <si>
    <t>1 c. bovis in the masseter ms.</t>
  </si>
  <si>
    <t>1 bull not conform (older than 3 years)+ 2 c. bovis in the heart + 1 pyogenic pericarditis</t>
  </si>
  <si>
    <t>1 kidney,1 liver , 2 bruises</t>
  </si>
  <si>
    <t xml:space="preserve">2 livers + 2 kidneys </t>
  </si>
  <si>
    <t>2 kidneys + 1 heart</t>
  </si>
  <si>
    <t>1 bruise + 3 liver cirrhosis</t>
  </si>
  <si>
    <t>al komy</t>
  </si>
  <si>
    <t>3 livers + 2 omentums</t>
  </si>
  <si>
    <t>hassan</t>
  </si>
  <si>
    <t xml:space="preserve">1 liver + 4 kidneys </t>
  </si>
  <si>
    <t>7 c. bovis + 1 miliary tb</t>
  </si>
  <si>
    <t>Rejection of 2 carcasses due to presence of C. Bovis in the heart and in the abdominal muscles (976 kg).</t>
  </si>
  <si>
    <t>5 c. bovis in the heart</t>
  </si>
  <si>
    <t>1 c. bovis in the head</t>
  </si>
  <si>
    <t>4 c. bovis in the heart + 1 older than 3 years</t>
  </si>
  <si>
    <t>2 c. bovis in the heart + 1 older than 3 years + 1 miliary TB + 1 bad BCS</t>
  </si>
  <si>
    <t>Hassan</t>
  </si>
  <si>
    <t>1 not conform to standards</t>
  </si>
  <si>
    <t xml:space="preserve">1 carcass miliary TB </t>
  </si>
  <si>
    <t>7 c. bovis in the heart</t>
  </si>
  <si>
    <t>Sheep</t>
  </si>
  <si>
    <t>1 bull bad BCS + 1 carcass c. bovis</t>
  </si>
  <si>
    <t>1 c. bovis + 1 miliary TB</t>
  </si>
  <si>
    <t>AL Komy</t>
  </si>
  <si>
    <t>1 bull older than 3 years</t>
  </si>
  <si>
    <t>5 c. bovis</t>
  </si>
  <si>
    <t xml:space="preserve">1 miliary tb + 3 c. bovis </t>
  </si>
  <si>
    <t>2 c. bovis + 1 abscesses in both kidneys</t>
  </si>
  <si>
    <t>1 c. bovis</t>
  </si>
  <si>
    <t>4 c. bovis in the heart + 1 bull older than 3 years</t>
  </si>
  <si>
    <t>3 older than 3 years + 1 c. bovis</t>
  </si>
  <si>
    <t>1 miliary TB</t>
  </si>
  <si>
    <t>3 c bovis in heart + 1 c. bovis in hindquarter</t>
  </si>
  <si>
    <t>1 c. bovis in heart + 2 older than 3 years</t>
  </si>
  <si>
    <t>1 older than 3 years</t>
  </si>
  <si>
    <t>1 tb + 1 c. bovis in the heart</t>
  </si>
  <si>
    <t xml:space="preserve">1 c. bovis in heart </t>
  </si>
  <si>
    <t xml:space="preserve">1 c. bovis in the heart + 1 tb </t>
  </si>
  <si>
    <t>2 c. bovis in the heart + 1 antibiotic residues + 2 older than 3 years</t>
  </si>
  <si>
    <t xml:space="preserve">3 c. bovis in heart </t>
  </si>
  <si>
    <t>al masry</t>
  </si>
  <si>
    <t>antibiotic residues</t>
  </si>
  <si>
    <t>1 omentum + 1 heart</t>
  </si>
  <si>
    <t xml:space="preserve">5 c. bovis in heart </t>
  </si>
  <si>
    <t xml:space="preserve">2 c. bovis in the heart + 1 miliary TB </t>
  </si>
  <si>
    <t xml:space="preserve">4 c. bovis in heart </t>
  </si>
  <si>
    <t xml:space="preserve">2 c. bovis in heart </t>
  </si>
  <si>
    <t>5 c. bovis in heart + 1 c. bovis in head</t>
  </si>
  <si>
    <t>1 c. bovis in diaphragm</t>
  </si>
  <si>
    <t>2 c. bovis in heart + 1 c. bovis in head</t>
  </si>
  <si>
    <t xml:space="preserve">1 c. bovis in heart + 2 miliary tb </t>
  </si>
  <si>
    <t>4 c. bovis in heart + 1 C. bovis diaphragm</t>
  </si>
  <si>
    <t xml:space="preserve">3 c. bovis in heart + 2 miliary TB </t>
  </si>
  <si>
    <t xml:space="preserve">DEAD + 1 c. bovis in heart </t>
  </si>
  <si>
    <t>NYS</t>
  </si>
  <si>
    <t>1 icteric</t>
  </si>
  <si>
    <t>1 multiple abscesses in both kidneys</t>
  </si>
  <si>
    <t>1 antibiotic residues</t>
  </si>
  <si>
    <t xml:space="preserve">1 c. bovis in heart + 1 miliary TB </t>
  </si>
  <si>
    <t>salah</t>
  </si>
  <si>
    <t>daltex</t>
  </si>
  <si>
    <t xml:space="preserve">blood splash 1 carcass </t>
  </si>
  <si>
    <t>2 c. bovis in heart and head</t>
  </si>
  <si>
    <t xml:space="preserve"> 1 liver </t>
  </si>
  <si>
    <t xml:space="preserve">3 liver </t>
  </si>
  <si>
    <t xml:space="preserve">2 kidneys + 1 liver </t>
  </si>
  <si>
    <t>2 c. bovis in heart</t>
  </si>
  <si>
    <t>1 forequarter + 3 livers + 2 omentums</t>
  </si>
  <si>
    <t>1 emaciated bull</t>
  </si>
  <si>
    <t>3 kidneys + 1 lung</t>
  </si>
  <si>
    <t>half tail</t>
  </si>
  <si>
    <t xml:space="preserve">several bruises </t>
  </si>
  <si>
    <t xml:space="preserve">1 liver + 2 kidneys </t>
  </si>
  <si>
    <t xml:space="preserve">1 single testicle </t>
  </si>
  <si>
    <t xml:space="preserve">1 head + lung + liver </t>
  </si>
  <si>
    <t>abscesses in 6 livers</t>
  </si>
  <si>
    <t>Goat</t>
  </si>
  <si>
    <t>2 lung + 1 kidney</t>
  </si>
  <si>
    <t xml:space="preserve">1 liver + 1 lung + 2 kidneys </t>
  </si>
  <si>
    <t xml:space="preserve">1 lung + 1 head </t>
  </si>
  <si>
    <t xml:space="preserve">1 liver + 3 kidneys </t>
  </si>
  <si>
    <t xml:space="preserve">2 testicle TB </t>
  </si>
  <si>
    <t xml:space="preserve">1 liver + omentums </t>
  </si>
  <si>
    <t>1 liver + 4 kidneys +  1 heart</t>
  </si>
  <si>
    <t xml:space="preserve">6 kidneys + 1 liver +1 lung </t>
  </si>
  <si>
    <t>1 liver, 2 kidneys &amp; 1 single testicle</t>
  </si>
  <si>
    <t>1 liver &amp;  2 omentums</t>
  </si>
  <si>
    <t>3 c. bovis in heart</t>
  </si>
  <si>
    <t>1 c. bovis in the heart + 1 antibiotic residues</t>
  </si>
  <si>
    <t>2 c. bovis in their hearts + 1 c. bovis in the head</t>
  </si>
  <si>
    <t xml:space="preserve">1 liver, 2 kidneys , 1 single testicle </t>
  </si>
  <si>
    <t xml:space="preserve">6 kidneys </t>
  </si>
  <si>
    <t>1 forequarter, 2 livers , 1 omentums</t>
  </si>
  <si>
    <t>Rejection of 3 carcasses due to presence of c. bovis in their hearts</t>
  </si>
  <si>
    <t>3 Kidneys &amp; 1 heart</t>
  </si>
  <si>
    <t>Rejection of 1 carcass due to presence of c. bovis in thei heart</t>
  </si>
  <si>
    <t>Rejection of 1 carcass due to presence of heavy infestation of c. Ovis in heart and diaphragm.</t>
  </si>
  <si>
    <t xml:space="preserve">3 forequarters + 3 omentums + 2 kidneys +2 hearts + 1 liver </t>
  </si>
  <si>
    <t>Rejection of 1 carcass due to presence of c. bovis in the heart</t>
  </si>
  <si>
    <t>1 forequarter</t>
  </si>
  <si>
    <t>1 forequarter + 6 livers + 1 omentums</t>
  </si>
  <si>
    <t>1 c. bovis in heart + 1 feverish carcass</t>
  </si>
  <si>
    <t xml:space="preserve">1 liver + 8 kidneys </t>
  </si>
  <si>
    <t>Rejection of 1 carcass due to presence of pyelonephritis in both kidneys and odor of urine.</t>
  </si>
  <si>
    <t>9 kidneys</t>
  </si>
  <si>
    <t xml:space="preserve">1 heart + 2 kidneys </t>
  </si>
  <si>
    <t>Rejection of 1 carcass due to presence of c. bovis in the muscle.</t>
  </si>
  <si>
    <t>1 forequarter +3 omentums</t>
  </si>
  <si>
    <t>Rejection of 1 carcass due to presence of c. bovis in the heart.</t>
  </si>
  <si>
    <t xml:space="preserve">Rejection of 2 carcasses due to presence of c. bovis in their hearts </t>
  </si>
  <si>
    <t>2 lungs</t>
  </si>
  <si>
    <t>4 kidneys + 1 heart</t>
  </si>
  <si>
    <t>3 kidneys + 1 heart</t>
  </si>
  <si>
    <t>Rejection of 3 carcasses due to presence of c. bovis in their hearts.</t>
  </si>
  <si>
    <t>Rejection of 2 carcasses due to presence of c. bovis in their hearts.</t>
  </si>
  <si>
    <t xml:space="preserve">1 forequarter + 2 kidneys </t>
  </si>
  <si>
    <t>Rejection of 1 carcass due to presnece of c. bovis in the heart</t>
  </si>
  <si>
    <t xml:space="preserve">2 omentums, 1 heart, 1 liver </t>
  </si>
  <si>
    <t>Rejection of 2 carcasses purulent nephritis + Miliary TB</t>
  </si>
  <si>
    <t>7 kidneys</t>
  </si>
  <si>
    <t xml:space="preserve">1 head + 5 kidneys </t>
  </si>
  <si>
    <t>Rejection of 1 carcass due to presence of C. Bovis in the heart.</t>
  </si>
  <si>
    <t xml:space="preserve">2 livers + 3 kidneys </t>
  </si>
  <si>
    <t>1 kidney + 1 testicle</t>
  </si>
  <si>
    <t xml:space="preserve">2 livers </t>
  </si>
  <si>
    <t xml:space="preserve">4 forequarters +6 omentums + 3 hearts </t>
  </si>
  <si>
    <t>Rejection of 1 carcass due to presence of c. bovis in the heart (450 kg)</t>
  </si>
  <si>
    <t xml:space="preserve">1 head </t>
  </si>
  <si>
    <t xml:space="preserve">c. bovis + AB residues + pyelonephritis </t>
  </si>
  <si>
    <t>11 kidneys</t>
  </si>
  <si>
    <t xml:space="preserve">2 testicles </t>
  </si>
  <si>
    <t xml:space="preserve">4 kidneys + 1 liver </t>
  </si>
  <si>
    <t xml:space="preserve">2 c. bovis </t>
  </si>
  <si>
    <t>2 kidneys + 1 liver + 1 head</t>
  </si>
  <si>
    <t>c. bovis</t>
  </si>
  <si>
    <t xml:space="preserve">1 forequarter + 8 kidneys </t>
  </si>
  <si>
    <t xml:space="preserve">AB resideus </t>
  </si>
  <si>
    <t>4 kidneys</t>
  </si>
  <si>
    <t>1 testicle</t>
  </si>
  <si>
    <t>1 forequarter+ 1 liver + 1 omentum</t>
  </si>
  <si>
    <t>mohamed hamza</t>
  </si>
  <si>
    <t>2 c. bovis</t>
  </si>
  <si>
    <t>3 forequarters + 3 omentums + 2 livers + 1 heart</t>
  </si>
  <si>
    <t>1 FMD + 2 c bovis</t>
  </si>
  <si>
    <t xml:space="preserve">1 heart + 1 lung </t>
  </si>
  <si>
    <t>1 lung + 1 head</t>
  </si>
  <si>
    <t>1 heart + 1 forequarter +3 omentum</t>
  </si>
  <si>
    <t>2 spleens</t>
  </si>
  <si>
    <t>1 heart + 3 forequarters +1 omentum</t>
  </si>
  <si>
    <t xml:space="preserve">2 forequarters </t>
  </si>
  <si>
    <t>2 c. bovis hearts</t>
  </si>
  <si>
    <t xml:space="preserve">1 c. bovis heart + 1 tb </t>
  </si>
  <si>
    <t>2 AB residues</t>
  </si>
  <si>
    <t>1 kidney</t>
  </si>
  <si>
    <t>3 c. bovis hearts</t>
  </si>
  <si>
    <t>3 livers + 16 kidneys</t>
  </si>
  <si>
    <t xml:space="preserve">heterogenous selection </t>
  </si>
  <si>
    <t xml:space="preserve">3 Livers + 7 kidneys </t>
  </si>
  <si>
    <t>1 emaciated + 1 generalized tb</t>
  </si>
  <si>
    <t>c.bovis hearts</t>
  </si>
  <si>
    <t>c. bovis heart</t>
  </si>
  <si>
    <t xml:space="preserve">c. bovis heart </t>
  </si>
  <si>
    <t>c. bovis head</t>
  </si>
  <si>
    <t xml:space="preserve">3 kidneys </t>
  </si>
  <si>
    <t>1 head + 2 kidneys</t>
  </si>
  <si>
    <t>3 forequarters+ 3 livers + 1 heart</t>
  </si>
  <si>
    <t xml:space="preserve">2 forequarters + 1 liver </t>
  </si>
  <si>
    <t>Baffalo</t>
  </si>
  <si>
    <t>8 forequarters + 1 hindquarter + 2 livers + 2 omentums</t>
  </si>
  <si>
    <t>2 livers +  1 omentum+ 1 heart</t>
  </si>
  <si>
    <t>c. bovis in heart</t>
  </si>
  <si>
    <t>3 Livers</t>
  </si>
  <si>
    <t xml:space="preserve">2 Livers </t>
  </si>
  <si>
    <t>6 kidneys + 1 liver + 1 heart</t>
  </si>
  <si>
    <t>32 kidneys + 1 liver</t>
  </si>
  <si>
    <t xml:space="preserve">c. bovis in heart </t>
  </si>
  <si>
    <t>1 emaciated sheep</t>
  </si>
  <si>
    <t xml:space="preserve">13 livers </t>
  </si>
  <si>
    <t>2 c. bovis in hearts</t>
  </si>
  <si>
    <t xml:space="preserve">8 kidneys </t>
  </si>
  <si>
    <t>2 testicles</t>
  </si>
  <si>
    <t>1 miliary TB + 1 c. bovis in heart</t>
  </si>
  <si>
    <t>2 livers + 4 prescapular lns</t>
  </si>
  <si>
    <t xml:space="preserve">4 kidneys </t>
  </si>
  <si>
    <t>2 C. BOVIS + 2 AB residues</t>
  </si>
  <si>
    <t xml:space="preserve">1 heart + 1 liver </t>
  </si>
  <si>
    <t xml:space="preserve">1 heart </t>
  </si>
  <si>
    <t>1 Kidney + 1 single testicle</t>
  </si>
  <si>
    <t>meat capital</t>
  </si>
  <si>
    <t xml:space="preserve">2 livers + 1 lung + 1 single testicle </t>
  </si>
  <si>
    <t xml:space="preserve">3 kidneys +  1 heart </t>
  </si>
  <si>
    <t>1 Liver + 1 kidney</t>
  </si>
  <si>
    <t>1 Liver</t>
  </si>
  <si>
    <t>2 livers + 5 kidneys</t>
  </si>
  <si>
    <t>1 ab residue</t>
  </si>
  <si>
    <t xml:space="preserve">1 forequarter +  1 liver + 1 kidney </t>
  </si>
  <si>
    <t>1 liver + 3 kidneys + 1 testicle</t>
  </si>
  <si>
    <t xml:space="preserve">1 omentum + 1 heart </t>
  </si>
  <si>
    <t>4 Kidneys + 2 hearts</t>
  </si>
  <si>
    <t>1 forequarter +  1 kidney</t>
  </si>
  <si>
    <t>1 head + 1 kidney</t>
  </si>
  <si>
    <t xml:space="preserve">1 lung </t>
  </si>
  <si>
    <t xml:space="preserve">1 kidney </t>
  </si>
  <si>
    <t>1 icteric carcass</t>
  </si>
  <si>
    <t>1 liver + 3 kidneys + 2 testicles</t>
  </si>
  <si>
    <t xml:space="preserve">1 liver + 1 heart </t>
  </si>
  <si>
    <t xml:space="preserve">1 liver + 5 kidneys </t>
  </si>
  <si>
    <t>بلدي</t>
  </si>
  <si>
    <t>مستورد</t>
  </si>
  <si>
    <t xml:space="preserve">Native </t>
  </si>
  <si>
    <t xml:space="preserve">1 emaciated bull + 2 c bovis + 2 imported </t>
  </si>
  <si>
    <t>1 miliary tb</t>
  </si>
  <si>
    <t>2 c. bovis in their heart s</t>
  </si>
  <si>
    <t xml:space="preserve">1 c. bovis in the heart </t>
  </si>
  <si>
    <t xml:space="preserve">4 c. bovis in the heart + 2 older than 3 years </t>
  </si>
  <si>
    <t xml:space="preserve">3 c. bovis in their hearts </t>
  </si>
  <si>
    <t xml:space="preserve">4 AB residues </t>
  </si>
  <si>
    <t xml:space="preserve">3 c. bovis in their hearts + 1 AB residues </t>
  </si>
  <si>
    <t xml:space="preserve"> 5 bull older than 3 years + 1 bull older than 4 years</t>
  </si>
  <si>
    <t>2 livers + 1 kidney</t>
  </si>
  <si>
    <t>1 liver + 2 kidneys +1 forequarter</t>
  </si>
  <si>
    <t xml:space="preserve">1 head + 2 kidneys </t>
  </si>
  <si>
    <t xml:space="preserve">7 kidneys + 1 liver + 1 heart </t>
  </si>
  <si>
    <t>1 Forequarter</t>
  </si>
  <si>
    <t xml:space="preserve">3 livers +  2 omentums + 2 kidneys + 1 heart </t>
  </si>
  <si>
    <t xml:space="preserve">1 kidney + 1 testicle </t>
  </si>
  <si>
    <t xml:space="preserve">1 liver + 6 kidneys + 1 heart </t>
  </si>
  <si>
    <t>1 hindquarter + 1 liver + 4 kidneys + 1 head</t>
  </si>
  <si>
    <t>1 heart + 1 lung + 2 heads + 1 kidney</t>
  </si>
  <si>
    <t>1 liver  +  1 omentum</t>
  </si>
  <si>
    <t>7 carcasses due to presence of antibiotic residues</t>
  </si>
  <si>
    <t xml:space="preserve">2 liver + 2 kidneys </t>
  </si>
  <si>
    <t xml:space="preserve">1 carcass due to presence of c. bovis in the heart </t>
  </si>
  <si>
    <t>1 carcass due to presence of c. bovis in the heart.</t>
  </si>
  <si>
    <t xml:space="preserve">1 liver + 2 kidneys + 1 heart </t>
  </si>
  <si>
    <t>5 carcasses due to presence of c. bovis in their hearts.</t>
  </si>
  <si>
    <t>1 bull older than 3 years.</t>
  </si>
  <si>
    <t xml:space="preserve">4 kidneys +  1 heart </t>
  </si>
  <si>
    <t>2 carcasses due to presence of c. bovis in their hearts.</t>
  </si>
  <si>
    <t xml:space="preserve">1 liver + 1 lung + 4 kidneys </t>
  </si>
  <si>
    <t>3 carcasses due to presence of c. bovis in their hearts</t>
  </si>
  <si>
    <t xml:space="preserve">1 liver +  2 kidneys </t>
  </si>
  <si>
    <t>1 carcass due to presence of c. bovis in the heart</t>
  </si>
  <si>
    <t xml:space="preserve">1 head + 1 liver </t>
  </si>
  <si>
    <t>1 liver + 2 kidneys + 1 testicle</t>
  </si>
  <si>
    <t>2 c. bovis in their hearts</t>
  </si>
  <si>
    <t xml:space="preserve">12 kidneys </t>
  </si>
  <si>
    <t>(5) c. bovis in 3 hearts and 2 heads.</t>
  </si>
  <si>
    <t>2 Genelarized TB</t>
  </si>
  <si>
    <t xml:space="preserve">1 liver + 1 head +  2 kidneys </t>
  </si>
  <si>
    <t>1 c. bovis in muscles in hindquarter</t>
  </si>
  <si>
    <t xml:space="preserve">2 kidneys + 1 liver + 1 heart </t>
  </si>
  <si>
    <t>3 c. bovis in 2 heads and 1 heart.</t>
  </si>
  <si>
    <t>4 kidneys + 2 livers +1 heart</t>
  </si>
  <si>
    <t>Imported</t>
  </si>
  <si>
    <t>2 c. bovis in heart and muscles of  hindquarter.</t>
  </si>
  <si>
    <t>holestein</t>
  </si>
  <si>
    <t>2 c. bovis in their hearts.</t>
  </si>
  <si>
    <t>1 bull large abscess in hindquarter</t>
  </si>
  <si>
    <t>4 livers + 2 hearts</t>
  </si>
  <si>
    <t xml:space="preserve">24 kidneys </t>
  </si>
  <si>
    <t xml:space="preserve">6 kidneys + 1 lung </t>
  </si>
  <si>
    <t xml:space="preserve">1 forequarter + 1 liver + 1 heart </t>
  </si>
  <si>
    <t>6 livers + 1 heart</t>
  </si>
  <si>
    <t>1 bull bad BCS</t>
  </si>
  <si>
    <t>Breed</t>
  </si>
  <si>
    <t>1 bull not conform to standards</t>
  </si>
  <si>
    <t xml:space="preserve">1 carcass c. bovis in the heart </t>
  </si>
  <si>
    <t>1 feverish carcass</t>
  </si>
  <si>
    <t xml:space="preserve">1 heart +  2 kidneys </t>
  </si>
  <si>
    <t>16 kidneys</t>
  </si>
  <si>
    <t>2 c. bovis in the head and neck</t>
  </si>
  <si>
    <t xml:space="preserve">3 livers + 4 kidneys + 1 heart </t>
  </si>
  <si>
    <t>Rejection of 2 carcasses due to presence of antibiotic residues and c. bovis in the heart.</t>
  </si>
  <si>
    <t>2 kidneys +  1 heart</t>
  </si>
  <si>
    <t>Rejection of 1 carcass due to presence of sever blood splashes.</t>
  </si>
  <si>
    <t>goodeez</t>
  </si>
  <si>
    <t>Rejection of 1 carcass due to presence of miliary TB.</t>
  </si>
  <si>
    <t>Rejection of 1 carcass due to presence of pyogenic traumatic pericarditis.</t>
  </si>
  <si>
    <t>Rejection of 4 carcasses due to presence of c. bovis in 3 hearts and in diaphargm muscles.</t>
  </si>
  <si>
    <t>brahman</t>
  </si>
  <si>
    <t>Rejection of 3 carcasses (AB residues in 2 carcasses and 1 icteric carcass).</t>
  </si>
  <si>
    <t>Rejection of 1 carcass due to presence of AB residues.</t>
  </si>
  <si>
    <t>Rejection of 1 carcass due to presence of c. Bovis in the heart.</t>
  </si>
  <si>
    <t>1 c. bovis + 1 ab</t>
  </si>
  <si>
    <t>Rejection of 1 carcass due to presence of sever c. Tenicollis infestation, sever peritonitis and emaciation</t>
  </si>
  <si>
    <t>new santa</t>
  </si>
  <si>
    <t xml:space="preserve">c. bovis in head </t>
  </si>
  <si>
    <t xml:space="preserve">Rejection of 1 carcass due to presence of AB residues. </t>
  </si>
  <si>
    <t>1 c. bovis + 1 generalized tb</t>
  </si>
  <si>
    <t xml:space="preserve">Rejection of 3 carcasses due to presence of c bovis in their hearts </t>
  </si>
  <si>
    <t>esinophilic myositis and pyemia</t>
  </si>
  <si>
    <t>Rejection of 1 carcass due to presence of c. bovis in masseter muscles of the head.</t>
  </si>
  <si>
    <t>Rejection of 1 carcass due to presence of c bovis in the heart</t>
  </si>
  <si>
    <t>Rejection of 2 carcasses due to presence of miliary TB in a carcass and presence of c. bovis in a masseter muscles.</t>
  </si>
  <si>
    <t>what</t>
  </si>
  <si>
    <t xml:space="preserve">2 c. bovis in heart and head </t>
  </si>
  <si>
    <t xml:space="preserve">1 AB residue +  2 C. BOVIS </t>
  </si>
  <si>
    <t xml:space="preserve">2 c. bovis in heart + 1 tb </t>
  </si>
  <si>
    <t xml:space="preserve">1 miliary tb </t>
  </si>
  <si>
    <t>11 ab residues</t>
  </si>
  <si>
    <t>1 c. bovis heart</t>
  </si>
  <si>
    <t>kasim</t>
  </si>
  <si>
    <t>goat</t>
  </si>
  <si>
    <t>2 c. bovis heart</t>
  </si>
  <si>
    <t>1 ab residues</t>
  </si>
  <si>
    <t>Rejection of 3 carcasses due to presence of c. bovis in the hearts of 2 carcasses and miliary tb in 1 carcass.</t>
  </si>
  <si>
    <t>Rejection of 1 carcass due to presence of c.bovis in the heart.</t>
  </si>
  <si>
    <t>Rejection of 3 carcasses due to presence of c bovis in their hearts</t>
  </si>
  <si>
    <t>Rejection of 1 bull due to presence of signs of illness and lameness.</t>
  </si>
  <si>
    <t>Rejection of 1 carcass due to presece of c. bovis in the heart.</t>
  </si>
  <si>
    <t>generalized pyemia</t>
  </si>
  <si>
    <t>Rejection of 2 carcasses due to presence of c bovis in their hearts</t>
  </si>
  <si>
    <t>Rejection of 3 carcasses due to presence of c. bovis in the hearts of 2 carcasses and 1 carcass due to presence of generalized TB ( tb in hepatic ln + bronchial ln)</t>
  </si>
  <si>
    <t xml:space="preserve">Rejection of 1 carcass due to presence of c bovis in masseter muscle of the head. </t>
  </si>
  <si>
    <t>Rejection of 1 carcass due to presence of c. bovis in muscle of diaphragm</t>
  </si>
  <si>
    <t xml:space="preserve">1 bull older than 3 years + 1 carcass c. bovis heart </t>
  </si>
  <si>
    <t>Rejection of 1 bull of age older than 3 years.</t>
  </si>
  <si>
    <t>Rejection of 1 carcass due to presence of generalized pyemia (intestine, lung and liver)</t>
  </si>
  <si>
    <t>Rejection of 1 bull due to presence of signs of illness.</t>
  </si>
  <si>
    <t>Rejection of the same bull that was rejected last time dated 23 October due to the presence of signs of illness.</t>
  </si>
  <si>
    <t>2 c. bovis in the heart + 1 c. bovis in diaphragm + generalized esinophilic myositis</t>
  </si>
  <si>
    <t>Rejection of 1 carcass due to presence of c bovis in the heart.</t>
  </si>
  <si>
    <t>Rejection of 1 bull due to the presence of signs of illness.</t>
  </si>
  <si>
    <t xml:space="preserve">Rejection of 1 carcass due to presence of c bovis in a heart. </t>
  </si>
  <si>
    <t>Rejection of 4 carcasses due to presence of c bovis in their hearts</t>
  </si>
  <si>
    <t xml:space="preserve">7 AB + 1 C. bovis in heart </t>
  </si>
  <si>
    <t>Rejection of 1 bull older than 3 years.</t>
  </si>
  <si>
    <t>Rejection of 1 animal not conform to standards.</t>
  </si>
  <si>
    <t>Rejection of 1 bull due to presence of signs of illnes</t>
  </si>
  <si>
    <t xml:space="preserve">Rejection of 1 carcass due to presence of c bovis in heart </t>
  </si>
  <si>
    <t xml:space="preserve">Rejection of 2 carcasses due to presence of c. Bovis in the heart </t>
  </si>
  <si>
    <t>Rejection of 2 carcasses due to presence of c.bovis in their hearts.</t>
  </si>
  <si>
    <t>Rejection of 1 carcass due to presence of c bovis in a heart</t>
  </si>
  <si>
    <t>1 carcass c. bovis in the heart + 1 bull older than 3 years</t>
  </si>
  <si>
    <t>Rejection of 3 carcasses due to presence of c bovis in their hearts.</t>
  </si>
  <si>
    <t xml:space="preserve">1 bull + 2 carcass c. bovis + 1 carcass tb </t>
  </si>
  <si>
    <t>2 carcasses (1 c bovis +1 generalized esinophilic myositis)</t>
  </si>
  <si>
    <t>Rejection of 1 carcass due to presence of TB in left prescapular ln</t>
  </si>
  <si>
    <t>Rejection of 1 carcass due to presence of c bovis in the masseter ms of the head</t>
  </si>
  <si>
    <t>Rejection of 1 carcass due to presence of c. bovis in the masseter ms of the head.</t>
  </si>
  <si>
    <t>Rejection of 1 bull due to presence of illness sign (Dyspnia).</t>
  </si>
  <si>
    <t>Rejection of 2 carcasses due to presence of c. Bovis in their hearts.</t>
  </si>
  <si>
    <t>Rejection of 1 carcass due to presence of generalized TB</t>
  </si>
  <si>
    <t>Rejection or 3 carcasses due to presence of c bovis in their hearts.</t>
  </si>
  <si>
    <t>TB in pelvic cavity</t>
  </si>
  <si>
    <t xml:space="preserve">Rejection of 3 carcasses due to presence of c bovis in their hearts. </t>
  </si>
  <si>
    <t>Rejection of 2 carcasses due to presence of c bovis in head and heart.</t>
  </si>
  <si>
    <t>Rejection of 4 carcasses due to presence of c bovis in their hearts.</t>
  </si>
  <si>
    <t xml:space="preserve">Rejection of 14 carcasses:
8 carcasses due to presence of drug residues and offensive odor.
6 carcasses due to presence of c bovis in 5 hearts and 1 hindquarter ms. </t>
  </si>
  <si>
    <t>Rejection of 6 carcasses due to presence of c bovis in their hearts.</t>
  </si>
  <si>
    <t xml:space="preserve">Rejection of 1 carcass due to presence of drug residues </t>
  </si>
  <si>
    <t xml:space="preserve">Rejection (total condemnation) of 1 carcass due to presence of miliary TB + tb in left bronchial ln and axillary ln. </t>
  </si>
  <si>
    <t>Rejection of 2 carcasses due to presence of c bovis in a heart and a head.</t>
  </si>
  <si>
    <t>Rejection of 2 carcasses due to presence of miliary TB in abdominal cavity</t>
  </si>
  <si>
    <t xml:space="preserve">Rejection of 2 carcasses due to presence of c. Bovis in their hearts. </t>
  </si>
  <si>
    <t>Rejection of 1 carcass due to trimming of sever bruises.</t>
  </si>
  <si>
    <t>Rejection of 2 carcasses due to presence of miliary TB on rumen and abdominal cavity.</t>
  </si>
  <si>
    <t xml:space="preserve">Rejection of 1 carcass due to presence of c. Bovis in the heart. </t>
  </si>
  <si>
    <t>Rejection of 1 icteric carcass.</t>
  </si>
  <si>
    <t xml:space="preserve">Rejection of 1 carcass due to presence of c bovis in the heart </t>
  </si>
  <si>
    <t>Rejection of 1 emaciated bull.</t>
  </si>
  <si>
    <t>Rejection of 2 carcasses due to presence of c. Bovis in a heart of a carcass and sever pyogenic granulomatous infection in other carcass due to sever infestation of sarcocystic spp.</t>
  </si>
  <si>
    <t>al dahan</t>
  </si>
  <si>
    <t>Rejection of 2 carcasses due to presence of generalized granulomatous esinophilic myositis associated with sarcocystic infestation.</t>
  </si>
  <si>
    <t>Al Fayroz</t>
  </si>
  <si>
    <t xml:space="preserve">Daltex </t>
  </si>
  <si>
    <t>tb + esinophilic myositis</t>
  </si>
  <si>
    <t xml:space="preserve">2 miliary tb </t>
  </si>
  <si>
    <t xml:space="preserve">c. bovis in the heart </t>
  </si>
  <si>
    <t>3 c. boivis in the hearts</t>
  </si>
  <si>
    <t xml:space="preserve">Rejection of 2 carcasses due to presence of Drug residues </t>
  </si>
  <si>
    <t>1 c. bovis + 1 sarcocyst</t>
  </si>
  <si>
    <t>1  TB + 1 c. bovis in heart</t>
  </si>
  <si>
    <t xml:space="preserve">1 miliary TB </t>
  </si>
  <si>
    <t xml:space="preserve">1 blood splashes </t>
  </si>
  <si>
    <t xml:space="preserve">1 carcass tb </t>
  </si>
  <si>
    <t xml:space="preserve">1 miliary tb + 2 drug residues + 1 c. bovis in heart </t>
  </si>
  <si>
    <t>3 c. bovis in hearts</t>
  </si>
  <si>
    <t>1 sarcocyst</t>
  </si>
  <si>
    <t>2 sarcocystic myositis</t>
  </si>
  <si>
    <t xml:space="preserve">1 bull older age + 1 c. bovis in heart </t>
  </si>
  <si>
    <t>al hana</t>
  </si>
  <si>
    <t>Rejection of 3 carcasses due to presence of miliary TB.</t>
  </si>
  <si>
    <t>Rejection of 2 carcasses due to presence of miliary TB and c. bovis in a heart.</t>
  </si>
  <si>
    <t>Rejection of 1 carcass due to presence of  C.bovis in heart.</t>
  </si>
  <si>
    <t>1 bruises + 1 esinophilic myoitis</t>
  </si>
  <si>
    <t>tb</t>
  </si>
  <si>
    <t>Rejection of 1 carcass due to presence of sever infestation of sarcocystic myositis</t>
  </si>
  <si>
    <t xml:space="preserve">tb + c. bovis heart </t>
  </si>
  <si>
    <t xml:space="preserve">2 older + 1 c. bovis </t>
  </si>
  <si>
    <t xml:space="preserve">Rejection of 2 carcasses due to presence of c bovis in a heart and a head. </t>
  </si>
  <si>
    <t xml:space="preserve">Rejection of 1 bull older than 3 years. </t>
  </si>
  <si>
    <t xml:space="preserve"> Rejection  of 3 carcasses due to presense of cysticercus bovis in their hearts</t>
  </si>
  <si>
    <t xml:space="preserve">3 older than 3 years </t>
  </si>
  <si>
    <t>2 c. bovis + 1 esinophilic myositis</t>
  </si>
  <si>
    <t>Rejection of 1carcass due to presence of esinophilic myositis.</t>
  </si>
  <si>
    <t xml:space="preserve">1 bull older than 3 years </t>
  </si>
  <si>
    <t xml:space="preserve"> 1 carcass due to presence of pyelonephritis </t>
  </si>
  <si>
    <t xml:space="preserve">1 carcass due to presence of sever blood splashes </t>
  </si>
  <si>
    <t>1 bull of age older than 3 years</t>
  </si>
  <si>
    <t>1 carcass due to presence of cysticercus bovis</t>
  </si>
  <si>
    <t>Rejection 1 bull older than 3 years</t>
  </si>
  <si>
    <t xml:space="preserve">jaundice </t>
  </si>
  <si>
    <t xml:space="preserve">generalized tb </t>
  </si>
  <si>
    <t xml:space="preserve">1 c. bovis + 1 tb </t>
  </si>
  <si>
    <t xml:space="preserve">sever parasitic infestation </t>
  </si>
  <si>
    <t xml:space="preserve">2 older + 1 tb </t>
  </si>
  <si>
    <t xml:space="preserve">3 older + 1 c. bovis </t>
  </si>
  <si>
    <t xml:space="preserve">1 carcass due to presence of cysticercus bovis in the heart </t>
  </si>
  <si>
    <t xml:space="preserve">c. bovis in their hearts </t>
  </si>
  <si>
    <t>11 c. bovis + 1 sever bruises</t>
  </si>
  <si>
    <t xml:space="preserve">2 older than 3 years </t>
  </si>
  <si>
    <t>1 sever blood splashes</t>
  </si>
  <si>
    <t>2 C. bovis in the masseter ms</t>
  </si>
  <si>
    <t xml:space="preserve">2 c. ovis in the heart </t>
  </si>
  <si>
    <t xml:space="preserve">1 drug residues </t>
  </si>
  <si>
    <t>3 parasitic + 1 fat tumor</t>
  </si>
  <si>
    <t>1 pyelonephritis</t>
  </si>
  <si>
    <t>Rejection of 2 carcasses due to presence of C. Bovis at the</t>
  </si>
  <si>
    <t xml:space="preserve">Rejection of 1 bull older than 3 years </t>
  </si>
  <si>
    <t>Rejection of 5 carcasses due to presence of drug residues.</t>
  </si>
  <si>
    <t>Rejection of 1 carcasses due to presence of drug</t>
  </si>
  <si>
    <t xml:space="preserve">Rejection of 1 carcass due to sever parasitic infestation. </t>
  </si>
  <si>
    <t>Rejection of 1 carcass due to presence of C.Bovis in</t>
  </si>
  <si>
    <t>Rejection of 4 carcasses due to presence of drug</t>
  </si>
  <si>
    <t>Rejection of 1 carcass due to presence of sever blood</t>
  </si>
  <si>
    <t>1 - c. bovis + 1 AB residues</t>
  </si>
  <si>
    <t xml:space="preserve">1- older - 1 blood splash </t>
  </si>
  <si>
    <t xml:space="preserve">1 older </t>
  </si>
  <si>
    <t>Rejection of 14 carcasses due to presence of drug residues</t>
  </si>
  <si>
    <t xml:space="preserve">Rejection of 1 carcass due to presence of sever blood splashes </t>
  </si>
  <si>
    <t xml:space="preserve">1 carcass blood splash + 1 bull older than 3 years </t>
  </si>
  <si>
    <t>1 blood splashes + 1 c. bovis</t>
  </si>
  <si>
    <t xml:space="preserve">1 c. bovis + 1 blood splashes </t>
  </si>
  <si>
    <t xml:space="preserve">1 c. bovis </t>
  </si>
  <si>
    <t xml:space="preserve">2 carcasses drug residues </t>
  </si>
  <si>
    <t>2 mixed breed</t>
  </si>
  <si>
    <t xml:space="preserve">1 mixed breed </t>
  </si>
  <si>
    <t>1 blood splashes</t>
  </si>
  <si>
    <t>1 bull + 1 carcass c. bovis</t>
  </si>
  <si>
    <t xml:space="preserve">1 bull mixed breed </t>
  </si>
  <si>
    <t>1 septicemia - cl</t>
  </si>
  <si>
    <t>Generalized edema</t>
  </si>
  <si>
    <t xml:space="preserve">C. BOVIS IN THE HEART </t>
  </si>
  <si>
    <t>1 C. BOVIS - 1 PYELONEPHRITIS</t>
  </si>
  <si>
    <t xml:space="preserve"> Rejection of 1 carcass due to generalized TB</t>
  </si>
  <si>
    <t>Rejection of 1 bull (mixed breed)</t>
  </si>
  <si>
    <t xml:space="preserve">1 bull </t>
  </si>
  <si>
    <t xml:space="preserve">1 carcass due to presence of C.Bovis at heart </t>
  </si>
  <si>
    <t xml:space="preserve">5 c. bovis </t>
  </si>
  <si>
    <t>2 livers - 1 lung</t>
  </si>
  <si>
    <t>2 livers - 1 lung - 4 kidneys - 1 testicle - 1 spleen - 4 legs</t>
  </si>
  <si>
    <t>2 livers - 1 heart - 1 lung</t>
  </si>
  <si>
    <t>1 liver - 1 lung</t>
  </si>
  <si>
    <t>1 liver - 3 hearts</t>
  </si>
  <si>
    <t>1 liver - 6 kidneys</t>
  </si>
  <si>
    <t>34 livers - 11 hearts - 2 kidneys - 1 omentum</t>
  </si>
  <si>
    <t xml:space="preserve">2 kidneys - 1 heart - 1 head </t>
  </si>
  <si>
    <t xml:space="preserve">5 livers - 2 heads - 1 testicle </t>
  </si>
  <si>
    <t>6 kidneys - 1 lung - 1 liver</t>
  </si>
  <si>
    <t>6 livers - 4 lungs - 2 kidneys -  1 heart</t>
  </si>
  <si>
    <t>3 livers - 1 heart</t>
  </si>
  <si>
    <t>2 livers - 1 head - 4 kidneys - 1 testicle</t>
  </si>
  <si>
    <t>2 livers - 6 kidneys - 1 intestine - 1 heart</t>
  </si>
  <si>
    <t>12 livers - 1 heart - 2 lungs - 1 omentum</t>
  </si>
  <si>
    <t xml:space="preserve">2 livers - 2 kidneys </t>
  </si>
  <si>
    <t>1 liver - 4 kidneys</t>
  </si>
  <si>
    <t>3 livers - 1 head - 1 heart - 12 kidneys</t>
  </si>
  <si>
    <t>2 kidneys - 2 testicle</t>
  </si>
  <si>
    <t>1 liver - 1 heart - 1 testicle</t>
  </si>
  <si>
    <t>2 livers - 2 kidneys -  1 heart  - 1 testicle</t>
  </si>
  <si>
    <t>Al Doaa</t>
  </si>
  <si>
    <t>9 livers - 6 kidneys - 1 lung - 1 spleen</t>
  </si>
  <si>
    <t>1 liver - 3 kidneys - 1 heart</t>
  </si>
  <si>
    <t>Al komy</t>
  </si>
  <si>
    <t>Al Lo’lo’ah farm</t>
  </si>
  <si>
    <t>4 livers - 1 heart</t>
  </si>
  <si>
    <t xml:space="preserve">Al Captin </t>
  </si>
  <si>
    <t>6 livers - 10 kidneys - 1 heart</t>
  </si>
  <si>
    <t>7 livers - 2 hearts</t>
  </si>
  <si>
    <t>2 livers - 1 heart -  1 tail fat - 4 omentums</t>
  </si>
  <si>
    <t>1 forequarter - 1 heart</t>
  </si>
  <si>
    <t>Al Alamia</t>
  </si>
  <si>
    <t>1 forequarter - 4 kidneys</t>
  </si>
  <si>
    <t xml:space="preserve">3 livers  </t>
  </si>
  <si>
    <t xml:space="preserve">2 livers - 6 kidneys </t>
  </si>
  <si>
    <t>5 livers - 1 heart - 2 omentums</t>
  </si>
  <si>
    <t>8 kidneys - 1 testicle</t>
  </si>
  <si>
    <t xml:space="preserve">4 livers  </t>
  </si>
  <si>
    <t>4 livers - 2 hearts</t>
  </si>
  <si>
    <t>2 livers - 1 kidney - 1 heart</t>
  </si>
  <si>
    <t xml:space="preserve">3 livers - 4 kidneys </t>
  </si>
  <si>
    <t>7 livers - 2 kidneys</t>
  </si>
  <si>
    <t xml:space="preserve">3 livers - 2 kidneys </t>
  </si>
  <si>
    <t>1 liver - 2 kidneys</t>
  </si>
  <si>
    <t>Meat Capital</t>
  </si>
  <si>
    <t>1 liver - 2 kidneys - 2 lungs - 1 head - 1 heart</t>
  </si>
  <si>
    <t>Daltex</t>
  </si>
  <si>
    <t>4 livers - 4 hearts - 1 testicle</t>
  </si>
  <si>
    <t>2 livers - 2 hearts</t>
  </si>
  <si>
    <t>2  livers - 2 lungs</t>
  </si>
  <si>
    <t xml:space="preserve">5 livers </t>
  </si>
  <si>
    <t>2 livers - 4 kidneys</t>
  </si>
  <si>
    <t>3 livers - 2 kidneys</t>
  </si>
  <si>
    <t>3 livers - 1 omentum</t>
  </si>
  <si>
    <t>Perfect</t>
  </si>
  <si>
    <t xml:space="preserve">2 kidneys - 1 heart </t>
  </si>
  <si>
    <t>1 liver - 1 heart - 2 kidneys</t>
  </si>
  <si>
    <t>3 livers - 1 lung - 1 heart - 4 kidneys</t>
  </si>
  <si>
    <t>2 livers - 1 heart - 6 legs</t>
  </si>
  <si>
    <t>6 livers</t>
  </si>
  <si>
    <t>4 livers - 4 kidneys - 1 heart - 3 omentums</t>
  </si>
  <si>
    <t>2 kidneys - 2 livers - 2 hearts</t>
  </si>
  <si>
    <t>4 kidneys - 1 liver - 1 heart</t>
  </si>
  <si>
    <t xml:space="preserve">1 liver - 1 heart </t>
  </si>
  <si>
    <t>10 kidneys - 2 livers - 1 heart</t>
  </si>
  <si>
    <t>6 kidneys - 1 liver - 1 lung</t>
  </si>
  <si>
    <t>1 liver - 1 heart</t>
  </si>
  <si>
    <t>1 spleen - 4 livers - 1 heart</t>
  </si>
  <si>
    <t xml:space="preserve"> 2 omentums</t>
  </si>
  <si>
    <t xml:space="preserve">Al Komy </t>
  </si>
  <si>
    <t>4 kidneys - 1 heart</t>
  </si>
  <si>
    <t>1 liver - 6 kidneys - 2 hearts</t>
  </si>
  <si>
    <t>3 livers - 2 hearts - 2 omentums</t>
  </si>
  <si>
    <t>Farm Food</t>
  </si>
  <si>
    <t xml:space="preserve">Perfect </t>
  </si>
  <si>
    <t>2 livers - 10 kidneys</t>
  </si>
  <si>
    <t xml:space="preserve">2 livers - 1 lung </t>
  </si>
  <si>
    <t>3 livers - 1 heart - 4 kidneys - 1 lung - 1 head</t>
  </si>
  <si>
    <t>3 hearts - 2 lungs - 6 kidneys</t>
  </si>
  <si>
    <t>1 liver - 2 hearts</t>
  </si>
  <si>
    <t>2 livers - 1 heart - 6 kidneys - 1 spleen</t>
  </si>
  <si>
    <t>5 livers - 5 Omentums</t>
  </si>
  <si>
    <t>1 lung - 5 livers -10 kidneys - 3 hearts -1 head</t>
  </si>
  <si>
    <t xml:space="preserve">native </t>
  </si>
  <si>
    <t xml:space="preserve"> 1 carcass due to Jaundice </t>
  </si>
  <si>
    <t>1 carcass due to pyelonephritis</t>
  </si>
  <si>
    <t>3 livers - 8 kidneys - 1 head</t>
  </si>
  <si>
    <t xml:space="preserve">8 kidneys - 2 hearts </t>
  </si>
  <si>
    <t>3 livers - 3 hearts - 10 kidneys</t>
  </si>
  <si>
    <t>GM</t>
  </si>
  <si>
    <t xml:space="preserve">2 kidneys- 3 livers </t>
  </si>
  <si>
    <t xml:space="preserve">2 lungs - 2 kidneys </t>
  </si>
  <si>
    <t>3 kidneys - 1 omentum</t>
  </si>
  <si>
    <t>-</t>
  </si>
  <si>
    <t>2 hearts - 1 liver</t>
  </si>
  <si>
    <t>1 lung - 4 kidneys - 5 livers - 1 heart</t>
  </si>
  <si>
    <t xml:space="preserve">4 livers </t>
  </si>
  <si>
    <t xml:space="preserve">6 kidneys - 5 heart s- 3 livers </t>
  </si>
  <si>
    <t>4 kidneys - 5 livers - 4 hearts - 1 omentum</t>
  </si>
  <si>
    <t xml:space="preserve">2 livers - 4 kidneys </t>
  </si>
  <si>
    <t>1 liver - 2 kidney</t>
  </si>
  <si>
    <t xml:space="preserve">2 spleen - 1 lung - 12 kidneys </t>
  </si>
  <si>
    <t>2 livers - 1 head - 10 kidneys</t>
  </si>
  <si>
    <t xml:space="preserve">12 kidneys - 7 lungs - 2 heads - 3 livers </t>
  </si>
  <si>
    <t>2 livers - 8 kidneys - 1 head</t>
  </si>
  <si>
    <t xml:space="preserve">2 livers - 1 testicle - 1 omentum </t>
  </si>
  <si>
    <t xml:space="preserve">4 livers - 1 heart </t>
  </si>
  <si>
    <t xml:space="preserve">1 intestine - 4 lung- 3 kidneys - 1 heart - 3 livers </t>
  </si>
  <si>
    <t xml:space="preserve">11 kidneys - 2 lungs - 4 heart s- 3 livers </t>
  </si>
  <si>
    <t xml:space="preserve">2 kidneys - 1 liver- 1 heart </t>
  </si>
  <si>
    <t xml:space="preserve">2 livers - 1 kidney - 1 lung </t>
  </si>
  <si>
    <t xml:space="preserve">2 kidneys - 5 livers - 1 heart </t>
  </si>
  <si>
    <t xml:space="preserve">4 livers - 2 kidneys - 2 hearts </t>
  </si>
  <si>
    <t>2 livers - 1 kidney</t>
  </si>
  <si>
    <t>1 lung - 4 livers - 1 testicle</t>
  </si>
  <si>
    <t xml:space="preserve">3 livers - 4 kidneys - 1 intestine </t>
  </si>
  <si>
    <t>1 liver - 2 kidneys - 2 lungs</t>
  </si>
  <si>
    <t xml:space="preserve">9 livers - 3 kidneys - 8 omentums - 3 hearts </t>
  </si>
  <si>
    <t xml:space="preserve">3 livers - 9 kidneys - 1 lung </t>
  </si>
  <si>
    <t xml:space="preserve">8 kidneys - 2 heads - 1 heart - 1 liver </t>
  </si>
  <si>
    <t>3 livers - 4 kidneys</t>
  </si>
  <si>
    <t>6 kidneys - 1 head - 2 livers</t>
  </si>
  <si>
    <t xml:space="preserve">5 livers - 6 kidneys </t>
  </si>
  <si>
    <t xml:space="preserve">1 heart - 7 kidneys </t>
  </si>
  <si>
    <t xml:space="preserve">2 kidneys - 1 liver </t>
  </si>
  <si>
    <t>5 livers - 3 hearts - 2 kidneys - 2 omentum</t>
  </si>
  <si>
    <t xml:space="preserve">1 heart - 1 liver </t>
  </si>
  <si>
    <t xml:space="preserve">1 head - 6 liver - 2 lung </t>
  </si>
  <si>
    <t xml:space="preserve">4 livers - 4 kidneys </t>
  </si>
  <si>
    <t xml:space="preserve">1 heart - 4 livers - 6 kidneys - 1 lung </t>
  </si>
  <si>
    <t xml:space="preserve">5 livers - 4 kidneys - 3 hearts </t>
  </si>
  <si>
    <t xml:space="preserve">6 livers - 10 kidneys - 1 lung </t>
  </si>
  <si>
    <t>2 livers - 6 kidneys - 1 heart</t>
  </si>
  <si>
    <t>1 heart - 1 liver - 12 kidneys</t>
  </si>
  <si>
    <t xml:space="preserve">2 livers - 6 kidneys - 2 hearts </t>
  </si>
  <si>
    <t xml:space="preserve">7 Livers - 2 hearts </t>
  </si>
  <si>
    <t>2 livers - 7 kidneys - 1 omentums</t>
  </si>
  <si>
    <t xml:space="preserve">6 kidneys - 3 hearts - 2 lungs - 1 liver - 1 head </t>
  </si>
  <si>
    <t>2 livers - 6 kidneys - 1 lung - 2 hearts - 2 spleen</t>
  </si>
  <si>
    <t>8 kidneys- 2 hearts - 1 liver</t>
  </si>
  <si>
    <t xml:space="preserve">1 head - 1 liver - 6 kidneys </t>
  </si>
  <si>
    <t xml:space="preserve">20 kidneys - 2 hearts - 3 livers </t>
  </si>
  <si>
    <t xml:space="preserve">1 LIVER - 1 HEAD - 1 HEART - 2 LUNG - 8 KIDNEYS </t>
  </si>
  <si>
    <t xml:space="preserve">11 kidneys - 1 heart - 3 livers </t>
  </si>
  <si>
    <t xml:space="preserve">2 livers - 2 hearts </t>
  </si>
  <si>
    <t xml:space="preserve">5 livers- 11 kidneys - 2 hearts - 2 lungs </t>
  </si>
  <si>
    <t xml:space="preserve">8 kidneys - 2 hearts - 7 livers - 1 lung </t>
  </si>
  <si>
    <t xml:space="preserve">8 kidneys - 2 hearts - 2 livers </t>
  </si>
  <si>
    <t xml:space="preserve">3 livers - 3 hearts - 4 kidneys - 1 omentum </t>
  </si>
  <si>
    <t xml:space="preserve">1 heart - 1 lung </t>
  </si>
  <si>
    <t xml:space="preserve">1 liver - 2 kidneys - 1 heart </t>
  </si>
  <si>
    <t>1 heart - 1 liver - 8 kidney - 1 lung</t>
  </si>
  <si>
    <t>1 heart - 1 liver - 1 kidney</t>
  </si>
  <si>
    <t xml:space="preserve">1 heart - 2 lung - 12 kidneys - 1 liver </t>
  </si>
  <si>
    <t xml:space="preserve">2 hearts </t>
  </si>
  <si>
    <t>6 kidneys</t>
  </si>
  <si>
    <t>2 omentums - 9 kidneys - 7 hearts</t>
  </si>
  <si>
    <t>2 kidneys - 2 hearts</t>
  </si>
  <si>
    <t>Farmy</t>
  </si>
  <si>
    <t xml:space="preserve">1 liver - 2 kidneys - 2 hearts - kidney fats </t>
  </si>
  <si>
    <t>2 livers - 2 kidneys - 1 head - 1 lung</t>
  </si>
  <si>
    <t xml:space="preserve">5 livers - 1 fore quarter - 4 legs </t>
  </si>
  <si>
    <t>4 livers - 8 kidneys - 1 heart - 1 spleen - 1 leg</t>
  </si>
  <si>
    <t xml:space="preserve"> 8 kidneys</t>
  </si>
  <si>
    <t>1 liver - 4 kidneys - 1 lung</t>
  </si>
  <si>
    <t xml:space="preserve">4 kidneys - 4 hearts - 5 livers - 1 omentum </t>
  </si>
  <si>
    <t>7 livers - 7 kidneys - 5 hearts</t>
  </si>
  <si>
    <t xml:space="preserve">7 livers - 16 kidneys - 5 hearts </t>
  </si>
  <si>
    <t xml:space="preserve">2 livers - 2 kidneys - 1 lung - 1 leg </t>
  </si>
  <si>
    <t xml:space="preserve">7 livers - 6 kidneys - 2 hearts - 2 spleens </t>
  </si>
  <si>
    <t xml:space="preserve">3 livers - 1 kidney - 1 fore quarter </t>
  </si>
  <si>
    <t>6 livers - 2 omentums</t>
  </si>
  <si>
    <t>5 livers - 4 kidneys - 1 heart - 1 spleen</t>
  </si>
  <si>
    <t>1 liver - 1 kidney - 1 heart</t>
  </si>
  <si>
    <t>30 livers - 6 kidneys - 3 hearts - 1 lung</t>
  </si>
  <si>
    <t>7 livers - 3 fore quarters - 3 legs - 2 lungs</t>
  </si>
  <si>
    <t xml:space="preserve">3 livers - 6 kidneys - 1 heart - 1 leg </t>
  </si>
  <si>
    <t>5 livers -1 heart</t>
  </si>
  <si>
    <t xml:space="preserve">1 lung - 1 intestine - 6 kidneys </t>
  </si>
  <si>
    <t>1 spleen - 4 kidneys - 1 lung - 1 heart</t>
  </si>
  <si>
    <t>5 livers - 4 legs - 2 hearts</t>
  </si>
  <si>
    <t>None</t>
  </si>
  <si>
    <t>7 livers - 1 leg - 3 fore quarters - 5 kidneys</t>
  </si>
  <si>
    <t>7 livers - 6 kidneys - 3 hearts - 2 lymph nodes</t>
  </si>
  <si>
    <t>14 kidneys - 1 heart</t>
  </si>
  <si>
    <t>29 livers - 4 kidneys - 5 hearts - 2 testeclis - 2 lymph nodes - 1 omentum</t>
  </si>
  <si>
    <t>2 livers - 2 lungs - 1 leg</t>
  </si>
  <si>
    <t xml:space="preserve">12 kidneys - 1 heart - 2 livers - 1 lung -  1 head - 1 spleen </t>
  </si>
  <si>
    <t>5 livers - 4 kidneys - 1 heart - 2 forequarters</t>
  </si>
  <si>
    <t>15 livers - 10 kidneys - 5 hearts - 2 lymph nodes</t>
  </si>
  <si>
    <t xml:space="preserve">Meat Capital </t>
  </si>
  <si>
    <t xml:space="preserve">1 liver  - 3 kidneys </t>
  </si>
  <si>
    <t xml:space="preserve">Al Qaiser </t>
  </si>
  <si>
    <t>Al Farm</t>
  </si>
  <si>
    <t xml:space="preserve">1 carcass due to c. bovis in the heart </t>
  </si>
  <si>
    <t>2 carcasses due to pyelonephritis.</t>
  </si>
  <si>
    <t>1 carcass due to c. bovis in the heart + 1 carcass due to EM</t>
  </si>
  <si>
    <t>19 carcasses due to presence of drug residues.</t>
  </si>
  <si>
    <t>1 carcass due to C.Bovis in the heart.</t>
  </si>
  <si>
    <t>1 carcass due to jaundice.</t>
  </si>
  <si>
    <t xml:space="preserve">1carcass due to hermaphrodite </t>
  </si>
  <si>
    <t>2 carcasses due to c. bovis in the hearts</t>
  </si>
  <si>
    <t>1 carcass due to EM</t>
  </si>
  <si>
    <t>1 carcass due to sever sheep measles</t>
  </si>
  <si>
    <t xml:space="preserve">1 carcass due to generalized TB </t>
  </si>
  <si>
    <t>3 carcasses due to sever sheep measles</t>
  </si>
  <si>
    <t>3 carcasses due to presence of drug residues + 1 carcass due to C.Bovis in the heart.</t>
  </si>
  <si>
    <t>1 carcass due to pyelonephritis + 1 female carcass</t>
  </si>
  <si>
    <t xml:space="preserve">1 carcass due to miliary TB </t>
  </si>
  <si>
    <t>1 carcass due to presence of drug residues.</t>
  </si>
  <si>
    <t>Row Labels</t>
  </si>
  <si>
    <t>Grand Total</t>
  </si>
  <si>
    <t>Sum of number</t>
  </si>
  <si>
    <t>Sum of rejected</t>
  </si>
  <si>
    <t>2026</t>
  </si>
  <si>
    <t>Years (date)</t>
  </si>
  <si>
    <t>2 carcasses due to c. bovis in the hearts + 1 bull due to lumby skin disease</t>
  </si>
  <si>
    <t>Rejection %</t>
  </si>
  <si>
    <t>Number</t>
  </si>
  <si>
    <t>Rejected reasons</t>
  </si>
  <si>
    <t>Farm</t>
  </si>
  <si>
    <t xml:space="preserve">Rejected </t>
  </si>
  <si>
    <t>Carcass</t>
  </si>
  <si>
    <t>Live</t>
  </si>
  <si>
    <t xml:space="preserve">Parasitic </t>
  </si>
  <si>
    <t>Viral</t>
  </si>
  <si>
    <t>Managemntal</t>
  </si>
  <si>
    <t>TB</t>
  </si>
  <si>
    <t>Al Hana</t>
  </si>
  <si>
    <t>Kasim</t>
  </si>
  <si>
    <t>%</t>
  </si>
  <si>
    <t>Total</t>
  </si>
  <si>
    <t>3 livers - 6 kidneys - 2 hearts</t>
  </si>
  <si>
    <t xml:space="preserve">Al Hana </t>
  </si>
  <si>
    <t>5 livers - 6 kidneys - 5 lungs - 1 fore quarter</t>
  </si>
  <si>
    <t>14 livers</t>
  </si>
  <si>
    <t>6 livers - 5 kidneys</t>
  </si>
  <si>
    <t>2 livers - 1 omentum</t>
  </si>
  <si>
    <t xml:space="preserve">4 livers - 8 kidneys - 1 head - 2 lungs - 1 fore quarter </t>
  </si>
  <si>
    <t xml:space="preserve">3 livers - 8 kidneys - 2 heads - 2 lungs - 1 heart </t>
  </si>
  <si>
    <t>6 livers - 6 kidneys - 6 lungs - 1 spleen</t>
  </si>
  <si>
    <t>2 livers - 1 heart - 1 lung - 3 heads</t>
  </si>
  <si>
    <t xml:space="preserve">5  livers - 8 kidneys - 8  lungs </t>
  </si>
  <si>
    <t>5 livers - 1 omentum</t>
  </si>
  <si>
    <t>2 livers - 2 kidneys - 1 lung - 2 testicles</t>
  </si>
  <si>
    <t>2 livers - 6 kidneys - 2 hearts - 2 lungs</t>
  </si>
  <si>
    <t xml:space="preserve">2 livers - 6 lungs - 1 heart </t>
  </si>
  <si>
    <t xml:space="preserve">4 livers - 1 intestine - 1 heart - 8 kidneys - 4 lungs </t>
  </si>
  <si>
    <t xml:space="preserve">2  livers - 3 lungs - 4 hearts - 18 kidneys - 1 leg </t>
  </si>
  <si>
    <t>1 liver - 8 kidneys</t>
  </si>
  <si>
    <t xml:space="preserve"> 1 fore quarter - 2 livers - 1 heart - 2 kidneys - 2 lungs - 1 leg </t>
  </si>
  <si>
    <t>1 fore quarter - 2
livers - 1 heart - 7</t>
  </si>
  <si>
    <t xml:space="preserve">2 livers - 4 kidneys - 2 hearts </t>
  </si>
  <si>
    <t>5 livers - 12 kidneys - 1 heart - 3 lungs</t>
  </si>
  <si>
    <t>6 livers - 1 lung- 1 heart</t>
  </si>
  <si>
    <t xml:space="preserve">5 livers - 1 heart </t>
  </si>
  <si>
    <t>3 livers - 1 lung</t>
  </si>
  <si>
    <t>5 livers - 3 lungs</t>
  </si>
  <si>
    <t xml:space="preserve">3 livers - 1 heart </t>
  </si>
  <si>
    <t>4 livers - 2 lungs</t>
  </si>
  <si>
    <t>Al Fayoumi</t>
  </si>
  <si>
    <t>none</t>
  </si>
  <si>
    <t>1 head - 3 livers - 4 kidneys - 1 lung</t>
  </si>
  <si>
    <t>4 livers - 1 lung - 3 kidneys - 2 hearts - 2 spleens 1 intestine</t>
  </si>
  <si>
    <t xml:space="preserve">1 fore quarter - 4 livers - 5 lungs </t>
  </si>
  <si>
    <t xml:space="preserve">8 kidneys - 1 heart </t>
  </si>
  <si>
    <t xml:space="preserve">7 livers - 5 kidneys - 1 heart - 4 tescticls - 2 lungs </t>
  </si>
  <si>
    <t xml:space="preserve">1 fore quarter - 3 livers - 26 kidneys - 1 lung - 1 intestine </t>
  </si>
  <si>
    <t xml:space="preserve">1 liver - 5 kidneys - 2 testicles </t>
  </si>
  <si>
    <t>5 livers - 5 kidneys - 1 lung - 1 spleen - 1 leg</t>
  </si>
  <si>
    <t>3 livers - 2 hearts - 1 omentum</t>
  </si>
  <si>
    <t>5 livers - 4 kidneys - 2 lungs - 1 fore quarter</t>
  </si>
  <si>
    <t xml:space="preserve">6 livers - 4 kidneys - 2 hearts </t>
  </si>
  <si>
    <t>6 livers - 8 kidneys - 1 heart - 4 lungs</t>
  </si>
  <si>
    <t>4 livers - 6 kidneys - 1 head - 3 hearts - 1 lung - 1 fore quarter - 1 nevel</t>
  </si>
  <si>
    <t>5 livers - 2 omentums- 2 hearts</t>
  </si>
  <si>
    <t xml:space="preserve">5 livers - 10 kidneys - 1 heart - 1 lung </t>
  </si>
  <si>
    <t>1 liver - 1 head</t>
  </si>
  <si>
    <t xml:space="preserve">2 livers - 1 kidney - 2 hearts </t>
  </si>
  <si>
    <t>4 livers - 4 kidneys - 1 lung</t>
  </si>
  <si>
    <t>2 carcasses due to C. Bovis in the heart.</t>
  </si>
  <si>
    <t>1 carcass due to miliary tb.</t>
  </si>
  <si>
    <t>1 sheep due to rectal prolapse.</t>
  </si>
  <si>
    <t>3 carcasses due to C. Bovis in the heart + 1 carcass with sever bruises</t>
  </si>
  <si>
    <t>2 carcasses due to C.Bovis in their hearts.</t>
  </si>
  <si>
    <t>1 carcass due to Jaundice.</t>
  </si>
  <si>
    <t xml:space="preserve">1 bull lumby skin disease + 1 carcass due to miliary tb </t>
  </si>
  <si>
    <t>1 carcass due to sarcosyctic esinophilic myositis.</t>
  </si>
  <si>
    <t xml:space="preserve">1 bull lumby skin disease </t>
  </si>
  <si>
    <t>1 carcass due to C. Bovis in the heart.</t>
  </si>
  <si>
    <t>3 carcass due to C. Bovis in the heart.</t>
  </si>
  <si>
    <t>1 carcass due to purulent pericarditis</t>
  </si>
  <si>
    <t>1 Female carcass.</t>
  </si>
  <si>
    <t>1 carcass due to Sarcocystic Eosinophilic Myositis and severe bruises</t>
  </si>
  <si>
    <t xml:space="preserve">2 carcasses due to Sarcocystic Eosinophilic Myositis and Miliary tb. </t>
  </si>
  <si>
    <t>1 sheep carcass due to sheep measles.</t>
  </si>
  <si>
    <t>Months (date)</t>
  </si>
  <si>
    <t>Al Bashaer</t>
  </si>
  <si>
    <t xml:space="preserve">1 fore quarter - 6  livers - 2 hearts - 5  lungs - 1 intestine - 1 head </t>
  </si>
  <si>
    <t xml:space="preserve">2 livers - 10 kidneys - 3 lungs </t>
  </si>
  <si>
    <t xml:space="preserve">3 livers - 3 kidneys  </t>
  </si>
  <si>
    <t xml:space="preserve">5 livers - 16 kidneys - 1 heart - 2 testicles - 3 spleens - 1 intestine - 1 lung </t>
  </si>
  <si>
    <t xml:space="preserve">7 livers - 3 kidneys - 1 heart - 1 omentum  </t>
  </si>
  <si>
    <t xml:space="preserve">3 livers - 4 kidneys - 1 heart - 3 lungs </t>
  </si>
  <si>
    <t xml:space="preserve">10 livers - 2 kidneys - 8 hearts   </t>
  </si>
  <si>
    <t xml:space="preserve">13 livers - 6 kidneys - 2 hearts - 2 lungs </t>
  </si>
  <si>
    <t xml:space="preserve">5 livers - 2 kidneys - 1 heart </t>
  </si>
  <si>
    <t xml:space="preserve">5 livers - 3 lungs - 1 heart - 1 rumen - 1 spleen  </t>
  </si>
  <si>
    <t xml:space="preserve">1 liver - 1 heart - 6 kidneys - 2 lungs </t>
  </si>
  <si>
    <t xml:space="preserve">9 livers - 3 hearts - 6 kidneys - 1 lung </t>
  </si>
  <si>
    <t>5 kidneys - 1 rumen</t>
  </si>
  <si>
    <t>3 livers - 2 lungs</t>
  </si>
  <si>
    <t xml:space="preserve">3 livers - 1 heart - 4 lungs </t>
  </si>
  <si>
    <t xml:space="preserve">6 kidneys - 1 liver </t>
  </si>
  <si>
    <t xml:space="preserve">5 livers - 13 kidneys - 1 lung - 1 spleen </t>
  </si>
  <si>
    <t xml:space="preserve">1 liver - 6 kidneys - 4 testicles </t>
  </si>
  <si>
    <t xml:space="preserve">5 livers - 1 heart - 6 kidneys - 1 omentum </t>
  </si>
  <si>
    <t>2 livers - 1 heart - 2 kidneys - 1 lung - 1 spleen</t>
  </si>
  <si>
    <t>5 livers - 7 kidneys - 1 head - 1 heart</t>
  </si>
  <si>
    <t>6 livers - 8 kidneys - 3 hearts - 2 omentumes - 2 testicles</t>
  </si>
  <si>
    <t xml:space="preserve">1 top Sirloin Cap - 4 livers - 6 kidneys - 1 lung </t>
  </si>
  <si>
    <t xml:space="preserve">3 livers - 3 lungs - 2 kidneys </t>
  </si>
  <si>
    <t xml:space="preserve">1 fore quarter - 5 livers - 3 lungs - 6 kidneys - 1 testicle </t>
  </si>
  <si>
    <t xml:space="preserve">6 livers - 1 lung - 19 kidneys - 1 testicle - 2 spleens - 1 intestine - 3 hearts </t>
  </si>
  <si>
    <t xml:space="preserve">6 livers - 4 kidneys - 4 lungs </t>
  </si>
  <si>
    <t xml:space="preserve">4 livers - 12 kidneys - 2 spleens - 1 intestine </t>
  </si>
  <si>
    <t xml:space="preserve">6 livers - 32 kidneys - 1 heart - 1 intestine - 4 lungs </t>
  </si>
  <si>
    <t>6 livers - 1 heart</t>
  </si>
  <si>
    <t xml:space="preserve">3 livers - 9 kidneys - 1 intestine - 1 spleen </t>
  </si>
  <si>
    <t xml:space="preserve">5 kidneys - 1 liver </t>
  </si>
  <si>
    <t xml:space="preserve">1 liver - 4 kidneys - 1 heart </t>
  </si>
  <si>
    <t xml:space="preserve">5 livers - 10 kidneys - 1 heart - 3 lungs </t>
  </si>
  <si>
    <t>1 fore quarter - 1 head - 7 livers - 6 kidneys - 6 lungs</t>
  </si>
  <si>
    <t>2 kidneys - 12 livers - 3 hearts</t>
  </si>
  <si>
    <t>1 fore quarter - 1 heart - 6 livers - 4 kidneys - 6 lungs - 2 spleens - 1 intestine</t>
  </si>
  <si>
    <t xml:space="preserve">1 heart - 8 livers - 14 kidneys - 4 lungs - 2 spleens </t>
  </si>
  <si>
    <t xml:space="preserve">3 livers - 3 omentumes - 1 heart - 3 kidneys </t>
  </si>
  <si>
    <t>2 carcasses due to Jaundice and C.Bovis in the heart</t>
  </si>
  <si>
    <t>1 carcass due to Sarcocystic Eosinophilic Myositis</t>
  </si>
  <si>
    <t xml:space="preserve">1 Sheep measles </t>
  </si>
  <si>
    <t>6 live sheep due to Mange</t>
  </si>
  <si>
    <t>2 carcasses due to C. ovis and jaundice</t>
  </si>
  <si>
    <t>2 carcasses due to drug residues and C.Bovis in the heart</t>
  </si>
  <si>
    <t>1 carcass due to jaundice</t>
  </si>
  <si>
    <t>2 carcasses due to Sarcocystic Eosinophilic Myositis and C. Bovis in the heart.</t>
  </si>
  <si>
    <t>2 carcasses due to C. Bovis in their hearts.</t>
  </si>
  <si>
    <t>1 carcass due to C. Bovis in the heart</t>
  </si>
  <si>
    <t>5 carcasses due to C. Bovis in the heart</t>
  </si>
  <si>
    <t>Sum of received</t>
  </si>
  <si>
    <t>Mar</t>
  </si>
  <si>
    <t>Count of rejection reasons</t>
  </si>
  <si>
    <t xml:space="preserve">2 livers - 4 kidneys - 1 heart - 3 lungs </t>
  </si>
  <si>
    <t xml:space="preserve">1 fore quarter - 6 livers - 6 kidneys - 1 lung - 1 testicle </t>
  </si>
  <si>
    <t>sheep</t>
  </si>
  <si>
    <t>1 fore quarter - 9 livers - 12 kidneys - 1 rumen - 2 spleens - 3 lungs</t>
  </si>
  <si>
    <t xml:space="preserve">4 livers - 4 kidneys - 4 lungs </t>
  </si>
  <si>
    <t>3 livers - 10 kidneys - 1 omentum</t>
  </si>
  <si>
    <t xml:space="preserve">8 livers - 10 lungs - 3 hearts - 3 kidneys </t>
  </si>
  <si>
    <t xml:space="preserve">2 livers - 12 kidneys - 1 omentum </t>
  </si>
  <si>
    <t xml:space="preserve">4 livers - 1 heart - 1 lung </t>
  </si>
  <si>
    <t xml:space="preserve">1 liver - 2 kidneys - 3 lungs - 1 heart </t>
  </si>
  <si>
    <t xml:space="preserve">1 liver - 1 heart - 2 kidneys </t>
  </si>
  <si>
    <t xml:space="preserve">5 livers - 9 lungs </t>
  </si>
  <si>
    <t>3 livers - 12 kidneys</t>
  </si>
  <si>
    <t>2 livers - 6 kidneys</t>
  </si>
  <si>
    <t xml:space="preserve">3 livers - 2 hearts - 12 kidneys </t>
  </si>
  <si>
    <t xml:space="preserve">2 livers - 3 lungs - 1 testicle </t>
  </si>
  <si>
    <t>1 liver - 9 kidneys - 2 omentumes</t>
  </si>
  <si>
    <t xml:space="preserve">1 lung - 1 kidney </t>
  </si>
  <si>
    <t>1 liver - 2 lungs</t>
  </si>
  <si>
    <t xml:space="preserve">2 livers - 2 lungs - 10 kidneys - 1 head  </t>
  </si>
  <si>
    <t xml:space="preserve">4 kidneys - 1 liver - 1 heart - 1 diaphragm  </t>
  </si>
  <si>
    <t xml:space="preserve">4 livers - 5 lungs - 20 kidneys </t>
  </si>
  <si>
    <t>2 kidneys - 1 liver</t>
  </si>
  <si>
    <t>2 livers - 8 lungs - 18 spleens - 1 testicle</t>
  </si>
  <si>
    <t>2 livers - 2 kidneys - 2 omentumes</t>
  </si>
  <si>
    <t>6 livers - 12 kidneys - 2 lungs - 1 intestine</t>
  </si>
  <si>
    <t>3 livers - 13 lungs - 6 kidneys</t>
  </si>
  <si>
    <t>1 liver - 1 heart -  4 kidneys - 11 lungs</t>
  </si>
  <si>
    <t>2 livers - 2 kidneys - 1 lung</t>
  </si>
  <si>
    <t xml:space="preserve">1 fore quarter - 9 livers - 10 kidneys - 2 lungs </t>
  </si>
  <si>
    <t xml:space="preserve">2 livers - 1 heart </t>
  </si>
  <si>
    <t>6 livers - 8 kidneys - 6 lungs</t>
  </si>
  <si>
    <t xml:space="preserve">5 livers - 6 kidneys - 3 lungs </t>
  </si>
  <si>
    <t>6 livers - 2 kidneys - 1 heart - 2 lungs</t>
  </si>
  <si>
    <t xml:space="preserve">1 head - 1 full fore quarter - 3 livers - 16 kidneys - 1 lung - 2 spleens </t>
  </si>
  <si>
    <t xml:space="preserve">4 livers - 10 kidneys - 1 heart - 2 testicles - 1 lung </t>
  </si>
  <si>
    <t>8 Bulls &gt; 3 years + 1 c. bovis in the heart + 1 miliary TB</t>
  </si>
  <si>
    <t>2 Bulls &gt; 3 years</t>
  </si>
  <si>
    <t xml:space="preserve">2 Bulls age older than 3 years </t>
  </si>
  <si>
    <t>2 Bulls older than 3 years + 2 carcasses c. bovis</t>
  </si>
  <si>
    <t>2 Bulls not conform (age &amp; bad BCS)</t>
  </si>
  <si>
    <t>1 Bulls not conform (older than 3 years)</t>
  </si>
  <si>
    <t>1  Bulls not conform (bad BCS) + 1 carcass c. bovis in the heart</t>
  </si>
  <si>
    <t>2 Bulls older than 3 years + 1 carcasses c. bovis in the heart</t>
  </si>
  <si>
    <t>1 c. bovis in the heart + 1 Bulls not conform (older than 3 years)</t>
  </si>
  <si>
    <t>2 c. bovis in the heart + 1 miliary TB + 1 Bulls not conform (older than 3 years)</t>
  </si>
  <si>
    <t>2 Bulls not conform (older than 3 years) + 1 c. bovis in the heart</t>
  </si>
  <si>
    <t>8 c. bovis in the heart + 1 Bulls not conform (older than 3 years)</t>
  </si>
  <si>
    <t>2 Bulls not conform (older than 3 years)</t>
  </si>
  <si>
    <t>2 Bulls not conform (older than 3 years)+ (bad BCS) + 2 c. bovis in the heart</t>
  </si>
  <si>
    <t>2 c. bovis in the heart + 1 Bulls not conform (older than 3 years)</t>
  </si>
  <si>
    <t>6 Bulls not conform (older than 3 years)</t>
  </si>
  <si>
    <t>3 Bulls not conform to standards (older than 3 years)</t>
  </si>
  <si>
    <t>13 Bulls + 8 carcasses Antibiotic residues</t>
  </si>
  <si>
    <t>4 emaciated Bulls</t>
  </si>
  <si>
    <t>2 Bulls emaciated</t>
  </si>
  <si>
    <t>2 Bulls oler than 3 years</t>
  </si>
  <si>
    <t>3 Bulls not conform to standards (bad BCS)</t>
  </si>
  <si>
    <t>2 Bulls bad bcs + 1 carcass blood splash</t>
  </si>
  <si>
    <t>2 Bulls not conform to standards</t>
  </si>
  <si>
    <t>Rejection of 4 Bulls not conform to standards (3 of older than 3 years + 1 older than 4 years )</t>
  </si>
  <si>
    <t>Rejection of 3 Bulls ( 1 emaciated + 2 older than 3 years).</t>
  </si>
  <si>
    <t>Rejection of 2 Bulls due to presence of sign of illness</t>
  </si>
  <si>
    <t>Rejection of 2 Bulls due to presence of sign of illness.</t>
  </si>
  <si>
    <t>Rejection of 2 Bulls suffering of sever lameness</t>
  </si>
  <si>
    <t xml:space="preserve">2 Bulls older than 3 years </t>
  </si>
  <si>
    <t xml:space="preserve">Rejection of 2 Bulls older thans 3 years. </t>
  </si>
  <si>
    <t xml:space="preserve">25 carcasses + 15 Bulls drug residues </t>
  </si>
  <si>
    <t xml:space="preserve">2 Bulls mixed breed + 2 carcass drug residues </t>
  </si>
  <si>
    <t xml:space="preserve">2 Bulls - 1 CARCASS </t>
  </si>
  <si>
    <t>2 Bulls - 1 esinophilic myositis</t>
  </si>
  <si>
    <t>2 Bulls</t>
  </si>
  <si>
    <t>2 Bulls lumby skin disease + 2 carcasses due to C. Bovis in the heart.</t>
  </si>
  <si>
    <t>4 livers - 17 lungs - 4 kidneys - 1 heart -1 spleen</t>
  </si>
  <si>
    <t>3 livers - 3 kidneys - 2 lungs</t>
  </si>
  <si>
    <t>3 livers - 20 kidneys - 1 lung</t>
  </si>
  <si>
    <t xml:space="preserve">4 livers - 4 lungs </t>
  </si>
  <si>
    <t>10 livers - 1 omentum</t>
  </si>
  <si>
    <t xml:space="preserve">2 livers - 2 hearts - 8 kidneys - 1 lung </t>
  </si>
  <si>
    <t>1 fore quarter - 2 livers - 6 kidneys - 5 lungs</t>
  </si>
  <si>
    <t>3 livers - 4 kidneys - 1 heart - 1 head - 1 testis</t>
  </si>
  <si>
    <t>7 livers - 1 lung</t>
  </si>
  <si>
    <t>1 fore quarter - 6 livers - 3 lungs</t>
  </si>
  <si>
    <t>2 livers - 4 kidneys - 2 heads</t>
  </si>
  <si>
    <t>Market</t>
  </si>
  <si>
    <t xml:space="preserve">2 livers - 1 omentum </t>
  </si>
  <si>
    <t xml:space="preserve">1 liver - 2 hearts - 1 testicle - 1 tail fats - 2 lungs </t>
  </si>
  <si>
    <t>13 livers - 5 hearts - 1 kidney - 2 testicles</t>
  </si>
  <si>
    <t>4 livers - 6 kidneys - 1 heart - 1 lung - 1 head</t>
  </si>
  <si>
    <t>6 livers - 16 kidneys -1 heart - 2 lungs</t>
  </si>
  <si>
    <t>4 livers - 10 kidneys - 2 hearts - 1 lung</t>
  </si>
  <si>
    <t>22 livers - 12 hearts - 10 kidneys - 3 omentumes - 1 testis</t>
  </si>
  <si>
    <t>44 livers - 18 hearts - 12 omentumes - 10 kidneys</t>
  </si>
  <si>
    <t>3 livers - 2 kidneys - 8 lungs - 1 spleen</t>
  </si>
  <si>
    <t>6 livers -2 omentumes</t>
  </si>
  <si>
    <t xml:space="preserve">1 liver - 1 lung </t>
  </si>
  <si>
    <t xml:space="preserve">5 livers - 3 hearts - 2 kidneys - 1 omentum </t>
  </si>
  <si>
    <t>8 livers - 6 kidneys - 1 lung - 1 head - 1 testicle</t>
  </si>
  <si>
    <t xml:space="preserve">1 tail fats </t>
  </si>
  <si>
    <t xml:space="preserve">5 livers - 4 hearts - 2 kidneys - 1 omentum </t>
  </si>
  <si>
    <t>5 livers - 2 hearts - 5 kidneys - 2 lungs - 1 diaphragm</t>
  </si>
  <si>
    <t>5 livers - 12 lungs - 20 kidneys - 5 heads - 3 spleens - 1 heart - 1 intestine</t>
  </si>
  <si>
    <t>5 livers - 6 kidneys - 1 testicle - 1 heart - 1 head - 1 lung</t>
  </si>
  <si>
    <t xml:space="preserve">1 tail fats - 2 livers </t>
  </si>
  <si>
    <t xml:space="preserve">2 livers - 18 lungs - 4 kidneys </t>
  </si>
  <si>
    <t>1 liver - 4 hearts - 2 kidneys - 1 lung - 1 intestine</t>
  </si>
  <si>
    <t xml:space="preserve">2 livers - 12 kidneys - 9 lungs </t>
  </si>
  <si>
    <t xml:space="preserve">2 livers - 2 kidneys - 1 lung </t>
  </si>
  <si>
    <t>3 livers - 13 lungs - 1 spleen - 1 intestine</t>
  </si>
  <si>
    <t xml:space="preserve">2 livers - 8 kidneys </t>
  </si>
  <si>
    <t>bulls</t>
  </si>
  <si>
    <t>1 carcass due to Sarcocystic Eosinophilic Myositis.</t>
  </si>
  <si>
    <t xml:space="preserve">1 carcass generalized tb </t>
  </si>
  <si>
    <t xml:space="preserve">2 carcasses drug residue + 1 carcass c. bovis + 1 live bull lumpy skin disease </t>
  </si>
  <si>
    <t>3 carcasses drug residue + 1 carcass c. bovis</t>
  </si>
  <si>
    <t xml:space="preserve">6 carcasses drug residue + 3 carcasses c. bovis + 1 live bull emaciated </t>
  </si>
  <si>
    <t>1 carcass due to C. bovis in the heart.</t>
  </si>
  <si>
    <t>1 carcass c. bovis in the heart + 1 carcass jundice +  2 carcasses drug residues</t>
  </si>
  <si>
    <t xml:space="preserve">1 carcass sever bruises </t>
  </si>
  <si>
    <t xml:space="preserve">4 carcasses drug residues + 1 carcass c. bovis in the heart + 1 carcass miliary TB </t>
  </si>
  <si>
    <t xml:space="preserve">1 Live sheep small weight </t>
  </si>
  <si>
    <t xml:space="preserve"> 2 carcasses due to sheep measles.</t>
  </si>
  <si>
    <t>1 carcass due to drug residues.</t>
  </si>
  <si>
    <t>1 carcass due to C.bovis in the heart.</t>
  </si>
  <si>
    <t>1 carcass due to sheep measles.</t>
  </si>
  <si>
    <t>4 carcasses due to drug residues + 1 carcass due to C.bovis in the heart.</t>
  </si>
  <si>
    <t xml:space="preserve"> 1 carcass due to C.bovis in the heart.</t>
  </si>
  <si>
    <t>1 carcass due to Eosinophilic Myositis.</t>
  </si>
  <si>
    <t>11 sheep were rejected due to heavy weights</t>
  </si>
  <si>
    <t>2 sheep measles + 1 female sheep.</t>
  </si>
  <si>
    <t>4 goats aged 2 years.</t>
  </si>
  <si>
    <t xml:space="preserve"> sheep due to sheep measles.</t>
  </si>
  <si>
    <t xml:space="preserve">13 carcass drug residues + 1 carcass c. bovis in the heart + 1 live bull heavy tick infestation </t>
  </si>
  <si>
    <t>1 carcass due to generalized T.B.</t>
  </si>
  <si>
    <t xml:space="preserve">1 carcass generalized tb + 1 carcass c. bovis in the heart </t>
  </si>
  <si>
    <t>1 female sheep</t>
  </si>
  <si>
    <t xml:space="preserve">Hejri date </t>
  </si>
  <si>
    <t>Season</t>
  </si>
  <si>
    <t>12/02/1440</t>
  </si>
  <si>
    <t>14/02/1440</t>
  </si>
  <si>
    <t>17/02/1440</t>
  </si>
  <si>
    <t>19/02/1440</t>
  </si>
  <si>
    <t>21/02/1440</t>
  </si>
  <si>
    <t>24/02/1440</t>
  </si>
  <si>
    <t>26/02/1440</t>
  </si>
  <si>
    <t>28/02/1440</t>
  </si>
  <si>
    <t>02/03/1440</t>
  </si>
  <si>
    <t>04/03/1440</t>
  </si>
  <si>
    <t>06/03/1440</t>
  </si>
  <si>
    <t>11/03/1440</t>
  </si>
  <si>
    <t>13/03/1440</t>
  </si>
  <si>
    <t>16/03/1440</t>
  </si>
  <si>
    <t>18/03/1440</t>
  </si>
  <si>
    <t>20/03/1440</t>
  </si>
  <si>
    <t>23/03/1440</t>
  </si>
  <si>
    <t>25/03/1440</t>
  </si>
  <si>
    <t>27/03/1440</t>
  </si>
  <si>
    <t>30/03/1440</t>
  </si>
  <si>
    <t>02/04/1440</t>
  </si>
  <si>
    <t>04/04/1440</t>
  </si>
  <si>
    <t>07/04/1440</t>
  </si>
  <si>
    <t>09/04/1440</t>
  </si>
  <si>
    <t>11/04/1440</t>
  </si>
  <si>
    <t>14/04/1440</t>
  </si>
  <si>
    <t>16/04/1440</t>
  </si>
  <si>
    <t>18/04/1440</t>
  </si>
  <si>
    <t>21/04/1440</t>
  </si>
  <si>
    <t>23/04/1440</t>
  </si>
  <si>
    <t>25/04/1440</t>
  </si>
  <si>
    <t>28/04/1440</t>
  </si>
  <si>
    <t>01/05/1440</t>
  </si>
  <si>
    <t>03/05/1440</t>
  </si>
  <si>
    <t>06/05/1440</t>
  </si>
  <si>
    <t>08/05/1440</t>
  </si>
  <si>
    <t>10/05/1440</t>
  </si>
  <si>
    <t>13/05/1440</t>
  </si>
  <si>
    <t>15/05/1440</t>
  </si>
  <si>
    <t>17/05/1440</t>
  </si>
  <si>
    <t>20/05/1440</t>
  </si>
  <si>
    <t>22/05/1440</t>
  </si>
  <si>
    <t>24/05/1440</t>
  </si>
  <si>
    <t>26/05/1440</t>
  </si>
  <si>
    <t>29/05/1440</t>
  </si>
  <si>
    <t>01/06/1440</t>
  </si>
  <si>
    <t>04/06/1440</t>
  </si>
  <si>
    <t>06/06/1440</t>
  </si>
  <si>
    <t>08/06/1440</t>
  </si>
  <si>
    <t>11/06/1440</t>
  </si>
  <si>
    <t>13/06/1440</t>
  </si>
  <si>
    <t>15/06/1440</t>
  </si>
  <si>
    <t>18/06/1440</t>
  </si>
  <si>
    <t>20/06/1440</t>
  </si>
  <si>
    <t>22/06/1440</t>
  </si>
  <si>
    <t>25/06/1440</t>
  </si>
  <si>
    <t>27/06/1440</t>
  </si>
  <si>
    <t>29/06/1440</t>
  </si>
  <si>
    <t>03/07/1440</t>
  </si>
  <si>
    <t>05/07/1440</t>
  </si>
  <si>
    <t>07/07/1440</t>
  </si>
  <si>
    <t>10/07/1440</t>
  </si>
  <si>
    <t>12/07/1440</t>
  </si>
  <si>
    <t>14/07/1440</t>
  </si>
  <si>
    <t>17/07/1440</t>
  </si>
  <si>
    <t>19/07/1440</t>
  </si>
  <si>
    <t>21/07/1440</t>
  </si>
  <si>
    <t>24/07/1440</t>
  </si>
  <si>
    <t>26/07/1440</t>
  </si>
  <si>
    <t>28/07/1440</t>
  </si>
  <si>
    <t>01/08/1440</t>
  </si>
  <si>
    <t>03/08/1440</t>
  </si>
  <si>
    <t>05/08/1440</t>
  </si>
  <si>
    <t>08/08/1440</t>
  </si>
  <si>
    <t>10/08/1440</t>
  </si>
  <si>
    <t>12/08/1440</t>
  </si>
  <si>
    <t>15/08/1440</t>
  </si>
  <si>
    <t>17/08/1440</t>
  </si>
  <si>
    <t>19/08/1440</t>
  </si>
  <si>
    <t>22/08/1440</t>
  </si>
  <si>
    <t>24/08/1440</t>
  </si>
  <si>
    <t>26/08/1440</t>
  </si>
  <si>
    <t>29/08/1440</t>
  </si>
  <si>
    <t>01/09/1440</t>
  </si>
  <si>
    <t>04/09/1440</t>
  </si>
  <si>
    <t>07/09/1440</t>
  </si>
  <si>
    <t>09/09/1440</t>
  </si>
  <si>
    <t>11/09/1440</t>
  </si>
  <si>
    <t>14/09/1440</t>
  </si>
  <si>
    <t>16/09/1440</t>
  </si>
  <si>
    <t>18/09/1440</t>
  </si>
  <si>
    <t>21/09/1440</t>
  </si>
  <si>
    <t>23/09/1440</t>
  </si>
  <si>
    <t>25/09/1440</t>
  </si>
  <si>
    <t>28/09/1440</t>
  </si>
  <si>
    <t>06/10/1440</t>
  </si>
  <si>
    <t>09/10/1440</t>
  </si>
  <si>
    <t>12/10/1440</t>
  </si>
  <si>
    <t>14/10/1440</t>
  </si>
  <si>
    <t>16/10/1440</t>
  </si>
  <si>
    <t>19/10/1440</t>
  </si>
  <si>
    <t>21/10/1440</t>
  </si>
  <si>
    <t>23/10/1440</t>
  </si>
  <si>
    <t>26/10/1440</t>
  </si>
  <si>
    <t>28/10/1440</t>
  </si>
  <si>
    <t>01/11/1440</t>
  </si>
  <si>
    <t>04/11/1440</t>
  </si>
  <si>
    <t>06/11/1440</t>
  </si>
  <si>
    <t>08/11/1440</t>
  </si>
  <si>
    <t>11/11/1440</t>
  </si>
  <si>
    <t>13/11/1440</t>
  </si>
  <si>
    <t>15/11/1440</t>
  </si>
  <si>
    <t>18/11/1440</t>
  </si>
  <si>
    <t>20/11/1440</t>
  </si>
  <si>
    <t>22/11/1440</t>
  </si>
  <si>
    <t>25/11/1440</t>
  </si>
  <si>
    <t>27/11/1440</t>
  </si>
  <si>
    <t>01/12/1440</t>
  </si>
  <si>
    <t>02/12/1440</t>
  </si>
  <si>
    <t>03/12/1440</t>
  </si>
  <si>
    <t>04/12/1440</t>
  </si>
  <si>
    <t>05/12/1440</t>
  </si>
  <si>
    <t>06/12/1440</t>
  </si>
  <si>
    <t>07/12/1440</t>
  </si>
  <si>
    <t>08/12/1440</t>
  </si>
  <si>
    <t>09/12/1440</t>
  </si>
  <si>
    <t>18/12/1440</t>
  </si>
  <si>
    <t>19/12/1440</t>
  </si>
  <si>
    <t>20/12/1440</t>
  </si>
  <si>
    <t>21/12/1440</t>
  </si>
  <si>
    <t>24/12/1440</t>
  </si>
  <si>
    <t>26/12/1440</t>
  </si>
  <si>
    <t>28/12/1440</t>
  </si>
  <si>
    <t>02/01/1441</t>
  </si>
  <si>
    <t>04/01/1441</t>
  </si>
  <si>
    <t>06/01/1441</t>
  </si>
  <si>
    <t>09/01/1441</t>
  </si>
  <si>
    <t>11/01/1441</t>
  </si>
  <si>
    <t>13/01/1441</t>
  </si>
  <si>
    <t>16/01/1441</t>
  </si>
  <si>
    <t>18/01/1441</t>
  </si>
  <si>
    <t>20/01/1441</t>
  </si>
  <si>
    <t>23/01/1441</t>
  </si>
  <si>
    <t>25/01/1441</t>
  </si>
  <si>
    <t>30/01/1441</t>
  </si>
  <si>
    <t>02/02/1441</t>
  </si>
  <si>
    <t>04/02/1441</t>
  </si>
  <si>
    <t>07/02/1441</t>
  </si>
  <si>
    <t>09/02/1441</t>
  </si>
  <si>
    <t>11/02/1441</t>
  </si>
  <si>
    <t>14/02/1441</t>
  </si>
  <si>
    <t>16/02/1441</t>
  </si>
  <si>
    <t>18/02/1441</t>
  </si>
  <si>
    <t>21/02/1441</t>
  </si>
  <si>
    <t>23/02/1441</t>
  </si>
  <si>
    <t>25/02/1441</t>
  </si>
  <si>
    <t>28/02/1441</t>
  </si>
  <si>
    <t>01/03/1441</t>
  </si>
  <si>
    <t>03/03/1441</t>
  </si>
  <si>
    <t>06/03/1441</t>
  </si>
  <si>
    <t>08/03/1441</t>
  </si>
  <si>
    <t>10/03/1441</t>
  </si>
  <si>
    <t>13/03/1441</t>
  </si>
  <si>
    <t>15/03/1441</t>
  </si>
  <si>
    <t>17/03/1441</t>
  </si>
  <si>
    <t>20/03/1441</t>
  </si>
  <si>
    <t>22/03/1441</t>
  </si>
  <si>
    <t>24/03/1441</t>
  </si>
  <si>
    <t>27/03/1441</t>
  </si>
  <si>
    <t>29/03/1441</t>
  </si>
  <si>
    <t>01/04/1441</t>
  </si>
  <si>
    <t>04/04/1441</t>
  </si>
  <si>
    <t>06/04/1441</t>
  </si>
  <si>
    <t>08/04/1441</t>
  </si>
  <si>
    <t>11/04/1441</t>
  </si>
  <si>
    <t>13/04/1441</t>
  </si>
  <si>
    <t>15/04/1441</t>
  </si>
  <si>
    <t>18/04/1441</t>
  </si>
  <si>
    <t>20/04/1441</t>
  </si>
  <si>
    <t>22/04/1441</t>
  </si>
  <si>
    <t>25/04/1441</t>
  </si>
  <si>
    <t>27/04/1441</t>
  </si>
  <si>
    <t>29/04/1441</t>
  </si>
  <si>
    <t>03/05/1441</t>
  </si>
  <si>
    <t>05/05/1441</t>
  </si>
  <si>
    <t>07/05/1441</t>
  </si>
  <si>
    <t>10/05/1441</t>
  </si>
  <si>
    <t>12/05/1441</t>
  </si>
  <si>
    <t>14/05/1441</t>
  </si>
  <si>
    <t>17/05/1441</t>
  </si>
  <si>
    <t>19/05/1441</t>
  </si>
  <si>
    <t>21/05/1441</t>
  </si>
  <si>
    <t>24/05/1441</t>
  </si>
  <si>
    <t>26/05/1441</t>
  </si>
  <si>
    <t>28/05/1441</t>
  </si>
  <si>
    <t>01/06/1441</t>
  </si>
  <si>
    <t>03/06/1441</t>
  </si>
  <si>
    <t>05/06/1441</t>
  </si>
  <si>
    <t>08/06/1441</t>
  </si>
  <si>
    <t>10/06/1441</t>
  </si>
  <si>
    <t>12/06/1441</t>
  </si>
  <si>
    <t>15/06/1441</t>
  </si>
  <si>
    <t>17/06/1441</t>
  </si>
  <si>
    <t>19/06/1441</t>
  </si>
  <si>
    <t>22/06/1441</t>
  </si>
  <si>
    <t>24/06/1441</t>
  </si>
  <si>
    <t>26/06/1441</t>
  </si>
  <si>
    <t>29/06/1441</t>
  </si>
  <si>
    <t>02/07/1441</t>
  </si>
  <si>
    <t>04/07/1441</t>
  </si>
  <si>
    <t>07/07/1441</t>
  </si>
  <si>
    <t>09/07/1441</t>
  </si>
  <si>
    <t>11/07/1441</t>
  </si>
  <si>
    <t>14/07/1441</t>
  </si>
  <si>
    <t>16/07/1441</t>
  </si>
  <si>
    <t>18/07/1441</t>
  </si>
  <si>
    <t>21/07/1441</t>
  </si>
  <si>
    <t>22/07/1441</t>
  </si>
  <si>
    <t>23/07/1441</t>
  </si>
  <si>
    <t>24/07/1441</t>
  </si>
  <si>
    <t>25/07/1441</t>
  </si>
  <si>
    <t>26/07/1441</t>
  </si>
  <si>
    <t>28/07/1441</t>
  </si>
  <si>
    <t>29/07/1441</t>
  </si>
  <si>
    <t>30/07/1441</t>
  </si>
  <si>
    <t>01/08/1441</t>
  </si>
  <si>
    <t>02/08/1441</t>
  </si>
  <si>
    <t>04/08/1441</t>
  </si>
  <si>
    <t>05/08/1441</t>
  </si>
  <si>
    <t>06/08/1441</t>
  </si>
  <si>
    <t>07/08/1441</t>
  </si>
  <si>
    <t>08/08/1441</t>
  </si>
  <si>
    <t>09/08/1441</t>
  </si>
  <si>
    <t>11/08/1441</t>
  </si>
  <si>
    <t>12/08/1441</t>
  </si>
  <si>
    <t>13/08/1441</t>
  </si>
  <si>
    <t>14/08/1441</t>
  </si>
  <si>
    <t>15/08/1441</t>
  </si>
  <si>
    <t>16/08/1441</t>
  </si>
  <si>
    <t>18/08/1441</t>
  </si>
  <si>
    <t>19/08/1441</t>
  </si>
  <si>
    <t>20/08/1441</t>
  </si>
  <si>
    <t>21/08/1441</t>
  </si>
  <si>
    <t>22/08/1441</t>
  </si>
  <si>
    <t>23/08/1441</t>
  </si>
  <si>
    <t>25/08/1441</t>
  </si>
  <si>
    <t>26/08/1441</t>
  </si>
  <si>
    <t>28/08/1441</t>
  </si>
  <si>
    <t>29/08/1441</t>
  </si>
  <si>
    <t>05/09/1441</t>
  </si>
  <si>
    <t>06/09/1441</t>
  </si>
  <si>
    <t>07/09/1441</t>
  </si>
  <si>
    <t>10/09/1441</t>
  </si>
  <si>
    <t>13/09/1441</t>
  </si>
  <si>
    <t>14/09/1441</t>
  </si>
  <si>
    <t>17/09/1441</t>
  </si>
  <si>
    <t>18/09/1441</t>
  </si>
  <si>
    <t>19/09/1441</t>
  </si>
  <si>
    <t>24/09/1441</t>
  </si>
  <si>
    <t>25/09/1441</t>
  </si>
  <si>
    <t>26/09/1441</t>
  </si>
  <si>
    <t>27/09/1441</t>
  </si>
  <si>
    <t>28/09/1441</t>
  </si>
  <si>
    <t>08/10/1441</t>
  </si>
  <si>
    <t>09/10/1441</t>
  </si>
  <si>
    <t>10/10/1441</t>
  </si>
  <si>
    <t>11/10/1441</t>
  </si>
  <si>
    <t>12/10/1441</t>
  </si>
  <si>
    <t>15/10/1441</t>
  </si>
  <si>
    <t>22/10/1441</t>
  </si>
  <si>
    <t>25/10/1441</t>
  </si>
  <si>
    <t>26/10/1441</t>
  </si>
  <si>
    <t>29/10/1441</t>
  </si>
  <si>
    <t>03/11/1441</t>
  </si>
  <si>
    <t>04/11/1441</t>
  </si>
  <si>
    <t>07/11/1441</t>
  </si>
  <si>
    <t>10/11/1441</t>
  </si>
  <si>
    <t>11/11/1441</t>
  </si>
  <si>
    <t>14/11/1441</t>
  </si>
  <si>
    <t>17/11/1441</t>
  </si>
  <si>
    <t>18/11/1441</t>
  </si>
  <si>
    <t>21/11/1441</t>
  </si>
  <si>
    <t>24/11/1441</t>
  </si>
  <si>
    <t>25/11/1441</t>
  </si>
  <si>
    <t>28/11/1441</t>
  </si>
  <si>
    <t>01/12/1441</t>
  </si>
  <si>
    <t>02/12/1441</t>
  </si>
  <si>
    <t>05/12/1441</t>
  </si>
  <si>
    <t>06/12/1441</t>
  </si>
  <si>
    <t>07/12/1441</t>
  </si>
  <si>
    <t>08/12/1441</t>
  </si>
  <si>
    <t>09/12/1441</t>
  </si>
  <si>
    <t>19/12/1441</t>
  </si>
  <si>
    <t>26/12/1441</t>
  </si>
  <si>
    <t>04/01/1442</t>
  </si>
  <si>
    <t>11/01/1442</t>
  </si>
  <si>
    <t>18/01/1442</t>
  </si>
  <si>
    <t>25/01/1442</t>
  </si>
  <si>
    <t>26/01/1442</t>
  </si>
  <si>
    <t>27/01/1442</t>
  </si>
  <si>
    <t>02/02/1442</t>
  </si>
  <si>
    <t>09/02/1442</t>
  </si>
  <si>
    <t>16/02/1442</t>
  </si>
  <si>
    <t>23/02/1442</t>
  </si>
  <si>
    <t>01/03/1442</t>
  </si>
  <si>
    <t>08/03/1442</t>
  </si>
  <si>
    <t>15/03/1442</t>
  </si>
  <si>
    <t>22/03/1442</t>
  </si>
  <si>
    <t>29/03/1442</t>
  </si>
  <si>
    <t>06/04/1442</t>
  </si>
  <si>
    <t>13/04/1442</t>
  </si>
  <si>
    <t>20/04/1442</t>
  </si>
  <si>
    <t>27/04/1442</t>
  </si>
  <si>
    <t>05/05/1442</t>
  </si>
  <si>
    <t>12/05/1442</t>
  </si>
  <si>
    <t>19/05/1442</t>
  </si>
  <si>
    <t>26/05/1442</t>
  </si>
  <si>
    <t>03/06/1442</t>
  </si>
  <si>
    <t>10/06/1442</t>
  </si>
  <si>
    <t>17/06/1442</t>
  </si>
  <si>
    <t>24/06/1442</t>
  </si>
  <si>
    <t>02/07/1442</t>
  </si>
  <si>
    <t>09/07/1442</t>
  </si>
  <si>
    <t>16/07/1442</t>
  </si>
  <si>
    <t>23/07/1442</t>
  </si>
  <si>
    <t>30/07/1442</t>
  </si>
  <si>
    <t>07/08/1442</t>
  </si>
  <si>
    <t>14/08/1442</t>
  </si>
  <si>
    <t>21/08/1442</t>
  </si>
  <si>
    <t>26/08/1442</t>
  </si>
  <si>
    <t>27/08/1442</t>
  </si>
  <si>
    <t>28/08/1442</t>
  </si>
  <si>
    <t>29/08/1442</t>
  </si>
  <si>
    <t>06/09/1442</t>
  </si>
  <si>
    <t>13/09/1442</t>
  </si>
  <si>
    <t>20/09/1442</t>
  </si>
  <si>
    <t>27/09/1442</t>
  </si>
  <si>
    <t>30/09/1442</t>
  </si>
  <si>
    <t>05/10/1442</t>
  </si>
  <si>
    <t>06/10/1442</t>
  </si>
  <si>
    <t>11/10/1442</t>
  </si>
  <si>
    <t>18/10/1442</t>
  </si>
  <si>
    <t>25/10/1442</t>
  </si>
  <si>
    <t>03/11/1442</t>
  </si>
  <si>
    <t>10/11/1442</t>
  </si>
  <si>
    <t>17/11/1442</t>
  </si>
  <si>
    <t>24/11/1442</t>
  </si>
  <si>
    <t>01/12/1442</t>
  </si>
  <si>
    <t>02/12/1442</t>
  </si>
  <si>
    <t>03/12/1442</t>
  </si>
  <si>
    <t>04/12/1442</t>
  </si>
  <si>
    <t>05/12/1442</t>
  </si>
  <si>
    <t>06/12/1442</t>
  </si>
  <si>
    <t>07/12/1442</t>
  </si>
  <si>
    <t>08/12/1442</t>
  </si>
  <si>
    <t>09/12/1442</t>
  </si>
  <si>
    <t>17/12/1442</t>
  </si>
  <si>
    <t>18/12/1442</t>
  </si>
  <si>
    <t>19/12/1442</t>
  </si>
  <si>
    <t>22/12/1442</t>
  </si>
  <si>
    <t>25/12/1442</t>
  </si>
  <si>
    <t>26/12/1442</t>
  </si>
  <si>
    <t>06/01/1443</t>
  </si>
  <si>
    <t>13/01/1443</t>
  </si>
  <si>
    <t>20/01/1443</t>
  </si>
  <si>
    <t>27/01/1443</t>
  </si>
  <si>
    <t>04/02/1443</t>
  </si>
  <si>
    <t>11/02/1443</t>
  </si>
  <si>
    <t>18/02/1443</t>
  </si>
  <si>
    <t>25/02/1443</t>
  </si>
  <si>
    <t>03/03/1443</t>
  </si>
  <si>
    <t>10/03/1443</t>
  </si>
  <si>
    <t>17/03/1443</t>
  </si>
  <si>
    <t>24/03/1443</t>
  </si>
  <si>
    <t>01/04/1443</t>
  </si>
  <si>
    <t>08/04/1443</t>
  </si>
  <si>
    <t>15/04/1443</t>
  </si>
  <si>
    <t>22/04/1443</t>
  </si>
  <si>
    <t>29/04/1443</t>
  </si>
  <si>
    <t>07/05/1443</t>
  </si>
  <si>
    <t>14/05/1443</t>
  </si>
  <si>
    <t>21/05/1443</t>
  </si>
  <si>
    <t>28/05/1443</t>
  </si>
  <si>
    <t>03/06/1443</t>
  </si>
  <si>
    <t>12/06/1443</t>
  </si>
  <si>
    <t>19/06/1443</t>
  </si>
  <si>
    <t>26/06/1443</t>
  </si>
  <si>
    <t>04/07/1443</t>
  </si>
  <si>
    <t>11/07/1443</t>
  </si>
  <si>
    <t>18/07/1443</t>
  </si>
  <si>
    <t>25/07/1443</t>
  </si>
  <si>
    <t>02/08/1443</t>
  </si>
  <si>
    <t>09/08/1443</t>
  </si>
  <si>
    <t>16/08/1443</t>
  </si>
  <si>
    <t>23/08/1443</t>
  </si>
  <si>
    <t>28/08/1443</t>
  </si>
  <si>
    <t>02/09/1443</t>
  </si>
  <si>
    <t>04/09/1443</t>
  </si>
  <si>
    <t>06/09/1443</t>
  </si>
  <si>
    <t>08/09/1443</t>
  </si>
  <si>
    <t>09/09/1443</t>
  </si>
  <si>
    <t>11/09/1443</t>
  </si>
  <si>
    <t>13/09/1443</t>
  </si>
  <si>
    <t>15/09/1443</t>
  </si>
  <si>
    <t>16/09/1443</t>
  </si>
  <si>
    <t>18/09/1443</t>
  </si>
  <si>
    <t>20/09/1443</t>
  </si>
  <si>
    <t>22/09/1443</t>
  </si>
  <si>
    <t>23/09/1443</t>
  </si>
  <si>
    <t>25/09/1443</t>
  </si>
  <si>
    <t>27/09/1443</t>
  </si>
  <si>
    <t>29/09/1443</t>
  </si>
  <si>
    <t>30/09/1443</t>
  </si>
  <si>
    <t>04/10/1443</t>
  </si>
  <si>
    <t>06/10/1443</t>
  </si>
  <si>
    <t>07/10/1443</t>
  </si>
  <si>
    <t>09/10/1443</t>
  </si>
  <si>
    <t>11/10/1443</t>
  </si>
  <si>
    <t>13/10/1443</t>
  </si>
  <si>
    <t>14/10/1443</t>
  </si>
  <si>
    <t>16/10/1443</t>
  </si>
  <si>
    <t>18/10/1443</t>
  </si>
  <si>
    <t>20/10/1443</t>
  </si>
  <si>
    <t>21/10/1443</t>
  </si>
  <si>
    <t>23/10/1443</t>
  </si>
  <si>
    <t>25/10/1443</t>
  </si>
  <si>
    <t>27/10/1443</t>
  </si>
  <si>
    <t>28/10/1443</t>
  </si>
  <si>
    <t>01/11/1443</t>
  </si>
  <si>
    <t>03/11/1443</t>
  </si>
  <si>
    <t>05/11/1443</t>
  </si>
  <si>
    <t>06/11/1443</t>
  </si>
  <si>
    <t>08/11/1443</t>
  </si>
  <si>
    <t>10/11/1443</t>
  </si>
  <si>
    <t>12/11/1443</t>
  </si>
  <si>
    <t>13/11/1443</t>
  </si>
  <si>
    <t>15/11/1443</t>
  </si>
  <si>
    <t>17/11/1443</t>
  </si>
  <si>
    <t>19/11/1443</t>
  </si>
  <si>
    <t>20/11/1443</t>
  </si>
  <si>
    <t>22/11/1443</t>
  </si>
  <si>
    <t>24/11/1443</t>
  </si>
  <si>
    <t>26/11/1443</t>
  </si>
  <si>
    <t>27/11/1443</t>
  </si>
  <si>
    <t>29/11/1443</t>
  </si>
  <si>
    <t>01/12/1443</t>
  </si>
  <si>
    <t>03/12/1443</t>
  </si>
  <si>
    <t>04/12/1443</t>
  </si>
  <si>
    <t>05/12/1443</t>
  </si>
  <si>
    <t>06/12/1443</t>
  </si>
  <si>
    <t>07/12/1443</t>
  </si>
  <si>
    <t>08/12/1443</t>
  </si>
  <si>
    <t>09/12/1443</t>
  </si>
  <si>
    <t>13/12/1443</t>
  </si>
  <si>
    <t>15/12/1443</t>
  </si>
  <si>
    <t>18/12/1443</t>
  </si>
  <si>
    <t>20/12/1443</t>
  </si>
  <si>
    <t>22/12/1443</t>
  </si>
  <si>
    <t>25/12/1443</t>
  </si>
  <si>
    <t>27/12/1443</t>
  </si>
  <si>
    <t>29/12/1443</t>
  </si>
  <si>
    <t>02/01/1444</t>
  </si>
  <si>
    <t>03/01/1444</t>
  </si>
  <si>
    <t>05/01/1444</t>
  </si>
  <si>
    <t>07/01/1444</t>
  </si>
  <si>
    <t>09/01/1444</t>
  </si>
  <si>
    <t>10/01/1444</t>
  </si>
  <si>
    <t>12/01/1444</t>
  </si>
  <si>
    <t>14/01/1444</t>
  </si>
  <si>
    <t>16/01/1444</t>
  </si>
  <si>
    <t>17/01/1444</t>
  </si>
  <si>
    <t>21/01/1444</t>
  </si>
  <si>
    <t>24/01/1444</t>
  </si>
  <si>
    <t>26/01/1444</t>
  </si>
  <si>
    <t>28/01/1444</t>
  </si>
  <si>
    <t>30/01/1444</t>
  </si>
  <si>
    <t>01/02/1444</t>
  </si>
  <si>
    <t>03/02/1444</t>
  </si>
  <si>
    <t>05/02/1444</t>
  </si>
  <si>
    <t>08/02/1444</t>
  </si>
  <si>
    <t>10/02/1444</t>
  </si>
  <si>
    <t>12/02/1444</t>
  </si>
  <si>
    <t>15/02/1444</t>
  </si>
  <si>
    <t>17/02/1444</t>
  </si>
  <si>
    <t>19/02/1444</t>
  </si>
  <si>
    <t>21/02/1444</t>
  </si>
  <si>
    <t>22/02/1444</t>
  </si>
  <si>
    <t>24/02/1444</t>
  </si>
  <si>
    <t>26/02/1444</t>
  </si>
  <si>
    <t>28/02/1444</t>
  </si>
  <si>
    <t>29/02/1444</t>
  </si>
  <si>
    <t>02/03/1444</t>
  </si>
  <si>
    <t>04/03/1444</t>
  </si>
  <si>
    <t>06/03/1444</t>
  </si>
  <si>
    <t>07/03/1444</t>
  </si>
  <si>
    <t>09/03/1444</t>
  </si>
  <si>
    <t>10/03/1444</t>
  </si>
  <si>
    <t>11/03/1444</t>
  </si>
  <si>
    <t>13/03/1444</t>
  </si>
  <si>
    <t>14/03/1444</t>
  </si>
  <si>
    <t>16/03/1444</t>
  </si>
  <si>
    <t>18/03/1444</t>
  </si>
  <si>
    <t>20/03/1444</t>
  </si>
  <si>
    <t>21/03/1444</t>
  </si>
  <si>
    <t>23/03/1444</t>
  </si>
  <si>
    <t>24/03/1444</t>
  </si>
  <si>
    <t>25/03/1444</t>
  </si>
  <si>
    <t>27/03/1444</t>
  </si>
  <si>
    <t>28/03/1444</t>
  </si>
  <si>
    <t>30/03/1444</t>
  </si>
  <si>
    <t>02/04/1444</t>
  </si>
  <si>
    <t>04/04/1444</t>
  </si>
  <si>
    <t>05/04/1444</t>
  </si>
  <si>
    <t>07/04/1444</t>
  </si>
  <si>
    <t>09/04/1444</t>
  </si>
  <si>
    <t>11/04/1444</t>
  </si>
  <si>
    <t>12/04/1444</t>
  </si>
  <si>
    <t>14/04/1444</t>
  </si>
  <si>
    <t>15/04/1444</t>
  </si>
  <si>
    <t>16/04/1444</t>
  </si>
  <si>
    <t>18/04/1444</t>
  </si>
  <si>
    <t>19/04/1444</t>
  </si>
  <si>
    <t>21/04/1444</t>
  </si>
  <si>
    <t>23/04/1444</t>
  </si>
  <si>
    <t>25/04/1444</t>
  </si>
  <si>
    <t>26/04/1444</t>
  </si>
  <si>
    <t>28/04/1444</t>
  </si>
  <si>
    <t>01/05/1444</t>
  </si>
  <si>
    <t>03/05/1444</t>
  </si>
  <si>
    <t>04/05/1444</t>
  </si>
  <si>
    <t>06/05/1444</t>
  </si>
  <si>
    <t>08/05/1444</t>
  </si>
  <si>
    <t>10/05/1444</t>
  </si>
  <si>
    <t>11/05/1444</t>
  </si>
  <si>
    <t>13/05/1444</t>
  </si>
  <si>
    <t>14/05/1444</t>
  </si>
  <si>
    <t>15/05/1444</t>
  </si>
  <si>
    <t>17/05/1444</t>
  </si>
  <si>
    <t>18/05/1444</t>
  </si>
  <si>
    <t>20/05/1444</t>
  </si>
  <si>
    <t>22/05/1444</t>
  </si>
  <si>
    <t>24/05/1444</t>
  </si>
  <si>
    <t>25/05/1444</t>
  </si>
  <si>
    <t>27/05/1444</t>
  </si>
  <si>
    <t>28/05/1444</t>
  </si>
  <si>
    <t>01/06/1444</t>
  </si>
  <si>
    <t>02/06/1444</t>
  </si>
  <si>
    <t>03/06/1444</t>
  </si>
  <si>
    <t>05/06/1444</t>
  </si>
  <si>
    <t>06/06/1444</t>
  </si>
  <si>
    <t>08/06/1444</t>
  </si>
  <si>
    <t>09/06/1444</t>
  </si>
  <si>
    <t>11/06/1444</t>
  </si>
  <si>
    <t>12/06/1444</t>
  </si>
  <si>
    <t>13/06/1444</t>
  </si>
  <si>
    <t>15/06/1444</t>
  </si>
  <si>
    <t>16/06/1444</t>
  </si>
  <si>
    <t>18/06/1444</t>
  </si>
  <si>
    <t>20/06/1444</t>
  </si>
  <si>
    <t>22/06/1444</t>
  </si>
  <si>
    <t>23/06/1444</t>
  </si>
  <si>
    <t>25/06/1444</t>
  </si>
  <si>
    <t>26/06/1444</t>
  </si>
  <si>
    <t>29/06/1444</t>
  </si>
  <si>
    <t>01/07/1444</t>
  </si>
  <si>
    <t>02/07/1444</t>
  </si>
  <si>
    <t>04/07/1444</t>
  </si>
  <si>
    <t>05/07/1444</t>
  </si>
  <si>
    <t>07/07/1444</t>
  </si>
  <si>
    <t>08/07/1444</t>
  </si>
  <si>
    <t>09/07/1444</t>
  </si>
  <si>
    <t>11/07/1444</t>
  </si>
  <si>
    <t>12/07/1444</t>
  </si>
  <si>
    <t>14/07/1444</t>
  </si>
  <si>
    <t>16/07/1444</t>
  </si>
  <si>
    <t>18/07/1444</t>
  </si>
  <si>
    <t>19/07/1444</t>
  </si>
  <si>
    <t>21/07/1444</t>
  </si>
  <si>
    <t>22/07/1444</t>
  </si>
  <si>
    <t>24/07/1444</t>
  </si>
  <si>
    <t>26/07/1444</t>
  </si>
  <si>
    <t>28/07/1444</t>
  </si>
  <si>
    <t>29/07/1444</t>
  </si>
  <si>
    <t>30/07/1444</t>
  </si>
  <si>
    <t>02/08/1444</t>
  </si>
  <si>
    <t>03/08/1444</t>
  </si>
  <si>
    <t>05/08/1444</t>
  </si>
  <si>
    <t>06/08/1444</t>
  </si>
  <si>
    <t>08/08/1444</t>
  </si>
  <si>
    <t>09/08/1444</t>
  </si>
  <si>
    <t>10/08/1444</t>
  </si>
  <si>
    <t>12/08/1444</t>
  </si>
  <si>
    <t>13/08/1444</t>
  </si>
  <si>
    <t>14/08/1444</t>
  </si>
  <si>
    <t>15/08/1444</t>
  </si>
  <si>
    <t>16/08/1444</t>
  </si>
  <si>
    <t>17/08/1444</t>
  </si>
  <si>
    <t>19/08/1444</t>
  </si>
  <si>
    <t>20/08/1444</t>
  </si>
  <si>
    <t>21/08/1444</t>
  </si>
  <si>
    <t>22/08/1444</t>
  </si>
  <si>
    <t>23/08/1444</t>
  </si>
  <si>
    <t>24/08/1444</t>
  </si>
  <si>
    <t>26/08/1444</t>
  </si>
  <si>
    <t>27/08/1444</t>
  </si>
  <si>
    <t>28/08/1444</t>
  </si>
  <si>
    <t>29/08/1444</t>
  </si>
  <si>
    <t>01/09/1444</t>
  </si>
  <si>
    <t>05/09/1444</t>
  </si>
  <si>
    <t>06/09/1444</t>
  </si>
  <si>
    <t>07/09/1444</t>
  </si>
  <si>
    <t>08/09/1444</t>
  </si>
  <si>
    <t>11/09/1444</t>
  </si>
  <si>
    <t>12/09/1444</t>
  </si>
  <si>
    <t>13/09/1444</t>
  </si>
  <si>
    <t>14/09/1444</t>
  </si>
  <si>
    <t>15/09/1444</t>
  </si>
  <si>
    <t>18/09/1444</t>
  </si>
  <si>
    <t>19/09/1444</t>
  </si>
  <si>
    <t>20/09/1444</t>
  </si>
  <si>
    <t>21/09/1444</t>
  </si>
  <si>
    <t>22/09/1444</t>
  </si>
  <si>
    <t>25/09/1444</t>
  </si>
  <si>
    <t>26/09/1444</t>
  </si>
  <si>
    <t>27/09/1444</t>
  </si>
  <si>
    <t>28/09/1444</t>
  </si>
  <si>
    <t>29/09/1444</t>
  </si>
  <si>
    <t>09/10/1444</t>
  </si>
  <si>
    <t>16/10/1444</t>
  </si>
  <si>
    <t>18/11/1444</t>
  </si>
  <si>
    <t>19/11/1444</t>
  </si>
  <si>
    <t>22/11/1444</t>
  </si>
  <si>
    <t>23/11/1444</t>
  </si>
  <si>
    <t>24/11/1444</t>
  </si>
  <si>
    <t>25/11/1444</t>
  </si>
  <si>
    <t>29/11/1444</t>
  </si>
  <si>
    <t>30/11/1444</t>
  </si>
  <si>
    <t>01/12/1444</t>
  </si>
  <si>
    <t>02/12/1444</t>
  </si>
  <si>
    <t>03/12/1444</t>
  </si>
  <si>
    <t>04/12/1444</t>
  </si>
  <si>
    <t>05/12/1444</t>
  </si>
  <si>
    <t>06/12/1444</t>
  </si>
  <si>
    <t>07/12/1444</t>
  </si>
  <si>
    <t>28/12/1444</t>
  </si>
  <si>
    <t>29/12/1444</t>
  </si>
  <si>
    <t>08/01/1445</t>
  </si>
  <si>
    <t>09/01/1445</t>
  </si>
  <si>
    <t>13/01/1445</t>
  </si>
  <si>
    <t>14/01/1445</t>
  </si>
  <si>
    <t>15/01/1445</t>
  </si>
  <si>
    <t>16/01/1445</t>
  </si>
  <si>
    <t>20/01/1445</t>
  </si>
  <si>
    <t>21/01/1445</t>
  </si>
  <si>
    <t>22/01/1445</t>
  </si>
  <si>
    <t>23/01/1445</t>
  </si>
  <si>
    <t>26/01/1445</t>
  </si>
  <si>
    <t>29/01/1445</t>
  </si>
  <si>
    <t>30/01/1445</t>
  </si>
  <si>
    <t>04/02/1445</t>
  </si>
  <si>
    <t>10/02/1445</t>
  </si>
  <si>
    <t>11/02/1445</t>
  </si>
  <si>
    <t>17/02/1445</t>
  </si>
  <si>
    <t>18/02/1445</t>
  </si>
  <si>
    <t>19/02/1445</t>
  </si>
  <si>
    <t>20/02/1445</t>
  </si>
  <si>
    <t>21/02/1445</t>
  </si>
  <si>
    <t>24/02/1445</t>
  </si>
  <si>
    <t>25/02/1445</t>
  </si>
  <si>
    <t>28/02/1445</t>
  </si>
  <si>
    <t>05/03/1445</t>
  </si>
  <si>
    <t>06/03/1445</t>
  </si>
  <si>
    <t>10/03/1445</t>
  </si>
  <si>
    <t>13/03/1445</t>
  </si>
  <si>
    <t>16/03/1445</t>
  </si>
  <si>
    <t>17/03/1445</t>
  </si>
  <si>
    <t>18/03/1445</t>
  </si>
  <si>
    <t>23/03/1445</t>
  </si>
  <si>
    <t>24/03/1445</t>
  </si>
  <si>
    <t>30/03/1445</t>
  </si>
  <si>
    <t>01/04/1445</t>
  </si>
  <si>
    <t>07/04/1445</t>
  </si>
  <si>
    <t>08/04/1445</t>
  </si>
  <si>
    <t>11/04/1445</t>
  </si>
  <si>
    <t>14/04/1445</t>
  </si>
  <si>
    <t>15/04/1445</t>
  </si>
  <si>
    <t>21/04/1445</t>
  </si>
  <si>
    <t>24/04/1445</t>
  </si>
  <si>
    <t>25/04/1445</t>
  </si>
  <si>
    <t>28/04/1445</t>
  </si>
  <si>
    <t>29/04/1445</t>
  </si>
  <si>
    <t>03/05/1445</t>
  </si>
  <si>
    <t>06/05/1445</t>
  </si>
  <si>
    <t>07/05/1445</t>
  </si>
  <si>
    <t>13/05/1445</t>
  </si>
  <si>
    <t>14/05/1445</t>
  </si>
  <si>
    <t>20/05/1445</t>
  </si>
  <si>
    <t>21/05/1445</t>
  </si>
  <si>
    <t>24/05/1445</t>
  </si>
  <si>
    <t>27/05/1445</t>
  </si>
  <si>
    <t>28/05/1445</t>
  </si>
  <si>
    <t>04/06/1445</t>
  </si>
  <si>
    <t>05/06/1445</t>
  </si>
  <si>
    <t>08/06/1445</t>
  </si>
  <si>
    <t>11/06/1445</t>
  </si>
  <si>
    <t>12/06/1445</t>
  </si>
  <si>
    <t>15/06/1445</t>
  </si>
  <si>
    <t>18/06/1445</t>
  </si>
  <si>
    <t>19/06/1445</t>
  </si>
  <si>
    <t>20/06/1445</t>
  </si>
  <si>
    <t>21/06/1445</t>
  </si>
  <si>
    <t>22/06/1445</t>
  </si>
  <si>
    <t>23/06/1445</t>
  </si>
  <si>
    <t>26/06/1445</t>
  </si>
  <si>
    <t>29/06/1445</t>
  </si>
  <si>
    <t>03/07/1445</t>
  </si>
  <si>
    <t>04/07/1445</t>
  </si>
  <si>
    <t>09/07/1445</t>
  </si>
  <si>
    <t>14/07/1445</t>
  </si>
  <si>
    <t>23/07/1445</t>
  </si>
  <si>
    <t>24/07/1445</t>
  </si>
  <si>
    <t>25/07/1445</t>
  </si>
  <si>
    <t>26/07/1445</t>
  </si>
  <si>
    <t>27/07/1445</t>
  </si>
  <si>
    <t>28/07/1445</t>
  </si>
  <si>
    <t>02/08/1445</t>
  </si>
  <si>
    <t>05/08/1445</t>
  </si>
  <si>
    <t>09/08/1445</t>
  </si>
  <si>
    <t>16/08/1445</t>
  </si>
  <si>
    <t>19/08/1445</t>
  </si>
  <si>
    <t>22/08/1445</t>
  </si>
  <si>
    <t>23/08/1445</t>
  </si>
  <si>
    <t>24/08/1445</t>
  </si>
  <si>
    <t>25/08/1445</t>
  </si>
  <si>
    <t>26/08/1445</t>
  </si>
  <si>
    <t>27/08/1445</t>
  </si>
  <si>
    <t>28/08/1445</t>
  </si>
  <si>
    <t>29/08/1445</t>
  </si>
  <si>
    <t>03/09/1445</t>
  </si>
  <si>
    <t>07/09/1445</t>
  </si>
  <si>
    <t>08/09/1445</t>
  </si>
  <si>
    <t>09/09/1445</t>
  </si>
  <si>
    <t>18/09/1445</t>
  </si>
  <si>
    <t>19/09/1445</t>
  </si>
  <si>
    <t>22/09/1445</t>
  </si>
  <si>
    <t>23/09/1445</t>
  </si>
  <si>
    <t>24/09/1445</t>
  </si>
  <si>
    <t>25/09/1445</t>
  </si>
  <si>
    <t>28/09/1445</t>
  </si>
  <si>
    <t>07/10/1445</t>
  </si>
  <si>
    <t>08/10/1445</t>
  </si>
  <si>
    <t>09/10/1445</t>
  </si>
  <si>
    <t>15/10/1445</t>
  </si>
  <si>
    <t>16/10/1445</t>
  </si>
  <si>
    <t>22/10/1445</t>
  </si>
  <si>
    <t>23/10/1445</t>
  </si>
  <si>
    <t>29/10/1445</t>
  </si>
  <si>
    <t>01/11/1445</t>
  </si>
  <si>
    <t>07/11/1445</t>
  </si>
  <si>
    <t>08/11/1445</t>
  </si>
  <si>
    <t>11/11/1445</t>
  </si>
  <si>
    <t>12/11/1445</t>
  </si>
  <si>
    <t>15/11/1445</t>
  </si>
  <si>
    <t>18/11/1445</t>
  </si>
  <si>
    <t>19/11/1445</t>
  </si>
  <si>
    <t>25/11/1445</t>
  </si>
  <si>
    <t>26/11/1445</t>
  </si>
  <si>
    <t>01/12/1445</t>
  </si>
  <si>
    <t>02/12/1445</t>
  </si>
  <si>
    <t>03/12/1445</t>
  </si>
  <si>
    <t>04/12/1445</t>
  </si>
  <si>
    <t>05/12/1445</t>
  </si>
  <si>
    <t>06/12/1445</t>
  </si>
  <si>
    <t>07/12/1445</t>
  </si>
  <si>
    <t>08/12/1445</t>
  </si>
  <si>
    <t>09/12/1445</t>
  </si>
  <si>
    <t>12/12/1445</t>
  </si>
  <si>
    <t>14/12/1445</t>
  </si>
  <si>
    <t>16/12/1445</t>
  </si>
  <si>
    <t>18/12/1445</t>
  </si>
  <si>
    <t>20/12/1445</t>
  </si>
  <si>
    <t>23/12/1445</t>
  </si>
  <si>
    <t>25/12/1445</t>
  </si>
  <si>
    <t>27/12/1445</t>
  </si>
  <si>
    <t>29/12/1445</t>
  </si>
  <si>
    <t>01/01/1446</t>
  </si>
  <si>
    <t>02/01/1446</t>
  </si>
  <si>
    <t>05/01/1446</t>
  </si>
  <si>
    <t>07/01/1446</t>
  </si>
  <si>
    <t>10/01/1446</t>
  </si>
  <si>
    <t>11/01/1446</t>
  </si>
  <si>
    <t>12/01/1446</t>
  </si>
  <si>
    <t>13/01/1446</t>
  </si>
  <si>
    <t>15/01/1446</t>
  </si>
  <si>
    <t>16/01/1446</t>
  </si>
  <si>
    <t>18/01/1446</t>
  </si>
  <si>
    <t>19/01/1446</t>
  </si>
  <si>
    <t>21/01/1446</t>
  </si>
  <si>
    <t>24/01/1446</t>
  </si>
  <si>
    <t>25/01/1446</t>
  </si>
  <si>
    <t>26/01/1446</t>
  </si>
  <si>
    <t>28/01/1446</t>
  </si>
  <si>
    <t>01/02/1446</t>
  </si>
  <si>
    <t>03/02/1446</t>
  </si>
  <si>
    <t>05/02/1446</t>
  </si>
  <si>
    <t>07/02/1446</t>
  </si>
  <si>
    <t>09/02/1446</t>
  </si>
  <si>
    <t>10/02/1446</t>
  </si>
  <si>
    <t>13/02/1446</t>
  </si>
  <si>
    <t>14/02/1446</t>
  </si>
  <si>
    <t>17/02/1446</t>
  </si>
  <si>
    <t>19/02/1446</t>
  </si>
  <si>
    <t>20/02/1446</t>
  </si>
  <si>
    <t>22/02/1446</t>
  </si>
  <si>
    <t>23/02/1446</t>
  </si>
  <si>
    <t>24/02/1446</t>
  </si>
  <si>
    <t>26/02/1446</t>
  </si>
  <si>
    <t>27/02/1446</t>
  </si>
  <si>
    <t>29/02/1446</t>
  </si>
  <si>
    <t>02/03/1446</t>
  </si>
  <si>
    <t>04/03/1446</t>
  </si>
  <si>
    <t>05/03/1446</t>
  </si>
  <si>
    <t>06/03/1446</t>
  </si>
  <si>
    <t>08/03/1446</t>
  </si>
  <si>
    <t>09/03/1446</t>
  </si>
  <si>
    <t>11/03/1446</t>
  </si>
  <si>
    <t>12/03/1446</t>
  </si>
  <si>
    <t>13/03/1446</t>
  </si>
  <si>
    <t>14/03/1446</t>
  </si>
  <si>
    <t>15/03/1446</t>
  </si>
  <si>
    <t>16/03/1446</t>
  </si>
  <si>
    <t>18/03/1446</t>
  </si>
  <si>
    <t>19/03/1446</t>
  </si>
  <si>
    <t>20/03/1446</t>
  </si>
  <si>
    <t>21/03/1446</t>
  </si>
  <si>
    <t>23/03/1446</t>
  </si>
  <si>
    <t>25/03/1446</t>
  </si>
  <si>
    <t>26/03/1446</t>
  </si>
  <si>
    <t>27/03/1446</t>
  </si>
  <si>
    <t>30/03/1446</t>
  </si>
  <si>
    <t>02/04/1446</t>
  </si>
  <si>
    <t>03/04/1446</t>
  </si>
  <si>
    <t>04/04/1446</t>
  </si>
  <si>
    <t>06/04/1446</t>
  </si>
  <si>
    <t>07/04/1446</t>
  </si>
  <si>
    <t>09/04/1446</t>
  </si>
  <si>
    <t>10/04/1446</t>
  </si>
  <si>
    <t>11/04/1446</t>
  </si>
  <si>
    <t>13/04/1446</t>
  </si>
  <si>
    <t>14/04/1446</t>
  </si>
  <si>
    <t>16/04/1446</t>
  </si>
  <si>
    <t>17/04/1446</t>
  </si>
  <si>
    <t>18/04/1446</t>
  </si>
  <si>
    <t>20/04/1446</t>
  </si>
  <si>
    <t>21/04/1446</t>
  </si>
  <si>
    <t>23/04/1446</t>
  </si>
  <si>
    <t>24/04/1446</t>
  </si>
  <si>
    <t>25/04/1446</t>
  </si>
  <si>
    <t>26/04/1446</t>
  </si>
  <si>
    <t>28/04/1446</t>
  </si>
  <si>
    <t>01/05/1446</t>
  </si>
  <si>
    <t>02/05/1446</t>
  </si>
  <si>
    <t>03/05/1446</t>
  </si>
  <si>
    <t>04/05/1446</t>
  </si>
  <si>
    <t>06/05/1446</t>
  </si>
  <si>
    <t>08/05/1446</t>
  </si>
  <si>
    <t>09/05/1446</t>
  </si>
  <si>
    <t>10/05/1446</t>
  </si>
  <si>
    <t>13/05/1446</t>
  </si>
  <si>
    <t>15/05/1446</t>
  </si>
  <si>
    <t>16/05/1446</t>
  </si>
  <si>
    <t>17/05/1446</t>
  </si>
  <si>
    <t>19/05/1446</t>
  </si>
  <si>
    <t>20/05/1446</t>
  </si>
  <si>
    <t>22/05/1446</t>
  </si>
  <si>
    <t>23/05/1446</t>
  </si>
  <si>
    <t>24/05/1446</t>
  </si>
  <si>
    <t>26/05/1446</t>
  </si>
  <si>
    <t>27/05/1446</t>
  </si>
  <si>
    <t>29/05/1446</t>
  </si>
  <si>
    <t>30/05/1446</t>
  </si>
  <si>
    <t>01/06/1446</t>
  </si>
  <si>
    <t>03/06/1446</t>
  </si>
  <si>
    <t>04/06/1446</t>
  </si>
  <si>
    <t>06/06/1446</t>
  </si>
  <si>
    <t>07/06/1446</t>
  </si>
  <si>
    <t>08/06/1446</t>
  </si>
  <si>
    <t>09/06/1446</t>
  </si>
  <si>
    <t>11/06/1446</t>
  </si>
  <si>
    <t>13/06/1446</t>
  </si>
  <si>
    <t>14/06/1446</t>
  </si>
  <si>
    <t>15/06/1446</t>
  </si>
  <si>
    <t>16/06/1446</t>
  </si>
  <si>
    <t>18/06/1446</t>
  </si>
  <si>
    <t>20/06/1446</t>
  </si>
  <si>
    <t>21/06/1446</t>
  </si>
  <si>
    <t>22/06/1446</t>
  </si>
  <si>
    <t>24/06/1446</t>
  </si>
  <si>
    <t>25/06/1446</t>
  </si>
  <si>
    <t>27/06/1446</t>
  </si>
  <si>
    <t>28/06/1446</t>
  </si>
  <si>
    <t>29/06/1446</t>
  </si>
  <si>
    <t>01/07/1446</t>
  </si>
  <si>
    <t>02/07/1446</t>
  </si>
  <si>
    <t>03/07/1446</t>
  </si>
  <si>
    <t>05/07/1446</t>
  </si>
  <si>
    <t>06/07/1446</t>
  </si>
  <si>
    <t>07/07/1446</t>
  </si>
  <si>
    <t>09/07/1446</t>
  </si>
  <si>
    <t>10/07/1446</t>
  </si>
  <si>
    <t>12/07/1446</t>
  </si>
  <si>
    <t>13/07/1446</t>
  </si>
  <si>
    <t>14/07/1446</t>
  </si>
  <si>
    <t>16/07/1446</t>
  </si>
  <si>
    <t>17/07/1446</t>
  </si>
  <si>
    <t>19/07/1446</t>
  </si>
  <si>
    <t>20/07/1446</t>
  </si>
  <si>
    <t>21/07/1446</t>
  </si>
  <si>
    <t>23/07/1446</t>
  </si>
  <si>
    <t>24/07/1446</t>
  </si>
  <si>
    <t>26/07/1446</t>
  </si>
  <si>
    <t>27/07/1446</t>
  </si>
  <si>
    <t>28/07/1446</t>
  </si>
  <si>
    <t>29/07/1446</t>
  </si>
  <si>
    <t>01/08/1446</t>
  </si>
  <si>
    <t>03/08/1446</t>
  </si>
  <si>
    <t>04/08/1446</t>
  </si>
  <si>
    <t>05/08/1446</t>
  </si>
  <si>
    <t>06/08/1446</t>
  </si>
  <si>
    <t>07/08/1446</t>
  </si>
  <si>
    <t>08/08/1446</t>
  </si>
  <si>
    <t>10/08/1446</t>
  </si>
  <si>
    <t>11/08/1446</t>
  </si>
  <si>
    <t>12/08/1446</t>
  </si>
  <si>
    <t>13/08/1446</t>
  </si>
  <si>
    <t>15/08/1446</t>
  </si>
  <si>
    <t>17/08/1446</t>
  </si>
  <si>
    <t>18/08/1446</t>
  </si>
  <si>
    <t>19/08/1446</t>
  </si>
  <si>
    <t>20/08/1446</t>
  </si>
  <si>
    <t>21/08/1446</t>
  </si>
  <si>
    <t>22/08/1446</t>
  </si>
  <si>
    <t>24/08/1446</t>
  </si>
  <si>
    <t>25/08/1446</t>
  </si>
  <si>
    <t>26/08/1446</t>
  </si>
  <si>
    <t>27/08/1446</t>
  </si>
  <si>
    <t>28/08/1446</t>
  </si>
  <si>
    <t>29/08/1446</t>
  </si>
  <si>
    <t>01/09/1446</t>
  </si>
  <si>
    <t>04/09/1446</t>
  </si>
  <si>
    <t>05/09/1446</t>
  </si>
  <si>
    <t>06/09/1446</t>
  </si>
  <si>
    <t>07/09/1446</t>
  </si>
  <si>
    <t>09/09/1446</t>
  </si>
  <si>
    <t>11/09/1446</t>
  </si>
  <si>
    <t>12/09/1446</t>
  </si>
  <si>
    <t>13/09/1446</t>
  </si>
  <si>
    <t>14/09/1446</t>
  </si>
  <si>
    <t>16/09/1446</t>
  </si>
  <si>
    <t>18/09/1446</t>
  </si>
  <si>
    <t>19/09/1446</t>
  </si>
  <si>
    <t>20/09/1446</t>
  </si>
  <si>
    <t>21/09/1446</t>
  </si>
  <si>
    <t>23/09/1446</t>
  </si>
  <si>
    <t>25/09/1446</t>
  </si>
  <si>
    <t>26/09/1446</t>
  </si>
  <si>
    <t>27/09/1446</t>
  </si>
  <si>
    <t>28/09/1446</t>
  </si>
  <si>
    <t>29/09/1446</t>
  </si>
  <si>
    <t>30/09/1446</t>
  </si>
  <si>
    <t>03/10/1446</t>
  </si>
  <si>
    <t>07/10/1446</t>
  </si>
  <si>
    <t>08/10/1446</t>
  </si>
  <si>
    <t>10/10/1446</t>
  </si>
  <si>
    <t>11/10/1446</t>
  </si>
  <si>
    <t>12/10/1446</t>
  </si>
  <si>
    <t>14/10/1446</t>
  </si>
  <si>
    <t>16/10/1446</t>
  </si>
  <si>
    <t>17/10/1446</t>
  </si>
  <si>
    <t>18/10/1446</t>
  </si>
  <si>
    <t>19/10/1446</t>
  </si>
  <si>
    <t>21/10/1446</t>
  </si>
  <si>
    <t>22/10/1446</t>
  </si>
  <si>
    <t>24/10/1446</t>
  </si>
  <si>
    <t>25/10/1446</t>
  </si>
  <si>
    <t>26/10/1446</t>
  </si>
  <si>
    <t>28/10/1446</t>
  </si>
  <si>
    <t>29/10/1446</t>
  </si>
  <si>
    <t>01/11/1446</t>
  </si>
  <si>
    <t>02/11/1446</t>
  </si>
  <si>
    <t>04/11/1446</t>
  </si>
  <si>
    <t>06/11/1446</t>
  </si>
  <si>
    <t>07/11/1446</t>
  </si>
  <si>
    <t>08/11/1446</t>
  </si>
  <si>
    <t>09/11/1446</t>
  </si>
  <si>
    <t>10/11/1446</t>
  </si>
  <si>
    <t>11/11/1446</t>
  </si>
  <si>
    <t>13/11/1446</t>
  </si>
  <si>
    <t>14/11/1446</t>
  </si>
  <si>
    <t>15/11/1446</t>
  </si>
  <si>
    <t>16/11/1446</t>
  </si>
  <si>
    <t>17/11/1446</t>
  </si>
  <si>
    <t>18/11/1446</t>
  </si>
  <si>
    <t>20/11/1446</t>
  </si>
  <si>
    <t>21/11/1446</t>
  </si>
  <si>
    <t>23/11/1446</t>
  </si>
  <si>
    <t>25/11/1446</t>
  </si>
  <si>
    <t>27/11/1446</t>
  </si>
  <si>
    <t>28/11/1446</t>
  </si>
  <si>
    <t>29/11/1446</t>
  </si>
  <si>
    <t>30/11/1446</t>
  </si>
  <si>
    <t>01/12/1446</t>
  </si>
  <si>
    <t>02/12/1446</t>
  </si>
  <si>
    <t>03/12/1446</t>
  </si>
  <si>
    <t>04/12/1446</t>
  </si>
  <si>
    <t>05/12/1446</t>
  </si>
  <si>
    <t>06/12/1446</t>
  </si>
  <si>
    <t>07/12/1446</t>
  </si>
  <si>
    <t>08/12/1446</t>
  </si>
  <si>
    <t>13/12/1446</t>
  </si>
  <si>
    <t>15/12/1446</t>
  </si>
  <si>
    <t>16/12/1446</t>
  </si>
  <si>
    <t>18/12/1446</t>
  </si>
  <si>
    <t>19/12/1446</t>
  </si>
  <si>
    <t>21/12/1446</t>
  </si>
  <si>
    <t>23/12/1446</t>
  </si>
  <si>
    <t>25/12/1446</t>
  </si>
  <si>
    <t>26/12/1446</t>
  </si>
  <si>
    <t>28/12/1446</t>
  </si>
  <si>
    <t>29/12/1446</t>
  </si>
  <si>
    <t>01/01/1447</t>
  </si>
  <si>
    <t>03/01/1447</t>
  </si>
  <si>
    <t>04/01/1447</t>
  </si>
  <si>
    <t>06/01/1447</t>
  </si>
  <si>
    <t>07/01/1447</t>
  </si>
  <si>
    <t>08/01/1447</t>
  </si>
  <si>
    <t>10/01/1447</t>
  </si>
  <si>
    <t>11/01/1447</t>
  </si>
  <si>
    <t>12/01/1447</t>
  </si>
  <si>
    <t>13/01/1447</t>
  </si>
  <si>
    <t>15/01/1447</t>
  </si>
  <si>
    <t>17/01/1447</t>
  </si>
  <si>
    <t>18/01/1447</t>
  </si>
  <si>
    <t>20/01/1447</t>
  </si>
  <si>
    <t>21/01/1447</t>
  </si>
  <si>
    <t>22/01/1447</t>
  </si>
  <si>
    <t>24/01/1447</t>
  </si>
  <si>
    <t>25/01/1447</t>
  </si>
  <si>
    <t>26/01/1447</t>
  </si>
  <si>
    <t>27/01/1447</t>
  </si>
  <si>
    <t>28/01/1447</t>
  </si>
  <si>
    <t>29/01/1447</t>
  </si>
  <si>
    <t>01/02/1447</t>
  </si>
  <si>
    <t>02/02/1447</t>
  </si>
  <si>
    <t>03/02/1447</t>
  </si>
  <si>
    <t>04/02/1447</t>
  </si>
  <si>
    <t>05/02/1447</t>
  </si>
  <si>
    <t>06/02/1447</t>
  </si>
  <si>
    <t>08/02/1447</t>
  </si>
  <si>
    <t>09/02/1447</t>
  </si>
  <si>
    <t>10/02/1447</t>
  </si>
  <si>
    <t>11/02/1447</t>
  </si>
  <si>
    <t>12/02/1447</t>
  </si>
  <si>
    <t>13/02/1447</t>
  </si>
  <si>
    <t>15/02/1447</t>
  </si>
  <si>
    <t>16/02/1447</t>
  </si>
  <si>
    <t>17/02/1447</t>
  </si>
  <si>
    <t>18/02/1447</t>
  </si>
  <si>
    <t>19/02/1447</t>
  </si>
  <si>
    <t>20/02/1447</t>
  </si>
  <si>
    <t>22/02/1447</t>
  </si>
  <si>
    <t>23/02/1447</t>
  </si>
  <si>
    <t>24/02/1447</t>
  </si>
  <si>
    <t>25/02/1447</t>
  </si>
  <si>
    <t>26/02/1447</t>
  </si>
  <si>
    <t>27/02/1447</t>
  </si>
  <si>
    <t>29/02/1447</t>
  </si>
  <si>
    <t>01/03/1447</t>
  </si>
  <si>
    <t>02/03/1447</t>
  </si>
  <si>
    <t>03/03/1447</t>
  </si>
  <si>
    <t>04/03/1447</t>
  </si>
  <si>
    <t>05/03/1447</t>
  </si>
  <si>
    <t>07/03/1447</t>
  </si>
  <si>
    <t>08/03/1447</t>
  </si>
  <si>
    <t>09/03/1447</t>
  </si>
  <si>
    <t>10/03/1447</t>
  </si>
  <si>
    <t>11/03/1447</t>
  </si>
  <si>
    <t>12/03/1447</t>
  </si>
  <si>
    <t>14/03/1447</t>
  </si>
  <si>
    <t>15/03/1447</t>
  </si>
  <si>
    <t>16/03/1447</t>
  </si>
  <si>
    <t>17/03/1447</t>
  </si>
  <si>
    <t>18/03/1447</t>
  </si>
  <si>
    <t>19/03/1447</t>
  </si>
  <si>
    <t>21/03/1447</t>
  </si>
  <si>
    <t>22/03/1447</t>
  </si>
  <si>
    <t>23/03/1447</t>
  </si>
  <si>
    <t>24/03/1447</t>
  </si>
  <si>
    <t>25/03/1447</t>
  </si>
  <si>
    <t>26/03/1447</t>
  </si>
  <si>
    <t>28/03/1447</t>
  </si>
  <si>
    <t>29/03/1447</t>
  </si>
  <si>
    <t>30/03/1447</t>
  </si>
  <si>
    <t>01/04/1447</t>
  </si>
  <si>
    <t>02/04/1447</t>
  </si>
  <si>
    <t>03/04/1447</t>
  </si>
  <si>
    <t>05/04/1447</t>
  </si>
  <si>
    <t>06/04/1447</t>
  </si>
  <si>
    <t>07/04/1447</t>
  </si>
  <si>
    <t>08/04/1447</t>
  </si>
  <si>
    <t>09/04/1447</t>
  </si>
  <si>
    <t>10/04/1447</t>
  </si>
  <si>
    <t>12/04/1447</t>
  </si>
  <si>
    <t>13/04/1447</t>
  </si>
  <si>
    <t>14/04/1447</t>
  </si>
  <si>
    <t>15/04/1447</t>
  </si>
  <si>
    <t>16/04/1447</t>
  </si>
  <si>
    <t>17/04/1447</t>
  </si>
  <si>
    <t>19/04/1447</t>
  </si>
  <si>
    <t>20/04/1447</t>
  </si>
  <si>
    <t>21/04/1447</t>
  </si>
  <si>
    <t>22/04/1447</t>
  </si>
  <si>
    <t>23/04/1447</t>
  </si>
  <si>
    <t>24/04/1447</t>
  </si>
  <si>
    <t>26/04/1447</t>
  </si>
  <si>
    <t>27/04/1447</t>
  </si>
  <si>
    <t>28/04/1447</t>
  </si>
  <si>
    <t>29/04/1447</t>
  </si>
  <si>
    <t>01/05/1447</t>
  </si>
  <si>
    <t>02/05/1447</t>
  </si>
  <si>
    <t>04/05/1447</t>
  </si>
  <si>
    <t>05/05/1447</t>
  </si>
  <si>
    <t>06/05/1447</t>
  </si>
  <si>
    <t>07/05/1447</t>
  </si>
  <si>
    <t>08/05/1447</t>
  </si>
  <si>
    <t>09/05/1447</t>
  </si>
  <si>
    <t>12/05/1447</t>
  </si>
  <si>
    <t>13/05/1447</t>
  </si>
  <si>
    <t>14/05/1447</t>
  </si>
  <si>
    <t>15/05/1447</t>
  </si>
  <si>
    <t>16/05/1447</t>
  </si>
  <si>
    <t>18/05/1447</t>
  </si>
  <si>
    <t>19/05/1447</t>
  </si>
  <si>
    <t>20/05/1447</t>
  </si>
  <si>
    <t>21/05/1447</t>
  </si>
  <si>
    <t>22/05/1447</t>
  </si>
  <si>
    <t>23/05/1447</t>
  </si>
  <si>
    <t>25/05/1447</t>
  </si>
  <si>
    <t>26/05/1447</t>
  </si>
  <si>
    <t>27/05/1447</t>
  </si>
  <si>
    <t>29/05/1447</t>
  </si>
  <si>
    <t>30/05/1447</t>
  </si>
  <si>
    <t>02/06/1447</t>
  </si>
  <si>
    <t>03/06/1447</t>
  </si>
  <si>
    <t>04/06/1447</t>
  </si>
  <si>
    <t>05/06/1447</t>
  </si>
  <si>
    <t>06/06/1447</t>
  </si>
  <si>
    <t>07/06/1447</t>
  </si>
  <si>
    <t>09/06/1447</t>
  </si>
  <si>
    <t>10/06/1447</t>
  </si>
  <si>
    <t>11/06/1447</t>
  </si>
  <si>
    <t>12/06/1447</t>
  </si>
  <si>
    <t>13/06/1447</t>
  </si>
  <si>
    <t>14/06/1447</t>
  </si>
  <si>
    <t>16/06/1447</t>
  </si>
  <si>
    <t>17/06/1447</t>
  </si>
  <si>
    <t>18/06/1447</t>
  </si>
  <si>
    <t>19/06/1447</t>
  </si>
  <si>
    <t>20/06/1447</t>
  </si>
  <si>
    <t>21/06/1447</t>
  </si>
  <si>
    <t>23/06/1447</t>
  </si>
  <si>
    <t>24/06/1447</t>
  </si>
  <si>
    <t>25/06/1447</t>
  </si>
  <si>
    <t>26/06/1447</t>
  </si>
  <si>
    <t>27/06/1447</t>
  </si>
  <si>
    <t>28/06/1447</t>
  </si>
  <si>
    <t>01/07/1447</t>
  </si>
  <si>
    <t>02/07/1447</t>
  </si>
  <si>
    <t>03/07/1447</t>
  </si>
  <si>
    <t>04/07/1447</t>
  </si>
  <si>
    <t>05/07/1447</t>
  </si>
  <si>
    <t>06/07/1447</t>
  </si>
  <si>
    <t>08/07/1447</t>
  </si>
  <si>
    <t>09/07/1447</t>
  </si>
  <si>
    <t>10/07/1447</t>
  </si>
  <si>
    <t>11/07/1447</t>
  </si>
  <si>
    <t>12/07/1447</t>
  </si>
  <si>
    <t>13/07/1447</t>
  </si>
  <si>
    <t>15/07/1447</t>
  </si>
  <si>
    <t>16/07/1447</t>
  </si>
  <si>
    <t>17/07/1447</t>
  </si>
  <si>
    <t>18/07/1447</t>
  </si>
  <si>
    <t>19/07/1447</t>
  </si>
  <si>
    <t>20/07/1447</t>
  </si>
  <si>
    <t>22/07/1447</t>
  </si>
  <si>
    <t>23/07/1447</t>
  </si>
  <si>
    <t>24/07/1447</t>
  </si>
  <si>
    <t>25/07/1447</t>
  </si>
  <si>
    <t>26/07/1447</t>
  </si>
  <si>
    <t>27/07/1447</t>
  </si>
  <si>
    <t>29/07/1447</t>
  </si>
  <si>
    <t>30/07/1447</t>
  </si>
  <si>
    <t>01/08/1447</t>
  </si>
  <si>
    <t>02/08/1447</t>
  </si>
  <si>
    <t>03/08/1447</t>
  </si>
  <si>
    <t>04/08/1447</t>
  </si>
  <si>
    <t>06/08/1447</t>
  </si>
  <si>
    <t>07/08/1447</t>
  </si>
  <si>
    <t>08/08/1447</t>
  </si>
  <si>
    <t>09/08/1447</t>
  </si>
  <si>
    <t>10/08/1447</t>
  </si>
  <si>
    <t>11/08/1447</t>
  </si>
  <si>
    <t>13/08/1447</t>
  </si>
  <si>
    <t>14/08/1447</t>
  </si>
  <si>
    <t>15/08/1447</t>
  </si>
  <si>
    <t>16/08/1447</t>
  </si>
  <si>
    <t>17/08/1447</t>
  </si>
  <si>
    <t>18/08/1447</t>
  </si>
  <si>
    <t>20/08/1447</t>
  </si>
  <si>
    <t>21/08/1447</t>
  </si>
  <si>
    <t>22/08/1447</t>
  </si>
  <si>
    <t>23/08/1447</t>
  </si>
  <si>
    <t>24/08/1447</t>
  </si>
  <si>
    <t>25/08/1447</t>
  </si>
  <si>
    <t>27/08/1447</t>
  </si>
  <si>
    <t>28/08/1447</t>
  </si>
  <si>
    <t>29/08/1447</t>
  </si>
  <si>
    <t>01/09/1447</t>
  </si>
  <si>
    <t>03/09/1447</t>
  </si>
  <si>
    <t>05/09/1447</t>
  </si>
  <si>
    <t>06/09/1447</t>
  </si>
  <si>
    <t>07/09/1447</t>
  </si>
  <si>
    <t>08/09/1447</t>
  </si>
  <si>
    <t>10/09/1447</t>
  </si>
  <si>
    <t>12/09/1447</t>
  </si>
  <si>
    <t>13/09/1447</t>
  </si>
  <si>
    <t>14/09/1447</t>
  </si>
  <si>
    <t>15/09/1447</t>
  </si>
  <si>
    <t>17/09/1447</t>
  </si>
  <si>
    <t>19/09/1447</t>
  </si>
  <si>
    <t>20/09/1447</t>
  </si>
  <si>
    <t>21/09/1447</t>
  </si>
  <si>
    <t>22/09/1447</t>
  </si>
  <si>
    <t>24/09/1447</t>
  </si>
  <si>
    <t>26/09/1447</t>
  </si>
  <si>
    <t>27/09/1447</t>
  </si>
  <si>
    <t>28/09/1447</t>
  </si>
  <si>
    <t>29/09/1447</t>
  </si>
  <si>
    <t>05/10/1447</t>
  </si>
  <si>
    <t>06/10/1447</t>
  </si>
  <si>
    <t>08/10/1447</t>
  </si>
  <si>
    <t>10/10/1447</t>
  </si>
  <si>
    <t>11/10/1447</t>
  </si>
  <si>
    <t>12/10/1447</t>
  </si>
  <si>
    <t>13/10/1447</t>
  </si>
  <si>
    <t>15/10/1447</t>
  </si>
  <si>
    <t>17/10/1447</t>
  </si>
  <si>
    <t>18/10/1447</t>
  </si>
  <si>
    <t>19/10/1447</t>
  </si>
  <si>
    <t>20/10/1447</t>
  </si>
  <si>
    <t>22/10/1447</t>
  </si>
  <si>
    <t>25/10/1447</t>
  </si>
  <si>
    <t>27/10/1447</t>
  </si>
  <si>
    <t>29/10/1447</t>
  </si>
  <si>
    <t>02/11/1447</t>
  </si>
  <si>
    <t>03/11/1447</t>
  </si>
  <si>
    <t>04/11/1447</t>
  </si>
  <si>
    <t>05/11/1447</t>
  </si>
  <si>
    <t>07/11/1447</t>
  </si>
  <si>
    <t>09/11/1447</t>
  </si>
  <si>
    <t>10/11/1447</t>
  </si>
  <si>
    <t>11/11/1447</t>
  </si>
  <si>
    <t>12/11/1447</t>
  </si>
  <si>
    <t>14/11/1447</t>
  </si>
  <si>
    <t>16/11/1447</t>
  </si>
  <si>
    <t>17/11/1447</t>
  </si>
  <si>
    <t>19/11/1447</t>
  </si>
  <si>
    <t>21/11/1447</t>
  </si>
  <si>
    <t>23/11/1447</t>
  </si>
  <si>
    <t>25/11/1447</t>
  </si>
  <si>
    <t>28/11/1447</t>
  </si>
  <si>
    <t>01/12/1447</t>
  </si>
  <si>
    <t>02/12/1447</t>
  </si>
  <si>
    <t>03/12/1447</t>
  </si>
  <si>
    <t>04/12/1447</t>
  </si>
  <si>
    <t>05/12/1447</t>
  </si>
  <si>
    <t>06/12/1447</t>
  </si>
  <si>
    <t>07/12/1447</t>
  </si>
  <si>
    <t>08/12/1447</t>
  </si>
  <si>
    <t>02/09/1441</t>
  </si>
  <si>
    <t>30/08/1446</t>
  </si>
  <si>
    <t>30/08/1447</t>
  </si>
  <si>
    <t>31/08/1447</t>
  </si>
  <si>
    <t>04/09/1441</t>
  </si>
  <si>
    <t>09/09/1441</t>
  </si>
  <si>
    <t>12/09/1441</t>
  </si>
  <si>
    <t>16/09/1441</t>
  </si>
  <si>
    <t>21/09/1441</t>
  </si>
  <si>
    <t>23/09/1441</t>
  </si>
  <si>
    <t>30/09/1441</t>
  </si>
  <si>
    <t>05/10/1441</t>
  </si>
  <si>
    <t>07/10/1441</t>
  </si>
  <si>
    <t>14/10/1441</t>
  </si>
  <si>
    <t>17/10/1441</t>
  </si>
  <si>
    <t>19/10/1441</t>
  </si>
  <si>
    <t>21/10/1441</t>
  </si>
  <si>
    <t>24/10/1441</t>
  </si>
  <si>
    <t>28/10/1441</t>
  </si>
  <si>
    <t>02/11/1441</t>
  </si>
  <si>
    <t>06/11/1441</t>
  </si>
  <si>
    <t>09/11/1441</t>
  </si>
  <si>
    <t>13/11/1441</t>
  </si>
  <si>
    <t>16/11/1441</t>
  </si>
  <si>
    <t>20/11/1441</t>
  </si>
  <si>
    <t>23/11/1441</t>
  </si>
  <si>
    <t>27/11/1441</t>
  </si>
  <si>
    <t>30/11/1441</t>
  </si>
  <si>
    <t>04/12/1441</t>
  </si>
  <si>
    <t>14/12/1441</t>
  </si>
  <si>
    <t>16/12/1441</t>
  </si>
  <si>
    <t>18/12/1441</t>
  </si>
  <si>
    <t>21/12/1441</t>
  </si>
  <si>
    <t>23/12/1441</t>
  </si>
  <si>
    <t>25/12/1441</t>
  </si>
  <si>
    <t>28/12/1441</t>
  </si>
  <si>
    <t>01/01/1442</t>
  </si>
  <si>
    <t>03/01/1442</t>
  </si>
  <si>
    <t>06/01/1442</t>
  </si>
  <si>
    <t>08/01/1442</t>
  </si>
  <si>
    <t>10/01/1442</t>
  </si>
  <si>
    <t>13/01/1442</t>
  </si>
  <si>
    <t>15/01/1442</t>
  </si>
  <si>
    <t>17/01/1442</t>
  </si>
  <si>
    <t>20/01/1442</t>
  </si>
  <si>
    <t>22/01/1442</t>
  </si>
  <si>
    <t>24/01/1442</t>
  </si>
  <si>
    <t>29/01/1442</t>
  </si>
  <si>
    <t>01/02/1442</t>
  </si>
  <si>
    <t>04/02/1442</t>
  </si>
  <si>
    <t>06/02/1442</t>
  </si>
  <si>
    <t>08/02/1442</t>
  </si>
  <si>
    <t>11/02/1442</t>
  </si>
  <si>
    <t>13/02/1442</t>
  </si>
  <si>
    <t>15/02/1442</t>
  </si>
  <si>
    <t>18/02/1442</t>
  </si>
  <si>
    <t>20/02/1442</t>
  </si>
  <si>
    <t>22/02/1442</t>
  </si>
  <si>
    <t>25/02/1442</t>
  </si>
  <si>
    <t>27/02/1442</t>
  </si>
  <si>
    <t>29/02/1442</t>
  </si>
  <si>
    <t>03/03/1442</t>
  </si>
  <si>
    <t>05/03/1442</t>
  </si>
  <si>
    <t>07/03/1442</t>
  </si>
  <si>
    <t>10/03/1442</t>
  </si>
  <si>
    <t>12/03/1442</t>
  </si>
  <si>
    <t>14/03/1442</t>
  </si>
  <si>
    <t>17/03/1442</t>
  </si>
  <si>
    <t>19/03/1442</t>
  </si>
  <si>
    <t>21/03/1442</t>
  </si>
  <si>
    <t>24/03/1442</t>
  </si>
  <si>
    <t>26/03/1442</t>
  </si>
  <si>
    <t>28/03/1442</t>
  </si>
  <si>
    <t>01/04/1442</t>
  </si>
  <si>
    <t>03/04/1442</t>
  </si>
  <si>
    <t>05/04/1442</t>
  </si>
  <si>
    <t>08/04/1442</t>
  </si>
  <si>
    <t>10/04/1442</t>
  </si>
  <si>
    <t>12/04/1442</t>
  </si>
  <si>
    <t>15/04/1442</t>
  </si>
  <si>
    <t>17/04/1442</t>
  </si>
  <si>
    <t>19/04/1442</t>
  </si>
  <si>
    <t>22/04/1442</t>
  </si>
  <si>
    <t>24/04/1442</t>
  </si>
  <si>
    <t>26/04/1442</t>
  </si>
  <si>
    <t>29/04/1442</t>
  </si>
  <si>
    <t>02/05/1442</t>
  </si>
  <si>
    <t>04/05/1442</t>
  </si>
  <si>
    <t>07/05/1442</t>
  </si>
  <si>
    <t>09/05/1442</t>
  </si>
  <si>
    <t>11/05/1442</t>
  </si>
  <si>
    <t>14/05/1442</t>
  </si>
  <si>
    <t>16/05/1442</t>
  </si>
  <si>
    <t>18/05/1442</t>
  </si>
  <si>
    <t>21/05/1442</t>
  </si>
  <si>
    <t>23/05/1442</t>
  </si>
  <si>
    <t>25/05/1442</t>
  </si>
  <si>
    <t>28/05/1442</t>
  </si>
  <si>
    <t>30/05/1442</t>
  </si>
  <si>
    <t>02/06/1442</t>
  </si>
  <si>
    <t>05/06/1442</t>
  </si>
  <si>
    <t>07/06/1442</t>
  </si>
  <si>
    <t>09/06/1442</t>
  </si>
  <si>
    <t>12/06/1442</t>
  </si>
  <si>
    <t>14/06/1442</t>
  </si>
  <si>
    <t>16/06/1442</t>
  </si>
  <si>
    <t>19/06/1442</t>
  </si>
  <si>
    <t>21/06/1442</t>
  </si>
  <si>
    <t>23/06/1442</t>
  </si>
  <si>
    <t>26/06/1442</t>
  </si>
  <si>
    <t>28/06/1442</t>
  </si>
  <si>
    <t>01/07/1442</t>
  </si>
  <si>
    <t>04/07/1442</t>
  </si>
  <si>
    <t>06/07/1442</t>
  </si>
  <si>
    <t>08/07/1442</t>
  </si>
  <si>
    <t>11/07/1442</t>
  </si>
  <si>
    <t>13/07/1442</t>
  </si>
  <si>
    <t>15/07/1442</t>
  </si>
  <si>
    <t>18/07/1442</t>
  </si>
  <si>
    <t>20/07/1442</t>
  </si>
  <si>
    <t>22/07/1442</t>
  </si>
  <si>
    <t>25/07/1442</t>
  </si>
  <si>
    <t>27/07/1442</t>
  </si>
  <si>
    <t>29/07/1442</t>
  </si>
  <si>
    <t>02/08/1442</t>
  </si>
  <si>
    <t>04/08/1442</t>
  </si>
  <si>
    <t>06/08/1442</t>
  </si>
  <si>
    <t>09/08/1442</t>
  </si>
  <si>
    <t>11/08/1442</t>
  </si>
  <si>
    <t>13/08/1442</t>
  </si>
  <si>
    <t>16/08/1442</t>
  </si>
  <si>
    <t>18/08/1442</t>
  </si>
  <si>
    <t>20/08/1442</t>
  </si>
  <si>
    <t>23/08/1442</t>
  </si>
  <si>
    <t>25/08/1442</t>
  </si>
  <si>
    <t>03/09/1442</t>
  </si>
  <si>
    <t>05/09/1442</t>
  </si>
  <si>
    <t>08/09/1442</t>
  </si>
  <si>
    <t>10/09/1442</t>
  </si>
  <si>
    <t>12/09/1442</t>
  </si>
  <si>
    <t>15/09/1442</t>
  </si>
  <si>
    <t>17/09/1442</t>
  </si>
  <si>
    <t>19/09/1442</t>
  </si>
  <si>
    <t>22/09/1442</t>
  </si>
  <si>
    <t>24/09/1442</t>
  </si>
  <si>
    <t>26/09/1442</t>
  </si>
  <si>
    <t>29/09/1442</t>
  </si>
  <si>
    <t>04/10/1442</t>
  </si>
  <si>
    <t>08/10/1442</t>
  </si>
  <si>
    <t>10/10/1442</t>
  </si>
  <si>
    <t>13/10/1442</t>
  </si>
  <si>
    <t>15/10/1442</t>
  </si>
  <si>
    <t>17/10/1442</t>
  </si>
  <si>
    <t>20/10/1442</t>
  </si>
  <si>
    <t>22/10/1442</t>
  </si>
  <si>
    <t>24/10/1442</t>
  </si>
  <si>
    <t>27/10/1442</t>
  </si>
  <si>
    <t>29/10/1442</t>
  </si>
  <si>
    <t>02/11/1442</t>
  </si>
  <si>
    <t>05/11/1442</t>
  </si>
  <si>
    <t>07/11/1442</t>
  </si>
  <si>
    <t>09/11/1442</t>
  </si>
  <si>
    <t>12/11/1442</t>
  </si>
  <si>
    <t>14/11/1442</t>
  </si>
  <si>
    <t>16/11/1442</t>
  </si>
  <si>
    <t>19/11/1442</t>
  </si>
  <si>
    <t>21/11/1442</t>
  </si>
  <si>
    <t>23/11/1442</t>
  </si>
  <si>
    <t>26/11/1442</t>
  </si>
  <si>
    <t>28/11/1442</t>
  </si>
  <si>
    <t>30/11/1442</t>
  </si>
  <si>
    <t>13/12/1442</t>
  </si>
  <si>
    <t>16/12/1442</t>
  </si>
  <si>
    <t>21/12/1442</t>
  </si>
  <si>
    <t>24/12/1442</t>
  </si>
  <si>
    <t>29/12/1442</t>
  </si>
  <si>
    <t>01/01/1443</t>
  </si>
  <si>
    <t>03/01/1443</t>
  </si>
  <si>
    <t>05/01/1443</t>
  </si>
  <si>
    <t>08/01/1443</t>
  </si>
  <si>
    <t>10/01/1443</t>
  </si>
  <si>
    <t>12/01/1443</t>
  </si>
  <si>
    <t>15/01/1443</t>
  </si>
  <si>
    <t>17/01/1443</t>
  </si>
  <si>
    <t>19/01/1443</t>
  </si>
  <si>
    <t>22/01/1443</t>
  </si>
  <si>
    <t>24/01/1443</t>
  </si>
  <si>
    <t>26/01/1443</t>
  </si>
  <si>
    <t>29/01/1443</t>
  </si>
  <si>
    <t>01/02/1443</t>
  </si>
  <si>
    <t>03/02/1443</t>
  </si>
  <si>
    <t>06/02/1443</t>
  </si>
  <si>
    <t>08/02/1443</t>
  </si>
  <si>
    <t>10/02/1443</t>
  </si>
  <si>
    <t>13/02/1443</t>
  </si>
  <si>
    <t>15/02/1443</t>
  </si>
  <si>
    <t>17/02/1443</t>
  </si>
  <si>
    <t>20/02/1443</t>
  </si>
  <si>
    <t>22/02/1443</t>
  </si>
  <si>
    <t>24/02/1443</t>
  </si>
  <si>
    <t>27/02/1443</t>
  </si>
  <si>
    <t>29/02/1443</t>
  </si>
  <si>
    <t>02/03/1443</t>
  </si>
  <si>
    <t>05/03/1443</t>
  </si>
  <si>
    <t>07/03/1443</t>
  </si>
  <si>
    <t>09/03/1443</t>
  </si>
  <si>
    <t>12/03/1443</t>
  </si>
  <si>
    <t>14/03/1443</t>
  </si>
  <si>
    <t>16/03/1443</t>
  </si>
  <si>
    <t>19/03/1443</t>
  </si>
  <si>
    <t>21/03/1443</t>
  </si>
  <si>
    <t>23/03/1443</t>
  </si>
  <si>
    <t>26/03/1443</t>
  </si>
  <si>
    <t>28/03/1443</t>
  </si>
  <si>
    <t>30/03/1443</t>
  </si>
  <si>
    <t>03/04/1443</t>
  </si>
  <si>
    <t>05/04/1443</t>
  </si>
  <si>
    <t>07/04/1443</t>
  </si>
  <si>
    <t>10/04/1443</t>
  </si>
  <si>
    <t>12/04/1443</t>
  </si>
  <si>
    <t>14/04/1443</t>
  </si>
  <si>
    <t>17/04/1443</t>
  </si>
  <si>
    <t>19/04/1443</t>
  </si>
  <si>
    <t>21/04/1443</t>
  </si>
  <si>
    <t>24/04/1443</t>
  </si>
  <si>
    <t>26/04/1443</t>
  </si>
  <si>
    <t>28/04/1443</t>
  </si>
  <si>
    <t>02/05/1443</t>
  </si>
  <si>
    <t>04/05/1443</t>
  </si>
  <si>
    <t>06/05/1443</t>
  </si>
  <si>
    <t>09/05/1443</t>
  </si>
  <si>
    <t>11/05/1443</t>
  </si>
  <si>
    <t>13/05/1443</t>
  </si>
  <si>
    <t>16/05/1443</t>
  </si>
  <si>
    <t>18/05/1443</t>
  </si>
  <si>
    <t>20/05/1443</t>
  </si>
  <si>
    <t>23/05/1443</t>
  </si>
  <si>
    <t>25/05/1443</t>
  </si>
  <si>
    <t>27/05/1443</t>
  </si>
  <si>
    <t>30/05/1443</t>
  </si>
  <si>
    <t>02/06/1443</t>
  </si>
  <si>
    <t>05/06/1443</t>
  </si>
  <si>
    <t>07/06/1443</t>
  </si>
  <si>
    <t>09/06/1443</t>
  </si>
  <si>
    <t>11/06/1443</t>
  </si>
  <si>
    <t>14/06/1443</t>
  </si>
  <si>
    <t>16/06/1443</t>
  </si>
  <si>
    <t>18/06/1443</t>
  </si>
  <si>
    <t>21/06/1443</t>
  </si>
  <si>
    <t>23/06/1443</t>
  </si>
  <si>
    <t>25/06/1443</t>
  </si>
  <si>
    <t>28/06/1443</t>
  </si>
  <si>
    <t>01/07/1443</t>
  </si>
  <si>
    <t>03/07/1443</t>
  </si>
  <si>
    <t>06/07/1443</t>
  </si>
  <si>
    <t>08/07/1443</t>
  </si>
  <si>
    <t>10/07/1443</t>
  </si>
  <si>
    <t>13/07/1443</t>
  </si>
  <si>
    <t>15/07/1443</t>
  </si>
  <si>
    <t>17/07/1443</t>
  </si>
  <si>
    <t>20/07/1443</t>
  </si>
  <si>
    <t>22/07/1443</t>
  </si>
  <si>
    <t>24/07/1443</t>
  </si>
  <si>
    <t>27/07/1443</t>
  </si>
  <si>
    <t>29/07/1443</t>
  </si>
  <si>
    <t>01/08/1443</t>
  </si>
  <si>
    <t>04/08/1443</t>
  </si>
  <si>
    <t>06/08/1443</t>
  </si>
  <si>
    <t>08/08/1443</t>
  </si>
  <si>
    <t>11/08/1443</t>
  </si>
  <si>
    <t>13/08/1443</t>
  </si>
  <si>
    <t>15/08/1443</t>
  </si>
  <si>
    <t>18/08/1443</t>
  </si>
  <si>
    <t>20/08/1443</t>
  </si>
  <si>
    <t>22/08/1443</t>
  </si>
  <si>
    <t>25/08/1443</t>
  </si>
  <si>
    <t>27/08/1443</t>
  </si>
  <si>
    <t>04/09/1444</t>
  </si>
  <si>
    <t>10/09/1444</t>
  </si>
  <si>
    <t>17/09/1444</t>
  </si>
  <si>
    <t>24/09/1444</t>
  </si>
  <si>
    <t>04/10/1444</t>
  </si>
  <si>
    <t>06/10/1444</t>
  </si>
  <si>
    <t>08/10/1444</t>
  </si>
  <si>
    <t>11/10/1444</t>
  </si>
  <si>
    <t>13/10/1444</t>
  </si>
  <si>
    <t>15/10/1444</t>
  </si>
  <si>
    <t>18/10/1444</t>
  </si>
  <si>
    <t>20/10/1444</t>
  </si>
  <si>
    <t>23/10/1444</t>
  </si>
  <si>
    <t>25/10/1444</t>
  </si>
  <si>
    <t>27/10/1444</t>
  </si>
  <si>
    <t>01/11/1444</t>
  </si>
  <si>
    <t>03/11/1444</t>
  </si>
  <si>
    <t>05/11/1444</t>
  </si>
  <si>
    <t>08/11/1444</t>
  </si>
  <si>
    <t>10/11/1444</t>
  </si>
  <si>
    <t>12/11/1444</t>
  </si>
  <si>
    <t>15/11/1444</t>
  </si>
  <si>
    <t>17/11/1444</t>
  </si>
  <si>
    <t>21/11/1444</t>
  </si>
  <si>
    <t>28/11/1444</t>
  </si>
  <si>
    <t>13/12/1444</t>
  </si>
  <si>
    <t>15/12/1444</t>
  </si>
  <si>
    <t>17/12/1444</t>
  </si>
  <si>
    <t>20/12/1444</t>
  </si>
  <si>
    <t>22/12/1444</t>
  </si>
  <si>
    <t>24/12/1444</t>
  </si>
  <si>
    <t>27/12/1444</t>
  </si>
  <si>
    <t>02/01/1445</t>
  </si>
  <si>
    <t>05/01/1445</t>
  </si>
  <si>
    <t>07/01/1445</t>
  </si>
  <si>
    <t>12/01/1445</t>
  </si>
  <si>
    <t>19/01/1445</t>
  </si>
  <si>
    <t>25/01/1445</t>
  </si>
  <si>
    <t>28/01/1445</t>
  </si>
  <si>
    <t>03/02/1445</t>
  </si>
  <si>
    <t>07/02/1445</t>
  </si>
  <si>
    <t>09/02/1445</t>
  </si>
  <si>
    <t>14/02/1445</t>
  </si>
  <si>
    <t>16/02/1445</t>
  </si>
  <si>
    <t>23/02/1445</t>
  </si>
  <si>
    <t>27/02/1445</t>
  </si>
  <si>
    <t>02/03/1445</t>
  </si>
  <si>
    <t>04/03/1445</t>
  </si>
  <si>
    <t>09/03/1445</t>
  </si>
  <si>
    <t>12/03/1445</t>
  </si>
  <si>
    <t>15/03/1445</t>
  </si>
  <si>
    <t>20/03/1445</t>
  </si>
  <si>
    <t>22/03/1445</t>
  </si>
  <si>
    <t>27/03/1445</t>
  </si>
  <si>
    <t>29/03/1445</t>
  </si>
  <si>
    <t>03/04/1445</t>
  </si>
  <si>
    <t>06/04/1445</t>
  </si>
  <si>
    <t>10/04/1445</t>
  </si>
  <si>
    <t>13/04/1445</t>
  </si>
  <si>
    <t>18/04/1445</t>
  </si>
  <si>
    <t>20/04/1445</t>
  </si>
  <si>
    <t>23/04/1445</t>
  </si>
  <si>
    <t>27/04/1445</t>
  </si>
  <si>
    <t>02/05/1445</t>
  </si>
  <si>
    <t>05/05/1445</t>
  </si>
  <si>
    <t>10/05/1445</t>
  </si>
  <si>
    <t>12/05/1445</t>
  </si>
  <si>
    <t>17/05/1445</t>
  </si>
  <si>
    <t>19/05/1445</t>
  </si>
  <si>
    <t>23/05/1445</t>
  </si>
  <si>
    <t>26/05/1445</t>
  </si>
  <si>
    <t>01/06/1445</t>
  </si>
  <si>
    <t>03/06/1445</t>
  </si>
  <si>
    <t>07/06/1445</t>
  </si>
  <si>
    <t>10/06/1445</t>
  </si>
  <si>
    <t>14/06/1445</t>
  </si>
  <si>
    <t>17/06/1445</t>
  </si>
  <si>
    <t>25/06/1445</t>
  </si>
  <si>
    <t>28/06/1445</t>
  </si>
  <si>
    <t>02/07/1445</t>
  </si>
  <si>
    <t>06/07/1445</t>
  </si>
  <si>
    <t>08/07/1445</t>
  </si>
  <si>
    <t>11/07/1445</t>
  </si>
  <si>
    <t>13/07/1445</t>
  </si>
  <si>
    <t>16/07/1445</t>
  </si>
  <si>
    <t>18/07/1445</t>
  </si>
  <si>
    <t>20/07/1445</t>
  </si>
  <si>
    <t>22/07/1445</t>
  </si>
  <si>
    <t>01/08/1445</t>
  </si>
  <si>
    <t>04/08/1445</t>
  </si>
  <si>
    <t>08/08/1445</t>
  </si>
  <si>
    <t>12/08/1445</t>
  </si>
  <si>
    <t>15/08/1445</t>
  </si>
  <si>
    <t>18/08/1445</t>
  </si>
  <si>
    <t>21/08/1445</t>
  </si>
  <si>
    <t>02/09/1445</t>
  </si>
  <si>
    <t>06/09/1445</t>
  </si>
  <si>
    <t>11/09/1445</t>
  </si>
  <si>
    <t>13/09/1445</t>
  </si>
  <si>
    <t>15/09/1445</t>
  </si>
  <si>
    <t>17/09/1445</t>
  </si>
  <si>
    <t>21/09/1445</t>
  </si>
  <si>
    <t>27/09/1445</t>
  </si>
  <si>
    <t>30/09/1445</t>
  </si>
  <si>
    <t>04/10/1445</t>
  </si>
  <si>
    <t>06/10/1445</t>
  </si>
  <si>
    <t>14/10/1445</t>
  </si>
  <si>
    <t>18/10/1445</t>
  </si>
  <si>
    <t>21/10/1445</t>
  </si>
  <si>
    <t>25/10/1445</t>
  </si>
  <si>
    <t>28/10/1445</t>
  </si>
  <si>
    <t>03/11/1445</t>
  </si>
  <si>
    <t>06/11/1445</t>
  </si>
  <si>
    <t>10/11/1445</t>
  </si>
  <si>
    <t>14/11/1445</t>
  </si>
  <si>
    <t>17/11/1445</t>
  </si>
  <si>
    <t>22/11/1445</t>
  </si>
  <si>
    <t>24/11/1445</t>
  </si>
  <si>
    <t>29/11/1445</t>
  </si>
  <si>
    <t>04/09/1447</t>
  </si>
  <si>
    <t>11/09/1447</t>
  </si>
  <si>
    <t>18/09/1447</t>
  </si>
  <si>
    <t>25/09/1447</t>
  </si>
  <si>
    <t>03/10/1447</t>
  </si>
  <si>
    <t>04/10/1447</t>
  </si>
  <si>
    <t>09/10/1447</t>
  </si>
  <si>
    <t>16/10/1447</t>
  </si>
  <si>
    <t>23/10/1447</t>
  </si>
  <si>
    <t>26/10/1447</t>
  </si>
  <si>
    <t>01/11/1447</t>
  </si>
  <si>
    <t>08/11/1447</t>
  </si>
  <si>
    <t>15/11/1447</t>
  </si>
  <si>
    <t>26/11/1447</t>
  </si>
  <si>
    <t>29/11/1447</t>
  </si>
  <si>
    <t>14/12/1447</t>
  </si>
  <si>
    <t xml:space="preserve">2 livers - 1 heart - 3 lungs - 1 intestine - 1 diaphragm </t>
  </si>
  <si>
    <t>Fayed</t>
  </si>
  <si>
    <t>32 heads - 3 livers - 4 kidneys - 1 heart</t>
  </si>
  <si>
    <t xml:space="preserve">1 liver - 1 hreart - 2 kidneys - 4 lungs </t>
  </si>
  <si>
    <t>2 livers - 1 heart</t>
  </si>
  <si>
    <t xml:space="preserve">2 kidneys - 3 livers - 1 heart </t>
  </si>
  <si>
    <t>1 rump steak - 5 livers - 2 kidneys - 2 lungs</t>
  </si>
  <si>
    <t xml:space="preserve">1 fore quarter - 3 livers - 6 kidneys - 4 testicles - 2 lungs - 2 spleens </t>
  </si>
  <si>
    <t xml:space="preserve">4 kidneys - 6 livers - 1 heart </t>
  </si>
  <si>
    <t>4 livers - 8 kidneys - 1 heart - 1 rumen - 3 spleens - 1 lung</t>
  </si>
  <si>
    <t xml:space="preserve">6 livers - 4 hearts - 2 kidneys - 2 lungs </t>
  </si>
  <si>
    <t>2 livers - 1 heart - 1 spleen</t>
  </si>
  <si>
    <t>3 livers - 3 hearts - 8 kidneys - 1 testicle</t>
  </si>
  <si>
    <t xml:space="preserve">8 livers - 14 kidneys - 1 heart - 2 testicle </t>
  </si>
  <si>
    <t>10 livers - 9 hearts - 4 kidneys -4 omentumes</t>
  </si>
  <si>
    <t xml:space="preserve">8 livers - 12 kidneys - 2 lungs - 1 testis - 1 spleen </t>
  </si>
  <si>
    <t>3 livers -8 kidneys - 3 lungs - 5 hearts</t>
  </si>
  <si>
    <t xml:space="preserve">1 liver - 2 kidneys - 3 hearts </t>
  </si>
  <si>
    <t>8 livers - 6 kidneys - 3 lungs - 1 intestine</t>
  </si>
  <si>
    <t>Al Bashayer</t>
  </si>
  <si>
    <t xml:space="preserve">12 lungs - 1 head - 6 livers - 8 kidneys </t>
  </si>
  <si>
    <t>5 livers - 1 heart - 1 lung</t>
  </si>
  <si>
    <t>3 livers - 1 testicle</t>
  </si>
  <si>
    <t>16 lungs - 3 livers - 1 testicle</t>
  </si>
  <si>
    <t xml:space="preserve">3 hearts - 5 lungs - 4 kidneys </t>
  </si>
  <si>
    <t xml:space="preserve">4 livers - 4 kidneys - 6 lungs - 1 head - 2 testicles </t>
  </si>
  <si>
    <t xml:space="preserve">1 liver - 1 heart - 6 kidneys </t>
  </si>
  <si>
    <t>6 livers - 9 lungs</t>
  </si>
  <si>
    <t>Al Kassem</t>
  </si>
  <si>
    <t>5 livers - 8 kidneys - 1 heart - 2 lungs</t>
  </si>
  <si>
    <t xml:space="preserve">1 forequarter - 6 livers - 16 lungs - 22 kidneys -2 hearts - 1 leg </t>
  </si>
  <si>
    <t>5 livers - 1 heart - 8 kidneys - 1 lung - 1 spleen - 4 testicles</t>
  </si>
  <si>
    <t xml:space="preserve">5 livers - 4 kidneys - 2 lungs - 1 testis - 1 perirenal fats </t>
  </si>
  <si>
    <t>1 liver - 4 hearts - 10 kidneys - 15 lungs - 1 fat tail</t>
  </si>
  <si>
    <t xml:space="preserve">8 livers - 8 kidneys - 9 lungs - 1 heart </t>
  </si>
  <si>
    <t xml:space="preserve">1 head - 1 liver - 1 heart - 3 lungs - 11 kidneys </t>
  </si>
  <si>
    <t xml:space="preserve">12 livers - 2 hearts - 1 testicle -1 omentum </t>
  </si>
  <si>
    <t xml:space="preserve">1 fore quarter - 1 flank - 6 livers - 2 hearts - 5 kidneys - 3 lungs - 1 rumen - 1 testicle </t>
  </si>
  <si>
    <t>2 livers - 6 kidneys - 1 lung - 1 perirenal fats</t>
  </si>
  <si>
    <t>3 livers - 4 kidneys - 2 lungs - 2 hearts - 2 heads - 1 diaphragm</t>
  </si>
  <si>
    <t xml:space="preserve">2 carcasses  sheep measles </t>
  </si>
  <si>
    <t>1 carcass c. bovis in the heart</t>
  </si>
  <si>
    <t xml:space="preserve">1 carcass generalized TB </t>
  </si>
  <si>
    <t>1 Carcass Adipose tissues necrosis</t>
  </si>
  <si>
    <t>3 carcasses drug residue + 5 carcasses c. bovis</t>
  </si>
  <si>
    <t>1 carcass due to C. bovis in the heart</t>
  </si>
  <si>
    <t>Name</t>
  </si>
  <si>
    <t>Extension</t>
  </si>
  <si>
    <t>Date accessed</t>
  </si>
  <si>
    <t>Date modified</t>
  </si>
  <si>
    <t>Date created</t>
  </si>
  <si>
    <t>Folder Path</t>
  </si>
  <si>
    <t>FileName</t>
  </si>
  <si>
    <t>Date</t>
  </si>
  <si>
    <t>Type</t>
  </si>
  <si>
    <t>Received</t>
  </si>
  <si>
    <t>Rejected</t>
  </si>
  <si>
    <t>RejectionReasons</t>
  </si>
  <si>
    <t>TotalWeight</t>
  </si>
  <si>
    <t>ReceivingWeight</t>
  </si>
  <si>
    <t>TransportationLoss</t>
  </si>
  <si>
    <t>CarcassWeight</t>
  </si>
  <si>
    <t>KidneysFatQuantity</t>
  </si>
  <si>
    <t>AvTotalWeight</t>
  </si>
  <si>
    <t>AvReceivingWeight</t>
  </si>
  <si>
    <t>AvTransportationLoss</t>
  </si>
  <si>
    <t>AvCarcassWeight</t>
  </si>
  <si>
    <t>AvKidneysFat</t>
  </si>
  <si>
    <t>AM</t>
  </si>
  <si>
    <t>SlaughterHouseHygiene</t>
  </si>
  <si>
    <t>PM</t>
  </si>
  <si>
    <t>MeatScore</t>
  </si>
  <si>
    <t>MeatTransportation</t>
  </si>
  <si>
    <t>WeightLoss</t>
  </si>
  <si>
    <t>Examination</t>
  </si>
  <si>
    <t>DressingPercent</t>
  </si>
  <si>
    <t>SlaughteringEvaluation</t>
  </si>
  <si>
    <t>Condemnation</t>
  </si>
  <si>
    <t>CuttingLegLigmants</t>
  </si>
  <si>
    <t>Trimming</t>
  </si>
  <si>
    <t>HeterogenousSelection</t>
  </si>
  <si>
    <t>BadStamping</t>
  </si>
  <si>
    <t>Bruises</t>
  </si>
  <si>
    <t>AcceptedAsException</t>
  </si>
  <si>
    <t>OverCapacityAndRoughHandling</t>
  </si>
  <si>
    <t>TotalRejectedWeight</t>
  </si>
  <si>
    <t>1-7-2026 (88.7%) Al Komy - sheep.xlsx</t>
  </si>
  <si>
    <t>.xlsx</t>
  </si>
  <si>
    <t>D:\OneDrive - Seoudi Supermarket\Slaughtering Evaluation 🐂🥩\2026\7\</t>
  </si>
  <si>
    <t>1-7-2026 (89%) Al Doaa - native breed bulls.xlsx</t>
  </si>
  <si>
    <t>native breed bulls</t>
  </si>
  <si>
    <t>11-7-2026 (91%) Al Komy - native breed bulls.xlsx</t>
  </si>
  <si>
    <t xml:space="preserve">3 livers - 8 kidneys  - 1 heart - 2 lungs </t>
  </si>
  <si>
    <t>11-7-2026 (91.3%) Al Komy - sheep.xlsx</t>
  </si>
  <si>
    <t xml:space="preserve">1 testicle </t>
  </si>
  <si>
    <t>12-7-2026 (86.3%) GM - Mixed breeds Imported bulls.xlsx</t>
  </si>
  <si>
    <t>Mixed breeds Imported bulls</t>
  </si>
  <si>
    <t>GM Farm</t>
  </si>
  <si>
    <t xml:space="preserve">5 livers - 2 testicles - 2 kidneys - 12 lungs </t>
  </si>
  <si>
    <t>13-7-2026 (91.3%) Al Hana - native breed bulls.xlsx</t>
  </si>
  <si>
    <t>Native breed bulls</t>
  </si>
  <si>
    <t xml:space="preserve">5 livers - 1 heart - 10 kidneys - 2 lungs - 1 intestine - 1 spleen - 1 perirenal fats </t>
  </si>
  <si>
    <t>13-7-2026 (91.4%) Al Komy - sheep (1).xlsx</t>
  </si>
  <si>
    <t xml:space="preserve">none </t>
  </si>
  <si>
    <t>14-7-2026 (92%) Al Komy - Native breed bulls .xlsx</t>
  </si>
  <si>
    <t xml:space="preserve">4 livers - 3 lungs - 2 kidneys - 1 leg - 1 head </t>
  </si>
  <si>
    <t>15-7-2026 (89.9%) Al Komy - sheep .xlsx</t>
  </si>
  <si>
    <t xml:space="preserve">1 liver - 2 testicles - 1 heart </t>
  </si>
  <si>
    <t>15-7-2026 (92.3%) Al Hana - Native breed bulls .xlsx</t>
  </si>
  <si>
    <t xml:space="preserve">3 livers - 5 lungs - 1 spleen </t>
  </si>
  <si>
    <t>16-7-2026 (88.8%) Al Komy - sheep .xlsx</t>
  </si>
  <si>
    <t xml:space="preserve">1 lung - 1 testicle - 1 diaphragm </t>
  </si>
  <si>
    <t>16-7-2026 (92.7%) Al Hana - native breed bulls.xlsx</t>
  </si>
  <si>
    <t>6 livers - 1 spleen</t>
  </si>
  <si>
    <t>16-7-2026 (93.2%) Market - Goats.xlsx</t>
  </si>
  <si>
    <t>Goats</t>
  </si>
  <si>
    <t>18-7-2026 (88.7%) Al Komy - sheep.xlsx</t>
  </si>
  <si>
    <t>18-7-2026 (92.5%) Al Komy - native breed bulls.xlsx</t>
  </si>
  <si>
    <t>2 livers - 2 lungs</t>
  </si>
  <si>
    <t>19-7-2026 (91.9%) Al Hana - native breed bulls.xlsx</t>
  </si>
  <si>
    <t>5 livers - 3 lungs  - 1 heart - 1 testicle</t>
  </si>
  <si>
    <t>2-7-2026 (90.8%) Fayed - sheep.xlsx</t>
  </si>
  <si>
    <t>2-7-2026 (92.8%) Fayed - native breed bulls.xlsx</t>
  </si>
  <si>
    <t xml:space="preserve">2 livers - 2 kidneys - 1 lung - 1 head </t>
  </si>
  <si>
    <t>2-7-2026 (93.1%) Al Hana - native breed bulls.xlsx</t>
  </si>
  <si>
    <t>20-7-2026 (89.3%) Al Fayoumi - native breed bulls.xlsx</t>
  </si>
  <si>
    <t xml:space="preserve">2 livers - 2 kidneys - 1 heart - 5 lungs </t>
  </si>
  <si>
    <t>20-7-2026 (89.7%) Al Komy - sheep.xlsx</t>
  </si>
  <si>
    <t>4 kidneys - 1 testicle</t>
  </si>
  <si>
    <t>21-7-2026 (89.2%) GM - mixed breed imported bulls.xlsx</t>
  </si>
  <si>
    <t>mixed breed imported bulls</t>
  </si>
  <si>
    <t>1 fore quarter - 9 livers - 14 lungs - 1 intestine</t>
  </si>
  <si>
    <t>21-7-2026 (92.1%) Al Hana - native breed bulls.xlsx</t>
  </si>
  <si>
    <t>AL Hana</t>
  </si>
  <si>
    <t xml:space="preserve">5 livers - 2 hearts - 2 spleens - 1 head - 1 lung </t>
  </si>
  <si>
    <t>23-7-2026 (89.3%) Al Komy - native breed bulls.xlsx</t>
  </si>
  <si>
    <t>none.</t>
  </si>
  <si>
    <t>23-7-2026 (90.5%) Al Komy - sheep.xlsx</t>
  </si>
  <si>
    <t>23-7-2026 (90.6%) Al Doaa - native breed bulls.xlsx</t>
  </si>
  <si>
    <t xml:space="preserve">1 liver - 2 kidneys - 1 lung - 1 head </t>
  </si>
  <si>
    <t>23-7-2026 (92.7%) Market - Goats.xlsx</t>
  </si>
  <si>
    <t>25-7-2026 (90%) Al Komy - sheep.xlsx</t>
  </si>
  <si>
    <t>2 omentumes - 1 testicle</t>
  </si>
  <si>
    <t>25-7-2026 (91.6%) Al Komy - native breed bulls.xlsx</t>
  </si>
  <si>
    <t>7 livers - 1 lung - 1 testicle</t>
  </si>
  <si>
    <t>26-7-2026 (88.4%) GM - mixed breed imported bull s.xlsx</t>
  </si>
  <si>
    <t xml:space="preserve">mixed imported breeds bulls </t>
  </si>
  <si>
    <t xml:space="preserve">11 livers - 6 lungs - 7 legs - 12 kidneys </t>
  </si>
  <si>
    <t>27-7-2026 (90.5%) Daltex - Sheep.xlsx</t>
  </si>
  <si>
    <t>2 livers - 1 intestine - 6 kidneys - 2 omentumes</t>
  </si>
  <si>
    <t>27-7-2026 (91.6%) Al Hana - native breed bulls.xlsx</t>
  </si>
  <si>
    <t xml:space="preserve">7 livers - 4 lungs - 2 kidneys - 2 heads </t>
  </si>
  <si>
    <t>28-7-2026 (90%) Fayed - Native breed bulls.xlsx</t>
  </si>
  <si>
    <t xml:space="preserve">9 livers - 2 kidneys - 2 lungs </t>
  </si>
  <si>
    <t>29-7-2026 (87.9%) Al Fayoumi - Native breed bulls.xlsx</t>
  </si>
  <si>
    <t xml:space="preserve">5 livers - 4 kidneys - 3 lungs - 3 hearts - 3 spleens </t>
  </si>
  <si>
    <t>29-7-2026 (88.6%) Al Komy - Sheep.xlsx</t>
  </si>
  <si>
    <t>2 omentumes</t>
  </si>
  <si>
    <t>29-7-2026 (93.2%) Market - Goats.xlsx</t>
  </si>
  <si>
    <t>30-7-2026 (88.5%) Fayed - Sheep.xlsx</t>
  </si>
  <si>
    <t>30-7-2026 (89.3%) United Family - native breed bulls.xlsx</t>
  </si>
  <si>
    <t xml:space="preserve">United Family </t>
  </si>
  <si>
    <t xml:space="preserve">2 livers - 6 kidneys - 2 lungs - 1 heart </t>
  </si>
  <si>
    <t>30-7-2026 (89.8%) El Kassem - native breed bulls.xlsx</t>
  </si>
  <si>
    <t>El Kassem</t>
  </si>
  <si>
    <t xml:space="preserve">1 liver - 3 lungs - 2 kidneys - 1 heart - 1 testicle </t>
  </si>
  <si>
    <t>4-7-2026 (90.7%) Al Komy - sheep.xlsx</t>
  </si>
  <si>
    <t>4-7-2026 (91.4%) Al Komy - native breed bulls.xlsx</t>
  </si>
  <si>
    <t xml:space="preserve">5 livers - 12 kidneys - 2 lungs - 1 head - 1 heart </t>
  </si>
  <si>
    <t>4-7-2026 (92%) Market - Goats.xlsx</t>
  </si>
  <si>
    <t>5-7-2026 (87.1%) GM - mixed breeds imported bulls.xlsx</t>
  </si>
  <si>
    <t xml:space="preserve">mixed breeds imported bulls </t>
  </si>
  <si>
    <t>10 livers - 1 fore quarter - 8 kidneys - 15 lungs  - 1 leg - 1 testicle</t>
  </si>
  <si>
    <t>6-7-2026 (88.2%) Al Bashayer - native breed bulls.xlsx</t>
  </si>
  <si>
    <t xml:space="preserve">10 livers - 20 kidneys - 13 lungs  - 2 legs - 2 testicles - 1 head -  1 spleen - 2 perirenal fats - 1 heart  </t>
  </si>
  <si>
    <t>6-7-2026 (90.6%) Daltex - sheep.xlsx</t>
  </si>
  <si>
    <t>6-7-2026 (92%) Al Hana - native breed bulls.xlsx</t>
  </si>
  <si>
    <t xml:space="preserve">6 livers - 1 lung - 6 kidneys - 2 testicles </t>
  </si>
  <si>
    <t>8-7-2026 (91.8%) Al Hana - native breed bulls.xlsx</t>
  </si>
  <si>
    <t xml:space="preserve">8 livers - 1 heart - 3 lungs - 1 spleen </t>
  </si>
  <si>
    <t>8-7-2026 (92.6%) Fayed - sheep.xlsx</t>
  </si>
  <si>
    <t>9-7-2026 (90.3%) Al Kassem - native breed bulls.xlsx</t>
  </si>
  <si>
    <t>7 livers - 20 kidneys - 2 lungs</t>
  </si>
  <si>
    <t>9-7-2026 (91.8%) Fayed - sheep.xlsx</t>
  </si>
  <si>
    <t xml:space="preserve">3 livers - 1 omentum - 4 kidneys </t>
  </si>
  <si>
    <t>9-7-2026 (92.2%) Market - Goats.xlsx</t>
  </si>
  <si>
    <t>Column1</t>
  </si>
  <si>
    <t>Column2</t>
  </si>
  <si>
    <t>Family</t>
  </si>
  <si>
    <t>1 kidney - 1 heart - 8 livers - 14 lungs - 2 testicles</t>
  </si>
  <si>
    <t xml:space="preserve">1 liver - 8 kidneys - 1 heart - 1 tail fats </t>
  </si>
  <si>
    <t xml:space="preserve">2 livers - 4 lungs - 1 heart </t>
  </si>
  <si>
    <t>10 livers - 2 kidneys - 10 hearts</t>
  </si>
  <si>
    <t>7 livers - 1 lung - 2 kidneys - 2 intestines - 1 spleen</t>
  </si>
  <si>
    <t xml:space="preserve">2 livers - 1 heart - 2 kidneys - 1 testicle </t>
  </si>
  <si>
    <t>8 livers - 17 lungs - 1 intestine</t>
  </si>
  <si>
    <t xml:space="preserve">5 livers - 4 lungs - 2 kidneys - 1 heart </t>
  </si>
  <si>
    <t>1 heart - 1 tail fats</t>
  </si>
  <si>
    <t>4 livers - 2 hearts - 2 kidneys - 2 testicles - 1 lung</t>
  </si>
  <si>
    <t xml:space="preserve">1 liver - 1 lung - 4 kidneys - 1 head </t>
  </si>
  <si>
    <t>5 livers - 14 lungs - 1 testicle</t>
  </si>
  <si>
    <t xml:space="preserve">3 livers - 1 heart - 2 kidneys - 1 head - 1 lung </t>
  </si>
  <si>
    <t>22 livers - 5 kidneys - 19 hearts</t>
  </si>
  <si>
    <t xml:space="preserve">7 livers - 1 heart - 5 kidneys -2 tetsticles - 2 lungs - 1 head </t>
  </si>
  <si>
    <t xml:space="preserve">6 livers - 12 lungs - 2 legs </t>
  </si>
  <si>
    <t xml:space="preserve">2 livers -  1 omentum </t>
  </si>
  <si>
    <t xml:space="preserve">7 livers - 2 kidneys -2 tetsticles - 2 lungs - 1 head </t>
  </si>
  <si>
    <t xml:space="preserve">3 livers - 2 hearts - 1 lung - 1 rumen </t>
  </si>
  <si>
    <t xml:space="preserve">4 livers - 1 lung - 2 hearts </t>
  </si>
  <si>
    <t xml:space="preserve">2 livers - 1 testicle </t>
  </si>
  <si>
    <t>7 livers - 12 lungs - 3 kidneys - 2 legs - 2 intestines - 1 diaphragm</t>
  </si>
  <si>
    <t xml:space="preserve">5 hearts - 1 liver </t>
  </si>
  <si>
    <t xml:space="preserve">1 lung- 1 liver </t>
  </si>
  <si>
    <t xml:space="preserve">19 livers - 22 hearts - 1 omentum </t>
  </si>
  <si>
    <t xml:space="preserve">5 livers - 5 lungs - 2 kidneys - 1 testicle </t>
  </si>
  <si>
    <t>3 livers - 1 lung - 6 kidneys - 4 testicles - 1 spkleen</t>
  </si>
  <si>
    <t>4 livers - 15 lungs - 1 kidney - 2 intestines - 2 spleens</t>
  </si>
  <si>
    <t xml:space="preserve">7 livers - 11 lungs - 1 kidney - 4 legs </t>
  </si>
  <si>
    <t>1 liver - 2 kidneys  - 11 lungs</t>
  </si>
  <si>
    <t xml:space="preserve">1 fore quarter - 2 livers - 2 kidneys - 1 head - 1 testicle - 1 lung  - 1 heart </t>
  </si>
  <si>
    <t>Solala</t>
  </si>
  <si>
    <t xml:space="preserve">3 livers - 3 spleens - 1 leg - 8 lungs </t>
  </si>
  <si>
    <t>1 fore quarter - 4 livers -1 lung - 1 heart - 1 intestine</t>
  </si>
  <si>
    <t>1 fore quarter - 1 kidney - 12 livers - 17 lungs - 4 intestines</t>
  </si>
  <si>
    <t xml:space="preserve">4 livers - 1 heart - 2 lungs - 16 kidneys - 1 testicle </t>
  </si>
  <si>
    <t xml:space="preserve">1 liver - 2 kidneys - 2 hearts - 10 lungs - 1 tail fats </t>
  </si>
  <si>
    <t xml:space="preserve">2 livers - 1 heart -  1 fore quarter - 6 kidneys - 1 lung </t>
  </si>
  <si>
    <t xml:space="preserve"> 2 kidneys </t>
  </si>
  <si>
    <t xml:space="preserve">5 livers - 3 lungs - 2 kidneys </t>
  </si>
  <si>
    <t xml:space="preserve">4 livers - 5 lungs - 6 kidneys </t>
  </si>
  <si>
    <t>Column Labels</t>
  </si>
  <si>
    <t>2019</t>
  </si>
  <si>
    <t>2020</t>
  </si>
  <si>
    <t>2021</t>
  </si>
  <si>
    <t>2022</t>
  </si>
  <si>
    <t>2023</t>
  </si>
  <si>
    <t>2024</t>
  </si>
  <si>
    <t>2025</t>
  </si>
  <si>
    <t>(Multiple Items)</t>
  </si>
  <si>
    <t>2 bulls lumby skin disease + 2 carcasses due to C. Bovis in the heart.</t>
  </si>
  <si>
    <t>Details for Sum of number - Years (date): 2026, type: Bulls, Months (date): Jan (+)</t>
  </si>
  <si>
    <t>2018</t>
  </si>
  <si>
    <t>Jan</t>
  </si>
  <si>
    <t>Feb</t>
  </si>
  <si>
    <t>Apr</t>
  </si>
  <si>
    <t>May</t>
  </si>
  <si>
    <t>Jun</t>
  </si>
  <si>
    <t>Jul</t>
  </si>
  <si>
    <t>Aug</t>
  </si>
  <si>
    <t>Sep</t>
  </si>
  <si>
    <t>Oct</t>
  </si>
  <si>
    <t>Nov</t>
  </si>
  <si>
    <t>Dec</t>
  </si>
  <si>
    <t>1 bull breed</t>
  </si>
  <si>
    <t xml:space="preserve">sheep measles </t>
  </si>
  <si>
    <t xml:space="preserve">1 bull emaciated </t>
  </si>
  <si>
    <t>1 bull poor BCS</t>
  </si>
  <si>
    <t>1 carcass sarcocyst</t>
  </si>
  <si>
    <t>1 sheep due to pyelonephritis.</t>
  </si>
  <si>
    <t>1 bull due to C.Bovis in the heart</t>
  </si>
  <si>
    <t>1 sheep pyelonephritis</t>
  </si>
  <si>
    <t xml:space="preserve">2 bulls breed </t>
  </si>
  <si>
    <t>1 sheep due to Jaundice.</t>
  </si>
  <si>
    <t xml:space="preserve"> 2 carcasses due to presence of C.Bovis at heart</t>
  </si>
  <si>
    <t>2 carcasses due to presence of C.Bovis at heart</t>
  </si>
  <si>
    <t xml:space="preserve">1 bull breed + 1 carcass bruises </t>
  </si>
  <si>
    <t xml:space="preserve"> 2 carcasses due to presence of C.Bovis in their hearts </t>
  </si>
  <si>
    <t xml:space="preserve">2 bulls due to overweight </t>
  </si>
  <si>
    <t xml:space="preserve">2 carcasses white muscle disease and miliary TB </t>
  </si>
  <si>
    <t>2 SHEEP measles</t>
  </si>
  <si>
    <t>2 carcasses due to C.Bovis in the heart.</t>
  </si>
  <si>
    <t>1 carcass due to C.Bovis on the surface of the heart</t>
  </si>
  <si>
    <t>4 carcasses due to presence of C.Bovis at heart</t>
  </si>
  <si>
    <t xml:space="preserve">5 bulls mixed breed </t>
  </si>
  <si>
    <t>3 carcasses due to presence of C.Bovis at heart</t>
  </si>
  <si>
    <t>1 carcass sarcocyst + 1 c. bovis</t>
  </si>
  <si>
    <t xml:space="preserve">1 carcass c. bovis + 2 sarcocyst </t>
  </si>
  <si>
    <t>6 carcasses c. bovis + 1 bull lumpy skin diseases</t>
  </si>
  <si>
    <t xml:space="preserve">1 miliary TB + 2 c. bovis </t>
  </si>
  <si>
    <t xml:space="preserve"> 4 carcasses due to presence of C.Bovis at heart</t>
  </si>
  <si>
    <t>3 c. bovis</t>
  </si>
  <si>
    <t xml:space="preserve">7 bulls BCS + 1 generalized TB </t>
  </si>
  <si>
    <t xml:space="preserve">2 C. Bovis + 1 drug residues </t>
  </si>
  <si>
    <t xml:space="preserve">2 c. Bovis + 1 generalized TB </t>
  </si>
  <si>
    <t xml:space="preserve">3 females </t>
  </si>
  <si>
    <t xml:space="preserve">1 lumpy + 1 c. bovis + 1 drug residues </t>
  </si>
  <si>
    <t xml:space="preserve">3 c. bovis + 1 sarcocyst </t>
  </si>
  <si>
    <t xml:space="preserve">1 c. bovis + 1 drug residues </t>
  </si>
  <si>
    <t xml:space="preserve">2 c. bovis + 2 drug residues </t>
  </si>
  <si>
    <t xml:space="preserve">1 generalized TB + 2 Drug residues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</si>
</sst>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0.0%"/>
    <numFmt numFmtId="165" formatCode="0.0"/>
    <numFmt numFmtId="166" formatCode="[$-F800]dddd\,\ mmmm\ dd\,\ yyyy"/>
    <numFmt numFmtId="167" formatCode="dd/mm/yyyy;@"/>
    <numFmt numFmtId="168" formatCode="_(* #,##0_);_(* \(#,##0\);_(* &quot;-&quot;??_);_(@_)"/>
  </numFmts>
  <fonts count="9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charset val="178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1"/>
      <color theme="0"/>
      <name val="Calibri"/>
      <family val="2"/>
      <scheme val="minor"/>
    </font>
    <font>
      <sz val="11"/>
      <color rgb="FF000000"/>
      <name val="Aptos"/>
      <family val="2"/>
    </font>
    <font>
      <sz val="10"/>
      <color rgb="FF14181F"/>
      <name val="Calibri"/>
      <family val="2"/>
      <scheme val="minor"/>
    </font>
  </fonts>
  <fills count="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8" tint="0.79998168889431442"/>
        <bgColor theme="8" tint="0.79998168889431442"/>
      </patternFill>
    </fill>
    <fill>
      <patternFill patternType="solid">
        <fgColor rgb="FFFFFF00"/>
        <bgColor theme="8" tint="0.79998168889431442"/>
      </patternFill>
    </fill>
    <fill>
      <patternFill patternType="solid">
        <fgColor theme="6"/>
        <bgColor theme="6"/>
      </patternFill>
    </fill>
  </fills>
  <borders count="17">
    <border>
      <left/>
      <right/>
      <top/>
      <bottom/>
      <diagonal/>
    </border>
    <border>
      <left style="thin">
        <color theme="8"/>
      </left>
      <right style="thin">
        <color theme="8"/>
      </right>
      <top style="thin">
        <color theme="8"/>
      </top>
      <bottom style="thin">
        <color theme="8"/>
      </bottom>
      <diagonal/>
    </border>
    <border>
      <left/>
      <right/>
      <top style="thin">
        <color theme="6"/>
      </top>
      <bottom/>
      <diagonal/>
    </border>
    <border>
      <left style="thin">
        <color theme="6" tint="-0.499984740745262"/>
      </left>
      <right/>
      <top style="thin">
        <color theme="6" tint="-0.499984740745262"/>
      </top>
      <bottom style="thin">
        <color theme="6" tint="-0.499984740745262"/>
      </bottom>
      <diagonal/>
    </border>
    <border>
      <left/>
      <right/>
      <top style="thin">
        <color theme="6" tint="-0.499984740745262"/>
      </top>
      <bottom style="thin">
        <color theme="6" tint="-0.499984740745262"/>
      </bottom>
      <diagonal/>
    </border>
    <border>
      <left/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 style="thin">
        <color theme="6" tint="-0.499984740745262"/>
      </top>
      <bottom style="thin">
        <color theme="6" tint="-0.499984740745262"/>
      </bottom>
      <diagonal/>
    </border>
    <border>
      <left style="thin">
        <color theme="6" tint="-0.499984740745262"/>
      </left>
      <right/>
      <top/>
      <bottom/>
      <diagonal/>
    </border>
    <border>
      <left/>
      <right style="thin">
        <color theme="6" tint="-0.499984740745262"/>
      </right>
      <top/>
      <bottom/>
      <diagonal/>
    </border>
    <border>
      <left style="thin">
        <color theme="6" tint="-0.499984740745262"/>
      </left>
      <right/>
      <top/>
      <bottom style="thin">
        <color theme="6" tint="-0.499984740745262"/>
      </bottom>
      <diagonal/>
    </border>
    <border>
      <left/>
      <right/>
      <top/>
      <bottom style="thin">
        <color theme="6" tint="-0.499984740745262"/>
      </bottom>
      <diagonal/>
    </border>
    <border>
      <left/>
      <right style="thin">
        <color theme="6" tint="-0.499984740745262"/>
      </right>
      <top/>
      <bottom style="thin">
        <color theme="6" tint="-0.499984740745262"/>
      </bottom>
      <diagonal/>
    </border>
    <border>
      <left/>
      <right/>
      <top style="thin">
        <color theme="6" tint="-0.499984740745262"/>
      </top>
      <bottom/>
      <diagonal/>
    </border>
    <border>
      <left/>
      <right style="thin">
        <color theme="6" tint="-0.499984740745262"/>
      </right>
      <top style="thin">
        <color theme="6" tint="-0.499984740745262"/>
      </top>
      <bottom/>
      <diagonal/>
    </border>
    <border>
      <left style="thin">
        <color theme="6" tint="-0.499984740745262"/>
      </left>
      <right style="thin">
        <color theme="6" tint="-0.499984740745262"/>
      </right>
      <top/>
      <bottom/>
      <diagonal/>
    </border>
    <border>
      <left style="thin">
        <color theme="6" tint="-0.499984740745262"/>
      </left>
      <right style="thin">
        <color theme="6" tint="-0.499984740745262"/>
      </right>
      <top/>
      <bottom style="thin">
        <color theme="6" tint="-0.499984740745262"/>
      </bottom>
      <diagonal/>
    </border>
  </borders>
  <cellStyleXfs count="3">
    <xf numFmtId="0" fontId="0" fillId="0" borderId="0"/>
    <xf numFmtId="0" fontId="1" fillId="0" borderId="0"/>
    <xf numFmtId="9" fontId="3" fillId="0" borderId="0" applyFont="0" applyFill="0" applyBorder="0" applyAlignment="0" applyProtection="0"/>
  </cellStyleXfs>
  <cellXfs count="71">
    <xf numFmtId="0" fontId="0" fillId="0" borderId="0" xfId="0"/>
    <xf numFmtId="0" fontId="0" fillId="0" borderId="0" xfId="0" applyAlignment="1">
      <alignment horizontal="center" vertical="center" wrapText="1"/>
    </xf>
    <xf numFmtId="0" fontId="0" fillId="0" borderId="0" xfId="0" applyAlignment="1">
      <alignment horizontal="center" vertical="center"/>
    </xf>
    <xf numFmtId="164" fontId="0" fillId="0" borderId="0" xfId="0" applyNumberFormat="1" applyAlignment="1">
      <alignment horizontal="center" vertical="center"/>
    </xf>
    <xf numFmtId="0" fontId="0" fillId="0" borderId="0" xfId="0" applyAlignment="1">
      <alignment horizontal="left" vertical="center"/>
    </xf>
    <xf numFmtId="165" fontId="0" fillId="0" borderId="0" xfId="0" applyNumberFormat="1" applyAlignment="1">
      <alignment horizontal="left" vertical="center"/>
    </xf>
    <xf numFmtId="164" fontId="0" fillId="0" borderId="0" xfId="0" applyNumberFormat="1" applyAlignment="1">
      <alignment horizontal="left" vertical="center"/>
    </xf>
    <xf numFmtId="1" fontId="0" fillId="0" borderId="0" xfId="0" applyNumberFormat="1" applyAlignment="1">
      <alignment horizontal="center" vertical="center"/>
    </xf>
    <xf numFmtId="165" fontId="0" fillId="0" borderId="0" xfId="0" applyNumberFormat="1" applyAlignment="1">
      <alignment horizontal="center" vertical="center"/>
    </xf>
    <xf numFmtId="0" fontId="0" fillId="0" borderId="0" xfId="0" applyAlignment="1">
      <alignment horizontal="left"/>
    </xf>
    <xf numFmtId="166" fontId="0" fillId="0" borderId="0" xfId="0" applyNumberFormat="1" applyAlignment="1">
      <alignment horizontal="center" vertical="center" wrapText="1"/>
    </xf>
    <xf numFmtId="167" fontId="0" fillId="0" borderId="0" xfId="0" applyNumberFormat="1" applyAlignment="1">
      <alignment horizontal="center" vertical="center"/>
    </xf>
    <xf numFmtId="9" fontId="0" fillId="0" borderId="0" xfId="2" applyFont="1" applyAlignment="1">
      <alignment horizontal="center" vertical="center"/>
    </xf>
    <xf numFmtId="0" fontId="0" fillId="2" borderId="0" xfId="0" applyFill="1" applyAlignment="1">
      <alignment horizontal="center" vertical="center"/>
    </xf>
    <xf numFmtId="0" fontId="0" fillId="2" borderId="0" xfId="0" applyFill="1" applyAlignment="1">
      <alignment horizontal="left" vertical="center"/>
    </xf>
    <xf numFmtId="0" fontId="0" fillId="0" borderId="0" xfId="0" applyAlignment="1">
      <alignment horizontal="left" vertical="center" wrapText="1"/>
    </xf>
    <xf numFmtId="1" fontId="0" fillId="0" borderId="0" xfId="0" applyNumberFormat="1" applyAlignment="1">
      <alignment horizontal="center" vertical="center" wrapText="1"/>
    </xf>
    <xf numFmtId="165" fontId="0" fillId="0" borderId="0" xfId="0" applyNumberFormat="1" applyAlignment="1">
      <alignment horizontal="left" vertical="center" wrapText="1"/>
    </xf>
    <xf numFmtId="164" fontId="0" fillId="0" borderId="0" xfId="0" applyNumberFormat="1" applyAlignment="1">
      <alignment horizontal="center" vertical="center" wrapText="1"/>
    </xf>
    <xf numFmtId="164" fontId="0" fillId="0" borderId="0" xfId="0" applyNumberFormat="1" applyAlignment="1">
      <alignment horizontal="left" vertical="center" wrapText="1"/>
    </xf>
    <xf numFmtId="9" fontId="0" fillId="0" borderId="0" xfId="2" applyFont="1" applyAlignment="1">
      <alignment horizontal="center" vertical="center" wrapText="1"/>
    </xf>
    <xf numFmtId="164" fontId="0" fillId="0" borderId="0" xfId="2" applyNumberFormat="1" applyFont="1" applyAlignment="1">
      <alignment horizontal="center" vertical="center" wrapText="1"/>
    </xf>
    <xf numFmtId="9" fontId="0" fillId="0" borderId="0" xfId="2" applyFont="1" applyAlignment="1">
      <alignment horizontal="left" vertical="center" wrapText="1"/>
    </xf>
    <xf numFmtId="164" fontId="0" fillId="0" borderId="0" xfId="2" applyNumberFormat="1" applyFont="1" applyAlignment="1">
      <alignment horizontal="center" vertical="center"/>
    </xf>
    <xf numFmtId="164" fontId="0" fillId="0" borderId="0" xfId="2" applyNumberFormat="1" applyFont="1" applyAlignment="1">
      <alignment horizontal="left" vertical="center" wrapText="1"/>
    </xf>
    <xf numFmtId="0" fontId="0" fillId="3" borderId="0" xfId="0" applyFill="1" applyAlignment="1">
      <alignment horizontal="center" vertical="center" wrapText="1"/>
    </xf>
    <xf numFmtId="0" fontId="0" fillId="4" borderId="0" xfId="0" applyFill="1" applyAlignment="1">
      <alignment horizontal="center" vertical="center" wrapText="1"/>
    </xf>
    <xf numFmtId="0" fontId="0" fillId="0" borderId="1" xfId="0" applyBorder="1" applyAlignment="1">
      <alignment horizontal="center" vertical="center"/>
    </xf>
    <xf numFmtId="0" fontId="0" fillId="2" borderId="0" xfId="0" applyFill="1" applyAlignment="1">
      <alignment horizontal="center" vertical="center" wrapText="1"/>
    </xf>
    <xf numFmtId="164" fontId="0" fillId="0" borderId="0" xfId="0" applyNumberFormat="1"/>
    <xf numFmtId="0" fontId="7" fillId="0" borderId="0" xfId="0" applyFont="1" applyAlignment="1">
      <alignment horizontal="left" vertical="center" indent="1"/>
    </xf>
    <xf numFmtId="0" fontId="0" fillId="0" borderId="0" xfId="0" pivotButton="1"/>
    <xf numFmtId="0" fontId="2" fillId="0" borderId="0" xfId="0" applyFont="1" applyAlignment="1">
      <alignment horizontal="left" indent="1"/>
    </xf>
    <xf numFmtId="0" fontId="2" fillId="0" borderId="2" xfId="0" applyFont="1" applyBorder="1" applyAlignment="1">
      <alignment horizontal="left" indent="1"/>
    </xf>
    <xf numFmtId="0" fontId="0" fillId="0" borderId="7" xfId="0" applyBorder="1"/>
    <xf numFmtId="0" fontId="2" fillId="0" borderId="15" xfId="0" applyFont="1" applyBorder="1" applyAlignment="1">
      <alignment horizontal="left" indent="1"/>
    </xf>
    <xf numFmtId="0" fontId="0" fillId="0" borderId="16" xfId="0" applyBorder="1"/>
    <xf numFmtId="164" fontId="0" fillId="0" borderId="2" xfId="2" applyNumberFormat="1" applyFont="1" applyBorder="1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2" fillId="0" borderId="0" xfId="0" applyFont="1" applyAlignment="1">
      <alignment horizontal="center" vertical="center"/>
    </xf>
    <xf numFmtId="164" fontId="0" fillId="0" borderId="12" xfId="0" applyNumberFormat="1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4" fontId="0" fillId="0" borderId="9" xfId="2" applyNumberFormat="1" applyFont="1" applyBorder="1" applyAlignment="1">
      <alignment horizontal="center" vertical="center"/>
    </xf>
    <xf numFmtId="0" fontId="0" fillId="0" borderId="8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164" fontId="3" fillId="0" borderId="12" xfId="0" applyNumberFormat="1" applyFont="1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17" fontId="0" fillId="0" borderId="0" xfId="0" applyNumberFormat="1"/>
    <xf numFmtId="0" fontId="8" fillId="0" borderId="0" xfId="0" applyFont="1" applyAlignment="1">
      <alignment vertical="center"/>
    </xf>
    <xf numFmtId="167" fontId="0" fillId="0" borderId="0" xfId="0" applyNumberFormat="1"/>
    <xf numFmtId="22" fontId="0" fillId="0" borderId="0" xfId="0" applyNumberFormat="1"/>
    <xf numFmtId="0" fontId="2" fillId="0" borderId="0" xfId="0" applyFont="1"/>
    <xf numFmtId="14" fontId="0" fillId="0" borderId="0" xfId="0" applyNumberFormat="1"/>
    <xf numFmtId="0" fontId="0" fillId="0" borderId="0" xfId="0" applyAlignment="1">
      <alignment wrapText="1"/>
    </xf>
    <xf numFmtId="0" fontId="0" fillId="0" borderId="0" xfId="0" applyAlignment="1">
      <alignment horizontal="left" indent="1"/>
    </xf>
    <xf numFmtId="0" fontId="0" fillId="5" borderId="0" xfId="0" applyFill="1" applyBorder="1" applyAlignment="1">
      <alignment horizontal="center" vertical="center"/>
    </xf>
    <xf numFmtId="0" fontId="0" fillId="2" borderId="0" xfId="0" applyFill="1" applyBorder="1" applyAlignment="1">
      <alignment horizontal="center" vertical="center"/>
    </xf>
    <xf numFmtId="0" fontId="0" fillId="0" borderId="0" xfId="0" applyBorder="1" applyAlignment="1">
      <alignment horizontal="center" vertical="center"/>
    </xf>
    <xf numFmtId="0" fontId="0" fillId="6" borderId="0" xfId="0" applyFill="1" applyBorder="1" applyAlignment="1">
      <alignment horizontal="center" vertical="center"/>
    </xf>
    <xf numFmtId="168" fontId="0" fillId="0" borderId="0" xfId="0" applyNumberFormat="1" applyFont="1" applyAlignment="1">
      <alignment horizontal="center" vertical="center"/>
    </xf>
    <xf numFmtId="0" fontId="7" fillId="0" borderId="0" xfId="0" applyFont="1" applyAlignment="1">
      <alignment horizontal="left"/>
    </xf>
    <xf numFmtId="0" fontId="6" fillId="7" borderId="3" xfId="0" applyFont="1" applyFill="1" applyBorder="1" applyAlignment="1">
      <alignment horizontal="center"/>
    </xf>
    <xf numFmtId="0" fontId="6" fillId="7" borderId="4" xfId="0" applyFont="1" applyFill="1" applyBorder="1" applyAlignment="1">
      <alignment horizontal="center"/>
    </xf>
    <xf numFmtId="0" fontId="6" fillId="7" borderId="5" xfId="0" applyFont="1" applyFill="1" applyBorder="1" applyAlignment="1">
      <alignment horizontal="center"/>
    </xf>
    <xf numFmtId="0" fontId="6" fillId="7" borderId="6" xfId="0" applyFont="1" applyFill="1" applyBorder="1" applyAlignment="1">
      <alignment horizontal="center"/>
    </xf>
    <xf numFmtId="0" fontId="6" fillId="7" borderId="13" xfId="0" applyFont="1" applyFill="1" applyBorder="1" applyAlignment="1">
      <alignment horizontal="center"/>
    </xf>
    <xf numFmtId="0" fontId="6" fillId="7" borderId="14" xfId="0" applyFont="1" applyFill="1" applyBorder="1" applyAlignment="1">
      <alignment horizontal="center"/>
    </xf>
  </cellXfs>
  <cellStyles count="3">
    <cellStyle name="Normal" xfId="0" builtinId="0"/>
    <cellStyle name="Normal 2" xfId="1" xr:uid="{00000000-0005-0000-0000-000001000000}"/>
    <cellStyle name="Percent" xfId="2" builtinId="5"/>
  </cellStyles>
  <dxfs count="118">
    <dxf>
      <numFmt numFmtId="0" formatCode="General"/>
    </dxf>
    <dxf>
      <numFmt numFmtId="169" formatCode="dd/mm/yy\ h:mm"/>
    </dxf>
    <dxf>
      <numFmt numFmtId="169" formatCode="dd/mm/yy\ h:mm"/>
    </dxf>
    <dxf>
      <numFmt numFmtId="169" formatCode="dd/mm/yy\ h:mm"/>
    </dxf>
    <dxf>
      <numFmt numFmtId="0" formatCode="General"/>
    </dxf>
    <dxf>
      <numFmt numFmtId="0" formatCode="General"/>
    </dxf>
    <dxf>
      <numFmt numFmtId="170" formatCode="dd/mm/yy"/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  <top/>
        <bottom style="thin">
          <color theme="6" tint="-0.499984740745262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center" vertical="center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0" formatCode="General"/>
      <alignment horizontal="center" vertical="center" textRotation="0" wrapText="0" indent="0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alignment horizontal="left" vertical="bottom" textRotation="0" wrapText="0" indent="1" justifyLastLine="0" shrinkToFit="0" readingOrder="0"/>
      <border diagonalUp="0" diagonalDown="0" outline="0">
        <left/>
        <right/>
        <top style="thin">
          <color theme="6"/>
        </top>
        <bottom/>
      </border>
    </dxf>
    <dxf>
      <border outline="0">
        <left style="thin">
          <color theme="6"/>
        </left>
        <right style="thin">
          <color theme="6"/>
        </right>
        <top style="thin">
          <color theme="6"/>
        </top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  <top/>
        <bottom/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  <top/>
        <bottom style="thin">
          <color theme="6" tint="-0.499984740745262"/>
        </bottom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  <top/>
        <bottom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  <top/>
        <bottom style="thin">
          <color theme="6" tint="-0.499984740745262"/>
        </bottom>
      </border>
    </dxf>
    <dxf>
      <numFmt numFmtId="164" formatCode="0.0%"/>
      <alignment horizontal="center" vertical="center" textRotation="0" wrapText="0" indent="0" justifyLastLine="0" shrinkToFit="0" readingOrder="0"/>
      <border diagonalUp="0" diagonalDown="0" outline="0">
        <left/>
        <right style="thin">
          <color theme="6" tint="-0.499984740745262"/>
        </right>
      </border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  <top/>
        <bottom style="thin">
          <color theme="6" tint="-0.499984740745262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</border>
    </dxf>
    <dxf>
      <alignment horizontal="center" vertical="center" textRotation="0" wrapText="0" indent="0" justifyLastLine="0" shrinkToFit="0" readingOrder="0"/>
      <border diagonalUp="0" diagonalDown="0" outline="0">
        <left/>
        <right/>
        <top/>
        <bottom style="thin">
          <color theme="6" tint="-0.499984740745262"/>
        </bottom>
      </border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  <top/>
        <bottom style="thin">
          <color theme="6" tint="-0.499984740745262"/>
        </bottom>
      </border>
    </dxf>
    <dxf>
      <numFmt numFmtId="0" formatCode="General"/>
      <alignment horizontal="center" vertical="center" textRotation="0" wrapText="0" indent="0" justifyLastLine="0" shrinkToFit="0" readingOrder="0"/>
      <border diagonalUp="0" diagonalDown="0" outline="0">
        <left style="thin">
          <color theme="6" tint="-0.499984740745262"/>
        </left>
        <right/>
      </border>
    </dxf>
    <dxf>
      <border diagonalUp="0" diagonalDown="0" outline="0">
        <left style="thin">
          <color theme="6" tint="-0.499984740745262"/>
        </left>
        <right style="thin">
          <color theme="6" tint="-0.499984740745262"/>
        </right>
        <top/>
        <bottom style="thin">
          <color theme="6" tint="-0.499984740745262"/>
        </bottom>
      </border>
    </dxf>
    <dxf>
      <numFmt numFmtId="0" formatCode="General"/>
      <border diagonalUp="0" diagonalDown="0">
        <left style="thin">
          <color theme="6" tint="-0.499984740745262"/>
        </left>
        <right style="thin">
          <color theme="6" tint="-0.499984740745262"/>
        </right>
        <top/>
        <bottom/>
        <vertical/>
        <horizontal/>
      </border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0.0%"/>
    </dxf>
    <dxf>
      <alignment horizontal="center" vertical="center" textRotation="0" wrapText="0" indent="0" justifyLastLine="0" shrinkToFit="0" readingOrder="0"/>
    </dxf>
    <dxf>
      <numFmt numFmtId="164" formatCode="0.0%"/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164" formatCode="0.0%"/>
    </dxf>
    <dxf>
      <alignment horizontal="center" vertical="center" textRotation="0" wrapText="1" indent="0" justifyLastLine="0" shrinkToFit="0" readingOrder="0"/>
    </dxf>
    <dxf>
      <numFmt numFmtId="164" formatCode="0.0%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" formatCode="0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8" formatCode="_(* #,##0_);_(* \(#,##0\);_(* &quot;-&quot;??_);_(@_)"/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numFmt numFmtId="0" formatCode="General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left" vertical="center" textRotation="0" wrapText="0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wrapText="1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0" formatCode="General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dd/mm/yyyy;@"/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numFmt numFmtId="167" formatCode="dd/mm/yyyy;@"/>
      <alignment horizontal="center" vertical="center" textRotation="0" wrapText="0" indent="0" justifyLastLine="0" shrinkToFit="0" readingOrder="0"/>
    </dxf>
    <dxf>
      <alignment horizontal="center" vertical="center" textRotation="0" indent="0" justifyLastLine="0" shrinkToFit="0" readingOrder="0"/>
    </dxf>
    <dxf>
      <alignment horizontal="center" vertical="center" textRotation="0" wrapText="1" indent="0" justifyLastLine="0" shrinkToFit="0" readingOrder="0"/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 /><Relationship Id="rId13" Type="http://schemas.openxmlformats.org/officeDocument/2006/relationships/calcChain" Target="calcChain.xml" /><Relationship Id="rId18" Type="http://schemas.openxmlformats.org/officeDocument/2006/relationships/customXml" Target="../customXml/item5.xml" /><Relationship Id="rId3" Type="http://schemas.openxmlformats.org/officeDocument/2006/relationships/worksheet" Target="worksheets/sheet3.xml" /><Relationship Id="rId7" Type="http://schemas.openxmlformats.org/officeDocument/2006/relationships/pivotCacheDefinition" Target="pivotCache/pivotCacheDefinition1.xml" /><Relationship Id="rId12" Type="http://schemas.openxmlformats.org/officeDocument/2006/relationships/powerPivotData" Target="model/item.data" /><Relationship Id="rId17" Type="http://schemas.openxmlformats.org/officeDocument/2006/relationships/customXml" Target="../customXml/item4.xml" /><Relationship Id="rId2" Type="http://schemas.openxmlformats.org/officeDocument/2006/relationships/worksheet" Target="worksheets/sheet2.xml" /><Relationship Id="rId16" Type="http://schemas.openxmlformats.org/officeDocument/2006/relationships/customXml" Target="../customXml/item3.xml" /><Relationship Id="rId1" Type="http://schemas.openxmlformats.org/officeDocument/2006/relationships/worksheet" Target="worksheets/sheet1.xml" /><Relationship Id="rId6" Type="http://schemas.openxmlformats.org/officeDocument/2006/relationships/worksheet" Target="worksheets/sheet6.xml" /><Relationship Id="rId11" Type="http://schemas.openxmlformats.org/officeDocument/2006/relationships/sharedStrings" Target="sharedStrings.xml" /><Relationship Id="rId5" Type="http://schemas.openxmlformats.org/officeDocument/2006/relationships/worksheet" Target="worksheets/sheet5.xml" /><Relationship Id="rId15" Type="http://schemas.openxmlformats.org/officeDocument/2006/relationships/customXml" Target="../customXml/item2.xml" /><Relationship Id="rId10" Type="http://schemas.openxmlformats.org/officeDocument/2006/relationships/styles" Target="styles.xml" /><Relationship Id="rId19" Type="http://schemas.openxmlformats.org/officeDocument/2006/relationships/customXml" Target="../customXml/item6.xml" /><Relationship Id="rId4" Type="http://schemas.openxmlformats.org/officeDocument/2006/relationships/worksheet" Target="worksheets/sheet4.xml" /><Relationship Id="rId9" Type="http://schemas.openxmlformats.org/officeDocument/2006/relationships/connections" Target="connections.xml" /><Relationship Id="rId14" Type="http://schemas.openxmlformats.org/officeDocument/2006/relationships/customXml" Target="../customXml/item1.xml" /></Relationships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 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Author" refreshedDate="46126.662573611109" createdVersion="8" refreshedVersion="8" minRefreshableVersion="3" recordCount="2408" xr:uid="{82DCAAC5-7225-47DC-92BE-11436A7486A6}">
  <cacheSource type="worksheet">
    <worksheetSource name="grand"/>
  </cacheSource>
  <cacheFields count="39">
    <cacheField name="date" numFmtId="167">
      <sharedItems containsSemiMixedTypes="0" containsNonDate="0" containsDate="1" containsString="0" minDate="2018-10-23T00:00:00" maxDate="2026-04-01T00:00:00" count="1658">
        <d v="2018-10-23T00:00:00"/>
        <d v="2018-10-25T00:00:00"/>
        <d v="2018-10-28T00:00:00"/>
        <d v="2018-10-30T00:00:00"/>
        <d v="2018-11-01T00:00:00"/>
        <d v="2018-11-04T00:00:00"/>
        <d v="2018-11-06T00:00:00"/>
        <d v="2018-11-08T00:00:00"/>
        <d v="2018-11-11T00:00:00"/>
        <d v="2018-11-13T00:00:00"/>
        <d v="2018-11-15T00:00:00"/>
        <d v="2018-11-20T00:00:00"/>
        <d v="2018-11-22T00:00:00"/>
        <d v="2018-11-25T00:00:00"/>
        <d v="2018-11-27T00:00:00"/>
        <d v="2018-11-29T00:00:00"/>
        <d v="2018-12-02T00:00:00"/>
        <d v="2018-12-04T00:00:00"/>
        <d v="2018-12-06T00:00:00"/>
        <d v="2018-12-09T00:00:00"/>
        <d v="2018-12-11T00:00:00"/>
        <d v="2018-12-13T00:00:00"/>
        <d v="2018-12-16T00:00:00"/>
        <d v="2018-12-18T00:00:00"/>
        <d v="2018-12-20T00:00:00"/>
        <d v="2018-12-23T00:00:00"/>
        <d v="2018-12-25T00:00:00"/>
        <d v="2018-12-27T00:00:00"/>
        <d v="2018-12-30T00:00:00"/>
        <d v="2019-01-01T00:00:00"/>
        <d v="2019-01-03T00:00:00"/>
        <d v="2019-01-06T00:00:00"/>
        <d v="2019-01-08T00:00:00"/>
        <d v="2019-01-10T00:00:00"/>
        <d v="2019-01-13T00:00:00"/>
        <d v="2019-01-15T00:00:00"/>
        <d v="2019-01-17T00:00:00"/>
        <d v="2019-01-20T00:00:00"/>
        <d v="2019-01-22T00:00:00"/>
        <d v="2019-01-24T00:00:00"/>
        <d v="2019-01-27T00:00:00"/>
        <d v="2019-01-29T00:00:00"/>
        <d v="2019-01-31T00:00:00"/>
        <d v="2019-02-02T00:00:00"/>
        <d v="2019-02-05T00:00:00"/>
        <d v="2019-02-07T00:00:00"/>
        <d v="2019-02-10T00:00:00"/>
        <d v="2019-02-12T00:00:00"/>
        <d v="2019-02-14T00:00:00"/>
        <d v="2019-02-17T00:00:00"/>
        <d v="2019-02-19T00:00:00"/>
        <d v="2019-02-21T00:00:00"/>
        <d v="2019-02-24T00:00:00"/>
        <d v="2019-02-26T00:00:00"/>
        <d v="2019-02-28T00:00:00"/>
        <d v="2019-03-03T00:00:00"/>
        <d v="2019-03-05T00:00:00"/>
        <d v="2019-03-07T00:00:00"/>
        <d v="2019-03-10T00:00:00"/>
        <d v="2019-03-12T00:00:00"/>
        <d v="2019-03-14T00:00:00"/>
        <d v="2019-03-17T00:00:00"/>
        <d v="2019-03-19T00:00:00"/>
        <d v="2019-03-21T00:00:00"/>
        <d v="2019-03-24T00:00:00"/>
        <d v="2019-03-26T00:00:00"/>
        <d v="2019-03-28T00:00:00"/>
        <d v="2019-03-31T00:00:00"/>
        <d v="2019-04-02T00:00:00"/>
        <d v="2019-04-04T00:00:00"/>
        <d v="2019-04-07T00:00:00"/>
        <d v="2019-04-09T00:00:00"/>
        <d v="2019-04-11T00:00:00"/>
        <d v="2019-04-14T00:00:00"/>
        <d v="2019-04-16T00:00:00"/>
        <d v="2019-04-18T00:00:00"/>
        <d v="2019-04-21T00:00:00"/>
        <d v="2019-04-23T00:00:00"/>
        <d v="2019-04-25T00:00:00"/>
        <d v="2019-04-28T00:00:00"/>
        <d v="2019-04-30T00:00:00"/>
        <d v="2019-05-02T00:00:00"/>
        <d v="2019-05-05T00:00:00"/>
        <d v="2019-05-06T00:00:00"/>
        <d v="2019-05-09T00:00:00"/>
        <d v="2019-05-12T00:00:00"/>
        <d v="2019-05-14T00:00:00"/>
        <d v="2019-05-16T00:00:00"/>
        <d v="2019-05-19T00:00:00"/>
        <d v="2019-05-21T00:00:00"/>
        <d v="2019-05-23T00:00:00"/>
        <d v="2019-05-26T00:00:00"/>
        <d v="2019-05-28T00:00:00"/>
        <d v="2019-05-30T00:00:00"/>
        <d v="2019-06-02T00:00:00"/>
        <d v="2019-06-10T00:00:00"/>
        <d v="2019-06-13T00:00:00"/>
        <d v="2019-06-16T00:00:00"/>
        <d v="2019-06-18T00:00:00"/>
        <d v="2019-06-20T00:00:00"/>
        <d v="2019-06-23T00:00:00"/>
        <d v="2019-06-25T00:00:00"/>
        <d v="2019-06-27T00:00:00"/>
        <d v="2019-06-30T00:00:00"/>
        <d v="2019-07-02T00:00:00"/>
        <d v="2019-07-04T00:00:00"/>
        <d v="2019-07-07T00:00:00"/>
        <d v="2019-07-09T00:00:00"/>
        <d v="2019-07-11T00:00:00"/>
        <d v="2019-07-14T00:00:00"/>
        <d v="2019-07-16T00:00:00"/>
        <d v="2019-07-18T00:00:00"/>
        <d v="2019-07-21T00:00:00"/>
        <d v="2019-07-23T00:00:00"/>
        <d v="2019-07-25T00:00:00"/>
        <d v="2019-07-28T00:00:00"/>
        <d v="2019-07-30T00:00:00"/>
        <d v="2019-08-02T00:00:00"/>
        <d v="2019-08-03T00:00:00"/>
        <d v="2019-08-04T00:00:00"/>
        <d v="2019-08-05T00:00:00"/>
        <d v="2019-08-06T00:00:00"/>
        <d v="2019-08-07T00:00:00"/>
        <d v="2019-08-08T00:00:00"/>
        <d v="2019-08-09T00:00:00"/>
        <d v="2019-08-10T00:00:00"/>
        <d v="2019-08-19T00:00:00"/>
        <d v="2019-08-20T00:00:00"/>
        <d v="2019-08-21T00:00:00"/>
        <d v="2019-08-22T00:00:00"/>
        <d v="2019-08-25T00:00:00"/>
        <d v="2019-08-27T00:00:00"/>
        <d v="2019-08-29T00:00:00"/>
        <d v="2019-09-01T00:00:00"/>
        <d v="2019-09-03T00:00:00"/>
        <d v="2019-09-05T00:00:00"/>
        <d v="2019-09-08T00:00:00"/>
        <d v="2019-09-10T00:00:00"/>
        <d v="2019-09-12T00:00:00"/>
        <d v="2019-09-15T00:00:00"/>
        <d v="2019-09-17T00:00:00"/>
        <d v="2019-09-19T00:00:00"/>
        <d v="2019-09-22T00:00:00"/>
        <d v="2019-09-24T00:00:00"/>
        <d v="2019-09-29T00:00:00"/>
        <d v="2019-10-01T00:00:00"/>
        <d v="2019-10-03T00:00:00"/>
        <d v="2019-10-06T00:00:00"/>
        <d v="2019-10-08T00:00:00"/>
        <d v="2019-10-10T00:00:00"/>
        <d v="2019-10-13T00:00:00"/>
        <d v="2019-10-15T00:00:00"/>
        <d v="2019-10-17T00:00:00"/>
        <d v="2019-10-20T00:00:00"/>
        <d v="2019-10-22T00:00:00"/>
        <d v="2019-10-24T00:00:00"/>
        <d v="2019-10-27T00:00:00"/>
        <d v="2019-10-29T00:00:00"/>
        <d v="2019-10-31T00:00:00"/>
        <d v="2019-11-03T00:00:00"/>
        <d v="2019-11-05T00:00:00"/>
        <d v="2019-11-07T00:00:00"/>
        <d v="2019-11-10T00:00:00"/>
        <d v="2019-11-12T00:00:00"/>
        <d v="2019-11-14T00:00:00"/>
        <d v="2019-11-17T00:00:00"/>
        <d v="2019-11-19T00:00:00"/>
        <d v="2019-11-21T00:00:00"/>
        <d v="2019-11-24T00:00:00"/>
        <d v="2019-11-26T00:00:00"/>
        <d v="2019-11-28T00:00:00"/>
        <d v="2019-12-01T00:00:00"/>
        <d v="2019-12-03T00:00:00"/>
        <d v="2019-12-05T00:00:00"/>
        <d v="2019-12-08T00:00:00"/>
        <d v="2019-12-10T00:00:00"/>
        <d v="2019-12-12T00:00:00"/>
        <d v="2019-12-15T00:00:00"/>
        <d v="2019-12-17T00:00:00"/>
        <d v="2019-12-19T00:00:00"/>
        <d v="2019-12-22T00:00:00"/>
        <d v="2019-12-24T00:00:00"/>
        <d v="2019-12-26T00:00:00"/>
        <d v="2019-12-29T00:00:00"/>
        <d v="2019-12-31T00:00:00"/>
        <d v="2020-01-02T00:00:00"/>
        <d v="2020-01-05T00:00:00"/>
        <d v="2020-01-07T00:00:00"/>
        <d v="2020-01-09T00:00:00"/>
        <d v="2020-01-12T00:00:00"/>
        <d v="2020-01-14T00:00:00"/>
        <d v="2020-01-16T00:00:00"/>
        <d v="2020-01-19T00:00:00"/>
        <d v="2020-01-21T00:00:00"/>
        <d v="2020-01-23T00:00:00"/>
        <d v="2020-01-26T00:00:00"/>
        <d v="2020-01-28T00:00:00"/>
        <d v="2020-01-30T00:00:00"/>
        <d v="2020-02-02T00:00:00"/>
        <d v="2020-02-04T00:00:00"/>
        <d v="2020-02-06T00:00:00"/>
        <d v="2020-02-09T00:00:00"/>
        <d v="2020-02-11T00:00:00"/>
        <d v="2020-02-13T00:00:00"/>
        <d v="2020-02-16T00:00:00"/>
        <d v="2020-02-18T00:00:00"/>
        <d v="2020-02-20T00:00:00"/>
        <d v="2020-02-23T00:00:00"/>
        <d v="2020-02-25T00:00:00"/>
        <d v="2020-02-27T00:00:00"/>
        <d v="2020-03-01T00:00:00"/>
        <d v="2020-03-03T00:00:00"/>
        <d v="2020-03-05T00:00:00"/>
        <d v="2020-03-08T00:00:00"/>
        <d v="2020-03-10T00:00:00"/>
        <d v="2020-03-12T00:00:00"/>
        <d v="2020-03-15T00:00:00"/>
        <d v="2020-03-16T00:00:00"/>
        <d v="2020-03-17T00:00:00"/>
        <d v="2020-03-18T00:00:00"/>
        <d v="2020-03-19T00:00:00"/>
        <d v="2020-03-20T00:00:00"/>
        <d v="2020-03-22T00:00:00"/>
        <d v="2020-03-23T00:00:00"/>
        <d v="2020-03-24T00:00:00"/>
        <d v="2020-03-25T00:00:00"/>
        <d v="2020-03-26T00:00:00"/>
        <d v="2020-03-28T00:00:00"/>
        <d v="2020-03-29T00:00:00"/>
        <d v="2020-03-30T00:00:00"/>
        <d v="2020-03-31T00:00:00"/>
        <d v="2020-04-01T00:00:00"/>
        <d v="2020-04-02T00:00:00"/>
        <d v="2020-04-04T00:00:00"/>
        <d v="2020-04-05T00:00:00"/>
        <d v="2020-04-06T00:00:00"/>
        <d v="2020-04-07T00:00:00"/>
        <d v="2020-04-08T00:00:00"/>
        <d v="2020-04-09T00:00:00"/>
        <d v="2020-04-11T00:00:00"/>
        <d v="2020-04-12T00:00:00"/>
        <d v="2020-04-13T00:00:00"/>
        <d v="2020-04-14T00:00:00"/>
        <d v="2020-04-15T00:00:00"/>
        <d v="2020-04-16T00:00:00"/>
        <d v="2020-04-18T00:00:00"/>
        <d v="2020-04-19T00:00:00"/>
        <d v="2020-04-21T00:00:00"/>
        <d v="2020-04-22T00:00:00"/>
        <d v="2020-04-23T00:00:00"/>
        <d v="2020-04-25T00:00:00"/>
        <d v="2020-04-27T00:00:00"/>
        <d v="2020-04-28T00:00:00"/>
        <d v="2020-04-29T00:00:00"/>
        <d v="2020-04-30T00:00:00"/>
        <d v="2020-05-02T00:00:00"/>
        <d v="2020-05-03T00:00:00"/>
        <d v="2020-05-05T00:00:00"/>
        <d v="2020-05-06T00:00:00"/>
        <d v="2020-05-07T00:00:00"/>
        <d v="2020-05-09T00:00:00"/>
        <d v="2020-05-10T00:00:00"/>
        <d v="2020-05-11T00:00:00"/>
        <d v="2020-05-12T00:00:00"/>
        <d v="2020-05-14T00:00:00"/>
        <d v="2020-05-16T00:00:00"/>
        <d v="2020-05-17T00:00:00"/>
        <d v="2020-05-18T00:00:00"/>
        <d v="2020-05-19T00:00:00"/>
        <d v="2020-05-20T00:00:00"/>
        <d v="2020-05-21T00:00:00"/>
        <d v="2020-05-23T00:00:00"/>
        <d v="2020-05-28T00:00:00"/>
        <d v="2020-05-30T00:00:00"/>
        <d v="2020-05-31T00:00:00"/>
        <d v="2020-06-01T00:00:00"/>
        <d v="2020-06-02T00:00:00"/>
        <d v="2020-06-03T00:00:00"/>
        <d v="2020-06-04T00:00:00"/>
        <d v="2020-06-06T00:00:00"/>
        <d v="2020-06-07T00:00:00"/>
        <d v="2020-06-09T00:00:00"/>
        <d v="2020-06-11T00:00:00"/>
        <d v="2020-06-13T00:00:00"/>
        <d v="2020-06-14T00:00:00"/>
        <d v="2020-06-16T00:00:00"/>
        <d v="2020-06-17T00:00:00"/>
        <d v="2020-06-18T00:00:00"/>
        <d v="2020-06-20T00:00:00"/>
        <d v="2020-06-21T00:00:00"/>
        <d v="2020-06-23T00:00:00"/>
        <d v="2020-06-24T00:00:00"/>
        <d v="2020-06-25T00:00:00"/>
        <d v="2020-06-27T00:00:00"/>
        <d v="2020-06-28T00:00:00"/>
        <d v="2020-06-30T00:00:00"/>
        <d v="2020-07-01T00:00:00"/>
        <d v="2020-07-02T00:00:00"/>
        <d v="2020-07-04T00:00:00"/>
        <d v="2020-07-05T00:00:00"/>
        <d v="2020-07-07T00:00:00"/>
        <d v="2020-07-08T00:00:00"/>
        <d v="2020-07-09T00:00:00"/>
        <d v="2020-07-11T00:00:00"/>
        <d v="2020-07-12T00:00:00"/>
        <d v="2020-07-14T00:00:00"/>
        <d v="2020-07-15T00:00:00"/>
        <d v="2020-07-16T00:00:00"/>
        <d v="2020-07-18T00:00:00"/>
        <d v="2020-07-19T00:00:00"/>
        <d v="2020-07-21T00:00:00"/>
        <d v="2020-07-22T00:00:00"/>
        <d v="2020-07-23T00:00:00"/>
        <d v="2020-07-25T00:00:00"/>
        <d v="2020-07-26T00:00:00"/>
        <d v="2020-07-27T00:00:00"/>
        <d v="2020-07-28T00:00:00"/>
        <d v="2020-07-29T00:00:00"/>
        <d v="2020-07-30T00:00:00"/>
        <d v="2020-08-04T00:00:00"/>
        <d v="2020-08-06T00:00:00"/>
        <d v="2020-08-08T00:00:00"/>
        <d v="2020-08-09T00:00:00"/>
        <d v="2020-08-11T00:00:00"/>
        <d v="2020-08-13T00:00:00"/>
        <d v="2020-08-15T00:00:00"/>
        <d v="2020-08-16T00:00:00"/>
        <d v="2020-08-18T00:00:00"/>
        <d v="2020-08-20T00:00:00"/>
        <d v="2020-08-22T00:00:00"/>
        <d v="2020-08-23T00:00:00"/>
        <d v="2020-08-25T00:00:00"/>
        <d v="2020-08-27T00:00:00"/>
        <d v="2020-08-29T00:00:00"/>
        <d v="2020-08-30T00:00:00"/>
        <d v="2020-09-01T00:00:00"/>
        <d v="2020-09-03T00:00:00"/>
        <d v="2020-09-05T00:00:00"/>
        <d v="2020-09-06T00:00:00"/>
        <d v="2020-09-08T00:00:00"/>
        <d v="2020-09-10T00:00:00"/>
        <d v="2020-09-12T00:00:00"/>
        <d v="2020-09-13T00:00:00"/>
        <d v="2020-09-14T00:00:00"/>
        <d v="2020-09-15T00:00:00"/>
        <d v="2020-09-17T00:00:00"/>
        <d v="2020-09-19T00:00:00"/>
        <d v="2020-09-20T00:00:00"/>
        <d v="2020-09-22T00:00:00"/>
        <d v="2020-09-24T00:00:00"/>
        <d v="2020-09-26T00:00:00"/>
        <d v="2020-09-27T00:00:00"/>
        <d v="2020-09-29T00:00:00"/>
        <d v="2020-10-01T00:00:00"/>
        <d v="2020-10-03T00:00:00"/>
        <d v="2020-10-04T00:00:00"/>
        <d v="2020-10-06T00:00:00"/>
        <d v="2020-10-08T00:00:00"/>
        <d v="2020-10-10T00:00:00"/>
        <d v="2020-10-11T00:00:00"/>
        <d v="2020-10-13T00:00:00"/>
        <d v="2020-10-15T00:00:00"/>
        <d v="2020-10-17T00:00:00"/>
        <d v="2020-10-18T00:00:00"/>
        <d v="2020-10-20T00:00:00"/>
        <d v="2020-10-22T00:00:00"/>
        <d v="2020-10-24T00:00:00"/>
        <d v="2020-10-25T00:00:00"/>
        <d v="2020-10-27T00:00:00"/>
        <d v="2020-10-29T00:00:00"/>
        <d v="2020-10-31T00:00:00"/>
        <d v="2020-11-01T00:00:00"/>
        <d v="2020-11-03T00:00:00"/>
        <d v="2020-11-05T00:00:00"/>
        <d v="2020-11-07T00:00:00"/>
        <d v="2020-11-08T00:00:00"/>
        <d v="2020-11-10T00:00:00"/>
        <d v="2020-11-12T00:00:00"/>
        <d v="2020-11-14T00:00:00"/>
        <d v="2020-11-15T00:00:00"/>
        <d v="2020-11-17T00:00:00"/>
        <d v="2020-11-19T00:00:00"/>
        <d v="2020-11-21T00:00:00"/>
        <d v="2020-11-22T00:00:00"/>
        <d v="2020-11-24T00:00:00"/>
        <d v="2020-11-26T00:00:00"/>
        <d v="2020-11-28T00:00:00"/>
        <d v="2020-11-29T00:00:00"/>
        <d v="2020-12-01T00:00:00"/>
        <d v="2020-12-03T00:00:00"/>
        <d v="2020-12-05T00:00:00"/>
        <d v="2020-12-06T00:00:00"/>
        <d v="2020-12-08T00:00:00"/>
        <d v="2020-12-10T00:00:00"/>
        <d v="2020-12-12T00:00:00"/>
        <d v="2020-12-13T00:00:00"/>
        <d v="2020-12-15T00:00:00"/>
        <d v="2020-12-17T00:00:00"/>
        <d v="2020-12-19T00:00:00"/>
        <d v="2020-12-20T00:00:00"/>
        <d v="2020-12-22T00:00:00"/>
        <d v="2020-12-24T00:00:00"/>
        <d v="2020-12-26T00:00:00"/>
        <d v="2020-12-27T00:00:00"/>
        <d v="2020-12-29T00:00:00"/>
        <d v="2020-12-31T00:00:00"/>
        <d v="2021-01-02T00:00:00"/>
        <d v="2021-01-03T00:00:00"/>
        <d v="2021-01-05T00:00:00"/>
        <d v="2021-01-07T00:00:00"/>
        <d v="2021-01-09T00:00:00"/>
        <d v="2021-01-10T00:00:00"/>
        <d v="2021-01-12T00:00:00"/>
        <d v="2021-01-14T00:00:00"/>
        <d v="2021-01-16T00:00:00"/>
        <d v="2021-01-17T00:00:00"/>
        <d v="2021-01-19T00:00:00"/>
        <d v="2021-01-21T00:00:00"/>
        <d v="2021-01-23T00:00:00"/>
        <d v="2021-01-24T00:00:00"/>
        <d v="2021-01-26T00:00:00"/>
        <d v="2021-01-28T00:00:00"/>
        <d v="2021-01-30T00:00:00"/>
        <d v="2021-01-31T00:00:00"/>
        <d v="2021-02-02T00:00:00"/>
        <d v="2021-02-04T00:00:00"/>
        <d v="2021-02-06T00:00:00"/>
        <d v="2021-02-07T00:00:00"/>
        <d v="2021-02-09T00:00:00"/>
        <d v="2021-02-11T00:00:00"/>
        <d v="2021-02-13T00:00:00"/>
        <d v="2021-02-14T00:00:00"/>
        <d v="2021-02-16T00:00:00"/>
        <d v="2021-02-18T00:00:00"/>
        <d v="2021-02-20T00:00:00"/>
        <d v="2021-02-21T00:00:00"/>
        <d v="2021-02-23T00:00:00"/>
        <d v="2021-02-25T00:00:00"/>
        <d v="2021-02-27T00:00:00"/>
        <d v="2021-02-28T00:00:00"/>
        <d v="2021-03-02T00:00:00"/>
        <d v="2021-03-04T00:00:00"/>
        <d v="2021-03-06T00:00:00"/>
        <d v="2021-03-07T00:00:00"/>
        <d v="2021-03-09T00:00:00"/>
        <d v="2021-03-11T00:00:00"/>
        <d v="2021-03-13T00:00:00"/>
        <d v="2021-03-14T00:00:00"/>
        <d v="2021-03-16T00:00:00"/>
        <d v="2021-03-18T00:00:00"/>
        <d v="2021-03-20T00:00:00"/>
        <d v="2021-03-21T00:00:00"/>
        <d v="2021-03-23T00:00:00"/>
        <d v="2021-03-25T00:00:00"/>
        <d v="2021-03-27T00:00:00"/>
        <d v="2021-03-28T00:00:00"/>
        <d v="2021-03-30T00:00:00"/>
        <d v="2021-04-01T00:00:00"/>
        <d v="2021-04-03T00:00:00"/>
        <d v="2021-04-04T00:00:00"/>
        <d v="2021-04-06T00:00:00"/>
        <d v="2021-04-08T00:00:00"/>
        <d v="2021-04-09T00:00:00"/>
        <d v="2021-04-10T00:00:00"/>
        <d v="2021-04-11T00:00:00"/>
        <d v="2021-04-12T00:00:00"/>
        <d v="2021-04-15T00:00:00"/>
        <d v="2021-04-17T00:00:00"/>
        <d v="2021-04-18T00:00:00"/>
        <d v="2021-04-20T00:00:00"/>
        <d v="2021-04-22T00:00:00"/>
        <d v="2021-04-24T00:00:00"/>
        <d v="2021-04-25T00:00:00"/>
        <d v="2021-04-27T00:00:00"/>
        <d v="2021-04-29T00:00:00"/>
        <d v="2021-05-01T00:00:00"/>
        <d v="2021-05-02T00:00:00"/>
        <d v="2021-05-04T00:00:00"/>
        <d v="2021-05-06T00:00:00"/>
        <d v="2021-05-08T00:00:00"/>
        <d v="2021-05-09T00:00:00"/>
        <d v="2021-05-11T00:00:00"/>
        <d v="2021-05-12T00:00:00"/>
        <d v="2021-05-16T00:00:00"/>
        <d v="2021-05-17T00:00:00"/>
        <d v="2021-05-18T00:00:00"/>
        <d v="2021-05-20T00:00:00"/>
        <d v="2021-05-22T00:00:00"/>
        <d v="2021-05-23T00:00:00"/>
        <d v="2021-05-25T00:00:00"/>
        <d v="2021-05-27T00:00:00"/>
        <d v="2021-05-29T00:00:00"/>
        <d v="2021-05-30T00:00:00"/>
        <d v="2021-06-01T00:00:00"/>
        <d v="2021-06-03T00:00:00"/>
        <d v="2021-06-05T00:00:00"/>
        <d v="2021-06-06T00:00:00"/>
        <d v="2021-06-08T00:00:00"/>
        <d v="2021-06-10T00:00:00"/>
        <d v="2021-06-12T00:00:00"/>
        <d v="2021-06-13T00:00:00"/>
        <d v="2021-06-15T00:00:00"/>
        <d v="2021-06-17T00:00:00"/>
        <d v="2021-06-19T00:00:00"/>
        <d v="2021-06-20T00:00:00"/>
        <d v="2021-06-22T00:00:00"/>
        <d v="2021-06-24T00:00:00"/>
        <d v="2021-06-26T00:00:00"/>
        <d v="2021-06-27T00:00:00"/>
        <d v="2021-06-29T00:00:00"/>
        <d v="2021-07-01T00:00:00"/>
        <d v="2021-07-03T00:00:00"/>
        <d v="2021-07-04T00:00:00"/>
        <d v="2021-07-06T00:00:00"/>
        <d v="2021-07-08T00:00:00"/>
        <d v="2021-07-10T00:00:00"/>
        <d v="2021-07-11T00:00:00"/>
        <d v="2021-07-12T00:00:00"/>
        <d v="2021-07-13T00:00:00"/>
        <d v="2021-07-14T00:00:00"/>
        <d v="2021-07-15T00:00:00"/>
        <d v="2021-07-16T00:00:00"/>
        <d v="2021-07-17T00:00:00"/>
        <d v="2021-07-18T00:00:00"/>
        <d v="2021-07-19T00:00:00"/>
        <d v="2021-07-23T00:00:00"/>
        <d v="2021-07-26T00:00:00"/>
        <d v="2021-07-27T00:00:00"/>
        <d v="2021-07-28T00:00:00"/>
        <d v="2021-07-29T00:00:00"/>
        <d v="2021-07-31T00:00:00"/>
        <d v="2021-08-01T00:00:00"/>
        <d v="2021-08-03T00:00:00"/>
        <d v="2021-08-04T00:00:00"/>
        <d v="2021-08-05T00:00:00"/>
        <d v="2021-08-08T00:00:00"/>
        <d v="2021-08-10T00:00:00"/>
        <d v="2021-08-12T00:00:00"/>
        <d v="2021-08-14T00:00:00"/>
        <d v="2021-08-15T00:00:00"/>
        <d v="2021-08-17T00:00:00"/>
        <d v="2021-08-19T00:00:00"/>
        <d v="2021-08-21T00:00:00"/>
        <d v="2021-08-22T00:00:00"/>
        <d v="2021-08-24T00:00:00"/>
        <d v="2021-08-26T00:00:00"/>
        <d v="2021-08-28T00:00:00"/>
        <d v="2021-08-29T00:00:00"/>
        <d v="2021-08-31T00:00:00"/>
        <d v="2021-09-02T00:00:00"/>
        <d v="2021-09-04T00:00:00"/>
        <d v="2021-09-05T00:00:00"/>
        <d v="2021-09-07T00:00:00"/>
        <d v="2021-09-09T00:00:00"/>
        <d v="2021-09-11T00:00:00"/>
        <d v="2021-09-12T00:00:00"/>
        <d v="2021-09-14T00:00:00"/>
        <d v="2021-09-16T00:00:00"/>
        <d v="2021-09-18T00:00:00"/>
        <d v="2021-09-19T00:00:00"/>
        <d v="2021-09-21T00:00:00"/>
        <d v="2021-09-23T00:00:00"/>
        <d v="2021-09-25T00:00:00"/>
        <d v="2021-09-26T00:00:00"/>
        <d v="2021-09-28T00:00:00"/>
        <d v="2021-09-30T00:00:00"/>
        <d v="2021-10-02T00:00:00"/>
        <d v="2021-10-03T00:00:00"/>
        <d v="2021-10-05T00:00:00"/>
        <d v="2021-10-07T00:00:00"/>
        <d v="2021-10-09T00:00:00"/>
        <d v="2021-10-10T00:00:00"/>
        <d v="2021-10-12T00:00:00"/>
        <d v="2021-10-14T00:00:00"/>
        <d v="2021-10-16T00:00:00"/>
        <d v="2021-10-17T00:00:00"/>
        <d v="2021-10-19T00:00:00"/>
        <d v="2021-10-21T00:00:00"/>
        <d v="2021-10-23T00:00:00"/>
        <d v="2021-10-24T00:00:00"/>
        <d v="2021-10-26T00:00:00"/>
        <d v="2021-10-28T00:00:00"/>
        <d v="2021-10-30T00:00:00"/>
        <d v="2021-10-31T00:00:00"/>
        <d v="2021-11-02T00:00:00"/>
        <d v="2021-11-04T00:00:00"/>
        <d v="2021-11-06T00:00:00"/>
        <d v="2021-11-07T00:00:00"/>
        <d v="2021-11-09T00:00:00"/>
        <d v="2021-11-11T00:00:00"/>
        <d v="2021-11-13T00:00:00"/>
        <d v="2021-11-14T00:00:00"/>
        <d v="2021-11-16T00:00:00"/>
        <d v="2021-11-18T00:00:00"/>
        <d v="2021-11-20T00:00:00"/>
        <d v="2021-11-21T00:00:00"/>
        <d v="2021-11-23T00:00:00"/>
        <d v="2021-11-25T00:00:00"/>
        <d v="2021-11-27T00:00:00"/>
        <d v="2021-11-28T00:00:00"/>
        <d v="2021-11-30T00:00:00"/>
        <d v="2021-12-02T00:00:00"/>
        <d v="2021-12-04T00:00:00"/>
        <d v="2021-12-05T00:00:00"/>
        <d v="2021-12-07T00:00:00"/>
        <d v="2021-12-09T00:00:00"/>
        <d v="2021-12-11T00:00:00"/>
        <d v="2021-12-12T00:00:00"/>
        <d v="2021-12-14T00:00:00"/>
        <d v="2021-12-16T00:00:00"/>
        <d v="2021-12-18T00:00:00"/>
        <d v="2021-12-19T00:00:00"/>
        <d v="2021-12-21T00:00:00"/>
        <d v="2021-12-23T00:00:00"/>
        <d v="2021-12-25T00:00:00"/>
        <d v="2021-12-26T00:00:00"/>
        <d v="2021-12-28T00:00:00"/>
        <d v="2021-12-30T00:00:00"/>
        <d v="2022-01-01T00:00:00"/>
        <d v="2022-01-02T00:00:00"/>
        <d v="2022-01-04T00:00:00"/>
        <d v="2022-01-06T00:00:00"/>
        <d v="2022-01-07T00:00:00"/>
        <d v="2022-01-09T00:00:00"/>
        <d v="2022-01-11T00:00:00"/>
        <d v="2022-01-13T00:00:00"/>
        <d v="2022-01-15T00:00:00"/>
        <d v="2022-01-16T00:00:00"/>
        <d v="2022-01-18T00:00:00"/>
        <d v="2022-01-20T00:00:00"/>
        <d v="2022-01-22T00:00:00"/>
        <d v="2022-01-23T00:00:00"/>
        <d v="2022-01-25T00:00:00"/>
        <d v="2022-01-27T00:00:00"/>
        <d v="2022-01-29T00:00:00"/>
        <d v="2022-01-30T00:00:00"/>
        <d v="2022-02-01T00:00:00"/>
        <d v="2022-02-03T00:00:00"/>
        <d v="2022-02-05T00:00:00"/>
        <d v="2022-02-06T00:00:00"/>
        <d v="2022-02-08T00:00:00"/>
        <d v="2022-02-10T00:00:00"/>
        <d v="2022-02-12T00:00:00"/>
        <d v="2022-02-13T00:00:00"/>
        <d v="2022-02-15T00:00:00"/>
        <d v="2022-02-17T00:00:00"/>
        <d v="2022-02-19T00:00:00"/>
        <d v="2022-02-20T00:00:00"/>
        <d v="2022-02-22T00:00:00"/>
        <d v="2022-02-24T00:00:00"/>
        <d v="2022-02-26T00:00:00"/>
        <d v="2022-02-27T00:00:00"/>
        <d v="2022-03-01T00:00:00"/>
        <d v="2022-03-03T00:00:00"/>
        <d v="2022-03-05T00:00:00"/>
        <d v="2022-03-06T00:00:00"/>
        <d v="2022-03-08T00:00:00"/>
        <d v="2022-03-10T00:00:00"/>
        <d v="2022-03-12T00:00:00"/>
        <d v="2022-03-13T00:00:00"/>
        <d v="2022-03-15T00:00:00"/>
        <d v="2022-03-17T00:00:00"/>
        <d v="2022-03-19T00:00:00"/>
        <d v="2022-03-20T00:00:00"/>
        <d v="2022-03-22T00:00:00"/>
        <d v="2022-03-24T00:00:00"/>
        <d v="2022-03-26T00:00:00"/>
        <d v="2022-03-27T00:00:00"/>
        <d v="2022-03-29T00:00:00"/>
        <d v="2022-03-31T00:00:00"/>
        <d v="2022-04-01T00:00:00"/>
        <d v="2022-04-03T00:00:00"/>
        <d v="2022-04-05T00:00:00"/>
        <d v="2022-04-07T00:00:00"/>
        <d v="2022-04-09T00:00:00"/>
        <d v="2022-04-10T00:00:00"/>
        <d v="2022-04-12T00:00:00"/>
        <d v="2022-04-14T00:00:00"/>
        <d v="2022-04-16T00:00:00"/>
        <d v="2022-04-17T00:00:00"/>
        <d v="2022-04-19T00:00:00"/>
        <d v="2022-04-21T00:00:00"/>
        <d v="2022-04-23T00:00:00"/>
        <d v="2022-04-24T00:00:00"/>
        <d v="2022-04-26T00:00:00"/>
        <d v="2022-04-28T00:00:00"/>
        <d v="2022-04-30T00:00:00"/>
        <d v="2022-05-01T00:00:00"/>
        <d v="2022-05-05T00:00:00"/>
        <d v="2022-05-07T00:00:00"/>
        <d v="2022-05-08T00:00:00"/>
        <d v="2022-05-10T00:00:00"/>
        <d v="2022-05-12T00:00:00"/>
        <d v="2022-05-14T00:00:00"/>
        <d v="2022-05-15T00:00:00"/>
        <d v="2022-05-17T00:00:00"/>
        <d v="2022-05-19T00:00:00"/>
        <d v="2022-05-21T00:00:00"/>
        <d v="2022-05-22T00:00:00"/>
        <d v="2022-05-24T00:00:00"/>
        <d v="2022-05-26T00:00:00"/>
        <d v="2022-05-28T00:00:00"/>
        <d v="2022-05-29T00:00:00"/>
        <d v="2022-05-31T00:00:00"/>
        <d v="2022-06-02T00:00:00"/>
        <d v="2022-06-04T00:00:00"/>
        <d v="2022-06-05T00:00:00"/>
        <d v="2022-06-07T00:00:00"/>
        <d v="2022-06-09T00:00:00"/>
        <d v="2022-06-11T00:00:00"/>
        <d v="2022-06-12T00:00:00"/>
        <d v="2022-06-14T00:00:00"/>
        <d v="2022-06-16T00:00:00"/>
        <d v="2022-06-18T00:00:00"/>
        <d v="2022-06-19T00:00:00"/>
        <d v="2022-06-21T00:00:00"/>
        <d v="2022-06-23T00:00:00"/>
        <d v="2022-06-25T00:00:00"/>
        <d v="2022-06-26T00:00:00"/>
        <d v="2022-06-28T00:00:00"/>
        <d v="2022-06-30T00:00:00"/>
        <d v="2022-07-02T00:00:00"/>
        <d v="2022-07-03T00:00:00"/>
        <d v="2022-07-04T00:00:00"/>
        <d v="2022-07-05T00:00:00"/>
        <d v="2022-07-06T00:00:00"/>
        <d v="2022-07-07T00:00:00"/>
        <d v="2022-07-08T00:00:00"/>
        <d v="2022-07-12T00:00:00"/>
        <d v="2022-07-14T00:00:00"/>
        <d v="2022-07-17T00:00:00"/>
        <d v="2022-07-19T00:00:00"/>
        <d v="2022-07-21T00:00:00"/>
        <d v="2022-07-24T00:00:00"/>
        <d v="2022-07-26T00:00:00"/>
        <d v="2022-07-28T00:00:00"/>
        <d v="2022-07-30T00:00:00"/>
        <d v="2022-07-31T00:00:00"/>
        <d v="2022-08-02T00:00:00"/>
        <d v="2022-08-04T00:00:00"/>
        <d v="2022-08-06T00:00:00"/>
        <d v="2022-08-07T00:00:00"/>
        <d v="2022-08-09T00:00:00"/>
        <d v="2022-08-11T00:00:00"/>
        <d v="2022-08-13T00:00:00"/>
        <d v="2022-08-14T00:00:00"/>
        <d v="2022-08-18T00:00:00"/>
        <d v="2022-08-21T00:00:00"/>
        <d v="2022-08-23T00:00:00"/>
        <d v="2022-08-25T00:00:00"/>
        <d v="2022-08-27T00:00:00"/>
        <d v="2022-08-28T00:00:00"/>
        <d v="2022-08-30T00:00:00"/>
        <d v="2022-09-01T00:00:00"/>
        <d v="2022-09-04T00:00:00"/>
        <d v="2022-09-06T00:00:00"/>
        <d v="2022-09-08T00:00:00"/>
        <d v="2022-09-11T00:00:00"/>
        <d v="2022-09-13T00:00:00"/>
        <d v="2022-09-15T00:00:00"/>
        <d v="2022-09-17T00:00:00"/>
        <d v="2022-09-18T00:00:00"/>
        <d v="2022-09-20T00:00:00"/>
        <d v="2022-09-22T00:00:00"/>
        <d v="2022-09-24T00:00:00"/>
        <d v="2022-09-25T00:00:00"/>
        <d v="2022-09-27T00:00:00"/>
        <d v="2022-09-29T00:00:00"/>
        <d v="2022-10-01T00:00:00"/>
        <d v="2022-10-02T00:00:00"/>
        <d v="2022-10-04T00:00:00"/>
        <d v="2022-10-05T00:00:00"/>
        <d v="2022-10-06T00:00:00"/>
        <d v="2022-10-08T00:00:00"/>
        <d v="2022-10-09T00:00:00"/>
        <d v="2022-10-11T00:00:00"/>
        <d v="2022-10-13T00:00:00"/>
        <d v="2022-10-15T00:00:00"/>
        <d v="2022-10-16T00:00:00"/>
        <d v="2022-10-18T00:00:00"/>
        <d v="2022-10-19T00:00:00"/>
        <d v="2022-10-20T00:00:00"/>
        <d v="2022-10-22T00:00:00"/>
        <d v="2022-10-23T00:00:00"/>
        <d v="2022-10-25T00:00:00"/>
        <d v="2022-10-27T00:00:00"/>
        <d v="2022-10-29T00:00:00"/>
        <d v="2022-10-30T00:00:00"/>
        <d v="2022-11-01T00:00:00"/>
        <d v="2022-11-03T00:00:00"/>
        <d v="2022-11-05T00:00:00"/>
        <d v="2022-11-06T00:00:00"/>
        <d v="2022-11-08T00:00:00"/>
        <d v="2022-11-09T00:00:00"/>
        <d v="2022-11-10T00:00:00"/>
        <d v="2022-11-12T00:00:00"/>
        <d v="2022-11-13T00:00:00"/>
        <d v="2022-11-15T00:00:00"/>
        <d v="2022-11-17T00:00:00"/>
        <d v="2022-11-19T00:00:00"/>
        <d v="2022-11-20T00:00:00"/>
        <d v="2022-11-22T00:00:00"/>
        <d v="2022-11-24T00:00:00"/>
        <d v="2022-11-26T00:00:00"/>
        <d v="2022-11-27T00:00:00"/>
        <d v="2022-11-29T00:00:00"/>
        <d v="2022-12-01T00:00:00"/>
        <d v="2022-12-03T00:00:00"/>
        <d v="2022-12-04T00:00:00"/>
        <d v="2022-12-06T00:00:00"/>
        <d v="2022-12-07T00:00:00"/>
        <d v="2022-12-08T00:00:00"/>
        <d v="2022-12-10T00:00:00"/>
        <d v="2022-12-11T00:00:00"/>
        <d v="2022-12-13T00:00:00"/>
        <d v="2022-12-15T00:00:00"/>
        <d v="2022-12-17T00:00:00"/>
        <d v="2022-12-18T00:00:00"/>
        <d v="2022-12-20T00:00:00"/>
        <d v="2022-12-21T00:00:00"/>
        <d v="2022-12-24T00:00:00"/>
        <d v="2022-12-25T00:00:00"/>
        <d v="2022-12-26T00:00:00"/>
        <d v="2022-12-28T00:00:00"/>
        <d v="2022-12-29T00:00:00"/>
        <d v="2022-12-31T00:00:00"/>
        <d v="2023-01-01T00:00:00"/>
        <d v="2023-01-03T00:00:00"/>
        <d v="2023-01-04T00:00:00"/>
        <d v="2023-01-05T00:00:00"/>
        <d v="2023-01-07T00:00:00"/>
        <d v="2023-01-08T00:00:00"/>
        <d v="2023-01-10T00:00:00"/>
        <d v="2023-01-12T00:00:00"/>
        <d v="2023-01-14T00:00:00"/>
        <d v="2023-01-15T00:00:00"/>
        <d v="2023-01-17T00:00:00"/>
        <d v="2023-01-18T00:00:00"/>
        <d v="2023-01-21T00:00:00"/>
        <d v="2023-01-22T00:00:00"/>
        <d v="2023-01-23T00:00:00"/>
        <d v="2023-01-25T00:00:00"/>
        <d v="2023-01-26T00:00:00"/>
        <d v="2023-01-28T00:00:00"/>
        <d v="2023-01-29T00:00:00"/>
        <d v="2023-01-30T00:00:00"/>
        <d v="2023-02-01T00:00:00"/>
        <d v="2023-02-02T00:00:00"/>
        <d v="2023-02-04T00:00:00"/>
        <d v="2023-02-06T00:00:00"/>
        <d v="2023-02-08T00:00:00"/>
        <d v="2023-02-09T00:00:00"/>
        <d v="2023-02-11T00:00:00"/>
        <d v="2023-02-12T00:00:00"/>
        <d v="2023-02-14T00:00:00"/>
        <d v="2023-02-16T00:00:00"/>
        <d v="2023-02-18T00:00:00"/>
        <d v="2023-02-19T00:00:00"/>
        <d v="2023-02-20T00:00:00"/>
        <d v="2023-02-22T00:00:00"/>
        <d v="2023-02-23T00:00:00"/>
        <d v="2023-02-25T00:00:00"/>
        <d v="2023-02-26T00:00:00"/>
        <d v="2023-02-28T00:00:00"/>
        <d v="2023-03-01T00:00:00"/>
        <d v="2023-03-02T00:00:00"/>
        <d v="2023-03-04T00:00:00"/>
        <d v="2023-03-05T00:00:00"/>
        <d v="2023-03-06T00:00:00"/>
        <d v="2023-03-07T00:00:00"/>
        <d v="2023-03-08T00:00:00"/>
        <d v="2023-03-09T00:00:00"/>
        <d v="2023-03-11T00:00:00"/>
        <d v="2023-03-12T00:00:00"/>
        <d v="2023-03-13T00:00:00"/>
        <d v="2023-03-14T00:00:00"/>
        <d v="2023-03-15T00:00:00"/>
        <d v="2023-03-16T00:00:00"/>
        <d v="2023-03-18T00:00:00"/>
        <d v="2023-03-19T00:00:00"/>
        <d v="2023-03-20T00:00:00"/>
        <d v="2023-03-21T00:00:00"/>
        <d v="2023-03-22T00:00:00"/>
        <d v="2023-03-23T00:00:00"/>
        <d v="2023-03-26T00:00:00"/>
        <d v="2023-03-27T00:00:00"/>
        <d v="2023-03-28T00:00:00"/>
        <d v="2023-03-29T00:00:00"/>
        <d v="2023-03-30T00:00:00"/>
        <d v="2023-04-01T00:00:00"/>
        <d v="2023-04-02T00:00:00"/>
        <d v="2023-04-03T00:00:00"/>
        <d v="2023-04-04T00:00:00"/>
        <d v="2023-04-05T00:00:00"/>
        <d v="2023-04-06T00:00:00"/>
        <d v="2023-04-08T00:00:00"/>
        <d v="2023-04-09T00:00:00"/>
        <d v="2023-04-10T00:00:00"/>
        <d v="2023-04-11T00:00:00"/>
        <d v="2023-04-12T00:00:00"/>
        <d v="2023-04-13T00:00:00"/>
        <d v="2023-04-15T00:00:00"/>
        <d v="2023-04-16T00:00:00"/>
        <d v="2023-04-17T00:00:00"/>
        <d v="2023-04-18T00:00:00"/>
        <d v="2023-04-19T00:00:00"/>
        <d v="2023-04-20T00:00:00"/>
        <d v="2023-04-25T00:00:00"/>
        <d v="2023-04-27T00:00:00"/>
        <d v="2023-04-29T00:00:00"/>
        <d v="2023-04-30T00:00:00"/>
        <d v="2023-05-02T00:00:00"/>
        <d v="2023-05-04T00:00:00"/>
        <d v="2023-05-06T00:00:00"/>
        <d v="2023-05-07T00:00:00"/>
        <d v="2023-05-09T00:00:00"/>
        <d v="2023-05-11T00:00:00"/>
        <d v="2023-05-14T00:00:00"/>
        <d v="2023-05-16T00:00:00"/>
        <d v="2023-05-18T00:00:00"/>
        <d v="2023-05-21T00:00:00"/>
        <d v="2023-05-23T00:00:00"/>
        <d v="2023-05-25T00:00:00"/>
        <d v="2023-05-28T00:00:00"/>
        <d v="2023-05-30T00:00:00"/>
        <d v="2023-06-01T00:00:00"/>
        <d v="2023-06-04T00:00:00"/>
        <d v="2023-06-06T00:00:00"/>
        <d v="2023-06-07T00:00:00"/>
        <d v="2023-06-08T00:00:00"/>
        <d v="2023-06-10T00:00:00"/>
        <d v="2023-06-11T00:00:00"/>
        <d v="2023-06-12T00:00:00"/>
        <d v="2023-06-13T00:00:00"/>
        <d v="2023-06-14T00:00:00"/>
        <d v="2023-06-17T00:00:00"/>
        <d v="2023-06-18T00:00:00"/>
        <d v="2023-06-19T00:00:00"/>
        <d v="2023-06-20T00:00:00"/>
        <d v="2023-06-21T00:00:00"/>
        <d v="2023-06-22T00:00:00"/>
        <d v="2023-06-23T00:00:00"/>
        <d v="2023-06-24T00:00:00"/>
        <d v="2023-06-25T00:00:00"/>
        <d v="2023-06-26T00:00:00"/>
        <d v="2023-07-02T00:00:00"/>
        <d v="2023-07-04T00:00:00"/>
        <d v="2023-07-06T00:00:00"/>
        <d v="2023-07-09T00:00:00"/>
        <d v="2023-07-11T00:00:00"/>
        <d v="2023-07-13T00:00:00"/>
        <d v="2023-07-16T00:00:00"/>
        <d v="2023-07-17T00:00:00"/>
        <d v="2023-07-18T00:00:00"/>
        <d v="2023-07-20T00:00:00"/>
        <d v="2023-07-23T00:00:00"/>
        <d v="2023-07-25T00:00:00"/>
        <d v="2023-07-26T00:00:00"/>
        <d v="2023-07-27T00:00:00"/>
        <d v="2023-07-30T00:00:00"/>
        <d v="2023-07-31T00:00:00"/>
        <d v="2023-08-01T00:00:00"/>
        <d v="2023-08-02T00:00:00"/>
        <d v="2023-08-03T00:00:00"/>
        <d v="2023-08-06T00:00:00"/>
        <d v="2023-08-07T00:00:00"/>
        <d v="2023-08-08T00:00:00"/>
        <d v="2023-08-09T00:00:00"/>
        <d v="2023-08-10T00:00:00"/>
        <d v="2023-08-12T00:00:00"/>
        <d v="2023-08-13T00:00:00"/>
        <d v="2023-08-15T00:00:00"/>
        <d v="2023-08-16T00:00:00"/>
        <d v="2023-08-17T00:00:00"/>
        <d v="2023-08-20T00:00:00"/>
        <d v="2023-08-21T00:00:00"/>
        <d v="2023-08-24T00:00:00"/>
        <d v="2023-08-26T00:00:00"/>
        <d v="2023-08-27T00:00:00"/>
        <d v="2023-08-28T00:00:00"/>
        <d v="2023-08-31T00:00:00"/>
        <d v="2023-09-02T00:00:00"/>
        <d v="2023-09-03T00:00:00"/>
        <d v="2023-09-04T00:00:00"/>
        <d v="2023-09-05T00:00:00"/>
        <d v="2023-09-06T00:00:00"/>
        <d v="2023-09-07T00:00:00"/>
        <d v="2023-09-09T00:00:00"/>
        <d v="2023-09-10T00:00:00"/>
        <d v="2023-09-11T00:00:00"/>
        <d v="2023-09-13T00:00:00"/>
        <d v="2023-09-14T00:00:00"/>
        <d v="2023-09-17T00:00:00"/>
        <d v="2023-09-19T00:00:00"/>
        <d v="2023-09-20T00:00:00"/>
        <d v="2023-09-21T00:00:00"/>
        <d v="2023-09-24T00:00:00"/>
        <d v="2023-09-25T00:00:00"/>
        <d v="2023-09-27T00:00:00"/>
        <d v="2023-09-28T00:00:00"/>
        <d v="2023-09-30T00:00:00"/>
        <d v="2023-10-01T00:00:00"/>
        <d v="2023-10-02T00:00:00"/>
        <d v="2023-10-03T00:00:00"/>
        <d v="2023-10-05T00:00:00"/>
        <d v="2023-10-07T00:00:00"/>
        <d v="2023-10-08T00:00:00"/>
        <d v="2023-10-09T00:00:00"/>
        <d v="2023-10-12T00:00:00"/>
        <d v="2023-10-14T00:00:00"/>
        <d v="2023-10-15T00:00:00"/>
        <d v="2023-10-16T00:00:00"/>
        <d v="2023-10-18T00:00:00"/>
        <d v="2023-10-21T00:00:00"/>
        <d v="2023-10-22T00:00:00"/>
        <d v="2023-10-23T00:00:00"/>
        <d v="2023-10-25T00:00:00"/>
        <d v="2023-10-26T00:00:00"/>
        <d v="2023-10-28T00:00:00"/>
        <d v="2023-10-29T00:00:00"/>
        <d v="2023-10-30T00:00:00"/>
        <d v="2023-11-02T00:00:00"/>
        <d v="2023-11-04T00:00:00"/>
        <d v="2023-11-05T00:00:00"/>
        <d v="2023-11-07T00:00:00"/>
        <d v="2023-11-08T00:00:00"/>
        <d v="2023-11-09T00:00:00"/>
        <d v="2023-11-11T00:00:00"/>
        <d v="2023-11-12T00:00:00"/>
        <d v="2023-11-13T00:00:00"/>
        <d v="2023-11-15T00:00:00"/>
        <d v="2023-11-16T00:00:00"/>
        <d v="2023-11-18T00:00:00"/>
        <d v="2023-11-19T00:00:00"/>
        <d v="2023-11-20T00:00:00"/>
        <d v="2023-11-23T00:00:00"/>
        <d v="2023-11-25T00:00:00"/>
        <d v="2023-11-26T00:00:00"/>
        <d v="2023-11-27T00:00:00"/>
        <d v="2023-11-30T00:00:00"/>
        <d v="2023-12-02T00:00:00"/>
        <d v="2023-12-03T00:00:00"/>
        <d v="2023-12-04T00:00:00"/>
        <d v="2023-12-06T00:00:00"/>
        <d v="2023-12-07T00:00:00"/>
        <d v="2023-12-09T00:00:00"/>
        <d v="2023-12-10T00:00:00"/>
        <d v="2023-12-11T00:00:00"/>
        <d v="2023-12-14T00:00:00"/>
        <d v="2023-12-16T00:00:00"/>
        <d v="2023-12-17T00:00:00"/>
        <d v="2023-12-18T00:00:00"/>
        <d v="2023-12-20T00:00:00"/>
        <d v="2023-12-21T00:00:00"/>
        <d v="2023-12-23T00:00:00"/>
        <d v="2023-12-24T00:00:00"/>
        <d v="2023-12-25T00:00:00"/>
        <d v="2023-12-27T00:00:00"/>
        <d v="2023-12-28T00:00:00"/>
        <d v="2023-12-30T00:00:00"/>
        <d v="2023-12-31T00:00:00"/>
        <d v="2024-01-01T00:00:00"/>
        <d v="2024-01-02T00:00:00"/>
        <d v="2024-01-03T00:00:00"/>
        <d v="2024-01-04T00:00:00"/>
        <d v="2024-01-05T00:00:00"/>
        <d v="2024-01-07T00:00:00"/>
        <d v="2024-01-08T00:00:00"/>
        <d v="2024-01-10T00:00:00"/>
        <d v="2024-01-11T00:00:00"/>
        <d v="2024-01-13T00:00:00"/>
        <d v="2024-01-14T00:00:00"/>
        <d v="2024-01-15T00:00:00"/>
        <d v="2024-01-17T00:00:00"/>
        <d v="2024-01-19T00:00:00"/>
        <d v="2024-01-20T00:00:00"/>
        <d v="2024-01-22T00:00:00"/>
        <d v="2024-01-24T00:00:00"/>
        <d v="2024-01-25T00:00:00"/>
        <d v="2024-01-27T00:00:00"/>
        <d v="2024-01-29T00:00:00"/>
        <d v="2024-01-31T00:00:00"/>
        <d v="2024-02-02T00:00:00"/>
        <d v="2024-02-03T00:00:00"/>
        <d v="2024-02-04T00:00:00"/>
        <d v="2024-02-05T00:00:00"/>
        <d v="2024-02-06T00:00:00"/>
        <d v="2024-02-07T00:00:00"/>
        <d v="2024-02-08T00:00:00"/>
        <d v="2024-02-11T00:00:00"/>
        <d v="2024-02-12T00:00:00"/>
        <d v="2024-02-14T00:00:00"/>
        <d v="2024-02-15T00:00:00"/>
        <d v="2024-02-18T00:00:00"/>
        <d v="2024-02-19T00:00:00"/>
        <d v="2024-02-22T00:00:00"/>
        <d v="2024-02-25T00:00:00"/>
        <d v="2024-02-26T00:00:00"/>
        <d v="2024-02-28T00:00:00"/>
        <d v="2024-02-29T00:00:00"/>
        <d v="2024-03-02T00:00:00"/>
        <d v="2024-03-03T00:00:00"/>
        <d v="2024-03-04T00:00:00"/>
        <d v="2024-03-05T00:00:00"/>
        <d v="2024-03-06T00:00:00"/>
        <d v="2024-03-07T00:00:00"/>
        <d v="2024-03-08T00:00:00"/>
        <d v="2024-03-09T00:00:00"/>
        <d v="2024-03-10T00:00:00"/>
        <d v="2024-03-12T00:00:00"/>
        <d v="2024-03-13T00:00:00"/>
        <d v="2024-03-16T00:00:00"/>
        <d v="2024-03-17T00:00:00"/>
        <d v="2024-03-18T00:00:00"/>
        <d v="2024-03-19T00:00:00"/>
        <d v="2024-03-21T00:00:00"/>
        <d v="2024-03-23T00:00:00"/>
        <d v="2024-03-25T00:00:00"/>
        <d v="2024-03-27T00:00:00"/>
        <d v="2024-03-28T00:00:00"/>
        <d v="2024-03-29T00:00:00"/>
        <d v="2024-03-31T00:00:00"/>
        <d v="2024-04-01T00:00:00"/>
        <d v="2024-04-02T00:00:00"/>
        <d v="2024-04-03T00:00:00"/>
        <d v="2024-04-04T00:00:00"/>
        <d v="2024-04-06T00:00:00"/>
        <d v="2024-04-07T00:00:00"/>
        <d v="2024-04-09T00:00:00"/>
        <d v="2024-04-13T00:00:00"/>
        <d v="2024-04-15T00:00:00"/>
        <d v="2024-04-16T00:00:00"/>
        <d v="2024-04-17T00:00:00"/>
        <d v="2024-04-18T00:00:00"/>
        <d v="2024-04-23T00:00:00"/>
        <d v="2024-04-24T00:00:00"/>
        <d v="2024-04-25T00:00:00"/>
        <d v="2024-04-27T00:00:00"/>
        <d v="2024-04-30T00:00:00"/>
        <d v="2024-05-01T00:00:00"/>
        <d v="2024-05-02T00:00:00"/>
        <d v="2024-05-04T00:00:00"/>
        <d v="2024-05-07T00:00:00"/>
        <d v="2024-05-08T00:00:00"/>
        <d v="2024-05-09T00:00:00"/>
        <d v="2024-05-11T00:00:00"/>
        <d v="2024-05-14T00:00:00"/>
        <d v="2024-05-15T00:00:00"/>
        <d v="2024-05-16T00:00:00"/>
        <d v="2024-05-18T00:00:00"/>
        <d v="2024-05-19T00:00:00"/>
        <d v="2024-05-20T00:00:00"/>
        <d v="2024-05-22T00:00:00"/>
        <d v="2024-05-23T00:00:00"/>
        <d v="2024-05-25T00:00:00"/>
        <d v="2024-05-26T00:00:00"/>
        <d v="2024-05-27T00:00:00"/>
        <d v="2024-05-30T00:00:00"/>
        <d v="2024-06-01T00:00:00"/>
        <d v="2024-06-02T00:00:00"/>
        <d v="2024-06-03T00:00:00"/>
        <d v="2024-06-06T00:00:00"/>
        <d v="2024-06-07T00:00:00"/>
        <d v="2024-06-08T00:00:00"/>
        <d v="2024-06-09T00:00:00"/>
        <d v="2024-06-10T00:00:00"/>
        <d v="2024-06-11T00:00:00"/>
        <d v="2024-06-12T00:00:00"/>
        <d v="2024-06-13T00:00:00"/>
        <d v="2024-06-14T00:00:00"/>
        <d v="2024-06-15T00:00:00"/>
        <d v="2024-06-18T00:00:00"/>
        <d v="2024-06-20T00:00:00"/>
        <d v="2024-06-22T00:00:00"/>
        <d v="2024-06-24T00:00:00"/>
        <d v="2024-06-26T00:00:00"/>
        <d v="2024-06-29T00:00:00"/>
        <d v="2024-07-01T00:00:00"/>
        <d v="2024-07-03T00:00:00"/>
        <d v="2024-07-05T00:00:00"/>
        <d v="2024-07-07T00:00:00"/>
        <d v="2024-07-08T00:00:00"/>
        <d v="2024-07-11T00:00:00"/>
        <d v="2024-07-13T00:00:00"/>
        <d v="2024-07-16T00:00:00"/>
        <d v="2024-07-17T00:00:00"/>
        <d v="2024-07-18T00:00:00"/>
        <d v="2024-07-19T00:00:00"/>
        <d v="2024-07-21T00:00:00"/>
        <d v="2024-07-22T00:00:00"/>
        <d v="2024-07-24T00:00:00"/>
        <d v="2024-07-25T00:00:00"/>
        <d v="2024-07-27T00:00:00"/>
        <d v="2024-07-30T00:00:00"/>
        <d v="2024-07-31T00:00:00"/>
        <d v="2024-08-01T00:00:00"/>
        <d v="2024-08-03T00:00:00"/>
        <d v="2024-08-06T00:00:00"/>
        <d v="2024-08-08T00:00:00"/>
        <d v="2024-08-10T00:00:00"/>
        <d v="2024-08-12T00:00:00"/>
        <d v="2024-08-14T00:00:00"/>
        <d v="2024-08-15T00:00:00"/>
        <d v="2024-08-18T00:00:00"/>
        <d v="2024-08-19T00:00:00"/>
        <d v="2024-08-22T00:00:00"/>
        <d v="2024-08-24T00:00:00"/>
        <d v="2024-08-25T00:00:00"/>
        <d v="2024-08-27T00:00:00"/>
        <d v="2024-08-28T00:00:00"/>
        <d v="2024-08-29T00:00:00"/>
        <d v="2024-08-31T00:00:00"/>
        <d v="2024-09-01T00:00:00"/>
        <d v="2024-09-03T00:00:00"/>
        <d v="2024-09-05T00:00:00"/>
        <d v="2024-09-07T00:00:00"/>
        <d v="2024-09-08T00:00:00"/>
        <d v="2024-09-09T00:00:00"/>
        <d v="2024-09-11T00:00:00"/>
        <d v="2024-09-12T00:00:00"/>
        <d v="2024-09-14T00:00:00"/>
        <d v="2024-09-15T00:00:00"/>
        <d v="2024-09-16T00:00:00"/>
        <d v="2024-09-17T00:00:00"/>
        <d v="2024-09-18T00:00:00"/>
        <d v="2024-09-19T00:00:00"/>
        <d v="2024-09-21T00:00:00"/>
        <d v="2024-09-22T00:00:00"/>
        <d v="2024-09-23T00:00:00"/>
        <d v="2024-09-24T00:00:00"/>
        <d v="2024-09-26T00:00:00"/>
        <d v="2024-09-28T00:00:00"/>
        <d v="2024-09-29T00:00:00"/>
        <d v="2024-09-30T00:00:00"/>
        <d v="2024-10-03T00:00:00"/>
        <d v="2024-10-05T00:00:00"/>
        <d v="2024-10-06T00:00:00"/>
        <d v="2024-10-07T00:00:00"/>
        <d v="2024-10-09T00:00:00"/>
        <d v="2024-10-10T00:00:00"/>
        <d v="2024-10-12T00:00:00"/>
        <d v="2024-10-13T00:00:00"/>
        <d v="2024-10-14T00:00:00"/>
        <d v="2024-10-16T00:00:00"/>
        <d v="2024-10-17T00:00:00"/>
        <d v="2024-10-19T00:00:00"/>
        <d v="2024-10-20T00:00:00"/>
        <d v="2024-10-21T00:00:00"/>
        <d v="2024-10-23T00:00:00"/>
        <d v="2024-10-24T00:00:00"/>
        <d v="2024-10-26T00:00:00"/>
        <d v="2024-10-27T00:00:00"/>
        <d v="2024-10-28T00:00:00"/>
        <d v="2024-10-29T00:00:00"/>
        <d v="2024-10-31T00:00:00"/>
        <d v="2024-11-02T00:00:00"/>
        <d v="2024-11-03T00:00:00"/>
        <d v="2024-11-04T00:00:00"/>
        <d v="2024-11-05T00:00:00"/>
        <d v="2024-11-07T00:00:00"/>
        <d v="2024-11-09T00:00:00"/>
        <d v="2024-11-10T00:00:00"/>
        <d v="2024-11-11T00:00:00"/>
        <d v="2024-11-14T00:00:00"/>
        <d v="2024-11-16T00:00:00"/>
        <d v="2024-11-17T00:00:00"/>
        <d v="2024-11-18T00:00:00"/>
        <d v="2024-11-20T00:00:00"/>
        <d v="2024-11-21T00:00:00"/>
        <d v="2024-11-23T00:00:00"/>
        <d v="2024-11-24T00:00:00"/>
        <d v="2024-11-25T00:00:00"/>
        <d v="2024-11-27T00:00:00"/>
        <d v="2024-11-28T00:00:00"/>
        <d v="2024-11-30T00:00:00"/>
        <d v="2024-12-01T00:00:00"/>
        <d v="2024-12-02T00:00:00"/>
        <d v="2024-12-04T00:00:00"/>
        <d v="2024-12-05T00:00:00"/>
        <d v="2024-12-07T00:00:00"/>
        <d v="2024-12-08T00:00:00"/>
        <d v="2024-12-09T00:00:00"/>
        <d v="2024-12-10T00:00:00"/>
        <d v="2024-12-12T00:00:00"/>
        <d v="2024-12-14T00:00:00"/>
        <d v="2024-12-15T00:00:00"/>
        <d v="2024-12-16T00:00:00"/>
        <d v="2024-12-17T00:00:00"/>
        <d v="2024-12-19T00:00:00"/>
        <d v="2024-12-21T00:00:00"/>
        <d v="2024-12-22T00:00:00"/>
        <d v="2024-12-23T00:00:00"/>
        <d v="2024-12-25T00:00:00"/>
        <d v="2024-12-26T00:00:00"/>
        <d v="2024-12-28T00:00:00"/>
        <d v="2024-12-29T00:00:00"/>
        <d v="2024-12-30T00:00:00"/>
        <d v="2024-12-31T00:00:00"/>
        <d v="2025-01-01T00:00:00"/>
        <d v="2025-01-02T00:00:00"/>
        <d v="2025-01-04T00:00:00"/>
        <d v="2025-01-05T00:00:00"/>
        <d v="2025-01-06T00:00:00"/>
        <d v="2025-01-08T00:00:00"/>
        <d v="2025-01-09T00:00:00"/>
        <d v="2025-01-11T00:00:00"/>
        <d v="2025-01-12T00:00:00"/>
        <d v="2025-01-13T00:00:00"/>
        <d v="2025-01-15T00:00:00"/>
        <d v="2025-01-16T00:00:00"/>
        <d v="2025-01-18T00:00:00"/>
        <d v="2025-01-19T00:00:00"/>
        <d v="2025-01-20T00:00:00"/>
        <d v="2025-01-22T00:00:00"/>
        <d v="2025-01-23T00:00:00"/>
        <d v="2025-01-25T00:00:00"/>
        <d v="2025-01-26T00:00:00"/>
        <d v="2025-01-27T00:00:00"/>
        <d v="2025-01-28T00:00:00"/>
        <d v="2025-01-30T00:00:00"/>
        <d v="2025-02-01T00:00:00"/>
        <d v="2025-02-02T00:00:00"/>
        <d v="2025-02-03T00:00:00"/>
        <d v="2025-02-04T00:00:00"/>
        <d v="2025-02-05T00:00:00"/>
        <d v="2025-02-06T00:00:00"/>
        <d v="2025-02-08T00:00:00"/>
        <d v="2025-02-09T00:00:00"/>
        <d v="2025-02-10T00:00:00"/>
        <d v="2025-02-11T00:00:00"/>
        <d v="2025-02-13T00:00:00"/>
        <d v="2025-02-15T00:00:00"/>
        <d v="2025-02-16T00:00:00"/>
        <d v="2025-02-17T00:00:00"/>
        <d v="2025-02-18T00:00:00"/>
        <d v="2025-02-19T00:00:00"/>
        <d v="2025-02-20T00:00:00"/>
        <d v="2025-02-22T00:00:00"/>
        <d v="2025-02-23T00:00:00"/>
        <d v="2025-02-24T00:00:00"/>
        <d v="2025-02-25T00:00:00"/>
        <d v="2025-02-26T00:00:00"/>
        <d v="2025-02-27T00:00:00"/>
        <d v="2025-02-28T00:00:00"/>
        <d v="2025-03-01T00:00:00"/>
        <d v="2025-03-03T00:00:00"/>
        <d v="2025-03-04T00:00:00"/>
        <d v="2025-03-05T00:00:00"/>
        <d v="2025-03-06T00:00:00"/>
        <d v="2025-03-08T00:00:00"/>
        <d v="2025-03-10T00:00:00"/>
        <d v="2025-03-11T00:00:00"/>
        <d v="2025-03-12T00:00:00"/>
        <d v="2025-03-13T00:00:00"/>
        <d v="2025-03-15T00:00:00"/>
        <d v="2025-03-17T00:00:00"/>
        <d v="2025-03-18T00:00:00"/>
        <d v="2025-03-19T00:00:00"/>
        <d v="2025-03-20T00:00:00"/>
        <d v="2025-03-22T00:00:00"/>
        <d v="2025-03-24T00:00:00"/>
        <d v="2025-03-25T00:00:00"/>
        <d v="2025-03-26T00:00:00"/>
        <d v="2025-03-27T00:00:00"/>
        <d v="2025-03-28T00:00:00"/>
        <d v="2025-03-29T00:00:00"/>
        <d v="2025-04-01T00:00:00"/>
        <d v="2025-04-05T00:00:00"/>
        <d v="2025-04-06T00:00:00"/>
        <d v="2025-04-08T00:00:00"/>
        <d v="2025-04-09T00:00:00"/>
        <d v="2025-04-10T00:00:00"/>
        <d v="2025-04-12T00:00:00"/>
        <d v="2025-04-14T00:00:00"/>
        <d v="2025-04-15T00:00:00"/>
        <d v="2025-04-16T00:00:00"/>
        <d v="2025-04-17T00:00:00"/>
        <d v="2025-04-19T00:00:00"/>
        <d v="2025-04-20T00:00:00"/>
        <d v="2025-04-22T00:00:00"/>
        <d v="2025-04-23T00:00:00"/>
        <d v="2025-04-24T00:00:00"/>
        <d v="2025-04-26T00:00:00"/>
        <d v="2025-04-27T00:00:00"/>
        <d v="2025-04-28T00:00:00"/>
        <d v="2025-04-29T00:00:00"/>
        <d v="2025-05-01T00:00:00"/>
        <d v="2025-05-03T00:00:00"/>
        <d v="2025-05-04T00:00:00"/>
        <d v="2025-05-05T00:00:00"/>
        <d v="2025-05-06T00:00:00"/>
        <d v="2025-05-07T00:00:00"/>
        <d v="2025-05-08T00:00:00"/>
        <d v="2025-05-10T00:00:00"/>
        <d v="2025-05-11T00:00:00"/>
        <d v="2025-05-12T00:00:00"/>
        <d v="2025-05-13T00:00:00"/>
        <d v="2025-05-14T00:00:00"/>
        <d v="2025-05-15T00:00:00"/>
        <d v="2025-05-17T00:00:00"/>
        <d v="2025-05-18T00:00:00"/>
        <d v="2025-05-20T00:00:00"/>
        <d v="2025-05-22T00:00:00"/>
        <d v="2025-05-24T00:00:00"/>
        <d v="2025-05-25T00:00:00"/>
        <d v="2025-05-26T00:00:00"/>
        <d v="2025-05-27T00:00:00"/>
        <d v="2025-05-28T00:00:00"/>
        <d v="2025-05-29T00:00:00"/>
        <d v="2025-05-30T00:00:00"/>
        <d v="2025-05-31T00:00:00"/>
        <d v="2025-06-01T00:00:00"/>
        <d v="2025-06-02T00:00:00"/>
        <d v="2025-06-03T00:00:00"/>
        <d v="2025-06-04T00:00:00"/>
        <d v="2025-06-09T00:00:00"/>
        <d v="2025-06-11T00:00:00"/>
        <d v="2025-06-12T00:00:00"/>
        <d v="2025-06-14T00:00:00"/>
        <d v="2025-06-15T00:00:00"/>
        <d v="2025-06-17T00:00:00"/>
        <d v="2025-06-19T00:00:00"/>
        <d v="2025-06-21T00:00:00"/>
        <d v="2025-06-22T00:00:00"/>
        <d v="2025-06-24T00:00:00"/>
        <d v="2025-06-25T00:00:00"/>
        <d v="2025-06-26T00:00:00"/>
        <d v="2025-06-28T00:00:00"/>
        <d v="2025-06-29T00:00:00"/>
        <d v="2025-07-01T00:00:00"/>
        <d v="2025-07-02T00:00:00"/>
        <d v="2025-07-03T00:00:00"/>
        <d v="2025-07-05T00:00:00"/>
        <d v="2025-07-06T00:00:00"/>
        <d v="2025-07-07T00:00:00"/>
        <d v="2025-07-08T00:00:00"/>
        <d v="2025-07-10T00:00:00"/>
        <d v="2025-07-12T00:00:00"/>
        <d v="2025-07-13T00:00:00"/>
        <d v="2025-07-15T00:00:00"/>
        <d v="2025-07-16T00:00:00"/>
        <d v="2025-07-17T00:00:00"/>
        <d v="2025-07-19T00:00:00"/>
        <d v="2025-07-20T00:00:00"/>
        <d v="2025-07-21T00:00:00"/>
        <d v="2025-07-22T00:00:00"/>
        <d v="2025-07-23T00:00:00"/>
        <d v="2025-07-24T00:00:00"/>
        <d v="2025-07-26T00:00:00"/>
        <d v="2025-07-27T00:00:00"/>
        <d v="2025-07-28T00:00:00"/>
        <d v="2025-07-29T00:00:00"/>
        <d v="2025-07-30T00:00:00"/>
        <d v="2025-07-31T00:00:00"/>
        <d v="2025-08-02T00:00:00"/>
        <d v="2025-08-03T00:00:00"/>
        <d v="2025-08-04T00:00:00"/>
        <d v="2025-08-05T00:00:00"/>
        <d v="2025-08-06T00:00:00"/>
        <d v="2025-08-07T00:00:00"/>
        <d v="2025-08-09T00:00:00"/>
        <d v="2025-08-10T00:00:00"/>
        <d v="2025-08-11T00:00:00"/>
        <d v="2025-08-12T00:00:00"/>
        <d v="2025-08-13T00:00:00"/>
        <d v="2025-08-14T00:00:00"/>
        <d v="2025-08-16T00:00:00"/>
        <d v="2025-08-17T00:00:00"/>
        <d v="2025-08-18T00:00:00"/>
        <d v="2025-08-19T00:00:00"/>
        <d v="2025-08-20T00:00:00"/>
        <d v="2025-08-21T00:00:00"/>
        <d v="2025-08-23T00:00:00"/>
        <d v="2025-08-24T00:00:00"/>
        <d v="2025-08-25T00:00:00"/>
        <d v="2025-08-26T00:00:00"/>
        <d v="2025-08-27T00:00:00"/>
        <d v="2025-08-28T00:00:00"/>
        <d v="2025-08-30T00:00:00"/>
        <d v="2025-08-31T00:00:00"/>
        <d v="2025-09-01T00:00:00"/>
        <d v="2025-09-02T00:00:00"/>
        <d v="2025-09-03T00:00:00"/>
        <d v="2025-09-04T00:00:00"/>
        <d v="2025-09-06T00:00:00"/>
        <d v="2025-09-07T00:00:00"/>
        <d v="2025-09-08T00:00:00"/>
        <d v="2025-09-09T00:00:00"/>
        <d v="2025-09-10T00:00:00"/>
        <d v="2025-09-11T00:00:00"/>
        <d v="2025-09-13T00:00:00"/>
        <d v="2025-09-14T00:00:00"/>
        <d v="2025-09-15T00:00:00"/>
        <d v="2025-09-16T00:00:00"/>
        <d v="2025-09-17T00:00:00"/>
        <d v="2025-09-18T00:00:00"/>
        <d v="2025-09-20T00:00:00"/>
        <d v="2025-09-21T00:00:00"/>
        <d v="2025-09-22T00:00:00"/>
        <d v="2025-09-23T00:00:00"/>
        <d v="2025-09-24T00:00:00"/>
        <d v="2025-09-25T00:00:00"/>
        <d v="2025-09-27T00:00:00"/>
        <d v="2025-09-28T00:00:00"/>
        <d v="2025-09-29T00:00:00"/>
        <d v="2025-09-30T00:00:00"/>
        <d v="2025-10-01T00:00:00"/>
        <d v="2025-10-02T00:00:00"/>
        <d v="2025-10-04T00:00:00"/>
        <d v="2025-10-05T00:00:00"/>
        <d v="2025-10-06T00:00:00"/>
        <d v="2025-10-07T00:00:00"/>
        <d v="2025-10-08T00:00:00"/>
        <d v="2025-10-09T00:00:00"/>
        <d v="2025-10-11T00:00:00"/>
        <d v="2025-10-12T00:00:00"/>
        <d v="2025-10-13T00:00:00"/>
        <d v="2025-10-14T00:00:00"/>
        <d v="2025-10-15T00:00:00"/>
        <d v="2025-10-16T00:00:00"/>
        <d v="2025-10-18T00:00:00"/>
        <d v="2025-10-19T00:00:00"/>
        <d v="2025-10-20T00:00:00"/>
        <d v="2025-10-21T00:00:00"/>
        <d v="2025-10-22T00:00:00"/>
        <d v="2025-10-23T00:00:00"/>
        <d v="2025-10-25T00:00:00"/>
        <d v="2025-10-26T00:00:00"/>
        <d v="2025-10-27T00:00:00"/>
        <d v="2025-10-28T00:00:00"/>
        <d v="2025-10-29T00:00:00"/>
        <d v="2025-10-30T00:00:00"/>
        <d v="2025-11-02T00:00:00"/>
        <d v="2025-11-03T00:00:00"/>
        <d v="2025-11-04T00:00:00"/>
        <d v="2025-11-05T00:00:00"/>
        <d v="2025-11-06T00:00:00"/>
        <d v="2025-11-08T00:00:00"/>
        <d v="2025-11-09T00:00:00"/>
        <d v="2025-11-10T00:00:00"/>
        <d v="2025-11-11T00:00:00"/>
        <d v="2025-11-12T00:00:00"/>
        <d v="2025-11-13T00:00:00"/>
        <d v="2025-11-15T00:00:00"/>
        <d v="2025-11-16T00:00:00"/>
        <d v="2025-11-17T00:00:00"/>
        <d v="2025-11-19T00:00:00"/>
        <d v="2025-11-20T00:00:00"/>
        <d v="2025-11-22T00:00:00"/>
        <d v="2025-11-23T00:00:00"/>
        <d v="2025-11-24T00:00:00"/>
        <d v="2025-11-25T00:00:00"/>
        <d v="2025-11-26T00:00:00"/>
        <d v="2025-11-27T00:00:00"/>
        <d v="2025-11-29T00:00:00"/>
        <d v="2025-11-30T00:00:00"/>
        <d v="2025-12-01T00:00:00"/>
        <d v="2025-12-02T00:00:00"/>
        <d v="2025-12-03T00:00:00"/>
        <d v="2025-12-04T00:00:00"/>
        <d v="2025-12-06T00:00:00"/>
        <d v="2025-12-07T00:00:00"/>
        <d v="2025-12-08T00:00:00"/>
        <d v="2025-12-09T00:00:00"/>
        <d v="2025-12-10T00:00:00"/>
        <d v="2025-12-11T00:00:00"/>
        <d v="2025-12-13T00:00:00"/>
        <d v="2025-12-14T00:00:00"/>
        <d v="2025-12-15T00:00:00"/>
        <d v="2025-12-16T00:00:00"/>
        <d v="2025-12-17T00:00:00"/>
        <d v="2025-12-18T00:00:00"/>
        <d v="2025-12-20T00:00:00"/>
        <d v="2025-12-21T00:00:00"/>
        <d v="2025-12-22T00:00:00"/>
        <d v="2025-12-23T00:00:00"/>
        <d v="2025-12-24T00:00:00"/>
        <d v="2025-12-25T00:00:00"/>
        <d v="2025-12-27T00:00:00"/>
        <d v="2025-12-28T00:00:00"/>
        <d v="2025-12-29T00:00:00"/>
        <d v="2025-12-30T00:00:00"/>
        <d v="2025-12-31T00:00:00"/>
        <d v="2026-01-01T00:00:00"/>
        <d v="2026-01-03T00:00:00"/>
        <d v="2026-01-04T00:00:00"/>
        <d v="2026-01-05T00:00:00"/>
        <d v="2026-01-06T00:00:00"/>
        <d v="2026-01-07T00:00:00"/>
        <d v="2026-01-08T00:00:00"/>
        <d v="2026-01-10T00:00:00"/>
        <d v="2026-01-11T00:00:00"/>
        <d v="2026-01-12T00:00:00"/>
        <d v="2026-01-13T00:00:00"/>
        <d v="2026-01-14T00:00:00"/>
        <d v="2026-01-15T00:00:00"/>
        <d v="2026-01-17T00:00:00"/>
        <d v="2026-01-18T00:00:00"/>
        <d v="2026-01-19T00:00:00"/>
        <d v="2026-01-20T00:00:00"/>
        <d v="2026-01-21T00:00:00"/>
        <d v="2026-01-22T00:00:00"/>
        <d v="2026-01-24T00:00:00"/>
        <d v="2026-01-25T00:00:00"/>
        <d v="2026-01-26T00:00:00"/>
        <d v="2026-01-27T00:00:00"/>
        <d v="2026-01-28T00:00:00"/>
        <d v="2026-01-29T00:00:00"/>
        <d v="2026-01-31T00:00:00"/>
        <d v="2026-02-01T00:00:00"/>
        <d v="2026-02-02T00:00:00"/>
        <d v="2026-02-03T00:00:00"/>
        <d v="2026-02-04T00:00:00"/>
        <d v="2026-02-05T00:00:00"/>
        <d v="2026-02-07T00:00:00"/>
        <d v="2026-02-08T00:00:00"/>
        <d v="2026-02-09T00:00:00"/>
        <d v="2026-02-10T00:00:00"/>
        <d v="2026-02-11T00:00:00"/>
        <d v="2026-02-12T00:00:00"/>
        <d v="2026-02-14T00:00:00"/>
        <d v="2026-02-15T00:00:00"/>
        <d v="2026-02-16T00:00:00"/>
        <d v="2026-02-17T00:00:00"/>
        <d v="2026-02-18T00:00:00"/>
        <d v="2026-02-19T00:00:00"/>
        <d v="2026-02-21T00:00:00"/>
        <d v="2026-02-22T00:00:00"/>
        <d v="2026-02-23T00:00:00"/>
        <d v="2026-02-24T00:00:00"/>
        <d v="2026-02-25T00:00:00"/>
        <d v="2026-02-26T00:00:00"/>
        <d v="2026-02-28T00:00:00"/>
        <d v="2026-03-01T00:00:00"/>
        <d v="2026-03-02T00:00:00"/>
        <d v="2026-03-03T00:00:00"/>
        <d v="2026-03-04T00:00:00"/>
        <d v="2026-03-05T00:00:00"/>
        <d v="2026-03-07T00:00:00"/>
        <d v="2026-03-08T00:00:00"/>
        <d v="2026-03-09T00:00:00"/>
        <d v="2026-03-10T00:00:00"/>
        <d v="2026-03-11T00:00:00"/>
        <d v="2026-03-12T00:00:00"/>
        <d v="2026-03-14T00:00:00"/>
        <d v="2026-03-15T00:00:00"/>
        <d v="2026-03-16T00:00:00"/>
        <d v="2026-03-17T00:00:00"/>
        <d v="2026-03-18T00:00:00"/>
        <d v="2026-03-19T00:00:00"/>
        <d v="2026-03-23T00:00:00"/>
        <d v="2026-03-24T00:00:00"/>
        <d v="2026-03-25T00:00:00"/>
        <d v="2026-03-26T00:00:00"/>
        <d v="2026-03-28T00:00:00"/>
        <d v="2026-03-29T00:00:00"/>
        <d v="2026-03-30T00:00:00"/>
        <d v="2026-03-31T00:00:00"/>
      </sharedItems>
      <fieldGroup par="38"/>
    </cacheField>
    <cacheField name="type" numFmtId="0">
      <sharedItems count="4">
        <s v="Bulls"/>
        <s v="Sheep"/>
        <s v="Goat"/>
        <s v="Baffalo"/>
      </sharedItems>
    </cacheField>
    <cacheField name="Breed" numFmtId="0">
      <sharedItems containsBlank="1"/>
    </cacheField>
    <cacheField name="farm" numFmtId="0">
      <sharedItems count="46">
        <s v="M. Fayed"/>
        <s v="nagm"/>
        <s v="karim al shazly"/>
        <s v="teriaq"/>
        <s v="mahmoud al bhery"/>
        <s v="shetat"/>
        <s v="gamal ismail"/>
        <s v="hamza al tayar"/>
        <s v="al rahmania"/>
        <s v="al doaa"/>
        <s v="family"/>
        <s v="Al Masry"/>
        <s v="Ashgan"/>
        <s v="syrian"/>
        <s v="Al Komy"/>
        <s v="Bijin Emirates"/>
        <s v="solid"/>
        <s v="Mostafa"/>
        <s v="hassan"/>
        <s v="NYS"/>
        <s v="salah"/>
        <s v="daltex"/>
        <s v="mohamed hamza"/>
        <s v="meat capital"/>
        <s v="goodeez"/>
        <s v="new santa"/>
        <s v="Al Bashaer"/>
        <s v="kasim"/>
        <s v="al dahan"/>
        <s v="Al Fayroz"/>
        <s v="Daltex "/>
        <s v="GM"/>
        <s v="Al Hana "/>
        <s v="al hana"/>
        <s v="Al Captin "/>
        <s v="Farmy"/>
        <s v="Al Alamia"/>
        <s v="Al Lo’lo’ah farm"/>
        <s v="Perfect"/>
        <s v="Al Farm"/>
        <s v="Al Qaiser "/>
        <s v="Al Komy "/>
        <s v="Perfect "/>
        <s v="Farm Food"/>
        <s v="Meat Capital "/>
        <s v="Al Fayoumi"/>
      </sharedItems>
    </cacheField>
    <cacheField name="number" numFmtId="0">
      <sharedItems containsSemiMixedTypes="0" containsString="0" containsNumber="1" containsInteger="1" minValue="1" maxValue="170"/>
    </cacheField>
    <cacheField name="received" numFmtId="0">
      <sharedItems containsSemiMixedTypes="0" containsString="0" containsNumber="1" containsInteger="1" minValue="0" maxValue="170"/>
    </cacheField>
    <cacheField name="rejected" numFmtId="0">
      <sharedItems containsSemiMixedTypes="0" containsString="0" containsNumber="1" containsInteger="1" minValue="0" maxValue="45"/>
    </cacheField>
    <cacheField name="rejection reasons" numFmtId="0">
      <sharedItems containsBlank="1"/>
    </cacheField>
    <cacheField name="total weight" numFmtId="0">
      <sharedItems containsString="0" containsBlank="1" containsNumber="1" minValue="0" maxValue="48509"/>
    </cacheField>
    <cacheField name="receiving weight" numFmtId="0">
      <sharedItems containsString="0" containsBlank="1" containsNumber="1" minValue="0" maxValue="48509"/>
    </cacheField>
    <cacheField name="transportation loss " numFmtId="0">
      <sharedItems containsSemiMixedTypes="0" containsString="0" containsNumber="1" minValue="-2414" maxValue="5071"/>
    </cacheField>
    <cacheField name=" carcass weight" numFmtId="0">
      <sharedItems containsString="0" containsBlank="1" containsNumber="1" minValue="0" maxValue="29740.7" count="2277">
        <m/>
        <n v="5388.7"/>
        <n v="4627.8"/>
        <n v="4527.1000000000004"/>
        <n v="4426.2"/>
        <n v="4674.8"/>
        <n v="4986.3"/>
        <n v="5402.7"/>
        <n v="4274.3999999999996"/>
        <n v="4771.7"/>
        <n v="4806"/>
        <n v="3950"/>
        <n v="5309.9"/>
        <n v="4519.7"/>
        <n v="4989.3999999999996"/>
        <n v="4565.8999999999996"/>
        <n v="4481.7"/>
        <n v="4585.1000000000004"/>
        <n v="4525.2"/>
        <n v="5070.3"/>
        <n v="4467.8"/>
        <n v="4899.6000000000004"/>
        <n v="5281.2"/>
        <n v="4892.2"/>
        <n v="715.5"/>
        <n v="5196.2"/>
        <n v="4978.8999999999996"/>
        <n v="4252.8"/>
        <n v="5192.8999999999996"/>
        <n v="5277.5"/>
        <n v="4167.8999999999996"/>
        <n v="5323.6"/>
        <n v="5161.6000000000004"/>
        <n v="4598.3999999999996"/>
        <n v="5599.8"/>
        <n v="4484.2"/>
        <n v="5504.4"/>
        <n v="4252.5"/>
        <n v="5526.9"/>
        <n v="5702"/>
        <n v="5902.9"/>
        <n v="5156"/>
        <n v="5122.3"/>
        <n v="5371.35"/>
        <n v="4595.25"/>
        <n v="4452.8"/>
        <n v="5585.45"/>
        <n v="5142.5"/>
        <n v="5161.3999999999996"/>
        <n v="5260.1"/>
        <n v="4995.3500000000004"/>
        <n v="4699.8999999999996"/>
        <n v="5613.9"/>
        <n v="4567.2"/>
        <n v="5434.2"/>
        <n v="5550.1"/>
        <n v="5313.85"/>
        <n v="6517.4"/>
        <n v="6278.6"/>
        <n v="5755.9"/>
        <n v="3977.3"/>
        <n v="4081.75"/>
        <n v="5036.2"/>
        <n v="5473.65"/>
        <n v="4433.6000000000004"/>
        <n v="4747.1000000000004"/>
        <n v="4634.6000000000004"/>
        <n v="5167"/>
        <n v="4544.3999999999996"/>
        <n v="5144.1499999999996"/>
        <n v="5005.05"/>
        <n v="5937.1"/>
        <n v="6544"/>
        <n v="7851.1"/>
        <n v="5491.6"/>
        <n v="5867.7"/>
        <n v="6730.7"/>
        <n v="5516.9"/>
        <n v="4918.1000000000004"/>
        <n v="5314.45"/>
        <n v="5821.9"/>
        <n v="6329.5"/>
        <n v="5651.3"/>
        <n v="4566.5"/>
        <n v="6699"/>
        <n v="6802.15"/>
        <n v="5218.8"/>
        <n v="6383"/>
        <n v="6175"/>
        <n v="5418.25"/>
        <n v="6565.6"/>
        <n v="6326.5"/>
        <n v="4118.7"/>
        <n v="4218.5"/>
        <n v="9367.4"/>
        <n v="9029.5"/>
        <n v="4619.7"/>
        <n v="4786.8999999999996"/>
        <n v="5366.8"/>
        <n v="4769.2"/>
        <n v="5578.6"/>
        <n v="5866"/>
        <n v="7563.5"/>
        <n v="5776.7"/>
        <n v="7882.85"/>
        <n v="9468"/>
        <n v="9012.2000000000007"/>
        <n v="9719"/>
        <n v="1484.6"/>
        <n v="6118.5"/>
        <n v="6508.9"/>
        <n v="8423.7999999999993"/>
        <n v="8817.7000000000007"/>
        <n v="7151.3"/>
        <n v="1515.7"/>
        <n v="6467.9"/>
        <n v="1578.4"/>
        <n v="5931"/>
        <n v="1548.1"/>
        <n v="6000"/>
        <n v="6551.4"/>
        <n v="1675.97"/>
        <n v="6456.8"/>
        <n v="3087.25"/>
        <n v="8619.4"/>
        <n v="9548.1"/>
        <n v="1446.22"/>
        <n v="6978.5"/>
        <n v="3461.9"/>
        <n v="5512.1"/>
        <n v="8486.2999999999993"/>
        <n v="8383.1"/>
        <n v="9286.7999999999993"/>
        <n v="8810.7999999999993"/>
        <n v="9088.5"/>
        <n v="9873.5"/>
        <n v="8221.2000000000007"/>
        <n v="8077.1"/>
        <n v="9857.7999999999993"/>
        <n v="10080.200000000001"/>
        <n v="9192.2000000000007"/>
        <n v="8578.7000000000007"/>
        <n v="4474.1000000000004"/>
        <n v="5769.4"/>
        <n v="1813.4"/>
        <n v="7796.6"/>
        <n v="8839.5"/>
        <n v="714.2"/>
        <n v="6973.7"/>
        <n v="8591.7999999999993"/>
        <n v="7370"/>
        <n v="7810"/>
        <n v="9093"/>
        <n v="7267.1"/>
        <n v="7053.6"/>
        <n v="8464"/>
        <n v="7561"/>
        <n v="8520.9"/>
        <n v="7682.7"/>
        <n v="8572.1"/>
        <n v="7322.4"/>
        <n v="8397.9"/>
        <n v="9141.15"/>
        <n v="9891.5"/>
        <n v="7416.1"/>
        <n v="4904.8"/>
        <n v="5272"/>
        <n v="9421.0499999999993"/>
        <n v="7460.8"/>
        <n v="9723.2999999999993"/>
        <n v="10038.4"/>
        <n v="7262.1"/>
        <n v="8499.7999999999993"/>
        <n v="10683.4"/>
        <n v="7982.7"/>
        <n v="9071.2000000000007"/>
        <n v="10557"/>
        <n v="7183"/>
        <n v="8767.7000000000007"/>
        <n v="8974.7000000000007"/>
        <n v="7514.9"/>
        <n v="10132.5"/>
        <n v="9217.7999999999993"/>
        <n v="8358.5499999999993"/>
        <n v="10235.6"/>
        <n v="9793.6"/>
        <n v="7903.2"/>
        <n v="10122.4"/>
        <n v="10526"/>
        <n v="7797.2"/>
        <n v="7247.5"/>
        <n v="9242.9"/>
        <n v="11027.7"/>
        <n v="1042"/>
        <n v="3792.4"/>
        <n v="4262"/>
        <n v="10230"/>
        <n v="9052"/>
        <n v="11049.9"/>
        <n v="10175.299999999999"/>
        <n v="11648.5"/>
        <n v="10152.299999999999"/>
        <n v="19720.900000000001"/>
        <n v="9214.7000000000007"/>
        <n v="11756"/>
        <n v="5788.6"/>
        <n v="9400.6"/>
        <n v="9541.6"/>
        <n v="11489.2"/>
        <n v="11985.2"/>
        <n v="7871.4"/>
        <n v="6952"/>
        <n v="9494.7999999999993"/>
        <n v="8702.7000000000007"/>
        <n v="12401.5"/>
        <n v="10001"/>
        <n v="6036.7"/>
        <n v="6829.6"/>
        <n v="9873"/>
        <n v="11835.8"/>
        <n v="7875.2"/>
        <n v="7678"/>
        <n v="9888.9"/>
        <n v="8526.2999999999993"/>
        <n v="10400.9"/>
        <n v="9201.4"/>
        <n v="10815.9"/>
        <n v="10812"/>
        <n v="9878.4"/>
        <n v="13387.4"/>
        <n v="12585"/>
        <n v="15397"/>
        <n v="9365.9"/>
        <n v="11204.6"/>
        <n v="11436.7"/>
        <n v="7378.6"/>
        <n v="8389.5"/>
        <n v="6040.2"/>
        <n v="4179.6000000000004"/>
        <n v="14697.5"/>
        <n v="7912.3"/>
        <n v="8205.6"/>
        <n v="8435"/>
        <n v="6280.7"/>
        <n v="9326.2999999999993"/>
        <n v="9008.2999999999993"/>
        <n v="9432"/>
        <n v="7872"/>
        <n v="3701.2"/>
        <n v="8857.2999999999993"/>
        <n v="9235.4"/>
        <n v="10022.799999999999"/>
        <n v="6356.3"/>
        <n v="7204.5"/>
        <n v="4722.8999999999996"/>
        <n v="11541.1"/>
        <n v="16043.4"/>
        <n v="16029.1"/>
        <n v="13407.9"/>
        <n v="6648.9"/>
        <n v="6502.5"/>
        <n v="5302.9"/>
        <n v="7192"/>
        <n v="16631.400000000001"/>
        <n v="7510.2"/>
        <n v="13355.6"/>
        <n v="7910.4"/>
        <n v="13836.7"/>
        <n v="11565.1"/>
        <n v="10638.3"/>
        <n v="7693.4"/>
        <n v="5090.3999999999996"/>
        <n v="10537.5"/>
        <n v="10660.2"/>
        <n v="10980.3"/>
        <n v="8195.2999999999993"/>
        <n v="7622.5"/>
        <n v="9244.9"/>
        <n v="9592.7000000000007"/>
        <n v="12265.2"/>
        <n v="4056.6"/>
        <n v="7617.2"/>
        <n v="15522.6"/>
        <n v="8456.5"/>
        <n v="11307.9"/>
        <n v="7067.3"/>
        <n v="4074.5"/>
        <n v="12302.7"/>
        <n v="8189.8"/>
        <n v="8304.9"/>
        <n v="7532"/>
        <n v="6730.3"/>
        <n v="12060.8"/>
        <n v="6466.9"/>
        <n v="11982.8"/>
        <n v="8266.2000000000007"/>
        <n v="9221.1"/>
        <n v="12303.8"/>
        <n v="13026.5"/>
        <n v="10833.2"/>
        <n v="10477.200000000001"/>
        <n v="11379.6"/>
        <n v="11539.4"/>
        <n v="13993.9"/>
        <n v="11116.6"/>
        <n v="12826.6"/>
        <n v="8819.4"/>
        <n v="10317.5"/>
        <n v="8928.9"/>
        <n v="9354.2999999999993"/>
        <n v="5112.5"/>
        <n v="7446"/>
        <n v="8472.5"/>
        <n v="11028"/>
        <n v="7655.4"/>
        <n v="9256.2999999999993"/>
        <n v="9138.2000000000007"/>
        <n v="10535.8"/>
        <n v="6432.6"/>
        <n v="10243.5"/>
        <n v="8842.5"/>
        <n v="12752.4"/>
        <n v="7197.4"/>
        <n v="9449"/>
        <n v="9792.5"/>
        <n v="9447.9"/>
        <n v="6640.2"/>
        <n v="4446.5"/>
        <n v="3678.7"/>
        <n v="11820"/>
        <n v="10725.5"/>
        <n v="6410"/>
        <n v="8086"/>
        <n v="8637.2000000000007"/>
        <n v="11348.4"/>
        <n v="7004"/>
        <n v="9010.5"/>
        <n v="5504.5"/>
        <n v="4796"/>
        <n v="11968.7"/>
        <n v="7940.8"/>
        <n v="10742"/>
        <n v="10484"/>
        <n v="9510.1"/>
        <n v="8599.6"/>
        <n v="10815.7"/>
        <n v="7836.6"/>
        <n v="10106.200000000001"/>
        <n v="1462.9"/>
        <n v="10058.5"/>
        <n v="8520.1"/>
        <n v="11626.7"/>
        <n v="818.3"/>
        <n v="9406.1"/>
        <n v="9182.2999999999993"/>
        <n v="5437.5"/>
        <n v="2290.6999999999998"/>
        <n v="12238.9"/>
        <n v="887.5"/>
        <n v="8684.9"/>
        <n v="11172.9"/>
        <n v="8620.5"/>
        <n v="13567.1"/>
        <n v="858.9"/>
        <n v="9223.2999999999993"/>
        <n v="10863.6"/>
        <n v="10858.2"/>
        <n v="12353"/>
        <n v="696.1"/>
        <n v="7454.8"/>
        <n v="11351.2"/>
        <n v="747.2"/>
        <n v="8508.4"/>
        <n v="11798.2"/>
        <n v="12418.4"/>
        <n v="713.5"/>
        <n v="9000.5"/>
        <n v="11422.3"/>
        <n v="10097.799999999999"/>
        <n v="13742.8"/>
        <n v="700"/>
        <n v="9968.5"/>
        <n v="13839"/>
        <n v="11203.9"/>
        <n v="12498.7"/>
        <n v="665.8"/>
        <n v="8540.1"/>
        <n v="11309.9"/>
        <n v="8410.1"/>
        <n v="10429.6"/>
        <n v="692.1"/>
        <n v="8308.5"/>
        <n v="10337"/>
        <n v="8423.6"/>
        <n v="48"/>
        <n v="13676.6"/>
        <n v="611.9"/>
        <n v="7768"/>
        <n v="12139.5"/>
        <n v="10796.7"/>
        <n v="12411.2"/>
        <n v="1909.2"/>
        <n v="777.3"/>
        <n v="8764.4"/>
        <n v="12428.1"/>
        <n v="13651.7"/>
        <n v="13433.7"/>
        <n v="749.7"/>
        <n v="8360.1"/>
        <n v="11212.3"/>
        <n v="10535.6"/>
        <n v="13042"/>
        <n v="822"/>
        <n v="8483.9"/>
        <n v="12600.9"/>
        <n v="10878.5"/>
        <n v="10327.799999999999"/>
        <n v="738.6"/>
        <n v="8708"/>
        <n v="10735.3"/>
        <n v="9607.2000000000007"/>
        <n v="10677.3"/>
        <n v="772.6"/>
        <n v="9293.4"/>
        <n v="12998.9"/>
        <n v="1683.9"/>
        <n v="8725.2000000000007"/>
        <n v="13633.3"/>
        <n v="9413.5"/>
        <n v="789.1"/>
        <n v="11687.8"/>
        <n v="10315.9"/>
        <n v="12535.6"/>
        <n v="720.3"/>
        <n v="10247.799999999999"/>
        <n v="12564.6"/>
        <n v="8282.7999999999993"/>
        <n v="10238.200000000001"/>
        <n v="7270.4"/>
        <n v="10719.2"/>
        <n v="404.6"/>
        <n v="10702.2"/>
        <n v="11541.4"/>
        <n v="9174.1"/>
        <n v="13459.1"/>
        <n v="9263.6"/>
        <n v="14227.7"/>
        <n v="8540.4"/>
        <n v="13891.8"/>
        <n v="11105.3"/>
        <n v="10384.1"/>
        <n v="8350.5"/>
        <n v="12190.3"/>
        <n v="7801.9"/>
        <n v="6808"/>
        <n v="7865.9"/>
        <n v="11071.4"/>
        <n v="7299.8"/>
        <n v="10628.7"/>
        <n v="907.7"/>
        <n v="5247.2"/>
        <n v="2114.1999999999998"/>
        <n v="13801.5"/>
        <n v="12225.5"/>
        <n v="867.1"/>
        <n v="13862.9"/>
        <n v="9739.2999999999993"/>
        <n v="14182"/>
        <n v="12997.5"/>
        <n v="14088.8"/>
        <n v="4432.3999999999996"/>
        <n v="794.5"/>
        <n v="14068.9"/>
        <n v="14270.9"/>
        <n v="14338.5"/>
        <n v="6028"/>
        <n v="7521.1"/>
        <n v="11338.5"/>
        <n v="5810.3"/>
        <n v="9235.7999999999993"/>
        <n v="6854"/>
        <n v="10572.3"/>
        <n v="8380.7000000000007"/>
        <n v="12136.9"/>
        <n v="8055.1"/>
        <n v="8829.5"/>
        <n v="7634.5"/>
        <n v="13536.2"/>
        <n v="7634.4"/>
        <n v="1954.8"/>
        <n v="7750.3"/>
        <n v="8637.1"/>
        <n v="9015.9"/>
        <n v="8622"/>
        <n v="7845.2"/>
        <n v="11147.7"/>
        <n v="11401.9"/>
        <n v="831.1"/>
        <n v="6769.8"/>
        <n v="2194.1999999999998"/>
        <n v="8118.4"/>
        <n v="10048.4"/>
        <n v="740.6"/>
        <n v="13363.4"/>
        <n v="9044.6"/>
        <n v="10213.5"/>
        <n v="7454.4"/>
        <n v="2247.3000000000002"/>
        <n v="744.2"/>
        <n v="14271.1"/>
        <n v="11134.6"/>
        <n v="12778.7"/>
        <n v="738.8"/>
        <n v="8237.5"/>
        <n v="10841.3"/>
        <n v="10509.1"/>
        <n v="10112.299999999999"/>
        <n v="3856.7"/>
        <n v="4038.2"/>
        <n v="8848.6"/>
        <n v="734.6"/>
        <n v="9071.2999999999993"/>
        <n v="11876.5"/>
        <n v="5527.7"/>
        <n v="1687.2"/>
        <n v="13064.3"/>
        <n v="758.6"/>
        <n v="6988.7"/>
        <n v="9320.1"/>
        <n v="7895.6"/>
        <n v="14268.3"/>
        <n v="714.5"/>
        <n v="6882"/>
        <n v="11306.7"/>
        <n v="5390.9"/>
        <n v="4519.5"/>
        <n v="12282.1"/>
        <n v="876"/>
        <n v="11120.7"/>
        <n v="1088"/>
        <n v="7619.6"/>
        <n v="1043.3"/>
        <n v="11007.2"/>
        <n v="1713.7"/>
        <n v="10601.9"/>
        <n v="1700.6"/>
        <n v="13274.3"/>
        <n v="1530.3"/>
        <n v="8687.2999999999993"/>
        <n v="1877"/>
        <n v="13713.3"/>
        <n v="2202.6999999999998"/>
        <n v="12068.6"/>
        <n v="2148.9"/>
        <n v="10416.299999999999"/>
        <n v="1902.9"/>
        <n v="10661.4"/>
        <n v="13306.5"/>
        <n v="2028.3"/>
        <n v="7371.2"/>
        <n v="9413"/>
        <n v="10039.200000000001"/>
        <n v="10401.6"/>
        <n v="3308.8"/>
        <n v="3036.7"/>
        <n v="6446"/>
        <n v="4140.3999999999996"/>
        <n v="688.7"/>
        <n v="10585.2"/>
        <n v="2123"/>
        <n v="12874.9"/>
        <n v="8726.7000000000007"/>
        <n v="1842.9"/>
        <n v="803.3"/>
        <n v="11073.5"/>
        <n v="1914.4"/>
        <n v="6191.2"/>
        <n v="10204.799999999999"/>
        <n v="11547.4"/>
        <n v="2557.9"/>
        <n v="8292"/>
        <n v="6616.2"/>
        <n v="1803.2"/>
        <n v="9694"/>
        <n v="809.5"/>
        <n v="11948.1"/>
        <n v="10160.5"/>
        <n v="627.20000000000005"/>
        <n v="7011"/>
        <n v="2035.7"/>
        <n v="8120.9"/>
        <n v="9829"/>
        <n v="10149.799999999999"/>
        <n v="745.8"/>
        <n v="8690.2000000000007"/>
        <n v="12405.2"/>
        <n v="2477.5"/>
        <n v="8705.7000000000007"/>
        <n v="11400.5"/>
        <n v="653"/>
        <n v="5298"/>
        <n v="8925"/>
        <n v="1989"/>
        <n v="10357"/>
        <n v="10670.5"/>
        <n v="706"/>
        <n v="7649"/>
        <n v="8126.1"/>
        <n v="748"/>
        <n v="9896"/>
        <n v="11394.3"/>
        <n v="695"/>
        <n v="8258"/>
        <n v="1992.6"/>
        <n v="9454.4"/>
        <n v="10144.6"/>
        <n v="9719.7999999999993"/>
        <n v="782.3"/>
        <n v="8876.6"/>
        <n v="9503"/>
        <n v="1831"/>
        <n v="1922"/>
        <n v="10181"/>
        <n v="12796.2"/>
        <n v="132.6"/>
        <n v="612.6"/>
        <n v="10332.9"/>
        <n v="4847"/>
        <n v="7208"/>
        <n v="4037.1"/>
        <n v="2028.5"/>
        <n v="4472.7"/>
        <n v="10038.9"/>
        <n v="8825.4"/>
        <n v="726.5"/>
        <n v="12017.7"/>
        <n v="78"/>
        <n v="495"/>
        <n v="7842"/>
        <n v="9348.1"/>
        <n v="1963.8"/>
        <n v="7685.8"/>
        <n v="688"/>
        <n v="10487.6"/>
        <n v="1918.1"/>
        <n v="5007.1000000000004"/>
        <n v="72.3"/>
        <n v="617.29999999999995"/>
        <n v="12378.5"/>
        <n v="621.1"/>
        <n v="2061.1"/>
        <n v="6394"/>
        <n v="5269.7"/>
        <n v="7571.7"/>
        <n v="10138"/>
        <n v="14207.2"/>
        <n v="3613.2"/>
        <n v="3699"/>
        <n v="803"/>
        <n v="13678.4"/>
        <n v="3887.3"/>
        <n v="6148.6"/>
        <n v="70.8"/>
        <n v="573.6"/>
        <n v="11086.4"/>
        <n v="4616.8"/>
        <n v="4271.1000000000004"/>
        <n v="10996.7"/>
        <n v="1945.1"/>
        <n v="2211.1"/>
        <n v="6515"/>
        <n v="2073.5"/>
        <n v="8076.5"/>
        <n v="778.2"/>
        <n v="8966.4"/>
        <n v="10617.6"/>
        <n v="46.5"/>
        <n v="4201.3999999999996"/>
        <n v="4401.8"/>
        <n v="803.2"/>
        <n v="9446.6"/>
        <n v="2137.1"/>
        <n v="7005.2"/>
        <n v="3645.5"/>
        <n v="7662.1"/>
        <n v="7744.3"/>
        <n v="2077.3000000000002"/>
        <n v="11020.9"/>
        <n v="800.1"/>
        <n v="4093.7"/>
        <n v="4624.8999999999996"/>
        <n v="12947.6"/>
        <n v="11643.2"/>
        <n v="7624.9"/>
        <n v="801.2"/>
        <n v="4539.2"/>
        <n v="4111.6000000000004"/>
        <n v="3599.5"/>
        <n v="8715.6"/>
        <n v="3932.3"/>
        <n v="7834.4"/>
        <n v="730.2"/>
        <n v="9819.1"/>
        <n v="3967"/>
        <n v="4790.7"/>
        <n v="11032.9"/>
        <n v="10643.3"/>
        <n v="10390.4"/>
        <n v="824.5"/>
        <n v="8942.6"/>
        <n v="4052.4"/>
        <n v="8757.4"/>
        <n v="8312.1"/>
        <n v="12045.6"/>
        <n v="819.6"/>
        <n v="9311"/>
        <n v="3950.1"/>
        <n v="8257.4"/>
        <n v="2342.4"/>
        <n v="718.8"/>
        <n v="9156.7000000000007"/>
        <n v="7093.3"/>
        <n v="7958.4"/>
        <n v="5106.2"/>
        <n v="2463"/>
        <n v="674.3"/>
        <n v="7933.3"/>
        <n v="12204.8"/>
        <n v="10576.5"/>
        <n v="790.4"/>
        <n v="2217.3000000000002"/>
        <n v="5759.7"/>
        <n v="1968"/>
        <n v="10230.799999999999"/>
        <n v="1746.2"/>
        <n v="8559.4"/>
        <n v="10549"/>
        <n v="837.1"/>
        <n v="8027"/>
        <n v="7836.5"/>
        <n v="2561.8000000000002"/>
        <n v="1811.3"/>
        <n v="7712.6"/>
        <n v="12366.1"/>
        <n v="9222.4"/>
        <n v="942.8"/>
        <n v="12048.5"/>
        <n v="9059"/>
        <n v="13323.8"/>
        <n v="743.8"/>
        <n v="8134.5"/>
        <n v="13004.8"/>
        <n v="10143.5"/>
        <n v="13137"/>
        <n v="846.8"/>
        <n v="7616.7"/>
        <n v="11274.9"/>
        <n v="9454.7000000000007"/>
        <n v="10562.9"/>
        <n v="680.5"/>
        <n v="8356.2000000000007"/>
        <n v="12725.4"/>
        <n v="8040.3"/>
        <n v="9571.6"/>
        <n v="8519.7999999999993"/>
        <n v="11816.7"/>
        <n v="6044.7"/>
        <n v="4835.8999999999996"/>
        <n v="12955.8"/>
        <n v="781.3"/>
        <n v="12000.2"/>
        <n v="14714"/>
        <n v="8698.6"/>
        <n v="14022.8"/>
        <n v="739.5"/>
        <n v="10519.9"/>
        <n v="1993.3"/>
        <n v="9497.7000000000007"/>
        <n v="2094.1"/>
        <n v="10436.700000000001"/>
        <n v="916.4"/>
        <n v="11373.4"/>
        <n v="9510.7999999999993"/>
        <n v="12393.7"/>
        <n v="824.1"/>
        <n v="8843.6"/>
        <n v="12765.9"/>
        <n v="12649.7"/>
        <n v="773.3"/>
        <n v="17626"/>
        <n v="17922"/>
        <n v="1115.2"/>
        <n v="14079.5"/>
        <n v="14483.5"/>
        <n v="13330.8"/>
        <n v="4668.2"/>
        <n v="6250.5"/>
        <n v="787.9"/>
        <n v="11771.2"/>
        <n v="8279.6"/>
        <n v="12831.4"/>
        <n v="7519"/>
        <n v="837.6"/>
        <n v="12981.4"/>
        <n v="6601.6"/>
        <n v="1993.2"/>
        <n v="11166.8"/>
        <n v="8734"/>
        <n v="13096.5"/>
        <n v="919.3"/>
        <n v="10878"/>
        <n v="1803.7"/>
        <n v="10980.9"/>
        <n v="855.7"/>
        <n v="10154.1"/>
        <n v="14082.1"/>
        <n v="1102.3"/>
        <n v="8718.7000000000007"/>
        <n v="11454.4"/>
        <n v="9805.4"/>
        <n v="1005.3"/>
        <n v="11713.8"/>
        <n v="13782.5"/>
        <n v="2392"/>
        <n v="10391.799999999999"/>
        <n v="1060.5"/>
        <n v="12134.1"/>
        <n v="7228.6"/>
        <n v="11246.1"/>
        <n v="6912.8"/>
        <n v="7562.4"/>
        <n v="1603.8"/>
        <n v="886.5"/>
        <n v="6324.1"/>
        <n v="10549.4"/>
        <n v="8937.6"/>
        <n v="9989.4"/>
        <n v="7574.9"/>
        <n v="2604.1"/>
        <n v="9747.1"/>
        <n v="9370.2999999999993"/>
        <n v="11615.7"/>
        <n v="8137.1"/>
        <n v="12106.599999999999"/>
        <n v="8537.1"/>
        <n v="12321.5"/>
        <n v="5801.7"/>
        <n v="12107.2"/>
        <n v="3916.4"/>
        <n v="5683.5"/>
        <n v="10380.799999999999"/>
        <n v="5395.4"/>
        <n v="5738.7"/>
        <n v="4768"/>
        <n v="5454.7"/>
        <n v="2061"/>
        <n v="9229.7999999999993"/>
        <n v="10780.1"/>
        <n v="7063.5"/>
        <n v="4669.8"/>
        <n v="7454"/>
        <n v="1116"/>
        <n v="9859.7000000000007"/>
        <n v="1222.9000000000001"/>
        <n v="14485"/>
        <n v="1789"/>
        <n v="15056.4"/>
        <n v="2049.5"/>
        <n v="5957.8"/>
        <n v="5223"/>
        <n v="904.9"/>
        <n v="2076.6"/>
        <n v="5383.7"/>
        <n v="4877"/>
        <n v="1738.1"/>
        <n v="8538.2000000000007"/>
        <n v="2342.5"/>
        <n v="13738.5"/>
        <n v="2904.5"/>
        <n v="17148.5"/>
        <n v="14892"/>
        <n v="19117.5"/>
        <n v="8470.5"/>
        <n v="8782"/>
        <n v="1056.5"/>
        <n v="15561"/>
        <n v="14947.300000000001"/>
        <n v="12155"/>
        <n v="805.5"/>
        <n v="8811.5"/>
        <n v="8005.7"/>
        <n v="11418"/>
        <n v="15760.2"/>
        <n v="821"/>
        <n v="12728.5"/>
        <n v="8021"/>
        <n v="10370.1"/>
        <n v="11581.2"/>
        <n v="9651.5"/>
        <n v="6024.5"/>
        <n v="4866.8"/>
        <n v="15869.2"/>
        <n v="12830"/>
        <n v="7621.4"/>
        <n v="13558.5"/>
        <n v="4150.3999999999996"/>
        <n v="8365.2000000000007"/>
        <n v="4549.5"/>
        <n v="11585.5"/>
        <n v="9316.5"/>
        <n v="16075.5"/>
        <n v="12323.5"/>
        <n v="11074"/>
        <n v="14244.7"/>
        <n v="13322"/>
        <n v="8931"/>
        <n v="760.5"/>
        <n v="13793"/>
        <n v="4221.5"/>
        <n v="10041.5"/>
        <n v="9047.5"/>
        <n v="12419"/>
        <n v="6745"/>
        <n v="747"/>
        <n v="9189.5"/>
        <n v="13240.7"/>
        <n v="9812"/>
        <n v="5926.5"/>
        <n v="12160.5"/>
        <n v="15195"/>
        <n v="4338.2"/>
        <n v="713.4"/>
        <n v="12029"/>
        <n v="7181.3"/>
        <n v="14421.5"/>
        <n v="12350"/>
        <n v="10721.5"/>
        <n v="300"/>
        <n v="6261.2"/>
        <n v="9615.5"/>
        <n v="2312"/>
        <n v="11824.5"/>
        <n v="2024.5"/>
        <n v="10017.200000000001"/>
        <n v="10586.7"/>
        <n v="11969.5"/>
        <n v="8274.5"/>
        <n v="535.5"/>
        <n v="4620.3"/>
        <n v="7228.9"/>
        <n v="9711"/>
        <n v="16297.1"/>
        <n v="14586.5"/>
        <n v="673"/>
        <n v="12200.2"/>
        <n v="10737"/>
        <n v="14700.5"/>
        <n v="10555"/>
        <n v="7471.5"/>
        <n v="13692.7"/>
        <n v="5958"/>
        <n v="646"/>
        <n v="12891.2"/>
        <n v="12633.7"/>
        <n v="664"/>
        <n v="10559.5"/>
        <n v="9242.5"/>
        <n v="14154.5"/>
        <n v="10175.5"/>
        <n v="712"/>
        <n v="12700.5"/>
        <n v="8071.5"/>
        <n v="14851.5"/>
        <n v="12251"/>
        <n v="6448.5"/>
        <n v="7368.2"/>
        <n v="10588.5"/>
        <n v="16530.5"/>
        <n v="10799.4"/>
        <n v="7126.9"/>
        <n v="7634.6"/>
        <n v="9102.1"/>
        <n v="13907.1"/>
        <n v="8917.2999999999993"/>
        <n v="5428.4"/>
        <n v="7429.3"/>
        <n v="10744.2"/>
        <n v="13224.9"/>
        <n v="10239.200000000001"/>
        <n v="14823.3"/>
        <n v="8171.6"/>
        <n v="10513.5"/>
        <n v="4638.3999999999996"/>
        <n v="7420.7"/>
        <n v="7755.8"/>
        <n v="13345.4"/>
        <n v="4867.3999999999996"/>
        <n v="5246.8"/>
        <n v="17530"/>
        <n v="11549.7"/>
        <n v="5982.5"/>
        <n v="14701.7"/>
        <n v="12853"/>
        <n v="14620.5"/>
        <n v="5604.3"/>
        <n v="6735"/>
        <n v="15025.5"/>
        <n v="7132.6"/>
        <n v="5853.7"/>
        <n v="8297.4"/>
        <n v="6085.95"/>
        <n v="2711.35"/>
        <n v="8402.25"/>
        <n v="6971.95"/>
        <n v="14381.3"/>
        <n v="14522.1"/>
        <n v="8678.2000000000007"/>
        <n v="13380"/>
        <n v="5149.2"/>
        <n v="6039.6"/>
        <n v="4014"/>
        <n v="3529.3"/>
        <n v="6629.9"/>
        <n v="12720.4"/>
        <n v="13001.4"/>
        <n v="8728"/>
        <n v="9078.7999999999993"/>
        <n v="9283.9"/>
        <n v="10882.1"/>
        <n v="13372"/>
        <n v="12626.6"/>
        <n v="7824.2"/>
        <n v="12074.9"/>
        <n v="6064"/>
        <n v="6277.3"/>
        <n v="11596.7"/>
        <n v="5422.4"/>
        <n v="11127.9"/>
        <n v="603.70000000000005"/>
        <n v="18185.5"/>
        <n v="4767.1000000000004"/>
        <n v="13042.4"/>
        <n v="9646"/>
        <n v="8132"/>
        <n v="14073.4"/>
        <n v="5060.2"/>
        <n v="6025.8"/>
        <n v="10474"/>
        <n v="5480.9"/>
        <n v="6201.8"/>
        <n v="5672.5"/>
        <n v="13590.3"/>
        <n v="6068"/>
        <n v="7602.8"/>
        <n v="8811.6"/>
        <n v="7232.5"/>
        <n v="4707.3999999999996"/>
        <n v="8635.7999999999993"/>
        <n v="13101.2"/>
        <n v="9074.7000000000007"/>
        <n v="14503.3"/>
        <n v="4540.5"/>
        <n v="7948.1"/>
        <n v="4920.5"/>
        <n v="9736.6"/>
        <n v="3346.3"/>
        <n v="6911.4"/>
        <n v="9420.5"/>
        <n v="6407.3"/>
        <n v="2604.4"/>
        <n v="8592.6"/>
        <n v="4372.8"/>
        <n v="13548.9"/>
        <n v="5987"/>
        <n v="6986.7"/>
        <n v="8126.6"/>
        <n v="9161.2000000000007"/>
        <n v="16452.8"/>
        <n v="819.1"/>
        <n v="22460"/>
        <n v="18638.099999999999"/>
        <n v="10784.7"/>
        <n v="9268"/>
        <n v="7008.2"/>
        <n v="6698.3"/>
        <n v="2927.2"/>
        <n v="8212.7999999999993"/>
        <n v="3800.5"/>
        <n v="7414.5"/>
        <n v="4852.3"/>
        <n v="684.1"/>
        <n v="15629.3"/>
        <n v="8705"/>
        <n v="4942.3"/>
        <n v="9922.4"/>
        <n v="7356.5"/>
        <n v="3487.5"/>
        <n v="999.1"/>
        <n v="7418.9"/>
        <n v="79.8"/>
        <n v="20522.400000000001"/>
        <n v="11701.5"/>
        <n v="12816.5"/>
        <n v="11523.9"/>
        <n v="10467"/>
        <n v="8884.4"/>
        <n v="1124.2"/>
        <n v="17944.7"/>
        <n v="11586.3"/>
        <n v="13325.6"/>
        <n v="11894.1"/>
        <n v="11716"/>
        <n v="10603.3"/>
        <n v="11267.8"/>
        <n v="17438.2"/>
        <n v="3623.6"/>
        <n v="4873.2"/>
        <n v="7529"/>
        <n v="10717.6"/>
        <n v="17084.900000000001"/>
        <n v="16844.099999999999"/>
        <n v="16771.5"/>
        <n v="4358.7"/>
        <n v="6209.6"/>
        <n v="2114.1"/>
        <n v="15082.5"/>
        <n v="9327.9"/>
        <n v="9705.2999999999993"/>
        <n v="5744.5"/>
        <n v="14826.7"/>
        <n v="15583"/>
        <n v="19737.5"/>
        <n v="13459.7"/>
        <n v="11769.5"/>
        <n v="15493.5"/>
        <n v="10948.5"/>
        <n v="4216.8"/>
        <n v="19168.900000000001"/>
        <n v="25159.3"/>
        <n v="13600.7"/>
        <n v="12861"/>
        <n v="9322.9"/>
        <n v="1136.5"/>
        <n v="14748.1"/>
        <n v="9021"/>
        <n v="14716.5"/>
        <n v="2309.6999999999998"/>
        <n v="9630.9"/>
        <n v="11712.25"/>
        <n v="3108.4"/>
        <n v="17077.3"/>
        <n v="1068.8"/>
        <n v="13061.4"/>
        <n v="7176.3"/>
        <n v="12260.2"/>
        <n v="1138.0999999999999"/>
        <n v="354.5"/>
        <n v="11738.2"/>
        <n v="879.7"/>
        <n v="1898.2"/>
        <n v="16114.6"/>
        <n v="1422.2"/>
        <n v="14214.4"/>
        <n v="17722.900000000001"/>
        <n v="1977.2"/>
        <n v="2555.1999999999998"/>
        <n v="18932.5"/>
        <n v="2514.6999999999998"/>
        <n v="29740.7"/>
        <n v="14118.6"/>
        <n v="15237.5"/>
        <n v="726.9"/>
        <n v="19483.8"/>
        <n v="14750.6"/>
        <n v="12436.9"/>
        <n v="14667.9"/>
        <n v="7743.1"/>
        <n v="6722.1"/>
        <n v="699"/>
        <n v="15574.97"/>
        <n v="112.4"/>
        <n v="4353.2"/>
        <n v="12654"/>
        <n v="1697.55"/>
        <n v="13324.35"/>
        <n v="675.4"/>
        <n v="11138"/>
        <n v="5909.9"/>
        <n v="16283.4"/>
        <n v="11127"/>
        <n v="12309.7"/>
        <n v="16303.1"/>
        <n v="15171.8"/>
        <n v="4602.8"/>
        <n v="9868.7999999999993"/>
        <n v="6667"/>
        <n v="11990.2"/>
        <n v="7795"/>
        <n v="772"/>
        <n v="15572.5"/>
        <n v="4689.8999999999996"/>
        <n v="12889.3"/>
        <n v="15277.5"/>
        <n v="13963.4"/>
        <n v="4429.1000000000004"/>
        <n v="13082.2"/>
        <n v="14914.2"/>
        <n v="695.5"/>
        <n v="13259.1"/>
        <n v="25"/>
        <n v="8344.9"/>
        <n v="8243.9"/>
        <n v="7896.6"/>
        <n v="13634"/>
        <n v="532.20000000000005"/>
        <n v="15263.4"/>
        <n v="10068.200000000001"/>
        <n v="496.9"/>
        <n v="13499.3"/>
        <n v="8915.7000000000007"/>
        <n v="10715.1"/>
        <n v="5341.8"/>
        <n v="705.4"/>
        <n v="13667.3"/>
        <n v="9858.7000000000007"/>
        <n v="400.4"/>
        <n v="12561.6"/>
        <n v="14824.8"/>
        <n v="7280.4"/>
        <n v="533"/>
        <n v="11159.5"/>
        <n v="12449.3"/>
        <n v="5195.3999999999996"/>
        <n v="15338.9"/>
        <n v="11909.2"/>
        <n v="697.2"/>
        <n v="7501.5"/>
        <n v="3815.4"/>
        <n v="9223.9"/>
        <n v="10498.4"/>
        <n v="618.5"/>
        <n v="6996.5"/>
        <n v="17377.900000000001"/>
        <n v="9173.4"/>
        <n v="17443.900000000001"/>
        <n v="9399.2000000000007"/>
        <n v="7550.1"/>
        <n v="560.79999999999995"/>
        <n v="18493.3"/>
        <n v="13394.8"/>
        <n v="16083.7"/>
        <n v="11779.8"/>
        <n v="679.1"/>
        <n v="16385.8"/>
        <n v="9705.1"/>
        <n v="14637.8"/>
        <n v="13989.2"/>
        <n v="16889.8"/>
        <n v="7628.3"/>
        <n v="473.7"/>
        <n v="17633.599999999999"/>
        <n v="13154.6"/>
        <n v="11615.6"/>
        <n v="8066.1"/>
        <n v="9616.6"/>
        <n v="22448.3"/>
        <n v="13764"/>
        <n v="847.2"/>
        <n v="4073.3"/>
        <n v="11971.2"/>
        <n v="13424.4"/>
        <n v="607.6"/>
        <n v="17845.599999999999"/>
        <n v="8713.2999999999993"/>
        <n v="7645.3"/>
        <n v="16294.3"/>
        <n v="800.6"/>
        <n v="6667.7"/>
        <n v="333.8"/>
        <n v="17726.099999999999"/>
        <n v="14523"/>
        <n v="11202.8"/>
        <n v="5468.8"/>
        <n v="8169.4"/>
        <n v="13500.6"/>
        <n v="11859.4"/>
        <n v="5648.1"/>
        <n v="7801.8"/>
        <n v="10117.700000000001"/>
        <n v="645.1"/>
        <n v="16291.8"/>
        <n v="16238.4"/>
        <n v="19325.599999999999"/>
        <n v="9092.7999999999993"/>
        <n v="19663.8"/>
        <n v="16087"/>
        <n v="9307"/>
        <n v="8970.1"/>
        <n v="671.9"/>
        <n v="10398"/>
        <n v="14705.7"/>
        <n v="13576.2"/>
        <n v="18117.099999999999"/>
        <n v="658.1"/>
        <n v="9515.6"/>
        <n v="13696.8"/>
        <n v="14661.4"/>
        <n v="8137.4"/>
        <n v="6947.2"/>
        <n v="9729.9"/>
        <n v="18372.8"/>
        <n v="11244.4"/>
        <n v="9346"/>
        <n v="7066.5"/>
        <n v="10569.6"/>
        <n v="12075.4"/>
        <n v="7831.1"/>
        <n v="8136.8"/>
        <n v="5283.6"/>
        <n v="9130.4"/>
        <n v="14062"/>
        <n v="14509.4"/>
        <n v="4270.5"/>
        <n v="17330.3"/>
        <n v="13280.6"/>
        <n v="6436.4"/>
        <n v="8402.7999999999993"/>
        <n v="579.6"/>
        <n v="10883.6"/>
        <n v="19247.400000000001"/>
        <n v="8873.6"/>
        <n v="15840.6"/>
        <n v="9862.7999999999993"/>
        <n v="17461.599999999999"/>
        <n v="13724.8"/>
        <n v="15492.2"/>
        <n v="11896.2"/>
        <n v="15486.4"/>
        <n v="13239.6"/>
        <n v="16304"/>
        <n v="17232"/>
        <n v="9195.2999999999993"/>
        <n v="16513"/>
        <n v="4599.2"/>
        <n v="14383"/>
        <n v="4755.3"/>
        <n v="18832.599999999999"/>
        <n v="9353"/>
        <n v="16944.900000000001"/>
        <n v="12116"/>
        <n v="13276.8"/>
        <n v="12264.8"/>
        <n v="9308.2000000000007"/>
        <n v="538.5"/>
        <n v="13685.7"/>
        <n v="182.5"/>
        <n v="12442.6"/>
        <n v="17754.2"/>
        <n v="8093.4"/>
        <n v="9193.9"/>
        <n v="10530"/>
        <n v="12322.9"/>
        <n v="8997.9"/>
        <n v="4138.5"/>
        <n v="15345.8"/>
        <n v="6632.5"/>
        <n v="11551.5"/>
        <n v="14459"/>
        <n v="15623.8"/>
        <n v="12938.2"/>
        <n v="4415.8"/>
        <n v="19765.900000000001"/>
        <n v="18236.5"/>
        <n v="18045.5"/>
        <n v="15088"/>
        <n v="12582.9"/>
        <n v="5900.6"/>
        <n v="17991.8"/>
        <n v="6182.4"/>
        <n v="11521.1"/>
        <n v="6291"/>
        <n v="12615.4"/>
        <n v="12647.5"/>
        <n v="7533.5"/>
        <n v="9847.5"/>
        <n v="10815.5"/>
        <n v="14927"/>
        <n v="12227.4"/>
        <n v="13317.3"/>
        <n v="20373.599999999999"/>
        <n v="15922.4"/>
        <n v="12568.8"/>
        <n v="11057.1"/>
        <n v="12104.4"/>
        <n v="13470"/>
        <n v="14303.3"/>
        <n v="9574.6"/>
        <n v="9593.4"/>
        <n v="15131.4"/>
        <n v="14177.6"/>
        <n v="9811.4"/>
        <n v="19182.900000000001"/>
        <n v="17349.599999999999"/>
        <n v="14844.4"/>
        <n v="11614.6"/>
        <n v="19181"/>
        <n v="13145.6"/>
        <n v="2412.6"/>
        <n v="6789.8"/>
        <n v="7606.9"/>
        <n v="18027.599999999999"/>
        <n v="10521.9"/>
        <n v="18301.400000000001"/>
        <n v="13636.5"/>
        <n v="8866.6"/>
        <n v="13721.5"/>
        <n v="15361.3"/>
        <n v="18343.400000000001"/>
        <n v="13668.5"/>
        <n v="7159.6"/>
        <n v="10752.7"/>
        <n v="542"/>
        <n v="4162.1000000000004"/>
        <n v="5754.8"/>
        <n v="15663.2"/>
        <n v="729.6"/>
        <n v="16032.5"/>
        <n v="6077"/>
        <n v="10597.8"/>
        <n v="15035.4"/>
        <n v="13878.16"/>
        <n v="5905.6"/>
        <n v="9847.2999999999993"/>
        <n v="10801"/>
        <n v="4448.3"/>
        <n v="10460.4"/>
        <n v="14706.2"/>
        <n v="19127.900000000001"/>
        <n v="14831.5"/>
        <n v="19466.5"/>
        <n v="21072.400000000001"/>
        <n v="18858"/>
        <n v="5617.5"/>
        <n v="10576"/>
        <n v="1526"/>
        <n v="16665.400000000001"/>
        <n v="1118"/>
        <n v="21765"/>
        <n v="1732"/>
        <n v="18356.2"/>
        <n v="1502.1"/>
        <n v="1599.5"/>
        <n v="18259"/>
        <n v="2028.7"/>
        <n v="15418.8"/>
        <n v="2546.1999999999998"/>
        <n v="13866"/>
        <n v="2663.6"/>
        <n v="14643.7"/>
        <n v="12681.2"/>
        <n v="13634.2"/>
        <n v="16666.2"/>
        <n v="8897"/>
        <n v="20271.8"/>
        <n v="16890.8"/>
        <n v="17651.400000000001"/>
        <n v="20108.400000000001"/>
        <n v="11201"/>
        <n v="31.9"/>
        <n v="17778.7"/>
        <n v="13049"/>
        <n v="17376"/>
        <n v="6365"/>
        <n v="14535.2"/>
        <n v="623"/>
        <n v="10853.7"/>
        <n v="2836.2"/>
        <n v="8756.2000000000007"/>
        <n v="608.4"/>
        <n v="4275.7"/>
        <n v="8433.4"/>
        <n v="571.20000000000005"/>
        <n v="16062.9"/>
        <n v="13567.6"/>
        <n v="5727.4"/>
        <n v="11465.5"/>
        <n v="10753.3"/>
        <n v="15119.2"/>
        <n v="10119.5"/>
        <n v="10949.5"/>
        <n v="14487"/>
        <n v="1635.5"/>
        <n v="2853.5"/>
        <n v="807.5"/>
        <n v="8907"/>
        <n v="17472"/>
        <n v="14746.5"/>
        <n v="19301"/>
        <n v="13026.7"/>
        <n v="13746.6"/>
        <n v="9450.7875000000004"/>
        <n v="11534"/>
        <n v="19451.599999999999"/>
        <n v="13729.7"/>
        <n v="13166"/>
        <n v="19826.5"/>
        <n v="858.5"/>
        <n v="9959"/>
        <n v="4303"/>
        <n v="14039.5"/>
        <n v="13960"/>
        <n v="4940"/>
        <n v="21186"/>
        <n v="6239.5"/>
        <n v="19016.5"/>
        <n v="17821.400000000001"/>
        <n v="20434"/>
        <n v="7087.7"/>
        <n v="4476.1000000000004"/>
        <n v="773.9"/>
        <n v="16718.5"/>
        <n v="9362.4888888888891"/>
        <n v="11984.5"/>
        <n v="1010"/>
        <n v="19761.900000000001"/>
        <n v="5049"/>
        <n v="765.15151515151513"/>
        <n v="17615.517241379312"/>
        <n v="8275"/>
        <n v="9819.4"/>
        <n v="7157.8"/>
        <n v="899"/>
        <n v="13443.8"/>
        <n v="7279.1"/>
        <n v="682.2"/>
        <n v="15583.6"/>
        <n v="6830"/>
        <n v="8069.3"/>
        <n v="945"/>
        <n v="17806.3"/>
        <n v="2191.6"/>
        <n v="6408.4"/>
        <n v="719"/>
        <n v="20934.3"/>
        <n v="16494"/>
        <n v="21842.1"/>
        <n v="17983.5"/>
        <n v="919.4"/>
        <n v="25433.1"/>
        <n v="6433.4"/>
        <n v="176.8"/>
        <n v="6232.8"/>
        <n v="924.2"/>
        <n v="22953.5"/>
        <n v="6731.6"/>
        <n v="513.20000000000005"/>
        <n v="20437.5"/>
        <n v="15362.5"/>
        <n v="7788.4"/>
        <n v="824.9"/>
        <n v="8833.5"/>
        <n v="7979.4"/>
        <n v="661"/>
        <n v="19587.400000000001"/>
        <n v="10741.5"/>
        <n v="6779"/>
        <n v="974.7"/>
        <n v="20984.2"/>
        <n v="7489.8"/>
        <n v="1030.2"/>
        <n v="20109.400000000001"/>
        <n v="9834.2000000000007"/>
        <n v="829.7"/>
        <n v="19549.3"/>
        <n v="11140.2"/>
        <n v="8389.6"/>
        <n v="11548.8"/>
        <n v="11379"/>
        <n v="10900.6"/>
        <n v="1153.4000000000001"/>
        <n v="20678.099999999999"/>
        <n v="10445.5"/>
        <n v="598.29999999999995"/>
        <n v="20049.400000000001"/>
        <n v="12333.3"/>
        <n v="1011"/>
        <n v="19625.2"/>
        <n v="12798.2"/>
        <n v="581.70000000000005"/>
        <n v="18959.599999999999"/>
        <n v="8013.2"/>
        <n v="4018.8"/>
        <n v="5636.3"/>
        <n v="870.1"/>
        <n v="16517.599999999999"/>
        <n v="8753.4"/>
        <n v="978.01"/>
        <n v="19606.2"/>
        <n v="9232.7999999999993"/>
        <n v="11117.4"/>
        <n v="20070.5"/>
        <n v="1068.9000000000001"/>
        <n v="9693.2999999999993"/>
        <n v="871.5"/>
        <n v="9697.2000000000007"/>
        <n v="8904.2000000000007"/>
        <n v="13236.8"/>
        <n v="15043.1"/>
        <n v="1055.0999999999999"/>
        <n v="12802.7"/>
        <n v="9908"/>
        <n v="8824.9"/>
        <n v="801"/>
        <n v="9527.7999999999993"/>
        <n v="9565.9"/>
        <n v="7725.6"/>
        <n v="10532"/>
        <n v="1079.0999999999999"/>
        <n v="13065.107407407408"/>
        <n v="6853"/>
        <n v="9076.4"/>
        <n v="850.8"/>
        <n v="13161.4"/>
        <n v="10279.9"/>
        <n v="10023.200000000001"/>
        <n v="5014.3666666666668"/>
        <n v="8914"/>
        <n v="12996"/>
        <n v="6745.7"/>
        <n v="911.6"/>
        <n v="15337.3"/>
        <n v="9400.2000000000007"/>
        <n v="6965.9"/>
        <n v="1719"/>
        <n v="25875.4"/>
        <n v="8418.4"/>
        <n v="1130.8"/>
        <n v="15234.9"/>
        <n v="9008.7000000000007"/>
        <n v="10139.200000000001"/>
        <n v="8974.5"/>
        <n v="1230.3"/>
        <n v="22259.599999999999"/>
        <n v="16598.2"/>
        <n v="1097.4000000000001"/>
        <n v="16299.7"/>
        <n v="8721.9"/>
        <n v="12557.6"/>
        <n v="11258.3"/>
        <n v="1261.4000000000001"/>
        <n v="18593.400000000001"/>
        <n v="4107"/>
        <n v="3993.6"/>
        <n v="1154.0999999999999"/>
        <n v="11486.8"/>
        <n v="8360.2000000000007"/>
        <n v="9008.2000000000007"/>
        <n v="1045.8"/>
        <n v="27022.400000000001"/>
        <n v="8188.5"/>
        <n v="977.3"/>
        <n v="14302.5"/>
        <n v="14342.6"/>
        <n v="4587.6000000000004"/>
        <n v="4168.7"/>
        <n v="1261.0999999999999"/>
        <n v="18669.599999999999"/>
        <n v="11152.7"/>
        <n v="1148.8"/>
        <n v="12548.7"/>
        <n v="8598.7000000000007"/>
        <n v="8966.7333333333336"/>
        <n v="13868.7"/>
        <n v="1243.8"/>
        <n v="17586"/>
        <n v="6460.6"/>
        <n v="5171.2"/>
        <n v="1191.8"/>
        <n v="12977.9"/>
        <n v="10676.5"/>
        <n v="5358.85"/>
        <n v="17014.7"/>
        <n v="12428"/>
        <n v="1419.8"/>
        <n v="20738"/>
        <n v="6869.4"/>
        <n v="1325.5"/>
        <n v="17354.5"/>
        <n v="10755.2"/>
        <n v="7682"/>
        <n v="21761.4"/>
        <n v="1515"/>
        <n v="697.7"/>
        <n v="12357.3"/>
        <n v="16164.7"/>
        <n v="15882.4"/>
        <n v="9049.2000000000007"/>
        <n v="912.6"/>
        <n v="4551"/>
        <n v="7722.65"/>
        <n v="9867.5"/>
        <n v="987.2"/>
        <n v="19507.7"/>
        <n v="848.8"/>
        <n v="12038"/>
        <n v="10661.8"/>
        <n v="3445.7"/>
        <n v="5038.3999999999996"/>
        <n v="13246.8"/>
        <n v="7082.6"/>
        <n v="6722.7"/>
        <n v="1908.4"/>
        <n v="18173.099999999999"/>
        <n v="5593.7"/>
        <n v="5332.6"/>
        <n v="14657"/>
        <n v="2088.5"/>
        <n v="19394.8"/>
        <n v="12637.7"/>
        <n v="13868.3"/>
        <n v="11535.2"/>
        <n v="1413.8"/>
        <n v="19689.099999999999"/>
        <n v="16749.900000000001"/>
        <n v="7888.61"/>
        <n v="12804.2"/>
        <n v="2124.9"/>
        <n v="14497.2"/>
        <n v="14104.8"/>
        <n v="1763.9"/>
        <n v="11560.4"/>
        <n v="11286.2"/>
        <n v="10667.43"/>
        <n v="12969.1"/>
        <n v="5854.6"/>
        <n v="2011.1"/>
        <n v="14322.1"/>
        <n v="9432.7000000000007"/>
        <n v="1049"/>
        <n v="9479.2000000000007"/>
        <n v="11560.9"/>
        <n v="1002.9"/>
        <n v="14645.3"/>
        <n v="7490.86"/>
        <n v="840.9"/>
        <n v="8566.4"/>
        <n v="5932.8"/>
        <n v="1401.3"/>
        <n v="13272.1"/>
        <n v="913.1"/>
        <n v="7804"/>
        <n v="8581.6"/>
        <n v="6760.5"/>
        <n v="1598"/>
        <n v="9879.5"/>
        <n v="10718.81"/>
        <n v="8422.9"/>
        <n v="5662.8"/>
        <n v="1668.4"/>
        <n v="13077.6"/>
        <n v="958.3"/>
        <n v="14269.1"/>
        <n v="23505.7"/>
        <n v="5425.2"/>
        <n v="15012.9"/>
        <n v="13718.2"/>
        <n v="12819"/>
        <n v="978.5"/>
        <n v="13990"/>
        <n v="982.7"/>
        <n v="8283.7999999999993"/>
        <n v="1144.3"/>
        <n v="22272.799999999999"/>
        <n v="747.9"/>
        <n v="7646.5"/>
        <n v="13821.8"/>
        <n v="10255.4"/>
        <n v="1020.5"/>
        <n v="13442.5"/>
        <n v="7862.25"/>
        <n v="5929"/>
        <n v="1113.2"/>
        <n v="15532"/>
        <n v="881.9"/>
        <n v="5695.8"/>
        <n v="12920.8"/>
        <n v="6961.9"/>
        <n v="1288.0999999999999"/>
        <n v="10606.9"/>
        <n v="6619"/>
        <n v="10095.799999999999"/>
        <n v="928"/>
        <n v="7384.3"/>
        <n v="13490.4"/>
        <n v="1198"/>
        <n v="11437.8"/>
        <n v="7026.8"/>
        <n v="10728"/>
        <n v="9978.2000000000007"/>
        <n v="1328.8"/>
        <n v="4413.8"/>
        <n v="14466.7"/>
        <n v="640.4"/>
        <n v="16988.599999999999"/>
        <n v="9775.6"/>
        <n v="12246"/>
        <n v="1657.4"/>
        <n v="1155.7"/>
        <n v="13511.4"/>
        <n v="24238"/>
        <n v="1570.4"/>
        <n v="7828.7"/>
        <n v="981"/>
        <n v="991.4"/>
        <n v="8816.2000000000007"/>
        <n v="14909.9"/>
        <n v="10894.1"/>
        <n v="1041.5"/>
        <n v="9940.9"/>
        <n v="8742.4"/>
        <n v="974.8"/>
        <n v="11795.6"/>
        <n v="1109.7"/>
        <n v="17050"/>
        <n v="9625"/>
        <n v="1155.3"/>
        <n v="5058.2"/>
        <n v="13812"/>
        <n v="1296.4000000000001"/>
        <n v="8296.4"/>
        <n v="14547.6"/>
        <n v="1501.6"/>
        <n v="22747.4"/>
        <n v="18221.8"/>
        <n v="13033"/>
        <n v="2000.9"/>
        <n v="1103.8"/>
        <n v="13451.8"/>
        <n v="1470.4"/>
        <n v="18809.599999999999"/>
        <n v="2175.1"/>
        <n v="8182.9"/>
        <n v="11258"/>
        <n v="2668.3"/>
        <n v="19025.099999999999"/>
        <n v="5003.3"/>
        <n v="1712.4"/>
        <n v="18382.2"/>
        <n v="1776.7"/>
        <n v="21160.7"/>
        <n v="2939"/>
        <n v="20672.5"/>
        <n v="4525.8"/>
        <n v="26742.400000000001"/>
        <n v="3869.5"/>
        <n v="26994.400000000001"/>
        <n v="22610.6"/>
        <n v="24309.200000000001"/>
        <n v="1089.2"/>
        <n v="305.2"/>
        <n v="981.7"/>
        <n v="20287.2"/>
        <n v="22518.799999999999"/>
        <n v="1330"/>
        <n v="13200"/>
        <n v="1363.8"/>
        <n v="17028.400000000001"/>
        <n v="10620"/>
        <n v="17237.400000000001"/>
        <n v="11440.9"/>
        <n v="1506.2"/>
        <n v="8211.1"/>
        <n v="20641.8"/>
        <n v="17056.5"/>
        <n v="18395.099999999999"/>
        <n v="17489.599999999999"/>
        <n v="1814"/>
        <n v="20324.3"/>
        <n v="12878.9"/>
        <n v="13350.9"/>
        <n v="8770.5"/>
        <n v="20060"/>
        <n v="6465.3"/>
        <n v="13650.4"/>
        <n v="11000"/>
        <n v="17670.2"/>
        <n v="1044.9000000000001"/>
        <n v="12389.5"/>
        <n v="7027.8"/>
        <n v="953"/>
        <n v="21402.7"/>
        <n v="13193.5"/>
        <n v="14622.8"/>
        <n v="9215.7999999999993"/>
        <n v="13822"/>
        <n v="1420.2"/>
        <n v="9511.6"/>
        <n v="20108.2"/>
        <n v="11018.7"/>
        <n v="12768.5"/>
        <n v="9717.1"/>
        <n v="1030.7"/>
        <n v="13607.8"/>
        <n v="8761.5"/>
        <n v="1406.3"/>
        <n v="22503.4"/>
        <n v="14109.1"/>
        <n v="16097.9"/>
        <n v="11050.4"/>
        <n v="946.5"/>
        <n v="13774.3"/>
        <n v="11831.6"/>
        <n v="1280.4000000000001"/>
        <n v="22398.5"/>
        <n v="11819.1"/>
        <n v="1347.9"/>
        <n v="12759.9"/>
        <n v="10765"/>
        <n v="1217.9000000000001"/>
        <n v="14159.9"/>
        <n v="12864.2"/>
        <n v="1000.5"/>
        <n v="19635.2"/>
        <n v="9333.4"/>
        <n v="1221.3"/>
        <n v="12726.1"/>
        <n v="13052.3"/>
        <n v="949.5"/>
        <n v="10493.3"/>
        <n v="13438.3"/>
        <n v="1157.5999999999999"/>
        <n v="541.5"/>
        <n v="17918.7"/>
        <n v="654.4"/>
        <n v="12077.2"/>
        <n v="13680.7"/>
        <n v="962.8"/>
        <n v="9523.5"/>
        <n v="8315.7000000000007"/>
        <n v="5104.5"/>
        <n v="1494"/>
        <n v="14356.5"/>
        <n v="6211.3"/>
        <n v="7704.9"/>
        <n v="10304.4"/>
        <n v="1405.6"/>
        <n v="7277.8"/>
        <n v="7844.6"/>
        <n v="7602"/>
        <n v="821.49999999999989"/>
        <n v="8013.4"/>
        <n v="7138.8"/>
        <n v="6348.5"/>
        <n v="7299.0000000000009"/>
        <n v="1383"/>
        <n v="13995.099999999999"/>
        <n v="10290.200000000001"/>
        <n v="12913.400000000001"/>
        <n v="1571.6"/>
        <n v="18998.199999999993"/>
        <n v="16189.099999999997"/>
        <n v="1050.9000000000001"/>
        <n v="16476.5"/>
        <n v="7751.2"/>
        <n v="6900.3"/>
        <n v="1057.0999999999999"/>
        <n v="10278.200000000001"/>
        <n v="23516.799999999999"/>
        <n v="1126.0000000000002"/>
        <n v="8642.2999999999993"/>
        <n v="6518.7000000000007"/>
        <n v="5878.7999999999993"/>
        <n v="1032.1999999999998"/>
        <n v="13375.3"/>
        <n v="13112.4"/>
        <n v="1357.7999999999997"/>
        <n v="14372"/>
        <n v="27521"/>
        <n v="1164.4000000000001"/>
        <n v="7879.4000000000005"/>
        <n v="12280.799999999997"/>
        <n v="13502"/>
        <n v="14168.2"/>
        <n v="1175.4999999999998"/>
        <n v="6960.7"/>
        <n v="3009.7000000000003"/>
        <n v="2860.4"/>
        <n v="21605.200000000004"/>
        <n v="1150.1000000000001"/>
        <n v="10932.199999999999"/>
        <n v="16913.2"/>
        <n v="1117.9000000000001"/>
        <n v="21322.699999999993"/>
        <n v="14066.4"/>
        <n v="1296.2"/>
        <n v="6308.8"/>
        <n v="7242.1"/>
        <n v="20839.900000000001"/>
        <n v="1386.2"/>
        <n v="12649"/>
        <n v="14313"/>
        <n v="1309.9000000000001"/>
        <n v="20463.599999999999"/>
        <n v="17508.2"/>
        <n v="1378.5"/>
        <n v="5777"/>
        <n v="24176.6"/>
        <n v="1251"/>
        <n v="10984.9"/>
        <n v="13602.8"/>
        <n v="842"/>
        <n v="16497.8"/>
        <n v="10063.5"/>
        <n v="777.9"/>
        <n v="10216.799999999999"/>
        <n v="0"/>
        <n v="844.5"/>
        <n v="19929.900000000001"/>
        <n v="1094"/>
        <n v="11538.7"/>
        <n v="15050.4"/>
        <n v="7956.6"/>
        <n v="7326.5"/>
        <n v="12266.7"/>
        <n v="12278.3"/>
        <n v="1190.2"/>
        <n v="20361.400000000001"/>
        <n v="1249.9000000000001"/>
        <n v="13447.6"/>
        <n v="15873"/>
        <n v="963"/>
        <n v="17223.400000000001"/>
        <n v="13807.6"/>
        <n v="1158.5999999999999"/>
        <n v="19094.599999999999"/>
        <n v="1428.4"/>
        <n v="17977"/>
        <n v="10042"/>
        <n v="912.5"/>
        <n v="9816.2000000000007"/>
        <n v="10144.5"/>
        <n v="10779.4"/>
        <n v="1147.3"/>
        <n v="15577.8"/>
        <n v="14046.9"/>
        <n v="1573"/>
        <n v="1595.1"/>
        <n v="17921.3"/>
        <n v="13282.2"/>
        <n v="922.6"/>
        <n v="12303"/>
        <n v="7657.5"/>
        <n v="1215.9000000000001"/>
        <n v="14225.2"/>
        <n v="6275.8"/>
        <n v="6436.1"/>
        <n v="1287.5999999999999"/>
        <n v="10643.4"/>
        <n v="660.6"/>
        <n v="21674.5"/>
        <n v="969"/>
        <n v="11699"/>
        <n v="7305.7"/>
        <n v="16112.6"/>
        <n v="1189.4000000000001"/>
        <n v="14013"/>
        <n v="750.2"/>
        <n v="19929.2"/>
        <n v="1238.7"/>
        <n v="15621.7"/>
        <n v="1091"/>
        <n v="9020.5"/>
        <n v="14631.1"/>
        <n v="885.1"/>
        <n v="12341.2"/>
        <n v="7689.8"/>
        <n v="1090.3"/>
        <n v="12819.1"/>
        <n v="940.2"/>
        <n v="23189.200000000001"/>
        <n v="880.5"/>
        <n v="13357.3"/>
        <n v="1139.7"/>
        <n v="16124.2"/>
        <n v="5098"/>
        <n v="12092"/>
        <n v="1057.4000000000001"/>
        <n v="18589.8"/>
        <n v="1005.7"/>
        <n v="27408.5"/>
        <n v="15562.8"/>
        <n v="1288.7"/>
        <n v="5052.8"/>
        <n v="12249.4"/>
        <n v="901.5"/>
        <n v="17016"/>
        <n v="7123.4"/>
        <n v="6544.6"/>
        <n v="996.5"/>
        <n v="7755.7"/>
        <n v="6111.2"/>
        <n v="1158"/>
        <n v="22514.6"/>
        <n v="1138.8"/>
        <n v="8469.5"/>
        <n v="7427.4"/>
        <n v="6667.5"/>
        <n v="14072.1"/>
        <n v="1095"/>
        <n v="14940.8"/>
        <n v="1111.8"/>
        <n v="11739.6"/>
        <n v="855.3"/>
        <n v="7632.3"/>
        <n v="14268.9"/>
        <n v="934.8"/>
        <n v="10272.200000000001"/>
        <n v="8168.3"/>
        <n v="8055.2"/>
        <n v="9740.7999999999993"/>
        <n v="1151"/>
        <n v="15113.2"/>
        <n v="4580.8999999999996"/>
        <n v="7136.5"/>
        <n v="1014.8"/>
        <n v="14203.6"/>
        <n v="5955.5"/>
        <n v="1296.7"/>
        <n v="18225.7"/>
        <n v="1270.5"/>
        <n v="9344.6"/>
        <n v="17413.2"/>
        <n v="1227.4000000000001"/>
        <n v="15325.6"/>
        <n v="14069.2"/>
        <n v="1240.2"/>
        <n v="12843.7"/>
        <n v="1083.5"/>
        <n v="14075.6"/>
        <n v="10245.6"/>
        <n v="16868.5"/>
        <n v="1093.0999999999999"/>
        <n v="20320.7"/>
        <n v="1375"/>
        <n v="19500.099999999999"/>
        <n v="14455.7"/>
        <n v="1155.5"/>
        <n v="17031.599999999999"/>
        <n v="1157.7"/>
        <n v="15295.6"/>
        <n v="9559.6"/>
        <n v="10756"/>
        <n v="1193.5999999999999"/>
        <n v="14603.9"/>
        <n v="16740.099999999999"/>
        <n v="1075.8"/>
        <n v="8587.4"/>
        <n v="7837.6"/>
        <n v="796.1"/>
        <n v="13697.1"/>
        <n v="26462.7"/>
        <n v="7639"/>
        <n v="15104.4"/>
        <n v="1516"/>
        <n v="13895.6"/>
        <n v="896.8"/>
        <n v="12470.1"/>
        <n v="12510"/>
        <n v="1305"/>
        <n v="20740.5"/>
        <n v="12759.3"/>
        <n v="1242.2"/>
        <n v="22607.200000000001"/>
        <n v="6285.6"/>
        <n v="1953.7"/>
        <n v="12038.3"/>
        <n v="12882.7"/>
        <n v="11457.4"/>
        <n v="850.1"/>
        <n v="22445.200000000001"/>
        <n v="1139.4000000000001"/>
        <n v="16502.3"/>
        <n v="1135"/>
        <n v="22906.799999999999"/>
        <n v="1166.4000000000001"/>
        <n v="18438.3"/>
        <n v="20232.599999999999"/>
        <n v="19077.3"/>
        <n v="1215.3"/>
        <n v="15493.6"/>
        <n v="1427"/>
        <n v="19132.7"/>
        <n v="20758.400000000001"/>
        <n v="1489"/>
        <n v="20383.5"/>
        <n v="19540.8"/>
        <n v="1716.8"/>
        <n v="19079.099999999999"/>
        <n v="19032.900000000001"/>
        <n v="1543.5"/>
        <n v="19586"/>
        <n v="2240.8000000000002"/>
        <n v="20269.8"/>
        <n v="21542.6"/>
        <n v="1443.2"/>
        <n v="11992.6"/>
        <n v="1679.2"/>
        <n v="18250.5"/>
        <n v="13982.1"/>
        <n v="27148"/>
        <n v="1083.3"/>
        <n v="19794"/>
        <n v="25077.8"/>
        <n v="2230.8000000000002"/>
        <n v="19459.400000000001"/>
        <n v="1198.3"/>
        <n v="13186.5"/>
        <n v="827.1"/>
        <n v="4935.3999999999996"/>
        <n v="1074.5999999999999"/>
        <n v="10898.8"/>
        <n v="21626.799999999999"/>
        <n v="1232.4000000000001"/>
        <n v="2332"/>
        <n v="19855"/>
        <n v="6539"/>
        <n v="8853"/>
        <n v="1908"/>
        <n v="22203"/>
        <n v="1766"/>
        <n v="22030"/>
        <n v="1681"/>
        <n v="19187"/>
        <n v="14550.7"/>
        <n v="1588.2"/>
        <n v="17036"/>
        <n v="21934.799999999999"/>
        <n v="2390.6999999999998"/>
        <n v="5437.8"/>
        <n v="22787.200000000001"/>
        <n v="19621.900000000001"/>
        <n v="2367.4"/>
        <n v="20577"/>
        <n v="19387.7"/>
        <n v="2371.9"/>
        <n v="9175.5"/>
        <n v="10750"/>
        <n v="19594.3"/>
        <n v="2517.6999999999998"/>
        <n v="23909.4"/>
        <n v="775.5"/>
        <n v="1654.7"/>
        <n v="15726.5"/>
        <n v="16387.400000000001"/>
        <n v="13806.8"/>
        <n v="1268.4000000000001"/>
        <n v="18948.7"/>
        <n v="1082"/>
        <n v="1029.0999999999999"/>
        <n v="18750.5"/>
        <n v="647.70000000000005"/>
        <n v="21250"/>
        <n v="12758.2"/>
        <n v="1103"/>
        <n v="12578.9"/>
        <n v="1126.5"/>
        <n v="14392.7"/>
        <n v="1058.5999999999999"/>
        <n v="16409.5"/>
        <n v="1925.5"/>
        <n v="20753"/>
        <n v="17107.599999999999"/>
        <n v="1151.5"/>
        <n v="20230.8"/>
        <n v="25341.4"/>
        <n v="20096.3"/>
        <n v="1114.4000000000001"/>
      </sharedItems>
    </cacheField>
    <cacheField name=" kidneys fat quantity" numFmtId="0">
      <sharedItems containsString="0" containsBlank="1" containsNumber="1" minValue="0" maxValue="969"/>
    </cacheField>
    <cacheField name="av.total weight" numFmtId="1">
      <sharedItems containsString="0" containsBlank="1" containsNumber="1" minValue="0" maxValue="21016.139240506327"/>
    </cacheField>
    <cacheField name="av. Receiving weight" numFmtId="1">
      <sharedItems containsString="0" containsBlank="1" containsNumber="1" minValue="0" maxValue="21016.139240506327"/>
    </cacheField>
    <cacheField name="av. Transportation loss" numFmtId="1">
      <sharedItems containsString="0" containsBlank="1" containsNumber="1" minValue="-109.72727272727273" maxValue="101.87179487179488"/>
    </cacheField>
    <cacheField name="av. Carcass weight" numFmtId="1">
      <sharedItems containsString="0" containsBlank="1" containsNumber="1" minValue="0" maxValue="13282.2"/>
    </cacheField>
    <cacheField name="av. Kidneys fat" numFmtId="0">
      <sharedItems containsString="0" containsBlank="1" containsNumber="1" minValue="0" maxValue="16"/>
    </cacheField>
    <cacheField name="am" numFmtId="0">
      <sharedItems containsString="0" containsBlank="1" containsNumber="1" minValue="13" maxValue="25"/>
    </cacheField>
    <cacheField name="slaughter house hygiene" numFmtId="0">
      <sharedItems containsString="0" containsBlank="1" containsNumber="1" containsInteger="1" minValue="0" maxValue="5"/>
    </cacheField>
    <cacheField name="pm" numFmtId="0">
      <sharedItems containsString="0" containsBlank="1" containsNumber="1" minValue="38.799999999999997" maxValue="50"/>
    </cacheField>
    <cacheField name="meat score" numFmtId="0">
      <sharedItems containsString="0" containsBlank="1" containsNumber="1" minValue="6" maxValue="10"/>
    </cacheField>
    <cacheField name="meat transportation" numFmtId="0">
      <sharedItems containsString="0" containsBlank="1" containsNumber="1" minValue="0.5" maxValue="10"/>
    </cacheField>
    <cacheField name="wight loss" numFmtId="0">
      <sharedItems containsString="0" containsBlank="1" containsNumber="1" minValue="-0.19825886990801578" maxValue="1"/>
    </cacheField>
    <cacheField name="examination" numFmtId="0">
      <sharedItems containsString="0" containsBlank="1" containsNumber="1" minValue="0.65" maxValue="1"/>
    </cacheField>
    <cacheField name="dressing %" numFmtId="0">
      <sharedItems containsString="0" containsBlank="1" containsNumber="1" minValue="0.41406411582213026" maxValue="0.66427153097970582"/>
    </cacheField>
    <cacheField name="slaughtering evaluation" numFmtId="0">
      <sharedItems containsString="0" containsBlank="1" containsNumber="1" minValue="0.66700000000000004" maxValue="0.98499999999999999"/>
    </cacheField>
    <cacheField name="condemnation" numFmtId="0">
      <sharedItems containsBlank="1"/>
    </cacheField>
    <cacheField name="cutting leg ligmants" numFmtId="0">
      <sharedItems containsString="0" containsBlank="1" containsNumber="1" containsInteger="1" minValue="1" maxValue="16"/>
    </cacheField>
    <cacheField name="trimming" numFmtId="0">
      <sharedItems containsBlank="1"/>
    </cacheField>
    <cacheField name="heterogenous selection" numFmtId="0">
      <sharedItems containsBlank="1" containsMixedTypes="1" containsNumber="1" containsInteger="1" minValue="4" maxValue="17"/>
    </cacheField>
    <cacheField name="bad stamping" numFmtId="0">
      <sharedItems containsString="0" containsBlank="1" containsNumber="1" containsInteger="1" minValue="1" maxValue="5"/>
    </cacheField>
    <cacheField name="bruises" numFmtId="0">
      <sharedItems containsBlank="1" containsMixedTypes="1" containsNumber="1" containsInteger="1" minValue="1" maxValue="20"/>
    </cacheField>
    <cacheField name="accepted as exception" numFmtId="0">
      <sharedItems containsString="0" containsBlank="1" containsNumber="1" containsInteger="1" minValue="0" maxValue="69"/>
    </cacheField>
    <cacheField name="over capacity &amp; rough handling" numFmtId="0">
      <sharedItems containsBlank="1" containsMixedTypes="1" containsNumber="1" minValue="0" maxValue="28"/>
    </cacheField>
    <cacheField name="total rejected weight" numFmtId="0">
      <sharedItems containsString="0" containsBlank="1" containsNumber="1" minValue="0" maxValue="9726"/>
    </cacheField>
    <cacheField name="Months (date)" numFmtId="0" databaseField="0">
      <fieldGroup base="0">
        <rangePr groupBy="months" startDate="2018-10-23T00:00:00" endDate="2026-04-01T00:00:00"/>
        <groupItems count="14">
          <s v="&lt;23-10-18"/>
          <s v="Jan"/>
          <s v="Feb"/>
          <s v="Mar"/>
          <s v="Apr"/>
          <s v="May"/>
          <s v="Jun"/>
          <s v="Jul"/>
          <s v="Aug"/>
          <s v="Sep"/>
          <s v="Oct"/>
          <s v="Nov"/>
          <s v="Dec"/>
          <s v="&gt;01-04-26"/>
        </groupItems>
      </fieldGroup>
    </cacheField>
    <cacheField name="Quarters (date)" numFmtId="0" databaseField="0">
      <fieldGroup base="0">
        <rangePr groupBy="quarters" startDate="2018-10-23T00:00:00" endDate="2026-04-01T00:00:00"/>
        <groupItems count="6">
          <s v="&lt;23-10-18"/>
          <s v="Qtr1"/>
          <s v="Qtr2"/>
          <s v="Qtr3"/>
          <s v="Qtr4"/>
          <s v="&gt;01-04-26"/>
        </groupItems>
      </fieldGroup>
    </cacheField>
    <cacheField name="Years (date)" numFmtId="0" databaseField="0">
      <fieldGroup base="0">
        <rangePr groupBy="years" startDate="2018-10-23T00:00:00" endDate="2026-04-01T00:00:00"/>
        <groupItems count="11">
          <s v="&lt;23-10-18"/>
          <s v="2018"/>
          <s v="2019"/>
          <s v="2020"/>
          <s v="2021"/>
          <s v="2022"/>
          <s v="2023"/>
          <s v="2024"/>
          <s v="2025"/>
          <s v="2026"/>
          <s v="&gt;01-04-26"/>
        </groupItems>
      </fieldGroup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2408">
  <r>
    <x v="0"/>
    <x v="0"/>
    <m/>
    <x v="0"/>
    <n v="16"/>
    <n v="16"/>
    <n v="0"/>
    <m/>
    <m/>
    <m/>
    <n v="0"/>
    <x v="0"/>
    <m/>
    <m/>
    <m/>
    <m/>
    <m/>
    <m/>
    <n v="19"/>
    <m/>
    <n v="40"/>
    <n v="6.5"/>
    <n v="4"/>
    <m/>
    <n v="0.78"/>
    <m/>
    <n v="0.69499999999999995"/>
    <m/>
    <m/>
    <m/>
    <m/>
    <m/>
    <m/>
    <m/>
    <m/>
    <m/>
  </r>
  <r>
    <x v="1"/>
    <x v="0"/>
    <m/>
    <x v="0"/>
    <n v="16"/>
    <n v="16"/>
    <n v="0"/>
    <m/>
    <m/>
    <m/>
    <n v="0"/>
    <x v="0"/>
    <m/>
    <m/>
    <m/>
    <m/>
    <m/>
    <m/>
    <n v="14"/>
    <m/>
    <n v="43.5"/>
    <n v="9.8000000000000007"/>
    <n v="4"/>
    <m/>
    <n v="0.71500000000000008"/>
    <m/>
    <n v="0.71299999999999997"/>
    <m/>
    <m/>
    <m/>
    <m/>
    <m/>
    <m/>
    <m/>
    <m/>
    <m/>
  </r>
  <r>
    <x v="2"/>
    <x v="1"/>
    <m/>
    <x v="1"/>
    <n v="30"/>
    <n v="30"/>
    <n v="0"/>
    <m/>
    <m/>
    <m/>
    <n v="0"/>
    <x v="0"/>
    <m/>
    <m/>
    <m/>
    <m/>
    <m/>
    <m/>
    <n v="20"/>
    <m/>
    <n v="45"/>
    <n v="10"/>
    <n v="4"/>
    <m/>
    <n v="0.85000000000000009"/>
    <m/>
    <n v="0.79"/>
    <m/>
    <m/>
    <m/>
    <m/>
    <m/>
    <m/>
    <m/>
    <m/>
    <m/>
  </r>
  <r>
    <x v="2"/>
    <x v="0"/>
    <m/>
    <x v="2"/>
    <n v="16"/>
    <n v="16"/>
    <n v="0"/>
    <m/>
    <m/>
    <m/>
    <n v="0"/>
    <x v="0"/>
    <m/>
    <m/>
    <m/>
    <m/>
    <m/>
    <m/>
    <n v="17.5"/>
    <m/>
    <n v="44.4"/>
    <n v="8.5"/>
    <n v="7.44"/>
    <m/>
    <n v="0.79400000000000004"/>
    <m/>
    <n v="0.77839999999999998"/>
    <m/>
    <m/>
    <m/>
    <m/>
    <m/>
    <m/>
    <m/>
    <m/>
    <m/>
  </r>
  <r>
    <x v="3"/>
    <x v="0"/>
    <m/>
    <x v="0"/>
    <n v="16"/>
    <n v="16"/>
    <n v="0"/>
    <m/>
    <m/>
    <m/>
    <n v="0"/>
    <x v="0"/>
    <m/>
    <m/>
    <m/>
    <m/>
    <m/>
    <m/>
    <n v="20.100000000000001"/>
    <m/>
    <n v="38.799999999999997"/>
    <n v="10"/>
    <n v="3.5"/>
    <m/>
    <n v="0.79"/>
    <m/>
    <n v="0.72400000000000009"/>
    <m/>
    <m/>
    <m/>
    <m/>
    <m/>
    <m/>
    <m/>
    <m/>
    <m/>
  </r>
  <r>
    <x v="4"/>
    <x v="0"/>
    <m/>
    <x v="2"/>
    <n v="16"/>
    <n v="16"/>
    <n v="0"/>
    <m/>
    <m/>
    <m/>
    <n v="0"/>
    <x v="0"/>
    <m/>
    <m/>
    <m/>
    <m/>
    <m/>
    <m/>
    <n v="21"/>
    <m/>
    <n v="42.1"/>
    <n v="10"/>
    <n v="3.5"/>
    <m/>
    <n v="0.84099999999999997"/>
    <m/>
    <n v="0.7659999999999999"/>
    <m/>
    <m/>
    <m/>
    <m/>
    <m/>
    <m/>
    <m/>
    <m/>
    <m/>
  </r>
  <r>
    <x v="5"/>
    <x v="1"/>
    <m/>
    <x v="1"/>
    <n v="30"/>
    <n v="30"/>
    <n v="0"/>
    <m/>
    <m/>
    <m/>
    <n v="0"/>
    <x v="0"/>
    <m/>
    <m/>
    <m/>
    <m/>
    <m/>
    <m/>
    <n v="15.5"/>
    <m/>
    <n v="44.3"/>
    <n v="10"/>
    <n v="4"/>
    <m/>
    <n v="0.75299999999999989"/>
    <m/>
    <n v="0.73799999999999999"/>
    <m/>
    <m/>
    <m/>
    <m/>
    <m/>
    <m/>
    <m/>
    <m/>
    <m/>
  </r>
  <r>
    <x v="5"/>
    <x v="0"/>
    <m/>
    <x v="0"/>
    <n v="16"/>
    <n v="16"/>
    <n v="0"/>
    <m/>
    <m/>
    <m/>
    <n v="0"/>
    <x v="0"/>
    <m/>
    <m/>
    <m/>
    <m/>
    <m/>
    <m/>
    <n v="17.100000000000001"/>
    <m/>
    <n v="43.6"/>
    <n v="7.3"/>
    <n v="4"/>
    <m/>
    <n v="0.77800000000000002"/>
    <m/>
    <n v="0.72"/>
    <m/>
    <m/>
    <m/>
    <m/>
    <m/>
    <m/>
    <m/>
    <m/>
    <m/>
  </r>
  <r>
    <x v="6"/>
    <x v="0"/>
    <m/>
    <x v="0"/>
    <n v="18"/>
    <n v="18"/>
    <n v="0"/>
    <m/>
    <m/>
    <m/>
    <n v="0"/>
    <x v="0"/>
    <m/>
    <m/>
    <m/>
    <m/>
    <m/>
    <m/>
    <n v="15.5"/>
    <m/>
    <n v="44.1"/>
    <n v="8"/>
    <n v="4"/>
    <m/>
    <n v="0.751"/>
    <m/>
    <n v="0.71599999999999997"/>
    <m/>
    <m/>
    <m/>
    <m/>
    <m/>
    <m/>
    <m/>
    <m/>
    <m/>
  </r>
  <r>
    <x v="7"/>
    <x v="0"/>
    <m/>
    <x v="0"/>
    <n v="18"/>
    <n v="18"/>
    <n v="0"/>
    <m/>
    <m/>
    <m/>
    <n v="0"/>
    <x v="0"/>
    <m/>
    <m/>
    <m/>
    <m/>
    <m/>
    <m/>
    <n v="23"/>
    <m/>
    <n v="44.1"/>
    <n v="9"/>
    <n v="4"/>
    <m/>
    <n v="0.90100000000000002"/>
    <m/>
    <n v="0.80099999999999993"/>
    <m/>
    <m/>
    <m/>
    <m/>
    <m/>
    <m/>
    <m/>
    <m/>
    <m/>
  </r>
  <r>
    <x v="8"/>
    <x v="0"/>
    <m/>
    <x v="0"/>
    <n v="18"/>
    <n v="18"/>
    <n v="0"/>
    <m/>
    <m/>
    <m/>
    <n v="0"/>
    <x v="0"/>
    <m/>
    <m/>
    <m/>
    <m/>
    <m/>
    <m/>
    <n v="17.5"/>
    <m/>
    <n v="41.8"/>
    <n v="8"/>
    <n v="4"/>
    <m/>
    <n v="0.76800000000000002"/>
    <m/>
    <n v="0.71299999999999997"/>
    <m/>
    <m/>
    <m/>
    <m/>
    <m/>
    <m/>
    <m/>
    <m/>
    <m/>
  </r>
  <r>
    <x v="9"/>
    <x v="1"/>
    <m/>
    <x v="1"/>
    <n v="30"/>
    <n v="30"/>
    <n v="0"/>
    <m/>
    <m/>
    <m/>
    <n v="0"/>
    <x v="0"/>
    <m/>
    <m/>
    <m/>
    <m/>
    <m/>
    <m/>
    <n v="17.5"/>
    <m/>
    <n v="43.7"/>
    <n v="10"/>
    <n v="4"/>
    <m/>
    <n v="0.78700000000000003"/>
    <m/>
    <n v="0.752"/>
    <m/>
    <m/>
    <m/>
    <m/>
    <m/>
    <m/>
    <m/>
    <m/>
    <m/>
  </r>
  <r>
    <x v="9"/>
    <x v="0"/>
    <m/>
    <x v="0"/>
    <n v="18"/>
    <n v="18"/>
    <n v="0"/>
    <m/>
    <m/>
    <m/>
    <n v="0"/>
    <x v="0"/>
    <m/>
    <m/>
    <m/>
    <m/>
    <m/>
    <m/>
    <n v="17.5"/>
    <m/>
    <n v="41.5"/>
    <n v="8.1999999999999993"/>
    <n v="4"/>
    <m/>
    <n v="0.7649999999999999"/>
    <m/>
    <n v="0.71200000000000008"/>
    <m/>
    <m/>
    <m/>
    <m/>
    <m/>
    <m/>
    <m/>
    <m/>
    <m/>
  </r>
  <r>
    <x v="10"/>
    <x v="0"/>
    <m/>
    <x v="3"/>
    <n v="16"/>
    <n v="16"/>
    <n v="0"/>
    <m/>
    <m/>
    <m/>
    <n v="0"/>
    <x v="0"/>
    <m/>
    <m/>
    <m/>
    <m/>
    <m/>
    <m/>
    <n v="19"/>
    <m/>
    <n v="41.5"/>
    <n v="9.4"/>
    <n v="4"/>
    <m/>
    <n v="0.79499999999999993"/>
    <m/>
    <n v="0.7390000000000001"/>
    <m/>
    <m/>
    <m/>
    <m/>
    <m/>
    <m/>
    <m/>
    <m/>
    <m/>
  </r>
  <r>
    <x v="11"/>
    <x v="0"/>
    <m/>
    <x v="0"/>
    <n v="16"/>
    <n v="16"/>
    <n v="0"/>
    <m/>
    <m/>
    <m/>
    <n v="0"/>
    <x v="0"/>
    <m/>
    <m/>
    <m/>
    <m/>
    <m/>
    <m/>
    <n v="17.5"/>
    <m/>
    <n v="42.4"/>
    <n v="8"/>
    <n v="8.5"/>
    <m/>
    <n v="0.77400000000000002"/>
    <m/>
    <n v="0.76400000000000001"/>
    <m/>
    <m/>
    <m/>
    <m/>
    <m/>
    <m/>
    <m/>
    <m/>
    <m/>
  </r>
  <r>
    <x v="12"/>
    <x v="0"/>
    <m/>
    <x v="0"/>
    <n v="18"/>
    <n v="18"/>
    <n v="0"/>
    <m/>
    <m/>
    <m/>
    <n v="0"/>
    <x v="0"/>
    <m/>
    <m/>
    <m/>
    <m/>
    <m/>
    <m/>
    <n v="16.5"/>
    <m/>
    <n v="45"/>
    <n v="8"/>
    <n v="8.5"/>
    <m/>
    <n v="0.78"/>
    <m/>
    <n v="0.78"/>
    <m/>
    <m/>
    <m/>
    <m/>
    <m/>
    <m/>
    <m/>
    <m/>
    <m/>
  </r>
  <r>
    <x v="13"/>
    <x v="0"/>
    <m/>
    <x v="2"/>
    <n v="16"/>
    <n v="16"/>
    <n v="0"/>
    <m/>
    <m/>
    <m/>
    <n v="0"/>
    <x v="0"/>
    <m/>
    <m/>
    <m/>
    <m/>
    <m/>
    <m/>
    <n v="18"/>
    <m/>
    <n v="44.9"/>
    <n v="10"/>
    <n v="5.0999999999999996"/>
    <m/>
    <n v="0.80899999999999994"/>
    <m/>
    <n v="0.78"/>
    <m/>
    <m/>
    <m/>
    <m/>
    <m/>
    <m/>
    <m/>
    <m/>
    <m/>
  </r>
  <r>
    <x v="14"/>
    <x v="0"/>
    <m/>
    <x v="0"/>
    <n v="16"/>
    <n v="16"/>
    <n v="0"/>
    <m/>
    <m/>
    <m/>
    <n v="0"/>
    <x v="0"/>
    <m/>
    <m/>
    <m/>
    <m/>
    <m/>
    <m/>
    <n v="19"/>
    <m/>
    <n v="45"/>
    <n v="10"/>
    <n v="5.0999999999999996"/>
    <m/>
    <n v="0.83000000000000007"/>
    <m/>
    <n v="0.79099999999999993"/>
    <m/>
    <m/>
    <m/>
    <m/>
    <m/>
    <m/>
    <m/>
    <m/>
    <m/>
  </r>
  <r>
    <x v="15"/>
    <x v="0"/>
    <m/>
    <x v="3"/>
    <n v="16"/>
    <n v="16"/>
    <n v="0"/>
    <m/>
    <m/>
    <m/>
    <n v="0"/>
    <x v="0"/>
    <m/>
    <m/>
    <m/>
    <m/>
    <m/>
    <m/>
    <n v="23.1"/>
    <m/>
    <n v="44.3"/>
    <n v="10"/>
    <n v="5.0999999999999996"/>
    <m/>
    <n v="0.90500000000000003"/>
    <m/>
    <n v="0.82499999999999996"/>
    <m/>
    <m/>
    <m/>
    <m/>
    <m/>
    <m/>
    <m/>
    <m/>
    <m/>
  </r>
  <r>
    <x v="16"/>
    <x v="0"/>
    <m/>
    <x v="2"/>
    <n v="16"/>
    <n v="16"/>
    <n v="0"/>
    <m/>
    <m/>
    <m/>
    <n v="0"/>
    <x v="0"/>
    <m/>
    <m/>
    <m/>
    <m/>
    <m/>
    <m/>
    <n v="23"/>
    <m/>
    <n v="41.5"/>
    <n v="10"/>
    <n v="5.0999999999999996"/>
    <m/>
    <n v="0.875"/>
    <m/>
    <n v="0.79599999999999993"/>
    <m/>
    <m/>
    <m/>
    <m/>
    <m/>
    <m/>
    <m/>
    <m/>
    <m/>
  </r>
  <r>
    <x v="17"/>
    <x v="0"/>
    <m/>
    <x v="0"/>
    <n v="16"/>
    <n v="16"/>
    <n v="0"/>
    <m/>
    <m/>
    <m/>
    <n v="0"/>
    <x v="0"/>
    <m/>
    <m/>
    <m/>
    <m/>
    <m/>
    <m/>
    <n v="13"/>
    <m/>
    <n v="39"/>
    <n v="9.6"/>
    <n v="5.0999999999999996"/>
    <m/>
    <n v="0.65"/>
    <m/>
    <n v="0.66700000000000004"/>
    <m/>
    <m/>
    <m/>
    <m/>
    <m/>
    <m/>
    <m/>
    <m/>
    <m/>
  </r>
  <r>
    <x v="18"/>
    <x v="0"/>
    <m/>
    <x v="4"/>
    <n v="16"/>
    <n v="16"/>
    <n v="0"/>
    <m/>
    <m/>
    <m/>
    <n v="0"/>
    <x v="0"/>
    <m/>
    <m/>
    <m/>
    <m/>
    <m/>
    <m/>
    <n v="23.7"/>
    <m/>
    <n v="40"/>
    <n v="10"/>
    <n v="5.5"/>
    <m/>
    <n v="0.874"/>
    <m/>
    <n v="0.79200000000000004"/>
    <m/>
    <m/>
    <m/>
    <m/>
    <m/>
    <m/>
    <m/>
    <m/>
    <m/>
  </r>
  <r>
    <x v="19"/>
    <x v="0"/>
    <m/>
    <x v="0"/>
    <n v="16"/>
    <n v="14"/>
    <n v="2"/>
    <m/>
    <m/>
    <m/>
    <n v="0"/>
    <x v="0"/>
    <m/>
    <m/>
    <m/>
    <m/>
    <m/>
    <m/>
    <n v="20"/>
    <m/>
    <n v="43"/>
    <n v="6"/>
    <n v="5"/>
    <m/>
    <n v="0.83000000000000007"/>
    <m/>
    <n v="0.74"/>
    <m/>
    <m/>
    <m/>
    <m/>
    <m/>
    <m/>
    <m/>
    <m/>
    <m/>
  </r>
  <r>
    <x v="20"/>
    <x v="0"/>
    <m/>
    <x v="2"/>
    <n v="18"/>
    <n v="18"/>
    <n v="0"/>
    <m/>
    <m/>
    <m/>
    <n v="0"/>
    <x v="0"/>
    <m/>
    <m/>
    <m/>
    <m/>
    <m/>
    <m/>
    <n v="22.1"/>
    <m/>
    <n v="48.4"/>
    <n v="8.6"/>
    <n v="5.5"/>
    <m/>
    <n v="0.92599999999999993"/>
    <m/>
    <n v="0.84599999999999997"/>
    <m/>
    <m/>
    <m/>
    <m/>
    <m/>
    <m/>
    <m/>
    <m/>
    <m/>
  </r>
  <r>
    <x v="21"/>
    <x v="0"/>
    <m/>
    <x v="0"/>
    <n v="16"/>
    <n v="16"/>
    <n v="0"/>
    <m/>
    <m/>
    <m/>
    <n v="0"/>
    <x v="0"/>
    <m/>
    <m/>
    <m/>
    <m/>
    <m/>
    <m/>
    <n v="21.8"/>
    <m/>
    <n v="42.8"/>
    <n v="9.6"/>
    <n v="7"/>
    <m/>
    <n v="0.86399999999999999"/>
    <m/>
    <n v="0.81199999999999983"/>
    <m/>
    <m/>
    <m/>
    <m/>
    <m/>
    <m/>
    <m/>
    <m/>
    <m/>
  </r>
  <r>
    <x v="22"/>
    <x v="1"/>
    <m/>
    <x v="1"/>
    <n v="30"/>
    <n v="30"/>
    <n v="0"/>
    <m/>
    <m/>
    <m/>
    <n v="0"/>
    <x v="0"/>
    <m/>
    <m/>
    <m/>
    <m/>
    <m/>
    <m/>
    <n v="18.8"/>
    <m/>
    <n v="44.8"/>
    <n v="10"/>
    <n v="6.25"/>
    <m/>
    <n v="0.82399999999999995"/>
    <m/>
    <n v="0.79849999999999999"/>
    <m/>
    <m/>
    <m/>
    <m/>
    <m/>
    <m/>
    <m/>
    <m/>
    <m/>
  </r>
  <r>
    <x v="22"/>
    <x v="0"/>
    <m/>
    <x v="0"/>
    <n v="18"/>
    <n v="18"/>
    <n v="0"/>
    <m/>
    <m/>
    <m/>
    <n v="0"/>
    <x v="0"/>
    <m/>
    <m/>
    <m/>
    <m/>
    <m/>
    <m/>
    <n v="17.5"/>
    <m/>
    <n v="44.6"/>
    <n v="10"/>
    <n v="6.25"/>
    <m/>
    <n v="0.79600000000000004"/>
    <m/>
    <n v="0.78349999999999997"/>
    <m/>
    <m/>
    <m/>
    <m/>
    <m/>
    <m/>
    <m/>
    <m/>
    <m/>
  </r>
  <r>
    <x v="23"/>
    <x v="0"/>
    <m/>
    <x v="0"/>
    <n v="16"/>
    <n v="16"/>
    <n v="0"/>
    <m/>
    <m/>
    <m/>
    <n v="0"/>
    <x v="0"/>
    <m/>
    <m/>
    <m/>
    <m/>
    <m/>
    <m/>
    <n v="22.5"/>
    <m/>
    <n v="44.8"/>
    <n v="9.8000000000000007"/>
    <n v="9.25"/>
    <m/>
    <n v="0.89799999999999991"/>
    <m/>
    <n v="0.86349999999999993"/>
    <m/>
    <m/>
    <m/>
    <m/>
    <m/>
    <m/>
    <m/>
    <m/>
    <m/>
  </r>
  <r>
    <x v="24"/>
    <x v="0"/>
    <m/>
    <x v="0"/>
    <n v="16"/>
    <n v="14"/>
    <n v="2"/>
    <m/>
    <m/>
    <m/>
    <n v="0"/>
    <x v="0"/>
    <m/>
    <m/>
    <m/>
    <m/>
    <m/>
    <m/>
    <n v="22.03"/>
    <m/>
    <n v="49"/>
    <n v="9.6"/>
    <n v="8.1300000000000008"/>
    <m/>
    <n v="0.93060000000000009"/>
    <m/>
    <n v="0.88759999999999994"/>
    <m/>
    <m/>
    <m/>
    <m/>
    <m/>
    <m/>
    <m/>
    <m/>
    <m/>
  </r>
  <r>
    <x v="25"/>
    <x v="1"/>
    <m/>
    <x v="1"/>
    <n v="25"/>
    <n v="25"/>
    <n v="0"/>
    <m/>
    <m/>
    <m/>
    <n v="0"/>
    <x v="0"/>
    <m/>
    <m/>
    <m/>
    <m/>
    <m/>
    <m/>
    <n v="24"/>
    <m/>
    <n v="49.3"/>
    <n v="10"/>
    <n v="8.125"/>
    <m/>
    <n v="0.97299999999999998"/>
    <m/>
    <n v="0.91425000000000001"/>
    <m/>
    <m/>
    <m/>
    <m/>
    <m/>
    <m/>
    <m/>
    <m/>
    <m/>
  </r>
  <r>
    <x v="25"/>
    <x v="0"/>
    <m/>
    <x v="0"/>
    <n v="16"/>
    <n v="15"/>
    <n v="1"/>
    <m/>
    <m/>
    <m/>
    <n v="0"/>
    <x v="0"/>
    <m/>
    <m/>
    <m/>
    <m/>
    <m/>
    <m/>
    <n v="22.4"/>
    <m/>
    <n v="49.6"/>
    <n v="10"/>
    <n v="8.125"/>
    <m/>
    <n v="0.94399999999999995"/>
    <m/>
    <n v="0.90125"/>
    <m/>
    <m/>
    <m/>
    <m/>
    <m/>
    <m/>
    <m/>
    <m/>
    <m/>
  </r>
  <r>
    <x v="26"/>
    <x v="0"/>
    <m/>
    <x v="5"/>
    <n v="18"/>
    <n v="18"/>
    <n v="0"/>
    <m/>
    <n v="8512"/>
    <n v="8075"/>
    <n v="437"/>
    <x v="1"/>
    <n v="221"/>
    <n v="472.88888888888891"/>
    <n v="448.61111111111109"/>
    <n v="24.277777777777779"/>
    <n v="299.37222222222221"/>
    <n v="12.277777777777779"/>
    <n v="20"/>
    <m/>
    <n v="48.7"/>
    <n v="9"/>
    <n v="8.125"/>
    <n v="5.1339285714285712E-2"/>
    <n v="0.88700000000000001"/>
    <n v="0.63307095864661656"/>
    <n v="0.85825000000000007"/>
    <m/>
    <m/>
    <m/>
    <m/>
    <m/>
    <m/>
    <m/>
    <m/>
    <m/>
  </r>
  <r>
    <x v="27"/>
    <x v="0"/>
    <m/>
    <x v="0"/>
    <n v="16"/>
    <n v="16"/>
    <n v="0"/>
    <m/>
    <n v="7550"/>
    <n v="7200"/>
    <n v="350"/>
    <x v="2"/>
    <n v="160"/>
    <n v="471.875"/>
    <n v="450"/>
    <n v="21.875"/>
    <n v="289.23750000000001"/>
    <n v="10"/>
    <n v="21.4"/>
    <m/>
    <n v="48.6"/>
    <n v="8.5"/>
    <n v="8.125"/>
    <n v="4.6357615894039736E-2"/>
    <n v="0.91399999999999992"/>
    <n v="0.61295364238410599"/>
    <n v="0.86624999999999996"/>
    <m/>
    <m/>
    <m/>
    <m/>
    <m/>
    <m/>
    <m/>
    <m/>
    <m/>
  </r>
  <r>
    <x v="28"/>
    <x v="0"/>
    <m/>
    <x v="0"/>
    <n v="16"/>
    <n v="16"/>
    <n v="0"/>
    <m/>
    <n v="7420"/>
    <n v="7180"/>
    <n v="240"/>
    <x v="3"/>
    <n v="172"/>
    <n v="463.75"/>
    <n v="448.75"/>
    <n v="15"/>
    <n v="282.94375000000002"/>
    <n v="10.75"/>
    <n v="22.7"/>
    <m/>
    <n v="46"/>
    <n v="9.6"/>
    <n v="8.125"/>
    <n v="3.2345013477088951E-2"/>
    <n v="0.91399999999999992"/>
    <n v="0.61012129380053914"/>
    <n v="0.86424999999999996"/>
    <m/>
    <m/>
    <m/>
    <m/>
    <m/>
    <m/>
    <m/>
    <m/>
    <m/>
  </r>
  <r>
    <x v="29"/>
    <x v="0"/>
    <m/>
    <x v="6"/>
    <n v="16"/>
    <n v="16"/>
    <n v="0"/>
    <m/>
    <n v="7377"/>
    <n v="6975"/>
    <n v="402"/>
    <x v="4"/>
    <n v="125"/>
    <n v="461.0625"/>
    <n v="435.9375"/>
    <n v="25.125"/>
    <n v="276.63749999999999"/>
    <n v="7.8125"/>
    <n v="17.5"/>
    <m/>
    <n v="44.5"/>
    <n v="10"/>
    <n v="7.8"/>
    <n v="5.4493696624644164E-2"/>
    <n v="0.79499999999999993"/>
    <n v="0.6"/>
    <n v="0.79799999999999993"/>
    <m/>
    <m/>
    <m/>
    <m/>
    <m/>
    <m/>
    <m/>
    <m/>
    <m/>
  </r>
  <r>
    <x v="29"/>
    <x v="1"/>
    <m/>
    <x v="1"/>
    <n v="28"/>
    <n v="28"/>
    <n v="0"/>
    <m/>
    <m/>
    <m/>
    <n v="0"/>
    <x v="0"/>
    <m/>
    <m/>
    <m/>
    <m/>
    <m/>
    <m/>
    <n v="20.5"/>
    <m/>
    <n v="44.8"/>
    <n v="10"/>
    <n v="7.8"/>
    <m/>
    <n v="0.85799999999999987"/>
    <m/>
    <n v="0.83099999999999996"/>
    <m/>
    <m/>
    <m/>
    <m/>
    <m/>
    <m/>
    <m/>
    <m/>
    <m/>
  </r>
  <r>
    <x v="30"/>
    <x v="0"/>
    <m/>
    <x v="0"/>
    <n v="16"/>
    <n v="16"/>
    <n v="0"/>
    <m/>
    <n v="7845"/>
    <n v="7545"/>
    <n v="300"/>
    <x v="5"/>
    <n v="150"/>
    <n v="490.3125"/>
    <n v="471.5625"/>
    <n v="18.75"/>
    <n v="292.17500000000001"/>
    <n v="9.375"/>
    <n v="24"/>
    <n v="5"/>
    <n v="42.5"/>
    <n v="10"/>
    <n v="10"/>
    <n v="3.8240917782026769E-2"/>
    <n v="0.90500000000000003"/>
    <n v="0.59589547482472915"/>
    <n v="0.91500000000000004"/>
    <m/>
    <m/>
    <m/>
    <m/>
    <m/>
    <m/>
    <m/>
    <m/>
    <m/>
  </r>
  <r>
    <x v="31"/>
    <x v="0"/>
    <m/>
    <x v="5"/>
    <n v="16"/>
    <n v="16"/>
    <n v="0"/>
    <m/>
    <n v="7965"/>
    <n v="7545"/>
    <n v="420"/>
    <x v="6"/>
    <n v="155"/>
    <n v="497.8125"/>
    <n v="471.5625"/>
    <n v="26.25"/>
    <n v="311.64375000000001"/>
    <n v="9.6875"/>
    <n v="24"/>
    <m/>
    <n v="48.3"/>
    <n v="9"/>
    <n v="8.5"/>
    <n v="5.2730696798493411E-2"/>
    <n v="0.96299999999999997"/>
    <n v="0.62602636534839928"/>
    <n v="0.89800000000000002"/>
    <m/>
    <m/>
    <m/>
    <m/>
    <m/>
    <m/>
    <m/>
    <m/>
    <m/>
  </r>
  <r>
    <x v="31"/>
    <x v="1"/>
    <m/>
    <x v="1"/>
    <n v="25"/>
    <n v="25"/>
    <n v="0"/>
    <m/>
    <m/>
    <m/>
    <n v="0"/>
    <x v="0"/>
    <m/>
    <n v="0"/>
    <n v="0"/>
    <n v="0"/>
    <n v="0"/>
    <n v="0"/>
    <n v="21.5"/>
    <m/>
    <n v="48.7"/>
    <n v="10"/>
    <n v="8.5"/>
    <m/>
    <n v="0.91700000000000004"/>
    <m/>
    <n v="0.88700000000000001"/>
    <m/>
    <m/>
    <m/>
    <m/>
    <m/>
    <m/>
    <m/>
    <m/>
    <m/>
  </r>
  <r>
    <x v="32"/>
    <x v="0"/>
    <m/>
    <x v="0"/>
    <n v="18"/>
    <n v="18"/>
    <n v="0"/>
    <m/>
    <n v="8860"/>
    <n v="8570"/>
    <n v="290"/>
    <x v="7"/>
    <n v="205"/>
    <n v="492.22222222222223"/>
    <n v="476.11111111111109"/>
    <n v="16.111111111111111"/>
    <n v="300.14999999999998"/>
    <n v="11.388888888888889"/>
    <n v="23"/>
    <m/>
    <n v="48.8"/>
    <n v="8.9"/>
    <n v="8.5"/>
    <n v="3.2731376975169299E-2"/>
    <n v="0.94799999999999995"/>
    <n v="0.60978555304740401"/>
    <n v="0.89200000000000002"/>
    <m/>
    <m/>
    <m/>
    <m/>
    <m/>
    <m/>
    <m/>
    <m/>
    <m/>
  </r>
  <r>
    <x v="33"/>
    <x v="0"/>
    <m/>
    <x v="4"/>
    <n v="16"/>
    <n v="16"/>
    <n v="0"/>
    <m/>
    <n v="7000"/>
    <n v="6825"/>
    <n v="175"/>
    <x v="8"/>
    <n v="146"/>
    <n v="437.5"/>
    <n v="426.5625"/>
    <n v="10.9375"/>
    <n v="267.14999999999998"/>
    <n v="9.125"/>
    <n v="23.9"/>
    <m/>
    <n v="49.4"/>
    <n v="10"/>
    <n v="7.8"/>
    <n v="2.5000000000000001E-2"/>
    <n v="0.97199999999999998"/>
    <n v="0.61062857142857141"/>
    <n v="0.91099999999999992"/>
    <m/>
    <m/>
    <m/>
    <m/>
    <m/>
    <m/>
    <m/>
    <m/>
    <m/>
  </r>
  <r>
    <x v="34"/>
    <x v="0"/>
    <m/>
    <x v="0"/>
    <n v="16"/>
    <n v="16"/>
    <n v="0"/>
    <m/>
    <n v="7825"/>
    <n v="7575"/>
    <n v="250"/>
    <x v="9"/>
    <n v="116"/>
    <n v="489.0625"/>
    <n v="473.4375"/>
    <n v="15.625"/>
    <n v="298.23124999999999"/>
    <n v="7.25"/>
    <n v="22.7"/>
    <m/>
    <n v="49"/>
    <n v="7.8"/>
    <n v="7.8"/>
    <n v="3.1948881789137379E-2"/>
    <n v="0.94399999999999995"/>
    <n v="0.60980191693290731"/>
    <n v="0.873"/>
    <m/>
    <m/>
    <m/>
    <m/>
    <m/>
    <m/>
    <m/>
    <m/>
    <m/>
  </r>
  <r>
    <x v="34"/>
    <x v="1"/>
    <m/>
    <x v="1"/>
    <n v="27"/>
    <n v="27"/>
    <n v="0"/>
    <m/>
    <m/>
    <m/>
    <n v="0"/>
    <x v="0"/>
    <m/>
    <m/>
    <m/>
    <m/>
    <m/>
    <m/>
    <n v="23"/>
    <m/>
    <n v="48"/>
    <n v="10"/>
    <n v="6.3"/>
    <m/>
    <n v="0.94"/>
    <m/>
    <n v="0.873"/>
    <m/>
    <m/>
    <m/>
    <m/>
    <m/>
    <m/>
    <m/>
    <m/>
    <m/>
  </r>
  <r>
    <x v="35"/>
    <x v="0"/>
    <m/>
    <x v="5"/>
    <n v="16"/>
    <n v="16"/>
    <n v="0"/>
    <m/>
    <n v="7733"/>
    <n v="7315"/>
    <n v="418"/>
    <x v="10"/>
    <n v="184"/>
    <n v="483.3125"/>
    <n v="457.1875"/>
    <n v="26.125"/>
    <n v="300.375"/>
    <n v="11.5"/>
    <n v="18.899999999999999"/>
    <m/>
    <n v="45.8"/>
    <n v="8"/>
    <n v="7.8"/>
    <n v="5.4054054054054057E-2"/>
    <n v="0.83599999999999985"/>
    <n v="0.62149230570283198"/>
    <n v="0.80499999999999983"/>
    <m/>
    <m/>
    <m/>
    <m/>
    <m/>
    <m/>
    <m/>
    <m/>
    <m/>
  </r>
  <r>
    <x v="36"/>
    <x v="0"/>
    <m/>
    <x v="4"/>
    <n v="16"/>
    <n v="15"/>
    <n v="1"/>
    <m/>
    <n v="6568"/>
    <n v="6368"/>
    <n v="200"/>
    <x v="11"/>
    <n v="122"/>
    <n v="437.86666666666667"/>
    <n v="424.53333333333336"/>
    <n v="13.333333333333334"/>
    <n v="263.33333333333331"/>
    <n v="8.1333333333333329"/>
    <n v="21.4"/>
    <m/>
    <n v="48.2"/>
    <n v="9"/>
    <n v="7.8"/>
    <n v="3.0450669914738125E-2"/>
    <n v="0.91"/>
    <n v="0.60140073081607792"/>
    <n v="0.86399999999999988"/>
    <m/>
    <m/>
    <m/>
    <m/>
    <m/>
    <m/>
    <m/>
    <m/>
    <m/>
  </r>
  <r>
    <x v="37"/>
    <x v="0"/>
    <m/>
    <x v="0"/>
    <n v="18"/>
    <n v="18"/>
    <n v="0"/>
    <m/>
    <n v="8650"/>
    <n v="8340"/>
    <n v="310"/>
    <x v="12"/>
    <n v="182"/>
    <n v="480.55555555555554"/>
    <n v="463.33333333333331"/>
    <n v="17.222222222222221"/>
    <n v="294.99444444444441"/>
    <n v="10.111111111111111"/>
    <n v="22.5"/>
    <m/>
    <n v="48.7"/>
    <n v="10"/>
    <n v="7.8"/>
    <n v="3.5838150289017337E-2"/>
    <n v="0.93700000000000006"/>
    <n v="0.61386127167630056"/>
    <n v="0.89"/>
    <m/>
    <m/>
    <m/>
    <m/>
    <m/>
    <m/>
    <m/>
    <m/>
    <m/>
  </r>
  <r>
    <x v="38"/>
    <x v="0"/>
    <m/>
    <x v="5"/>
    <n v="16"/>
    <n v="16"/>
    <n v="0"/>
    <m/>
    <n v="7304"/>
    <n v="6945"/>
    <n v="359"/>
    <x v="13"/>
    <n v="160"/>
    <n v="456.5"/>
    <n v="434.0625"/>
    <n v="22.4375"/>
    <n v="282.48124999999999"/>
    <n v="10"/>
    <n v="24"/>
    <m/>
    <n v="48.9"/>
    <n v="8"/>
    <n v="7.8"/>
    <n v="4.915115005476451E-2"/>
    <n v="0.96899999999999997"/>
    <n v="0.61879791894852132"/>
    <n v="0.88700000000000001"/>
    <m/>
    <m/>
    <m/>
    <m/>
    <m/>
    <m/>
    <m/>
    <m/>
    <m/>
  </r>
  <r>
    <x v="39"/>
    <x v="0"/>
    <m/>
    <x v="2"/>
    <n v="16"/>
    <n v="16"/>
    <n v="0"/>
    <m/>
    <n v="8265"/>
    <n v="7830"/>
    <n v="435"/>
    <x v="14"/>
    <n v="242"/>
    <n v="516.5625"/>
    <n v="489.375"/>
    <n v="27.1875"/>
    <n v="311.83749999999998"/>
    <n v="15.125"/>
    <n v="22.5"/>
    <m/>
    <n v="49.6"/>
    <n v="9"/>
    <n v="7.8"/>
    <n v="5.2631578947368418E-2"/>
    <n v="0.94599999999999995"/>
    <n v="0.60367816091954019"/>
    <n v="0.8889999999999999"/>
    <m/>
    <m/>
    <m/>
    <m/>
    <m/>
    <m/>
    <m/>
    <m/>
    <m/>
  </r>
  <r>
    <x v="39"/>
    <x v="1"/>
    <m/>
    <x v="1"/>
    <n v="27"/>
    <n v="27"/>
    <n v="0"/>
    <m/>
    <m/>
    <m/>
    <n v="0"/>
    <x v="0"/>
    <m/>
    <m/>
    <m/>
    <m/>
    <m/>
    <m/>
    <n v="22.5"/>
    <m/>
    <n v="49.6"/>
    <n v="9"/>
    <n v="7.8"/>
    <m/>
    <n v="0.94599999999999995"/>
    <m/>
    <n v="0.8889999999999999"/>
    <m/>
    <m/>
    <m/>
    <m/>
    <m/>
    <m/>
    <m/>
    <m/>
    <m/>
  </r>
  <r>
    <x v="40"/>
    <x v="0"/>
    <m/>
    <x v="0"/>
    <n v="16"/>
    <n v="15"/>
    <n v="1"/>
    <m/>
    <n v="7508"/>
    <n v="7073"/>
    <n v="435"/>
    <x v="15"/>
    <n v="183"/>
    <n v="500.53333333333336"/>
    <n v="471.53333333333336"/>
    <n v="29"/>
    <n v="304.39333333333332"/>
    <n v="12.2"/>
    <n v="23.9"/>
    <m/>
    <n v="48.8"/>
    <n v="9.4"/>
    <n v="7.8"/>
    <n v="5.7938199254128929E-2"/>
    <n v="0.96599999999999997"/>
    <n v="0.60813798614810866"/>
    <n v="0.89899999999999991"/>
    <m/>
    <m/>
    <m/>
    <m/>
    <m/>
    <m/>
    <m/>
    <m/>
    <m/>
  </r>
  <r>
    <x v="41"/>
    <x v="0"/>
    <m/>
    <x v="5"/>
    <n v="16"/>
    <n v="16"/>
    <n v="0"/>
    <m/>
    <n v="7307"/>
    <n v="6900"/>
    <n v="407"/>
    <x v="16"/>
    <n v="183"/>
    <n v="456.6875"/>
    <n v="431.25"/>
    <n v="25.4375"/>
    <n v="280.10624999999999"/>
    <n v="11.4375"/>
    <n v="23"/>
    <m/>
    <n v="47"/>
    <n v="7.5"/>
    <n v="7.8"/>
    <n v="5.5700013685507047E-2"/>
    <n v="0.92999999999999994"/>
    <n v="0.6133433693718352"/>
    <n v="0.85299999999999998"/>
    <m/>
    <m/>
    <m/>
    <m/>
    <m/>
    <m/>
    <m/>
    <m/>
    <m/>
  </r>
  <r>
    <x v="42"/>
    <x v="0"/>
    <m/>
    <x v="0"/>
    <n v="16"/>
    <n v="15"/>
    <n v="1"/>
    <m/>
    <n v="7640"/>
    <n v="7255"/>
    <n v="385"/>
    <x v="17"/>
    <n v="172.5"/>
    <n v="509.33333333333331"/>
    <n v="483.66666666666669"/>
    <n v="25.666666666666668"/>
    <n v="305.67333333333335"/>
    <n v="11.5"/>
    <n v="21.5"/>
    <m/>
    <n v="49.2"/>
    <n v="8.6"/>
    <n v="7"/>
    <n v="5.0392670157068067E-2"/>
    <n v="0.92200000000000004"/>
    <n v="0.60014397905759165"/>
    <n v="0.86299999999999999"/>
    <m/>
    <m/>
    <m/>
    <m/>
    <m/>
    <m/>
    <m/>
    <m/>
    <m/>
  </r>
  <r>
    <x v="42"/>
    <x v="1"/>
    <m/>
    <x v="0"/>
    <n v="26"/>
    <n v="26"/>
    <n v="0"/>
    <m/>
    <m/>
    <m/>
    <n v="0"/>
    <x v="0"/>
    <m/>
    <m/>
    <m/>
    <m/>
    <m/>
    <m/>
    <n v="24"/>
    <m/>
    <n v="49.7"/>
    <n v="10"/>
    <n v="7"/>
    <m/>
    <n v="0.97700000000000009"/>
    <m/>
    <n v="0.90700000000000003"/>
    <m/>
    <m/>
    <m/>
    <m/>
    <m/>
    <m/>
    <m/>
    <m/>
    <m/>
  </r>
  <r>
    <x v="43"/>
    <x v="0"/>
    <m/>
    <x v="6"/>
    <n v="16"/>
    <n v="16"/>
    <n v="0"/>
    <m/>
    <n v="7400"/>
    <n v="7090"/>
    <n v="310"/>
    <x v="18"/>
    <n v="152"/>
    <n v="462.5"/>
    <n v="443.125"/>
    <n v="19.375"/>
    <n v="282.82499999999999"/>
    <n v="9.5"/>
    <n v="19"/>
    <m/>
    <n v="49.9"/>
    <n v="10"/>
    <n v="7.8"/>
    <n v="4.1891891891891894E-2"/>
    <n v="0.879"/>
    <n v="0.61151351351351346"/>
    <n v="0.86699999999999999"/>
    <m/>
    <m/>
    <m/>
    <m/>
    <m/>
    <m/>
    <m/>
    <m/>
    <m/>
  </r>
  <r>
    <x v="44"/>
    <x v="0"/>
    <m/>
    <x v="0"/>
    <n v="16"/>
    <n v="16"/>
    <n v="0"/>
    <m/>
    <n v="8320"/>
    <n v="7890"/>
    <n v="430"/>
    <x v="19"/>
    <n v="177"/>
    <n v="520"/>
    <n v="493.125"/>
    <n v="26.875"/>
    <n v="316.89375000000001"/>
    <n v="11.0625"/>
    <n v="22.5"/>
    <m/>
    <n v="49.3"/>
    <n v="10"/>
    <n v="8.5"/>
    <n v="5.1682692307692304E-2"/>
    <n v="0.94300000000000006"/>
    <n v="0.60941105769230774"/>
    <n v="0.90300000000000002"/>
    <m/>
    <m/>
    <m/>
    <m/>
    <m/>
    <m/>
    <m/>
    <m/>
    <m/>
  </r>
  <r>
    <x v="45"/>
    <x v="0"/>
    <m/>
    <x v="5"/>
    <n v="16"/>
    <n v="16"/>
    <n v="0"/>
    <m/>
    <n v="7152"/>
    <n v="6835"/>
    <n v="317"/>
    <x v="20"/>
    <n v="174"/>
    <n v="447"/>
    <n v="427.1875"/>
    <n v="19.8125"/>
    <n v="279.23750000000001"/>
    <n v="10.875"/>
    <n v="25"/>
    <m/>
    <n v="49.7"/>
    <n v="10"/>
    <n v="8.5"/>
    <n v="4.4323266219239377E-2"/>
    <n v="0.99700000000000011"/>
    <n v="0.62469239373601793"/>
    <n v="0.93200000000000005"/>
    <m/>
    <m/>
    <m/>
    <m/>
    <m/>
    <m/>
    <m/>
    <m/>
    <m/>
  </r>
  <r>
    <x v="45"/>
    <x v="1"/>
    <m/>
    <x v="5"/>
    <n v="20"/>
    <n v="20"/>
    <n v="0"/>
    <m/>
    <m/>
    <m/>
    <n v="0"/>
    <x v="0"/>
    <m/>
    <n v="0"/>
    <n v="0"/>
    <n v="0"/>
    <n v="0"/>
    <n v="0"/>
    <n v="24"/>
    <m/>
    <n v="50"/>
    <n v="10"/>
    <n v="8.5"/>
    <m/>
    <n v="0.98"/>
    <m/>
    <n v="0.92500000000000004"/>
    <m/>
    <m/>
    <m/>
    <m/>
    <m/>
    <m/>
    <m/>
    <m/>
    <m/>
  </r>
  <r>
    <x v="46"/>
    <x v="0"/>
    <m/>
    <x v="4"/>
    <n v="18"/>
    <n v="18"/>
    <n v="0"/>
    <m/>
    <n v="8030"/>
    <n v="7840"/>
    <n v="190"/>
    <x v="21"/>
    <n v="182"/>
    <n v="446.11111111111109"/>
    <n v="435.55555555555554"/>
    <n v="10.555555555555555"/>
    <n v="272.20000000000005"/>
    <n v="10.111111111111111"/>
    <n v="23"/>
    <m/>
    <n v="49.9"/>
    <n v="10"/>
    <n v="8.5"/>
    <n v="2.3661270236612703E-2"/>
    <n v="0.95900000000000007"/>
    <n v="0.61016189290161893"/>
    <n v="0.91400000000000003"/>
    <m/>
    <m/>
    <m/>
    <m/>
    <m/>
    <m/>
    <m/>
    <m/>
    <m/>
  </r>
  <r>
    <x v="47"/>
    <x v="0"/>
    <m/>
    <x v="0"/>
    <n v="18"/>
    <n v="18"/>
    <n v="0"/>
    <m/>
    <n v="8725"/>
    <n v="8325"/>
    <n v="400"/>
    <x v="22"/>
    <n v="176"/>
    <n v="484.72222222222223"/>
    <n v="462.5"/>
    <n v="22.222222222222221"/>
    <n v="293.39999999999998"/>
    <n v="9.7777777777777786"/>
    <n v="23"/>
    <m/>
    <n v="49.1"/>
    <n v="9.3000000000000007"/>
    <n v="8.5"/>
    <n v="4.5845272206303724E-2"/>
    <n v="0.95100000000000007"/>
    <n v="0.60529512893982806"/>
    <n v="0.89899999999999991"/>
    <m/>
    <m/>
    <m/>
    <m/>
    <m/>
    <m/>
    <m/>
    <m/>
    <m/>
  </r>
  <r>
    <x v="48"/>
    <x v="0"/>
    <m/>
    <x v="5"/>
    <n v="18"/>
    <n v="18"/>
    <n v="0"/>
    <m/>
    <n v="7851"/>
    <n v="7450"/>
    <n v="401"/>
    <x v="23"/>
    <n v="222"/>
    <n v="436.16666666666669"/>
    <n v="413.88888888888891"/>
    <n v="22.277777777777779"/>
    <n v="271.78888888888889"/>
    <n v="12.333333333333334"/>
    <n v="25"/>
    <m/>
    <n v="49.9"/>
    <n v="9.4"/>
    <n v="8.5"/>
    <n v="5.1076296013246716E-2"/>
    <n v="0.999"/>
    <n v="0.62313081136160997"/>
    <n v="0.92800000000000016"/>
    <m/>
    <m/>
    <m/>
    <m/>
    <m/>
    <m/>
    <m/>
    <m/>
    <m/>
  </r>
  <r>
    <x v="49"/>
    <x v="1"/>
    <m/>
    <x v="0"/>
    <n v="25"/>
    <n v="25"/>
    <n v="0"/>
    <m/>
    <n v="1230"/>
    <n v="1185"/>
    <n v="45"/>
    <x v="24"/>
    <n v="0"/>
    <n v="49.2"/>
    <n v="47.4"/>
    <n v="1.8"/>
    <n v="28.62"/>
    <n v="0"/>
    <n v="24"/>
    <m/>
    <n v="49.7"/>
    <n v="10"/>
    <n v="8.5"/>
    <n v="3.6585365853658534E-2"/>
    <n v="0.97700000000000009"/>
    <n v="0.58170731707317069"/>
    <n v="0.92200000000000004"/>
    <m/>
    <m/>
    <m/>
    <m/>
    <m/>
    <m/>
    <m/>
    <m/>
    <m/>
  </r>
  <r>
    <x v="49"/>
    <x v="0"/>
    <m/>
    <x v="0"/>
    <n v="18"/>
    <n v="18"/>
    <n v="0"/>
    <m/>
    <n v="8650"/>
    <n v="8330"/>
    <n v="320"/>
    <x v="25"/>
    <n v="201"/>
    <n v="480.55555555555554"/>
    <n v="462.77777777777777"/>
    <n v="17.777777777777779"/>
    <n v="288.67777777777775"/>
    <n v="11.166666666666666"/>
    <n v="15"/>
    <m/>
    <n v="48.6"/>
    <n v="8.6"/>
    <n v="8.5"/>
    <n v="3.6994219653179193E-2"/>
    <n v="0.78600000000000003"/>
    <n v="0.60071676300578036"/>
    <n v="0.80700000000000005"/>
    <m/>
    <m/>
    <m/>
    <m/>
    <m/>
    <m/>
    <m/>
    <m/>
    <m/>
  </r>
  <r>
    <x v="50"/>
    <x v="0"/>
    <m/>
    <x v="2"/>
    <n v="18"/>
    <n v="18"/>
    <n v="0"/>
    <m/>
    <n v="8180"/>
    <n v="7930"/>
    <n v="250"/>
    <x v="26"/>
    <n v="196"/>
    <n v="454.44444444444446"/>
    <n v="440.55555555555554"/>
    <n v="13.888888888888889"/>
    <n v="276.60555555555555"/>
    <n v="10.888888888888889"/>
    <n v="20"/>
    <m/>
    <n v="49.7"/>
    <n v="9.4"/>
    <n v="8.1"/>
    <n v="3.0562347188264057E-2"/>
    <n v="0.89700000000000002"/>
    <n v="0.60866748166259166"/>
    <n v="0.872"/>
    <m/>
    <m/>
    <m/>
    <m/>
    <m/>
    <m/>
    <m/>
    <m/>
    <m/>
  </r>
  <r>
    <x v="51"/>
    <x v="0"/>
    <m/>
    <x v="5"/>
    <n v="18"/>
    <n v="17"/>
    <n v="1"/>
    <m/>
    <n v="6910"/>
    <n v="6495"/>
    <n v="415"/>
    <x v="27"/>
    <n v="156"/>
    <n v="406.47058823529414"/>
    <n v="382.05882352941177"/>
    <n v="24.411764705882351"/>
    <n v="250.16470588235296"/>
    <n v="9.1764705882352935"/>
    <n v="25"/>
    <m/>
    <n v="49.6"/>
    <n v="10"/>
    <n v="8.5"/>
    <n v="6.0057887120115769E-2"/>
    <n v="0.996"/>
    <n v="0.61545586107091177"/>
    <n v="0.93099999999999994"/>
    <m/>
    <m/>
    <m/>
    <m/>
    <m/>
    <m/>
    <m/>
    <m/>
    <m/>
  </r>
  <r>
    <x v="52"/>
    <x v="0"/>
    <m/>
    <x v="0"/>
    <n v="18"/>
    <n v="18"/>
    <n v="0"/>
    <m/>
    <n v="8540"/>
    <n v="8185"/>
    <n v="355"/>
    <x v="28"/>
    <n v="218"/>
    <n v="474.44444444444446"/>
    <n v="454.72222222222223"/>
    <n v="19.722222222222221"/>
    <n v="288.49444444444441"/>
    <n v="12.111111111111111"/>
    <n v="23.9"/>
    <m/>
    <n v="49.7"/>
    <n v="10"/>
    <n v="8.1"/>
    <n v="4.1569086651053862E-2"/>
    <n v="0.97500000000000009"/>
    <n v="0.60806791569086649"/>
    <n v="0.91699999999999993"/>
    <m/>
    <m/>
    <m/>
    <m/>
    <m/>
    <m/>
    <m/>
    <m/>
    <m/>
  </r>
  <r>
    <x v="53"/>
    <x v="0"/>
    <m/>
    <x v="0"/>
    <n v="19"/>
    <n v="19"/>
    <n v="0"/>
    <m/>
    <n v="8970"/>
    <n v="8425"/>
    <n v="545"/>
    <x v="29"/>
    <n v="218.5"/>
    <n v="472.10526315789474"/>
    <n v="443.42105263157896"/>
    <n v="28.684210526315791"/>
    <n v="277.76315789473682"/>
    <n v="11.5"/>
    <n v="24"/>
    <m/>
    <n v="49.8"/>
    <n v="9.5"/>
    <n v="8.5"/>
    <n v="6.0758082497212935E-2"/>
    <n v="0.97799999999999998"/>
    <n v="0.58835005574136012"/>
    <n v="0.91799999999999993"/>
    <m/>
    <m/>
    <m/>
    <m/>
    <m/>
    <m/>
    <m/>
    <m/>
    <m/>
  </r>
  <r>
    <x v="54"/>
    <x v="0"/>
    <m/>
    <x v="5"/>
    <n v="18"/>
    <n v="16"/>
    <n v="2"/>
    <m/>
    <n v="6798"/>
    <n v="6375"/>
    <n v="423"/>
    <x v="30"/>
    <n v="154"/>
    <n v="424.875"/>
    <n v="398.4375"/>
    <n v="26.4375"/>
    <n v="260.49374999999998"/>
    <n v="9.625"/>
    <n v="25"/>
    <m/>
    <n v="49.6"/>
    <n v="10"/>
    <n v="8.5"/>
    <n v="6.2224183583406888E-2"/>
    <n v="0.996"/>
    <n v="0.61310679611650476"/>
    <n v="0.93099999999999994"/>
    <m/>
    <m/>
    <m/>
    <m/>
    <m/>
    <m/>
    <m/>
    <m/>
    <m/>
  </r>
  <r>
    <x v="55"/>
    <x v="0"/>
    <m/>
    <x v="0"/>
    <n v="18"/>
    <n v="18"/>
    <n v="0"/>
    <m/>
    <n v="8870"/>
    <n v="8455"/>
    <n v="415"/>
    <x v="31"/>
    <n v="157"/>
    <n v="492.77777777777777"/>
    <n v="469.72222222222223"/>
    <n v="23.055555555555557"/>
    <n v="295.75555555555559"/>
    <n v="8.7222222222222214"/>
    <n v="18"/>
    <m/>
    <n v="48.6"/>
    <n v="10"/>
    <n v="8.5"/>
    <n v="4.678692220969561E-2"/>
    <n v="0.84599999999999997"/>
    <n v="0.60018038331454349"/>
    <n v="0.85099999999999998"/>
    <m/>
    <m/>
    <m/>
    <m/>
    <m/>
    <m/>
    <m/>
    <m/>
    <m/>
  </r>
  <r>
    <x v="56"/>
    <x v="0"/>
    <m/>
    <x v="2"/>
    <n v="18"/>
    <n v="18"/>
    <n v="0"/>
    <m/>
    <n v="8555"/>
    <n v="8175"/>
    <n v="380"/>
    <x v="32"/>
    <n v="205"/>
    <n v="475.27777777777777"/>
    <n v="454.16666666666669"/>
    <n v="21.111111111111111"/>
    <n v="286.75555555555559"/>
    <n v="11.388888888888889"/>
    <n v="17.899999999999999"/>
    <m/>
    <n v="50"/>
    <n v="10"/>
    <n v="8.5"/>
    <n v="4.4418468731735827E-2"/>
    <n v="0.85799999999999998"/>
    <n v="0.60334307422559907"/>
    <n v="0.8640000000000001"/>
    <m/>
    <m/>
    <m/>
    <m/>
    <m/>
    <m/>
    <m/>
    <m/>
    <m/>
  </r>
  <r>
    <x v="57"/>
    <x v="0"/>
    <m/>
    <x v="5"/>
    <n v="18"/>
    <n v="18"/>
    <n v="0"/>
    <m/>
    <n v="7475"/>
    <n v="7035"/>
    <n v="440"/>
    <x v="33"/>
    <n v="183"/>
    <n v="415.27777777777777"/>
    <n v="390.83333333333331"/>
    <n v="24.444444444444443"/>
    <n v="255.46666666666664"/>
    <n v="10.166666666666666"/>
    <n v="25"/>
    <m/>
    <n v="49.4"/>
    <n v="10"/>
    <n v="8.5"/>
    <n v="5.8862876254180602E-2"/>
    <n v="0.99399999999999999"/>
    <n v="0.61517056856187291"/>
    <n v="0.92900000000000005"/>
    <m/>
    <m/>
    <m/>
    <m/>
    <m/>
    <m/>
    <m/>
    <m/>
    <m/>
  </r>
  <r>
    <x v="58"/>
    <x v="0"/>
    <m/>
    <x v="0"/>
    <n v="20"/>
    <n v="20"/>
    <n v="0"/>
    <m/>
    <n v="9330"/>
    <n v="8945"/>
    <n v="385"/>
    <x v="34"/>
    <n v="190"/>
    <n v="466.5"/>
    <n v="447.25"/>
    <n v="19.25"/>
    <n v="279.99"/>
    <n v="9.5"/>
    <n v="23.7"/>
    <m/>
    <n v="49.2"/>
    <n v="9.3000000000000007"/>
    <n v="8.1"/>
    <n v="4.1264737406216508E-2"/>
    <n v="0.96599999999999997"/>
    <n v="0.60019292604501606"/>
    <n v="0.90300000000000002"/>
    <m/>
    <m/>
    <m/>
    <m/>
    <m/>
    <m/>
    <m/>
    <m/>
    <m/>
  </r>
  <r>
    <x v="59"/>
    <x v="0"/>
    <m/>
    <x v="5"/>
    <n v="18"/>
    <n v="18"/>
    <n v="0"/>
    <m/>
    <n v="7274"/>
    <n v="6905"/>
    <n v="369"/>
    <x v="35"/>
    <n v="172.5"/>
    <n v="404.11111111111109"/>
    <n v="383.61111111111109"/>
    <n v="20.5"/>
    <n v="249.12222222222221"/>
    <n v="9.5833333333333339"/>
    <n v="25"/>
    <m/>
    <n v="49.9"/>
    <n v="10"/>
    <n v="8.5"/>
    <n v="5.0728622491064065E-2"/>
    <n v="0.999"/>
    <n v="0.61646961781688203"/>
    <n v="0.93400000000000005"/>
    <m/>
    <m/>
    <m/>
    <m/>
    <m/>
    <m/>
    <m/>
    <m/>
    <m/>
  </r>
  <r>
    <x v="60"/>
    <x v="0"/>
    <m/>
    <x v="0"/>
    <n v="20"/>
    <n v="20"/>
    <n v="0"/>
    <m/>
    <n v="9170"/>
    <n v="8865"/>
    <n v="305"/>
    <x v="36"/>
    <n v="195"/>
    <n v="458.5"/>
    <n v="443.25"/>
    <n v="15.25"/>
    <n v="275.21999999999997"/>
    <n v="9.75"/>
    <n v="25"/>
    <m/>
    <n v="50"/>
    <n v="9.4"/>
    <n v="8.5"/>
    <n v="3.3260632497273721E-2"/>
    <n v="1"/>
    <n v="0.60026172300981462"/>
    <n v="0.92900000000000005"/>
    <m/>
    <m/>
    <m/>
    <m/>
    <m/>
    <m/>
    <m/>
    <m/>
    <m/>
  </r>
  <r>
    <x v="61"/>
    <x v="0"/>
    <m/>
    <x v="4"/>
    <n v="18"/>
    <n v="16"/>
    <n v="2"/>
    <m/>
    <n v="7068"/>
    <n v="6885"/>
    <n v="183"/>
    <x v="37"/>
    <n v="147"/>
    <n v="441.75"/>
    <n v="430.3125"/>
    <n v="11.4375"/>
    <n v="265.78125"/>
    <n v="9.1875"/>
    <n v="24"/>
    <m/>
    <n v="49.7"/>
    <n v="10"/>
    <n v="8.5"/>
    <n v="2.5891341256366725E-2"/>
    <n v="0.97700000000000009"/>
    <n v="0.60165534804753817"/>
    <n v="0.92200000000000004"/>
    <m/>
    <m/>
    <m/>
    <m/>
    <m/>
    <m/>
    <m/>
    <m/>
    <m/>
  </r>
  <r>
    <x v="62"/>
    <x v="0"/>
    <m/>
    <x v="0"/>
    <n v="20"/>
    <n v="20"/>
    <n v="0"/>
    <m/>
    <n v="9170"/>
    <n v="8713"/>
    <n v="457"/>
    <x v="38"/>
    <n v="197"/>
    <n v="458.5"/>
    <n v="435.65"/>
    <n v="22.85"/>
    <n v="276.34499999999997"/>
    <n v="9.85"/>
    <n v="21.9"/>
    <m/>
    <n v="47.2"/>
    <n v="10"/>
    <n v="8.5"/>
    <n v="4.9836423118865873E-2"/>
    <n v="0.90999999999999992"/>
    <n v="0.60271537622682658"/>
    <n v="0.87599999999999989"/>
    <m/>
    <m/>
    <m/>
    <m/>
    <m/>
    <m/>
    <m/>
    <m/>
    <m/>
  </r>
  <r>
    <x v="63"/>
    <x v="0"/>
    <m/>
    <x v="0"/>
    <n v="20"/>
    <n v="19"/>
    <n v="1"/>
    <m/>
    <n v="9270"/>
    <n v="8754"/>
    <n v="516"/>
    <x v="39"/>
    <n v="218"/>
    <n v="487.89473684210526"/>
    <n v="460.73684210526318"/>
    <n v="27.157894736842106"/>
    <n v="300.10526315789474"/>
    <n v="11.473684210526315"/>
    <n v="24"/>
    <m/>
    <n v="49.6"/>
    <n v="10"/>
    <n v="8.5"/>
    <n v="5.5663430420711979E-2"/>
    <n v="0.97599999999999998"/>
    <n v="0.61510248112189858"/>
    <n v="0.92099999999999993"/>
    <m/>
    <m/>
    <m/>
    <m/>
    <m/>
    <m/>
    <m/>
    <m/>
    <m/>
  </r>
  <r>
    <x v="64"/>
    <x v="0"/>
    <m/>
    <x v="0"/>
    <n v="20"/>
    <n v="20"/>
    <n v="0"/>
    <m/>
    <n v="9786"/>
    <n v="9250"/>
    <n v="536"/>
    <x v="40"/>
    <n v="199"/>
    <n v="489.3"/>
    <n v="462.5"/>
    <n v="26.8"/>
    <n v="295.14499999999998"/>
    <n v="9.9499999999999993"/>
    <n v="25"/>
    <m/>
    <n v="48.7"/>
    <n v="10"/>
    <n v="8.5"/>
    <n v="5.4772123441651339E-2"/>
    <n v="0.9870000000000001"/>
    <n v="0.60319844676067846"/>
    <n v="0.92200000000000004"/>
    <m/>
    <m/>
    <m/>
    <m/>
    <m/>
    <m/>
    <m/>
    <m/>
    <m/>
  </r>
  <r>
    <x v="65"/>
    <x v="0"/>
    <m/>
    <x v="5"/>
    <n v="20"/>
    <n v="20"/>
    <n v="0"/>
    <m/>
    <n v="8345"/>
    <n v="7955"/>
    <n v="390"/>
    <x v="41"/>
    <n v="199"/>
    <n v="417.25"/>
    <n v="397.75"/>
    <n v="19.5"/>
    <n v="257.8"/>
    <n v="9.9499999999999993"/>
    <n v="25"/>
    <m/>
    <n v="49.6"/>
    <n v="9"/>
    <n v="8.1"/>
    <n v="4.6734571599760334E-2"/>
    <n v="0.996"/>
    <n v="0.61785500299580587"/>
    <n v="0.91699999999999993"/>
    <m/>
    <m/>
    <m/>
    <m/>
    <m/>
    <m/>
    <m/>
    <m/>
    <m/>
  </r>
  <r>
    <x v="66"/>
    <x v="0"/>
    <m/>
    <x v="0"/>
    <n v="17"/>
    <n v="17"/>
    <n v="0"/>
    <m/>
    <n v="8398"/>
    <n v="7895"/>
    <n v="503"/>
    <x v="42"/>
    <n v="195"/>
    <n v="494"/>
    <n v="464.41176470588238"/>
    <n v="29.588235294117649"/>
    <n v="301.31176470588235"/>
    <n v="11.470588235294118"/>
    <n v="24"/>
    <m/>
    <n v="49.6"/>
    <n v="10"/>
    <n v="8.1"/>
    <n v="5.9895213145987142E-2"/>
    <n v="0.97599999999999998"/>
    <n v="0.60994284353417483"/>
    <n v="0.91699999999999993"/>
    <m/>
    <m/>
    <m/>
    <m/>
    <m/>
    <m/>
    <m/>
    <m/>
    <m/>
  </r>
  <r>
    <x v="67"/>
    <x v="0"/>
    <m/>
    <x v="5"/>
    <n v="20"/>
    <n v="20"/>
    <n v="0"/>
    <m/>
    <n v="8592"/>
    <n v="8150"/>
    <n v="442"/>
    <x v="43"/>
    <n v="234"/>
    <n v="429.6"/>
    <n v="407.5"/>
    <n v="22.1"/>
    <n v="268.5675"/>
    <n v="11.7"/>
    <n v="25"/>
    <m/>
    <n v="49.5"/>
    <n v="8"/>
    <n v="8.5"/>
    <n v="5.144320297951583E-2"/>
    <n v="0.995"/>
    <n v="0.62515712290502801"/>
    <n v="0.91"/>
    <m/>
    <m/>
    <m/>
    <m/>
    <m/>
    <m/>
    <m/>
    <m/>
    <m/>
  </r>
  <r>
    <x v="68"/>
    <x v="0"/>
    <m/>
    <x v="0"/>
    <n v="16"/>
    <n v="16"/>
    <n v="0"/>
    <m/>
    <n v="7568"/>
    <n v="7205"/>
    <n v="363"/>
    <x v="44"/>
    <n v="174"/>
    <n v="473"/>
    <n v="450.3125"/>
    <n v="22.6875"/>
    <n v="287.203125"/>
    <n v="10.875"/>
    <n v="20"/>
    <m/>
    <n v="47.6"/>
    <n v="10"/>
    <n v="8.5"/>
    <n v="4.7965116279069769E-2"/>
    <n v="0.87600000000000011"/>
    <n v="0.60719476744186052"/>
    <n v="0.86099999999999999"/>
    <m/>
    <m/>
    <m/>
    <m/>
    <m/>
    <m/>
    <m/>
    <m/>
    <m/>
  </r>
  <r>
    <x v="69"/>
    <x v="0"/>
    <m/>
    <x v="5"/>
    <n v="18"/>
    <n v="18"/>
    <n v="0"/>
    <m/>
    <n v="7371"/>
    <n v="6930"/>
    <n v="441"/>
    <x v="45"/>
    <n v="140"/>
    <n v="409.5"/>
    <n v="385"/>
    <n v="24.5"/>
    <n v="247.37777777777779"/>
    <n v="7.7777777777777777"/>
    <n v="25"/>
    <m/>
    <n v="49.5"/>
    <n v="9"/>
    <n v="8.5"/>
    <n v="5.9829059829059832E-2"/>
    <n v="0.995"/>
    <n v="0.60409713743047078"/>
    <n v="0.92"/>
    <m/>
    <m/>
    <m/>
    <m/>
    <m/>
    <m/>
    <m/>
    <m/>
    <m/>
  </r>
  <r>
    <x v="70"/>
    <x v="0"/>
    <m/>
    <x v="6"/>
    <n v="20"/>
    <n v="20"/>
    <n v="0"/>
    <m/>
    <n v="9305"/>
    <n v="9120"/>
    <n v="185"/>
    <x v="46"/>
    <n v="152"/>
    <n v="465.25"/>
    <n v="456"/>
    <n v="9.25"/>
    <n v="279.27249999999998"/>
    <n v="7.6"/>
    <n v="23.9"/>
    <m/>
    <n v="50"/>
    <n v="9"/>
    <n v="8.5"/>
    <n v="1.9881783987103708E-2"/>
    <n v="0.97799999999999998"/>
    <n v="0.60026329930145084"/>
    <n v="0.91400000000000003"/>
    <m/>
    <m/>
    <m/>
    <m/>
    <m/>
    <m/>
    <m/>
    <m/>
    <m/>
  </r>
  <r>
    <x v="71"/>
    <x v="0"/>
    <m/>
    <x v="0"/>
    <n v="18"/>
    <n v="18"/>
    <n v="0"/>
    <m/>
    <n v="8465"/>
    <n v="7915"/>
    <n v="550"/>
    <x v="47"/>
    <n v="179"/>
    <n v="470.27777777777777"/>
    <n v="439.72222222222223"/>
    <n v="30.555555555555557"/>
    <n v="285.69444444444446"/>
    <n v="9.9444444444444446"/>
    <n v="24.7"/>
    <m/>
    <n v="49.3"/>
    <n v="9"/>
    <n v="8.5"/>
    <n v="6.497341996455995E-2"/>
    <n v="0.98699999999999999"/>
    <n v="0.60750147666863552"/>
    <n v="0.91500000000000004"/>
    <m/>
    <m/>
    <m/>
    <m/>
    <m/>
    <m/>
    <m/>
    <m/>
    <m/>
  </r>
  <r>
    <x v="72"/>
    <x v="0"/>
    <m/>
    <x v="5"/>
    <n v="20"/>
    <n v="20"/>
    <n v="0"/>
    <m/>
    <n v="8273"/>
    <n v="7895"/>
    <n v="378"/>
    <x v="48"/>
    <n v="179"/>
    <n v="413.65"/>
    <n v="394.75"/>
    <n v="18.899999999999999"/>
    <n v="258.07"/>
    <n v="8.9499999999999993"/>
    <n v="25"/>
    <m/>
    <n v="49.7"/>
    <n v="9"/>
    <n v="8.5"/>
    <n v="4.5690801402151579E-2"/>
    <n v="0.99700000000000011"/>
    <n v="0.62388492687054264"/>
    <n v="0.92200000000000004"/>
    <m/>
    <m/>
    <m/>
    <m/>
    <m/>
    <m/>
    <m/>
    <m/>
    <m/>
  </r>
  <r>
    <x v="73"/>
    <x v="0"/>
    <m/>
    <x v="0"/>
    <n v="20"/>
    <n v="20"/>
    <n v="0"/>
    <m/>
    <n v="8775"/>
    <n v="8370"/>
    <n v="405"/>
    <x v="49"/>
    <n v="153"/>
    <n v="438.75"/>
    <n v="418.5"/>
    <n v="20.25"/>
    <n v="263.005"/>
    <n v="7.65"/>
    <n v="25"/>
    <m/>
    <n v="49.6"/>
    <n v="9.9"/>
    <n v="8.5"/>
    <n v="4.6153846153846156E-2"/>
    <n v="0.996"/>
    <n v="0.59944159544159548"/>
    <n v="0.93"/>
    <m/>
    <m/>
    <m/>
    <m/>
    <m/>
    <m/>
    <m/>
    <m/>
    <m/>
  </r>
  <r>
    <x v="74"/>
    <x v="0"/>
    <m/>
    <x v="0"/>
    <n v="18"/>
    <n v="18"/>
    <n v="0"/>
    <m/>
    <n v="8300"/>
    <n v="7845"/>
    <n v="455"/>
    <x v="50"/>
    <n v="208"/>
    <n v="461.11111111111109"/>
    <n v="435.83333333333331"/>
    <n v="25.277777777777779"/>
    <n v="277.51944444444445"/>
    <n v="11.555555555555555"/>
    <n v="25"/>
    <m/>
    <n v="47.7"/>
    <n v="9.5"/>
    <n v="8.5"/>
    <n v="5.4819277108433741E-2"/>
    <n v="0.97700000000000009"/>
    <n v="0.60184939759036149"/>
    <n v="0.90700000000000003"/>
    <m/>
    <m/>
    <m/>
    <m/>
    <m/>
    <m/>
    <m/>
    <m/>
    <m/>
  </r>
  <r>
    <x v="75"/>
    <x v="0"/>
    <m/>
    <x v="5"/>
    <n v="18"/>
    <n v="18"/>
    <n v="0"/>
    <m/>
    <n v="7610"/>
    <n v="7335"/>
    <n v="275"/>
    <x v="51"/>
    <n v="150"/>
    <n v="422.77777777777777"/>
    <n v="407.5"/>
    <n v="15.277777777777779"/>
    <n v="261.10555555555555"/>
    <n v="8.3333333333333339"/>
    <n v="25"/>
    <m/>
    <n v="49.8"/>
    <n v="9"/>
    <n v="8.5"/>
    <n v="3.6136662286465178E-2"/>
    <n v="0.998"/>
    <n v="0.61759526938239151"/>
    <n v="0.92299999999999993"/>
    <m/>
    <m/>
    <m/>
    <m/>
    <m/>
    <m/>
    <m/>
    <m/>
    <m/>
  </r>
  <r>
    <x v="76"/>
    <x v="0"/>
    <m/>
    <x v="0"/>
    <n v="21"/>
    <n v="20"/>
    <n v="1"/>
    <m/>
    <n v="9295"/>
    <n v="8942.6"/>
    <n v="352.39999999999964"/>
    <x v="52"/>
    <n v="174"/>
    <n v="464.75"/>
    <n v="447.13"/>
    <n v="17.619999999999983"/>
    <n v="280.69499999999999"/>
    <n v="8.6999999999999993"/>
    <n v="25"/>
    <m/>
    <n v="49"/>
    <n v="10"/>
    <n v="8.5"/>
    <n v="3.7912856374394802E-2"/>
    <n v="0.99"/>
    <n v="0.6039698762775686"/>
    <n v="0.92500000000000004"/>
    <m/>
    <m/>
    <m/>
    <m/>
    <m/>
    <m/>
    <m/>
    <m/>
    <m/>
  </r>
  <r>
    <x v="77"/>
    <x v="0"/>
    <m/>
    <x v="5"/>
    <n v="18"/>
    <n v="18"/>
    <n v="0"/>
    <m/>
    <n v="7491"/>
    <n v="7100"/>
    <n v="391"/>
    <x v="53"/>
    <n v="157"/>
    <n v="416.16666666666669"/>
    <n v="394.44444444444446"/>
    <n v="21.722222222222221"/>
    <n v="253.73333333333332"/>
    <n v="8.7222222222222214"/>
    <n v="25"/>
    <m/>
    <n v="49.6"/>
    <n v="9"/>
    <n v="8.5"/>
    <n v="5.2195968495527961E-2"/>
    <n v="0.996"/>
    <n v="0.60969162995594717"/>
    <n v="0.92099999999999993"/>
    <m/>
    <m/>
    <m/>
    <m/>
    <m/>
    <m/>
    <m/>
    <m/>
    <m/>
  </r>
  <r>
    <x v="78"/>
    <x v="0"/>
    <m/>
    <x v="6"/>
    <n v="20"/>
    <n v="20"/>
    <n v="0"/>
    <m/>
    <n v="9060"/>
    <n v="8700"/>
    <n v="360"/>
    <x v="54"/>
    <n v="125"/>
    <n v="453"/>
    <n v="435"/>
    <n v="18"/>
    <n v="271.70999999999998"/>
    <n v="6.25"/>
    <n v="25"/>
    <m/>
    <n v="49.8"/>
    <n v="10"/>
    <n v="8.5"/>
    <n v="3.9735099337748346E-2"/>
    <n v="0.998"/>
    <n v="0.59980132450331125"/>
    <n v="0.93299999999999994"/>
    <m/>
    <m/>
    <m/>
    <m/>
    <m/>
    <m/>
    <m/>
    <m/>
    <m/>
  </r>
  <r>
    <x v="79"/>
    <x v="0"/>
    <m/>
    <x v="0"/>
    <n v="20"/>
    <n v="20"/>
    <n v="0"/>
    <m/>
    <n v="9250"/>
    <n v="9015"/>
    <n v="235"/>
    <x v="55"/>
    <n v="126"/>
    <n v="462.5"/>
    <n v="450.75"/>
    <n v="11.75"/>
    <n v="277.505"/>
    <n v="6.3"/>
    <n v="25"/>
    <m/>
    <n v="49.6"/>
    <n v="10"/>
    <n v="8.5"/>
    <n v="2.5405405405405406E-2"/>
    <n v="0.996"/>
    <n v="0.60001081081081087"/>
    <n v="0.93099999999999994"/>
    <m/>
    <m/>
    <m/>
    <m/>
    <m/>
    <m/>
    <m/>
    <m/>
    <m/>
  </r>
  <r>
    <x v="80"/>
    <x v="0"/>
    <m/>
    <x v="5"/>
    <n v="21"/>
    <n v="21"/>
    <n v="0"/>
    <m/>
    <n v="8727"/>
    <n v="8235"/>
    <n v="492"/>
    <x v="56"/>
    <n v="162"/>
    <n v="415.57142857142856"/>
    <n v="392.14285714285717"/>
    <n v="23.428571428571427"/>
    <n v="253.0404761904762"/>
    <n v="7.7142857142857144"/>
    <n v="25"/>
    <m/>
    <n v="49.3"/>
    <n v="9"/>
    <n v="8.5"/>
    <n v="5.6376761773805427E-2"/>
    <n v="0.99299999999999999"/>
    <n v="0.60889767388564231"/>
    <n v="0.91799999999999993"/>
    <m/>
    <m/>
    <m/>
    <m/>
    <m/>
    <m/>
    <m/>
    <m/>
    <m/>
  </r>
  <r>
    <x v="81"/>
    <x v="0"/>
    <m/>
    <x v="0"/>
    <n v="22"/>
    <n v="22"/>
    <n v="0"/>
    <m/>
    <n v="10850"/>
    <n v="10285"/>
    <n v="565"/>
    <x v="57"/>
    <n v="190"/>
    <n v="493.18181818181819"/>
    <n v="467.5"/>
    <n v="25.681818181818183"/>
    <n v="296.24545454545455"/>
    <n v="8.6363636363636367"/>
    <n v="20"/>
    <m/>
    <n v="43.5"/>
    <n v="9.6999999999999993"/>
    <n v="8.5"/>
    <n v="5.2073732718894011E-2"/>
    <n v="0.83499999999999996"/>
    <n v="0.60068202764976952"/>
    <n v="0.81700000000000006"/>
    <m/>
    <m/>
    <m/>
    <m/>
    <m/>
    <m/>
    <m/>
    <m/>
    <m/>
  </r>
  <r>
    <x v="82"/>
    <x v="0"/>
    <m/>
    <x v="5"/>
    <n v="25"/>
    <n v="25"/>
    <n v="0"/>
    <m/>
    <n v="10374"/>
    <n v="9695"/>
    <n v="679"/>
    <x v="58"/>
    <n v="166"/>
    <n v="414.96"/>
    <n v="387.8"/>
    <n v="27.16"/>
    <n v="251.14400000000001"/>
    <n v="6.64"/>
    <n v="25"/>
    <m/>
    <n v="50"/>
    <n v="9"/>
    <n v="8.5"/>
    <n v="6.5452091767881249E-2"/>
    <n v="1"/>
    <n v="0.60522459996144207"/>
    <n v="0.92500000000000004"/>
    <m/>
    <m/>
    <m/>
    <m/>
    <m/>
    <m/>
    <m/>
    <m/>
    <m/>
  </r>
  <r>
    <x v="83"/>
    <x v="0"/>
    <m/>
    <x v="0"/>
    <n v="20"/>
    <n v="20"/>
    <n v="0"/>
    <m/>
    <n v="9520"/>
    <n v="8935"/>
    <n v="585"/>
    <x v="59"/>
    <n v="135"/>
    <n v="476"/>
    <n v="446.75"/>
    <n v="29.25"/>
    <n v="287.79499999999996"/>
    <n v="6.75"/>
    <n v="25"/>
    <m/>
    <n v="49.9"/>
    <n v="9"/>
    <n v="8.5"/>
    <n v="6.144957983193277E-2"/>
    <n v="0.999"/>
    <n v="0.60461134453781507"/>
    <n v="0.92400000000000004"/>
    <m/>
    <m/>
    <m/>
    <m/>
    <m/>
    <m/>
    <m/>
    <m/>
    <m/>
  </r>
  <r>
    <x v="84"/>
    <x v="0"/>
    <m/>
    <x v="0"/>
    <n v="16"/>
    <n v="15"/>
    <n v="1"/>
    <m/>
    <n v="6629"/>
    <n v="6474"/>
    <n v="155"/>
    <x v="60"/>
    <n v="75"/>
    <n v="441.93333333333334"/>
    <n v="431.6"/>
    <n v="10.333333333333334"/>
    <n v="265.15333333333336"/>
    <n v="5"/>
    <n v="25"/>
    <m/>
    <n v="49.1"/>
    <n v="10"/>
    <n v="8.5"/>
    <n v="2.3382108915371853E-2"/>
    <n v="0.99099999999999999"/>
    <n v="0.59998491476844173"/>
    <n v="0.92599999999999993"/>
    <m/>
    <m/>
    <m/>
    <m/>
    <m/>
    <m/>
    <m/>
    <m/>
    <m/>
  </r>
  <r>
    <x v="85"/>
    <x v="0"/>
    <m/>
    <x v="5"/>
    <n v="16"/>
    <n v="16"/>
    <n v="0"/>
    <m/>
    <n v="6652"/>
    <n v="6270"/>
    <n v="382"/>
    <x v="61"/>
    <n v="109"/>
    <n v="415.75"/>
    <n v="391.875"/>
    <n v="23.875"/>
    <n v="255.109375"/>
    <n v="6.8125"/>
    <n v="25"/>
    <m/>
    <n v="49.8"/>
    <n v="10"/>
    <n v="8.5"/>
    <n v="5.7426337943475646E-2"/>
    <n v="0.998"/>
    <n v="0.61361244738424536"/>
    <n v="0.93299999999999994"/>
    <m/>
    <m/>
    <m/>
    <m/>
    <m/>
    <m/>
    <m/>
    <m/>
    <m/>
  </r>
  <r>
    <x v="86"/>
    <x v="0"/>
    <m/>
    <x v="0"/>
    <n v="18"/>
    <n v="18"/>
    <n v="0"/>
    <m/>
    <n v="8393"/>
    <n v="7875"/>
    <n v="518"/>
    <x v="62"/>
    <n v="149.5"/>
    <n v="466.27777777777777"/>
    <n v="437.5"/>
    <n v="28.777777777777779"/>
    <n v="279.78888888888889"/>
    <n v="8.3055555555555554"/>
    <n v="25"/>
    <m/>
    <n v="49.8"/>
    <n v="10"/>
    <n v="8.5"/>
    <n v="6.1718098415346125E-2"/>
    <n v="0.998"/>
    <n v="0.60004765876325505"/>
    <n v="0.93299999999999994"/>
    <m/>
    <m/>
    <m/>
    <m/>
    <m/>
    <m/>
    <m/>
    <m/>
    <m/>
  </r>
  <r>
    <x v="87"/>
    <x v="0"/>
    <m/>
    <x v="0"/>
    <n v="18"/>
    <n v="18"/>
    <n v="0"/>
    <m/>
    <n v="9125"/>
    <n v="8600"/>
    <n v="525"/>
    <x v="63"/>
    <n v="204"/>
    <n v="506.94444444444446"/>
    <n v="477.77777777777777"/>
    <n v="29.166666666666668"/>
    <n v="304.09166666666664"/>
    <n v="11.333333333333334"/>
    <n v="24"/>
    <m/>
    <n v="49.3"/>
    <n v="10"/>
    <n v="8.5"/>
    <n v="5.7534246575342465E-2"/>
    <n v="0.97299999999999998"/>
    <n v="0.59985205479452053"/>
    <n v="0.91799999999999993"/>
    <m/>
    <m/>
    <m/>
    <m/>
    <m/>
    <m/>
    <m/>
    <m/>
    <m/>
  </r>
  <r>
    <x v="88"/>
    <x v="0"/>
    <m/>
    <x v="5"/>
    <n v="18"/>
    <n v="18"/>
    <n v="0"/>
    <m/>
    <n v="7218"/>
    <n v="6685"/>
    <n v="533"/>
    <x v="64"/>
    <n v="142"/>
    <n v="401"/>
    <n v="371.38888888888891"/>
    <n v="29.611111111111111"/>
    <n v="246.31111111111113"/>
    <n v="7.8888888888888893"/>
    <n v="25"/>
    <m/>
    <n v="49.7"/>
    <n v="9"/>
    <n v="8.5"/>
    <n v="7.3843169853144916E-2"/>
    <n v="0.99700000000000011"/>
    <n v="0.61424217234691059"/>
    <n v="0.92200000000000004"/>
    <m/>
    <m/>
    <m/>
    <m/>
    <m/>
    <m/>
    <m/>
    <m/>
    <m/>
  </r>
  <r>
    <x v="89"/>
    <x v="0"/>
    <m/>
    <x v="0"/>
    <n v="18"/>
    <n v="18"/>
    <n v="0"/>
    <m/>
    <n v="7887"/>
    <n v="7405"/>
    <n v="482"/>
    <x v="65"/>
    <n v="153"/>
    <n v="438.16666666666669"/>
    <n v="411.38888888888891"/>
    <n v="26.777777777777779"/>
    <n v="263.72777777777782"/>
    <n v="8.5"/>
    <n v="25"/>
    <m/>
    <n v="49.3"/>
    <n v="10"/>
    <n v="8.5"/>
    <n v="6.111322429314061E-2"/>
    <n v="0.99299999999999999"/>
    <n v="0.60188918473437303"/>
    <n v="0.92799999999999994"/>
    <m/>
    <m/>
    <m/>
    <m/>
    <m/>
    <m/>
    <m/>
    <m/>
    <m/>
  </r>
  <r>
    <x v="90"/>
    <x v="0"/>
    <m/>
    <x v="0"/>
    <n v="19"/>
    <n v="18"/>
    <n v="1"/>
    <m/>
    <n v="7724"/>
    <n v="7330"/>
    <n v="394"/>
    <x v="66"/>
    <n v="150"/>
    <n v="429.11111111111109"/>
    <n v="407.22222222222223"/>
    <n v="21.888888888888889"/>
    <n v="257.47777777777782"/>
    <n v="8.3333333333333339"/>
    <n v="25"/>
    <m/>
    <n v="50"/>
    <n v="10"/>
    <n v="8.5"/>
    <n v="5.100983946141896E-2"/>
    <n v="1"/>
    <n v="0.60002589331952361"/>
    <n v="0.93500000000000005"/>
    <m/>
    <m/>
    <m/>
    <m/>
    <m/>
    <m/>
    <m/>
    <m/>
    <m/>
  </r>
  <r>
    <x v="91"/>
    <x v="0"/>
    <m/>
    <x v="6"/>
    <n v="20"/>
    <n v="20"/>
    <n v="0"/>
    <m/>
    <n v="8480"/>
    <n v="8085"/>
    <n v="395"/>
    <x v="67"/>
    <n v="190"/>
    <n v="424"/>
    <n v="404.25"/>
    <n v="19.75"/>
    <n v="258.35000000000002"/>
    <n v="9.5"/>
    <n v="25"/>
    <m/>
    <n v="50"/>
    <n v="9.4"/>
    <n v="8.5"/>
    <n v="4.658018867924528E-2"/>
    <n v="1"/>
    <n v="0.60931603773584908"/>
    <n v="0.92900000000000005"/>
    <m/>
    <m/>
    <m/>
    <m/>
    <m/>
    <m/>
    <m/>
    <m/>
    <m/>
  </r>
  <r>
    <x v="92"/>
    <x v="0"/>
    <m/>
    <x v="5"/>
    <n v="18"/>
    <n v="18"/>
    <n v="0"/>
    <m/>
    <n v="7426"/>
    <n v="7055"/>
    <n v="371"/>
    <x v="68"/>
    <n v="132"/>
    <n v="412.55555555555554"/>
    <n v="391.94444444444446"/>
    <n v="20.611111111111111"/>
    <n v="252.46666666666664"/>
    <n v="7.333333333333333"/>
    <n v="25"/>
    <m/>
    <n v="49.7"/>
    <n v="9"/>
    <n v="8.5"/>
    <n v="4.9959601400484784E-2"/>
    <n v="0.99700000000000011"/>
    <n v="0.61195798545650415"/>
    <n v="0.92200000000000004"/>
    <m/>
    <m/>
    <m/>
    <m/>
    <m/>
    <m/>
    <m/>
    <m/>
    <m/>
  </r>
  <r>
    <x v="93"/>
    <x v="0"/>
    <m/>
    <x v="0"/>
    <n v="18"/>
    <n v="18"/>
    <n v="0"/>
    <m/>
    <n v="8520"/>
    <n v="8035"/>
    <n v="485"/>
    <x v="69"/>
    <n v="214"/>
    <n v="473.33333333333331"/>
    <n v="446.38888888888891"/>
    <n v="26.944444444444443"/>
    <n v="285.7861111111111"/>
    <n v="11.888888888888889"/>
    <n v="24"/>
    <m/>
    <n v="49.6"/>
    <n v="10"/>
    <n v="8.5"/>
    <n v="5.6924882629107977E-2"/>
    <n v="0.97599999999999998"/>
    <n v="0.60377347417840377"/>
    <n v="0.92099999999999993"/>
    <m/>
    <m/>
    <m/>
    <m/>
    <m/>
    <m/>
    <m/>
    <m/>
    <m/>
  </r>
  <r>
    <x v="94"/>
    <x v="0"/>
    <m/>
    <x v="0"/>
    <n v="18"/>
    <n v="18"/>
    <n v="0"/>
    <m/>
    <n v="8340"/>
    <n v="7965"/>
    <n v="375"/>
    <x v="70"/>
    <n v="170"/>
    <n v="463.33333333333331"/>
    <n v="442.5"/>
    <n v="20.833333333333332"/>
    <n v="278.05833333333334"/>
    <n v="9.4444444444444446"/>
    <n v="25"/>
    <m/>
    <n v="49.1"/>
    <n v="10"/>
    <n v="8.5"/>
    <n v="4.4964028776978415E-2"/>
    <n v="0.99099999999999999"/>
    <n v="0.60012589928057558"/>
    <n v="0.92599999999999993"/>
    <m/>
    <m/>
    <m/>
    <m/>
    <m/>
    <m/>
    <m/>
    <m/>
    <m/>
  </r>
  <r>
    <x v="95"/>
    <x v="0"/>
    <m/>
    <x v="5"/>
    <n v="24"/>
    <n v="24"/>
    <n v="0"/>
    <m/>
    <n v="9672"/>
    <n v="9015"/>
    <n v="657"/>
    <x v="71"/>
    <n v="199"/>
    <n v="403"/>
    <n v="375.625"/>
    <n v="27.375"/>
    <n v="247.37916666666669"/>
    <n v="8.2916666666666661"/>
    <n v="23.8"/>
    <m/>
    <n v="49.7"/>
    <n v="7"/>
    <n v="8.5"/>
    <n v="6.7928039702233253E-2"/>
    <n v="0.97300000000000009"/>
    <n v="0.61384408602150542"/>
    <n v="0.89"/>
    <m/>
    <m/>
    <m/>
    <m/>
    <m/>
    <m/>
    <m/>
    <m/>
    <m/>
  </r>
  <r>
    <x v="96"/>
    <x v="0"/>
    <m/>
    <x v="5"/>
    <n v="27"/>
    <n v="27"/>
    <n v="0"/>
    <m/>
    <n v="10844"/>
    <n v="10065"/>
    <n v="779"/>
    <x v="72"/>
    <n v="200"/>
    <n v="401.62962962962962"/>
    <n v="372.77777777777777"/>
    <n v="28.851851851851851"/>
    <n v="242.37037037037038"/>
    <n v="7.4074074074074074"/>
    <n v="25"/>
    <m/>
    <n v="49.7"/>
    <n v="7"/>
    <n v="8.5"/>
    <n v="7.1836960531169308E-2"/>
    <n v="0.99700000000000011"/>
    <n v="0.60346735521947625"/>
    <n v="0.90200000000000002"/>
    <m/>
    <m/>
    <m/>
    <m/>
    <m/>
    <m/>
    <m/>
    <m/>
    <m/>
  </r>
  <r>
    <x v="96"/>
    <x v="1"/>
    <m/>
    <x v="0"/>
    <n v="30"/>
    <n v="30"/>
    <n v="0"/>
    <m/>
    <m/>
    <m/>
    <n v="0"/>
    <x v="0"/>
    <m/>
    <m/>
    <m/>
    <m/>
    <n v="0"/>
    <n v="0"/>
    <n v="24"/>
    <n v="0"/>
    <n v="49.5"/>
    <n v="10"/>
    <n v="8.5"/>
    <m/>
    <n v="0.97499999999999998"/>
    <m/>
    <n v="0.92"/>
    <m/>
    <m/>
    <m/>
    <m/>
    <m/>
    <m/>
    <m/>
    <m/>
    <m/>
  </r>
  <r>
    <x v="97"/>
    <x v="0"/>
    <m/>
    <x v="0"/>
    <n v="27"/>
    <n v="27"/>
    <n v="0"/>
    <m/>
    <n v="12800"/>
    <n v="12095"/>
    <n v="705"/>
    <x v="73"/>
    <n v="240"/>
    <n v="474.07407407407408"/>
    <n v="447.96296296296299"/>
    <n v="26.111111111111111"/>
    <n v="290.78148148148148"/>
    <n v="8.8888888888888893"/>
    <n v="25"/>
    <m/>
    <n v="50"/>
    <n v="10"/>
    <n v="8.5"/>
    <n v="5.5078124999999999E-2"/>
    <n v="1"/>
    <n v="0.61336718750000008"/>
    <n v="0.93500000000000005"/>
    <m/>
    <m/>
    <m/>
    <m/>
    <m/>
    <m/>
    <m/>
    <m/>
    <m/>
  </r>
  <r>
    <x v="98"/>
    <x v="0"/>
    <m/>
    <x v="5"/>
    <n v="22"/>
    <n v="22"/>
    <n v="0"/>
    <m/>
    <n v="9105"/>
    <n v="8500"/>
    <n v="605"/>
    <x v="74"/>
    <n v="162"/>
    <n v="413.86363636363637"/>
    <n v="386.36363636363637"/>
    <n v="27.5"/>
    <n v="249.61818181818182"/>
    <n v="7.3636363636363633"/>
    <n v="25"/>
    <m/>
    <n v="50"/>
    <n v="8"/>
    <n v="8.5"/>
    <n v="6.6447007138934644E-2"/>
    <n v="1"/>
    <n v="0.60314113124656787"/>
    <n v="0.91500000000000004"/>
    <m/>
    <m/>
    <m/>
    <m/>
    <m/>
    <m/>
    <m/>
    <m/>
    <m/>
  </r>
  <r>
    <x v="98"/>
    <x v="1"/>
    <m/>
    <x v="1"/>
    <n v="20"/>
    <n v="20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99"/>
    <x v="0"/>
    <m/>
    <x v="5"/>
    <n v="23"/>
    <n v="23"/>
    <n v="0"/>
    <m/>
    <n v="9561"/>
    <n v="9010"/>
    <n v="551"/>
    <x v="75"/>
    <n v="196"/>
    <n v="415.69565217391306"/>
    <n v="391.73913043478262"/>
    <n v="23.956521739130434"/>
    <n v="255.11739130434782"/>
    <n v="8.5217391304347831"/>
    <n v="24.7"/>
    <m/>
    <n v="49.6"/>
    <n v="8"/>
    <n v="8.5"/>
    <n v="5.7629955025624929E-2"/>
    <n v="0.99"/>
    <n v="0.61371195481644181"/>
    <n v="0.90799999999999992"/>
    <m/>
    <m/>
    <m/>
    <m/>
    <m/>
    <m/>
    <m/>
    <m/>
    <m/>
  </r>
  <r>
    <x v="99"/>
    <x v="1"/>
    <m/>
    <x v="1"/>
    <n v="20"/>
    <n v="20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m/>
    <m/>
    <m/>
    <m/>
    <m/>
    <m/>
    <m/>
    <m/>
    <m/>
  </r>
  <r>
    <x v="100"/>
    <x v="0"/>
    <m/>
    <x v="0"/>
    <n v="24"/>
    <n v="24"/>
    <n v="0"/>
    <m/>
    <n v="11220"/>
    <n v="10835"/>
    <n v="385"/>
    <x v="76"/>
    <n v="242"/>
    <n v="467.5"/>
    <n v="451.45833333333331"/>
    <n v="16.041666666666668"/>
    <n v="280.44583333333333"/>
    <n v="10.083333333333334"/>
    <n v="25"/>
    <m/>
    <n v="49.7"/>
    <n v="10"/>
    <n v="8.5"/>
    <n v="3.4313725490196081E-2"/>
    <n v="0.99700000000000011"/>
    <n v="0.59988413547237074"/>
    <n v="0.93200000000000005"/>
    <m/>
    <m/>
    <m/>
    <m/>
    <m/>
    <m/>
    <m/>
    <m/>
    <m/>
  </r>
  <r>
    <x v="100"/>
    <x v="1"/>
    <m/>
    <x v="1"/>
    <n v="21"/>
    <n v="21"/>
    <n v="0"/>
    <m/>
    <m/>
    <m/>
    <n v="0"/>
    <x v="0"/>
    <m/>
    <n v="0"/>
    <n v="0"/>
    <n v="0"/>
    <n v="0"/>
    <n v="0"/>
    <n v="25"/>
    <n v="0"/>
    <n v="48.6"/>
    <n v="10"/>
    <n v="8.5"/>
    <m/>
    <n v="0.98599999999999999"/>
    <m/>
    <n v="0.92099999999999993"/>
    <m/>
    <m/>
    <m/>
    <m/>
    <m/>
    <m/>
    <m/>
    <m/>
    <m/>
  </r>
  <r>
    <x v="101"/>
    <x v="0"/>
    <m/>
    <x v="6"/>
    <n v="21"/>
    <n v="21"/>
    <n v="0"/>
    <m/>
    <n v="9030"/>
    <n v="8745"/>
    <n v="285"/>
    <x v="77"/>
    <n v="158"/>
    <n v="430"/>
    <n v="416.42857142857144"/>
    <n v="13.571428571428571"/>
    <n v="262.70952380952377"/>
    <n v="7.5238095238095237"/>
    <n v="25"/>
    <m/>
    <n v="50"/>
    <n v="10"/>
    <n v="8.1"/>
    <n v="3.1561461794019932E-2"/>
    <n v="1"/>
    <n v="0.61095238095238091"/>
    <n v="0.93099999999999994"/>
    <m/>
    <m/>
    <m/>
    <m/>
    <m/>
    <m/>
    <m/>
    <m/>
    <m/>
  </r>
  <r>
    <x v="102"/>
    <x v="0"/>
    <m/>
    <x v="0"/>
    <n v="18"/>
    <n v="18"/>
    <n v="0"/>
    <m/>
    <n v="8195"/>
    <n v="7815"/>
    <n v="380"/>
    <x v="78"/>
    <m/>
    <n v="455.27777777777777"/>
    <n v="434.16666666666669"/>
    <n v="21.111111111111111"/>
    <n v="273.22777777777782"/>
    <m/>
    <n v="23"/>
    <m/>
    <n v="49.8"/>
    <n v="8"/>
    <n v="8.5"/>
    <n v="4.6369737644905429E-2"/>
    <n v="0.95799999999999996"/>
    <n v="0.60013422818791951"/>
    <n v="0.89300000000000002"/>
    <m/>
    <m/>
    <m/>
    <m/>
    <m/>
    <m/>
    <m/>
    <m/>
    <m/>
  </r>
  <r>
    <x v="102"/>
    <x v="1"/>
    <m/>
    <x v="1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03"/>
    <x v="0"/>
    <m/>
    <x v="6"/>
    <n v="20"/>
    <n v="19"/>
    <n v="1"/>
    <m/>
    <n v="8848"/>
    <n v="8395"/>
    <n v="453"/>
    <x v="79"/>
    <n v="27.5"/>
    <n v="465.68421052631578"/>
    <n v="441.84210526315792"/>
    <n v="23.842105263157894"/>
    <n v="279.70789473684209"/>
    <n v="1.4473684210526316"/>
    <n v="19"/>
    <m/>
    <n v="49.3"/>
    <n v="10"/>
    <n v="8.5"/>
    <n v="5.1198010849909582E-2"/>
    <n v="0.873"/>
    <n v="0.6006385623869801"/>
    <n v="0.86799999999999999"/>
    <m/>
    <m/>
    <m/>
    <m/>
    <m/>
    <m/>
    <m/>
    <m/>
    <m/>
  </r>
  <r>
    <x v="103"/>
    <x v="1"/>
    <m/>
    <x v="1"/>
    <n v="20"/>
    <n v="20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m/>
    <m/>
    <m/>
    <m/>
    <m/>
    <m/>
    <m/>
    <m/>
    <m/>
  </r>
  <r>
    <x v="104"/>
    <x v="0"/>
    <m/>
    <x v="0"/>
    <n v="21"/>
    <n v="21"/>
    <n v="0"/>
    <m/>
    <n v="9700"/>
    <n v="9300"/>
    <n v="400"/>
    <x v="80"/>
    <n v="213"/>
    <n v="461.90476190476193"/>
    <n v="442.85714285714283"/>
    <n v="19.047619047619047"/>
    <n v="277.23333333333329"/>
    <n v="10.142857142857142"/>
    <n v="25"/>
    <m/>
    <n v="50"/>
    <n v="10"/>
    <n v="8.5"/>
    <n v="4.1237113402061855E-2"/>
    <n v="1"/>
    <n v="0.60019587628865978"/>
    <n v="0.93500000000000005"/>
    <m/>
    <m/>
    <m/>
    <m/>
    <m/>
    <m/>
    <m/>
    <m/>
    <m/>
  </r>
  <r>
    <x v="105"/>
    <x v="0"/>
    <m/>
    <x v="0"/>
    <n v="21"/>
    <n v="21"/>
    <n v="0"/>
    <m/>
    <n v="10550"/>
    <n v="10085"/>
    <n v="465"/>
    <x v="81"/>
    <n v="130.5"/>
    <n v="502.38095238095241"/>
    <n v="480.23809523809524"/>
    <n v="22.142857142857142"/>
    <n v="301.40476190476193"/>
    <n v="6.2142857142857144"/>
    <n v="25"/>
    <m/>
    <n v="49.9"/>
    <n v="10"/>
    <n v="8.5"/>
    <n v="4.4075829383886253E-2"/>
    <n v="0.999"/>
    <n v="0.59995260663507111"/>
    <n v="0.93400000000000005"/>
    <m/>
    <m/>
    <m/>
    <m/>
    <m/>
    <m/>
    <m/>
    <m/>
    <m/>
  </r>
  <r>
    <x v="105"/>
    <x v="1"/>
    <m/>
    <x v="1"/>
    <n v="30"/>
    <n v="30"/>
    <n v="0"/>
    <m/>
    <m/>
    <m/>
    <n v="0"/>
    <x v="0"/>
    <m/>
    <n v="0"/>
    <n v="0"/>
    <n v="0"/>
    <n v="0"/>
    <n v="0"/>
    <n v="24"/>
    <n v="0"/>
    <n v="44"/>
    <n v="10"/>
    <n v="8.5"/>
    <m/>
    <n v="0.91999999999999993"/>
    <m/>
    <n v="0.86499999999999999"/>
    <m/>
    <m/>
    <m/>
    <m/>
    <m/>
    <m/>
    <m/>
    <m/>
    <m/>
  </r>
  <r>
    <x v="106"/>
    <x v="0"/>
    <m/>
    <x v="0"/>
    <n v="20"/>
    <n v="20"/>
    <n v="0"/>
    <m/>
    <n v="9415"/>
    <n v="9190"/>
    <n v="225"/>
    <x v="82"/>
    <n v="209"/>
    <n v="470.75"/>
    <n v="459.5"/>
    <n v="11.25"/>
    <n v="282.565"/>
    <n v="10.45"/>
    <n v="25"/>
    <m/>
    <n v="49.9"/>
    <n v="10"/>
    <n v="8.5"/>
    <n v="2.3898035050451408E-2"/>
    <n v="0.999"/>
    <n v="0.60024429102496024"/>
    <n v="0.93400000000000005"/>
    <m/>
    <m/>
    <m/>
    <m/>
    <m/>
    <m/>
    <m/>
    <m/>
    <m/>
  </r>
  <r>
    <x v="106"/>
    <x v="1"/>
    <m/>
    <x v="1"/>
    <n v="33"/>
    <n v="33"/>
    <n v="0"/>
    <m/>
    <m/>
    <m/>
    <n v="0"/>
    <x v="0"/>
    <m/>
    <n v="0"/>
    <n v="0"/>
    <n v="0"/>
    <n v="0"/>
    <n v="0"/>
    <n v="24"/>
    <n v="0"/>
    <n v="49.9"/>
    <n v="10"/>
    <n v="8.5"/>
    <m/>
    <n v="0.97899999999999998"/>
    <m/>
    <n v="0.92400000000000004"/>
    <m/>
    <m/>
    <m/>
    <m/>
    <m/>
    <m/>
    <m/>
    <m/>
    <m/>
  </r>
  <r>
    <x v="107"/>
    <x v="0"/>
    <m/>
    <x v="5"/>
    <n v="18"/>
    <n v="18"/>
    <n v="0"/>
    <m/>
    <n v="7363"/>
    <n v="6970"/>
    <n v="393"/>
    <x v="83"/>
    <n v="119"/>
    <n v="409.05555555555554"/>
    <n v="387.22222222222223"/>
    <n v="21.833333333333332"/>
    <n v="253.69444444444446"/>
    <n v="6.6111111111111107"/>
    <n v="25"/>
    <m/>
    <n v="49.9"/>
    <n v="8"/>
    <n v="7"/>
    <n v="5.3374983023224229E-2"/>
    <n v="0.999"/>
    <n v="0.62019557245687895"/>
    <n v="0.89900000000000002"/>
    <m/>
    <m/>
    <m/>
    <m/>
    <m/>
    <m/>
    <m/>
    <m/>
    <m/>
  </r>
  <r>
    <x v="108"/>
    <x v="0"/>
    <m/>
    <x v="0"/>
    <n v="25"/>
    <n v="23"/>
    <n v="2"/>
    <m/>
    <n v="11163"/>
    <n v="10628"/>
    <n v="535"/>
    <x v="84"/>
    <n v="218"/>
    <n v="485.3478260869565"/>
    <n v="462.08695652173913"/>
    <n v="23.260869565217391"/>
    <n v="291.26086956521738"/>
    <n v="9.4782608695652169"/>
    <n v="24.6"/>
    <m/>
    <n v="49.1"/>
    <n v="9.5"/>
    <n v="8.5"/>
    <n v="4.7926184717369882E-2"/>
    <n v="0.9830000000000001"/>
    <n v="0.60010749798441276"/>
    <n v="0.91700000000000004"/>
    <m/>
    <m/>
    <m/>
    <m/>
    <m/>
    <m/>
    <m/>
    <m/>
    <m/>
  </r>
  <r>
    <x v="109"/>
    <x v="0"/>
    <m/>
    <x v="0"/>
    <n v="23"/>
    <n v="23"/>
    <n v="0"/>
    <m/>
    <n v="11310"/>
    <n v="10870"/>
    <n v="440"/>
    <x v="85"/>
    <n v="202"/>
    <n v="491.73913043478262"/>
    <n v="472.60869565217394"/>
    <n v="19.130434782608695"/>
    <n v="295.74565217391302"/>
    <n v="8.7826086956521738"/>
    <n v="24"/>
    <m/>
    <n v="49.6"/>
    <n v="10"/>
    <n v="8.5"/>
    <n v="3.8903625110521659E-2"/>
    <n v="0.97599999999999998"/>
    <n v="0.60142793987621568"/>
    <n v="0.92099999999999993"/>
    <m/>
    <m/>
    <m/>
    <m/>
    <m/>
    <m/>
    <m/>
    <m/>
    <m/>
  </r>
  <r>
    <x v="109"/>
    <x v="1"/>
    <m/>
    <x v="0"/>
    <n v="30"/>
    <n v="30"/>
    <n v="0"/>
    <m/>
    <m/>
    <m/>
    <n v="0"/>
    <x v="0"/>
    <m/>
    <n v="0"/>
    <n v="0"/>
    <n v="0"/>
    <n v="0"/>
    <n v="0"/>
    <n v="24"/>
    <n v="0"/>
    <n v="49.3"/>
    <n v="10"/>
    <n v="8.5"/>
    <m/>
    <n v="0.97299999999999998"/>
    <m/>
    <n v="0.91799999999999993"/>
    <m/>
    <m/>
    <m/>
    <m/>
    <m/>
    <m/>
    <m/>
    <m/>
    <m/>
  </r>
  <r>
    <x v="110"/>
    <x v="0"/>
    <m/>
    <x v="2"/>
    <n v="20"/>
    <n v="19"/>
    <n v="1"/>
    <m/>
    <n v="8693"/>
    <n v="8413"/>
    <n v="280"/>
    <x v="86"/>
    <n v="149"/>
    <n v="457.5263157894737"/>
    <n v="442.78947368421052"/>
    <n v="14.736842105263158"/>
    <n v="274.67368421052635"/>
    <n v="7.8421052631578947"/>
    <n v="25"/>
    <m/>
    <n v="49.5"/>
    <n v="10"/>
    <n v="8.5"/>
    <n v="3.2209823996318873E-2"/>
    <n v="0.995"/>
    <n v="0.60034510525710338"/>
    <n v="0.93"/>
    <m/>
    <m/>
    <m/>
    <m/>
    <m/>
    <m/>
    <m/>
    <m/>
    <m/>
  </r>
  <r>
    <x v="111"/>
    <x v="0"/>
    <m/>
    <x v="0"/>
    <n v="23"/>
    <n v="22"/>
    <n v="1"/>
    <m/>
    <n v="10636"/>
    <n v="10401"/>
    <n v="235"/>
    <x v="87"/>
    <n v="192"/>
    <n v="483.45454545454544"/>
    <n v="472.77272727272725"/>
    <n v="10.681818181818182"/>
    <n v="290.13636363636363"/>
    <n v="8.7272727272727266"/>
    <n v="23.3"/>
    <m/>
    <n v="49.9"/>
    <n v="10"/>
    <n v="8.5"/>
    <n v="2.2094772470853705E-2"/>
    <n v="0.96500000000000008"/>
    <n v="0.60013162843174128"/>
    <n v="0.91700000000000004"/>
    <m/>
    <m/>
    <m/>
    <m/>
    <m/>
    <m/>
    <m/>
    <m/>
    <m/>
  </r>
  <r>
    <x v="111"/>
    <x v="1"/>
    <m/>
    <x v="1"/>
    <n v="20"/>
    <n v="20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112"/>
    <x v="0"/>
    <m/>
    <x v="0"/>
    <n v="22"/>
    <n v="22"/>
    <n v="0"/>
    <m/>
    <n v="10245"/>
    <n v="9635"/>
    <n v="610"/>
    <x v="88"/>
    <n v="208"/>
    <n v="465.68181818181819"/>
    <n v="437.95454545454544"/>
    <n v="27.727272727272727"/>
    <n v="280.68181818181819"/>
    <n v="9.454545454545455"/>
    <n v="25"/>
    <m/>
    <n v="49.6"/>
    <n v="9.5"/>
    <n v="8.5"/>
    <n v="5.9541239629087354E-2"/>
    <n v="0.996"/>
    <n v="0.60273304050756471"/>
    <n v="0.92599999999999993"/>
    <m/>
    <m/>
    <m/>
    <m/>
    <m/>
    <m/>
    <m/>
    <m/>
    <m/>
  </r>
  <r>
    <x v="113"/>
    <x v="0"/>
    <m/>
    <x v="5"/>
    <n v="23"/>
    <n v="23"/>
    <n v="0"/>
    <m/>
    <n v="8942"/>
    <n v="8390"/>
    <n v="552"/>
    <x v="89"/>
    <n v="163"/>
    <n v="388.78260869565219"/>
    <n v="364.78260869565219"/>
    <n v="24"/>
    <n v="235.57608695652175"/>
    <n v="7.0869565217391308"/>
    <n v="20"/>
    <m/>
    <n v="48.9"/>
    <n v="8"/>
    <n v="8.5"/>
    <n v="6.173115634086334E-2"/>
    <n v="0.88900000000000001"/>
    <n v="0.60593267725341082"/>
    <n v="0.85400000000000009"/>
    <m/>
    <m/>
    <m/>
    <m/>
    <m/>
    <m/>
    <m/>
    <m/>
    <m/>
  </r>
  <r>
    <x v="113"/>
    <x v="1"/>
    <m/>
    <x v="1"/>
    <n v="31"/>
    <n v="31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114"/>
    <x v="0"/>
    <m/>
    <x v="0"/>
    <n v="21"/>
    <n v="20"/>
    <n v="1"/>
    <m/>
    <n v="10735"/>
    <n v="10285"/>
    <n v="450"/>
    <x v="90"/>
    <n v="196"/>
    <n v="536.75"/>
    <n v="514.25"/>
    <n v="22.5"/>
    <n v="328.28000000000003"/>
    <n v="9.8000000000000007"/>
    <n v="25"/>
    <m/>
    <n v="49.4"/>
    <n v="10"/>
    <n v="8.5"/>
    <n v="4.1918956683744762E-2"/>
    <n v="0.99399999999999999"/>
    <n v="0.61160689333954354"/>
    <n v="0.92900000000000005"/>
    <m/>
    <m/>
    <m/>
    <m/>
    <m/>
    <m/>
    <m/>
    <m/>
    <m/>
  </r>
  <r>
    <x v="115"/>
    <x v="0"/>
    <m/>
    <x v="0"/>
    <n v="22"/>
    <n v="22"/>
    <n v="0"/>
    <m/>
    <n v="10540"/>
    <n v="9990"/>
    <n v="550"/>
    <x v="91"/>
    <n v="203"/>
    <n v="479.09090909090907"/>
    <n v="454.09090909090907"/>
    <n v="25"/>
    <n v="287.56818181818181"/>
    <n v="9.2272727272727266"/>
    <n v="23"/>
    <m/>
    <n v="49.9"/>
    <n v="10"/>
    <n v="8.5"/>
    <n v="5.218216318785579E-2"/>
    <n v="0.95900000000000007"/>
    <n v="0.60023719165085387"/>
    <n v="0.91400000000000003"/>
    <m/>
    <m/>
    <m/>
    <m/>
    <m/>
    <m/>
    <m/>
    <m/>
    <m/>
  </r>
  <r>
    <x v="115"/>
    <x v="1"/>
    <m/>
    <x v="1"/>
    <n v="25"/>
    <n v="25"/>
    <n v="0"/>
    <m/>
    <m/>
    <m/>
    <n v="0"/>
    <x v="0"/>
    <m/>
    <n v="0"/>
    <n v="0"/>
    <n v="0"/>
    <n v="0"/>
    <n v="0"/>
    <n v="25"/>
    <n v="0"/>
    <n v="49.1"/>
    <n v="10"/>
    <n v="8.5"/>
    <m/>
    <n v="0.99099999999999999"/>
    <m/>
    <n v="0.92599999999999993"/>
    <m/>
    <m/>
    <m/>
    <m/>
    <m/>
    <m/>
    <m/>
    <m/>
    <m/>
  </r>
  <r>
    <x v="116"/>
    <x v="0"/>
    <m/>
    <x v="5"/>
    <n v="22"/>
    <n v="22"/>
    <n v="0"/>
    <m/>
    <n v="8671"/>
    <n v="8255"/>
    <n v="416"/>
    <x v="29"/>
    <n v="160"/>
    <n v="394.13636363636363"/>
    <n v="375.22727272727275"/>
    <n v="18.90909090909091"/>
    <n v="239.88636363636363"/>
    <n v="7.2727272727272725"/>
    <n v="25"/>
    <m/>
    <n v="49.9"/>
    <n v="8"/>
    <n v="8.5"/>
    <n v="4.7976011994003004E-2"/>
    <n v="0.999"/>
    <n v="0.60863798869795871"/>
    <n v="0.91400000000000003"/>
    <m/>
    <m/>
    <m/>
    <m/>
    <m/>
    <m/>
    <m/>
    <m/>
    <m/>
  </r>
  <r>
    <x v="117"/>
    <x v="0"/>
    <m/>
    <x v="5"/>
    <n v="17"/>
    <n v="17"/>
    <n v="0"/>
    <m/>
    <n v="6641"/>
    <n v="6641"/>
    <n v="0"/>
    <x v="92"/>
    <n v="132"/>
    <n v="390.64705882352939"/>
    <n v="390.64705882352939"/>
    <m/>
    <n v="242.27647058823527"/>
    <n v="7.7647058823529411"/>
    <n v="25"/>
    <m/>
    <n v="50"/>
    <n v="8"/>
    <n v="8.5"/>
    <n v="0"/>
    <n v="1"/>
    <n v="0.6201927420569191"/>
    <n v="0.91500000000000004"/>
    <m/>
    <m/>
    <m/>
    <m/>
    <m/>
    <m/>
    <m/>
    <m/>
    <m/>
  </r>
  <r>
    <x v="117"/>
    <x v="1"/>
    <m/>
    <x v="1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18"/>
    <x v="0"/>
    <m/>
    <x v="5"/>
    <n v="17"/>
    <n v="17"/>
    <n v="0"/>
    <m/>
    <n v="6720"/>
    <n v="6720"/>
    <n v="0"/>
    <x v="93"/>
    <n v="133"/>
    <n v="395.29411764705884"/>
    <n v="395.29411764705884"/>
    <m/>
    <n v="248.14705882352942"/>
    <n v="7.8235294117647056"/>
    <n v="25"/>
    <m/>
    <n v="50"/>
    <n v="8"/>
    <n v="8.5"/>
    <n v="0"/>
    <n v="1"/>
    <n v="0.62775297619047621"/>
    <n v="0.91500000000000004"/>
    <m/>
    <m/>
    <m/>
    <m/>
    <m/>
    <m/>
    <m/>
    <m/>
    <m/>
  </r>
  <r>
    <x v="118"/>
    <x v="1"/>
    <m/>
    <x v="1"/>
    <n v="20"/>
    <n v="20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m/>
    <m/>
    <m/>
    <m/>
    <m/>
    <m/>
    <m/>
    <m/>
    <m/>
  </r>
  <r>
    <x v="119"/>
    <x v="1"/>
    <m/>
    <x v="1"/>
    <n v="22"/>
    <n v="22"/>
    <n v="0"/>
    <m/>
    <m/>
    <m/>
    <n v="0"/>
    <x v="0"/>
    <m/>
    <n v="0"/>
    <n v="0"/>
    <n v="0"/>
    <n v="0"/>
    <n v="0"/>
    <n v="25"/>
    <n v="0"/>
    <n v="43.7"/>
    <n v="10"/>
    <n v="8.5"/>
    <m/>
    <n v="0.93700000000000006"/>
    <m/>
    <n v="0.872"/>
    <m/>
    <m/>
    <m/>
    <m/>
    <m/>
    <m/>
    <m/>
    <m/>
    <m/>
  </r>
  <r>
    <x v="119"/>
    <x v="0"/>
    <m/>
    <x v="0"/>
    <n v="16"/>
    <n v="16"/>
    <n v="0"/>
    <m/>
    <m/>
    <m/>
    <n v="0"/>
    <x v="0"/>
    <m/>
    <m/>
    <m/>
    <m/>
    <m/>
    <m/>
    <n v="23"/>
    <m/>
    <n v="50"/>
    <n v="10"/>
    <n v="8.5"/>
    <m/>
    <n v="0.96"/>
    <m/>
    <n v="0.91500000000000004"/>
    <m/>
    <m/>
    <m/>
    <m/>
    <m/>
    <m/>
    <m/>
    <m/>
    <m/>
  </r>
  <r>
    <x v="120"/>
    <x v="0"/>
    <m/>
    <x v="0"/>
    <n v="32"/>
    <n v="32"/>
    <n v="0"/>
    <m/>
    <n v="15330"/>
    <n v="15330"/>
    <n v="0"/>
    <x v="94"/>
    <n v="318"/>
    <n v="479.0625"/>
    <n v="479.0625"/>
    <m/>
    <n v="292.73124999999999"/>
    <n v="9.9375"/>
    <n v="22.8"/>
    <m/>
    <n v="49.9"/>
    <n v="10"/>
    <n v="8.3000000000000007"/>
    <n v="0"/>
    <n v="0.95500000000000007"/>
    <n v="0.61105022831050226"/>
    <n v="0.91"/>
    <m/>
    <m/>
    <m/>
    <m/>
    <m/>
    <m/>
    <m/>
    <m/>
    <m/>
  </r>
  <r>
    <x v="120"/>
    <x v="1"/>
    <m/>
    <x v="1"/>
    <n v="45"/>
    <n v="45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m/>
    <m/>
    <m/>
    <m/>
    <m/>
    <m/>
    <m/>
    <m/>
    <m/>
  </r>
  <r>
    <x v="121"/>
    <x v="1"/>
    <m/>
    <x v="1"/>
    <n v="40"/>
    <n v="40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m/>
    <m/>
    <m/>
    <m/>
    <m/>
    <m/>
    <m/>
  </r>
  <r>
    <x v="121"/>
    <x v="0"/>
    <m/>
    <x v="0"/>
    <n v="26"/>
    <n v="25"/>
    <n v="1"/>
    <m/>
    <m/>
    <m/>
    <n v="0"/>
    <x v="0"/>
    <m/>
    <m/>
    <m/>
    <m/>
    <m/>
    <m/>
    <n v="21.6"/>
    <m/>
    <n v="49.3"/>
    <n v="10"/>
    <n v="8.5"/>
    <m/>
    <n v="0.92500000000000004"/>
    <m/>
    <n v="0.89400000000000002"/>
    <m/>
    <m/>
    <m/>
    <m/>
    <m/>
    <m/>
    <m/>
    <m/>
    <m/>
  </r>
  <r>
    <x v="122"/>
    <x v="1"/>
    <m/>
    <x v="1"/>
    <n v="45"/>
    <n v="45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m/>
    <m/>
    <m/>
    <m/>
    <m/>
    <m/>
    <m/>
  </r>
  <r>
    <x v="122"/>
    <x v="0"/>
    <m/>
    <x v="0"/>
    <n v="23"/>
    <n v="23"/>
    <n v="0"/>
    <m/>
    <m/>
    <m/>
    <n v="0"/>
    <x v="0"/>
    <m/>
    <m/>
    <m/>
    <m/>
    <m/>
    <m/>
    <n v="24"/>
    <m/>
    <n v="49.6"/>
    <n v="10"/>
    <n v="8.5"/>
    <m/>
    <n v="0.97599999999999998"/>
    <m/>
    <n v="0.92099999999999993"/>
    <m/>
    <m/>
    <m/>
    <m/>
    <m/>
    <m/>
    <m/>
    <m/>
    <m/>
  </r>
  <r>
    <x v="123"/>
    <x v="0"/>
    <m/>
    <x v="0"/>
    <n v="33"/>
    <n v="32"/>
    <n v="1"/>
    <m/>
    <n v="15050"/>
    <n v="15050"/>
    <n v="0"/>
    <x v="95"/>
    <m/>
    <n v="470.3125"/>
    <n v="470.3125"/>
    <m/>
    <n v="282.171875"/>
    <m/>
    <n v="23"/>
    <m/>
    <n v="46"/>
    <n v="10"/>
    <n v="8.5"/>
    <n v="0"/>
    <n v="0.92"/>
    <n v="0.59996677740863791"/>
    <n v="0.875"/>
    <m/>
    <m/>
    <m/>
    <m/>
    <m/>
    <m/>
    <m/>
    <m/>
    <m/>
  </r>
  <r>
    <x v="123"/>
    <x v="1"/>
    <m/>
    <x v="1"/>
    <n v="75"/>
    <n v="75"/>
    <n v="0"/>
    <m/>
    <m/>
    <m/>
    <n v="0"/>
    <x v="0"/>
    <m/>
    <n v="0"/>
    <n v="0"/>
    <n v="0"/>
    <n v="0"/>
    <n v="0"/>
    <n v="25"/>
    <n v="0"/>
    <n v="46.1"/>
    <n v="10"/>
    <n v="8.5"/>
    <m/>
    <n v="0.96100000000000008"/>
    <m/>
    <n v="0.89599999999999991"/>
    <m/>
    <m/>
    <m/>
    <m/>
    <m/>
    <m/>
    <m/>
    <m/>
    <m/>
  </r>
  <r>
    <x v="124"/>
    <x v="1"/>
    <m/>
    <x v="1"/>
    <n v="85"/>
    <n v="85"/>
    <n v="0"/>
    <m/>
    <m/>
    <m/>
    <n v="0"/>
    <x v="0"/>
    <m/>
    <n v="0"/>
    <n v="0"/>
    <n v="0"/>
    <n v="0"/>
    <n v="0"/>
    <n v="25"/>
    <n v="0"/>
    <n v="48.7"/>
    <n v="10"/>
    <n v="8.5"/>
    <m/>
    <n v="0.9870000000000001"/>
    <m/>
    <n v="0.92200000000000004"/>
    <m/>
    <m/>
    <m/>
    <m/>
    <m/>
    <m/>
    <m/>
    <m/>
    <m/>
  </r>
  <r>
    <x v="124"/>
    <x v="0"/>
    <m/>
    <x v="0"/>
    <n v="33"/>
    <n v="33"/>
    <n v="0"/>
    <m/>
    <m/>
    <m/>
    <n v="0"/>
    <x v="0"/>
    <m/>
    <m/>
    <m/>
    <m/>
    <m/>
    <m/>
    <n v="24"/>
    <m/>
    <n v="49.8"/>
    <n v="10"/>
    <n v="8.5"/>
    <m/>
    <n v="0.97799999999999998"/>
    <m/>
    <n v="0.92299999999999993"/>
    <m/>
    <m/>
    <m/>
    <m/>
    <m/>
    <m/>
    <m/>
    <m/>
    <m/>
  </r>
  <r>
    <x v="125"/>
    <x v="0"/>
    <m/>
    <x v="0"/>
    <n v="16"/>
    <n v="16"/>
    <n v="0"/>
    <m/>
    <n v="7700"/>
    <n v="7700"/>
    <n v="0"/>
    <x v="96"/>
    <m/>
    <n v="481.25"/>
    <n v="481.25"/>
    <m/>
    <n v="288.73124999999999"/>
    <m/>
    <n v="24"/>
    <m/>
    <n v="50"/>
    <n v="10"/>
    <n v="8.5"/>
    <n v="0"/>
    <n v="0.98"/>
    <n v="0.59996103896103892"/>
    <n v="0.92500000000000004"/>
    <m/>
    <m/>
    <m/>
    <m/>
    <m/>
    <m/>
    <m/>
    <m/>
    <m/>
  </r>
  <r>
    <x v="125"/>
    <x v="1"/>
    <m/>
    <x v="1"/>
    <n v="41"/>
    <n v="41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m/>
    <m/>
    <m/>
    <m/>
    <m/>
    <m/>
    <m/>
    <m/>
    <m/>
  </r>
  <r>
    <x v="126"/>
    <x v="0"/>
    <m/>
    <x v="0"/>
    <n v="16"/>
    <n v="16"/>
    <n v="0"/>
    <m/>
    <n v="7930"/>
    <n v="7430"/>
    <n v="500"/>
    <x v="97"/>
    <m/>
    <n v="495.625"/>
    <n v="464.375"/>
    <n v="31.25"/>
    <n v="299.18124999999998"/>
    <m/>
    <n v="25"/>
    <m/>
    <n v="49.8"/>
    <n v="10"/>
    <n v="8.5"/>
    <n v="6.3051702395964693E-2"/>
    <n v="0.998"/>
    <n v="0.60364438839848666"/>
    <n v="0.93299999999999994"/>
    <m/>
    <m/>
    <m/>
    <m/>
    <m/>
    <m/>
    <m/>
    <m/>
    <m/>
  </r>
  <r>
    <x v="127"/>
    <x v="0"/>
    <m/>
    <x v="0"/>
    <n v="19"/>
    <n v="19"/>
    <n v="0"/>
    <m/>
    <n v="8940"/>
    <n v="8435"/>
    <n v="505"/>
    <x v="98"/>
    <m/>
    <n v="470.5263157894737"/>
    <n v="443.94736842105266"/>
    <n v="26.578947368421051"/>
    <n v="282.46315789473687"/>
    <m/>
    <n v="25"/>
    <m/>
    <n v="50"/>
    <n v="10"/>
    <n v="8.5"/>
    <n v="5.6487695749440708E-2"/>
    <n v="1"/>
    <n v="0.60031319910514547"/>
    <n v="0.93500000000000005"/>
    <m/>
    <m/>
    <m/>
    <m/>
    <m/>
    <m/>
    <m/>
    <m/>
    <m/>
  </r>
  <r>
    <x v="128"/>
    <x v="0"/>
    <m/>
    <x v="0"/>
    <n v="16"/>
    <n v="16"/>
    <n v="0"/>
    <m/>
    <n v="7945"/>
    <n v="7574"/>
    <n v="371"/>
    <x v="99"/>
    <m/>
    <n v="496.5625"/>
    <n v="473.375"/>
    <n v="23.1875"/>
    <n v="298.07499999999999"/>
    <m/>
    <n v="24.8"/>
    <m/>
    <n v="50"/>
    <n v="10"/>
    <n v="8.5"/>
    <n v="4.6696035242290747E-2"/>
    <n v="0.996"/>
    <n v="0.600276903713027"/>
    <n v="0.93299999999999994"/>
    <m/>
    <m/>
    <m/>
    <m/>
    <m/>
    <m/>
    <m/>
    <m/>
    <m/>
  </r>
  <r>
    <x v="129"/>
    <x v="0"/>
    <m/>
    <x v="5"/>
    <n v="24"/>
    <n v="24"/>
    <n v="0"/>
    <m/>
    <n v="9170"/>
    <n v="8580"/>
    <n v="590"/>
    <x v="100"/>
    <m/>
    <n v="382.08333333333331"/>
    <n v="357.5"/>
    <n v="24.583333333333332"/>
    <n v="232.44166666666669"/>
    <m/>
    <n v="25"/>
    <m/>
    <n v="49.6"/>
    <n v="10"/>
    <n v="8.5"/>
    <n v="6.4340239912759001E-2"/>
    <n v="0.996"/>
    <n v="0.60835332606324977"/>
    <n v="0.93099999999999994"/>
    <m/>
    <m/>
    <m/>
    <m/>
    <m/>
    <m/>
    <m/>
    <m/>
    <m/>
  </r>
  <r>
    <x v="129"/>
    <x v="1"/>
    <m/>
    <x v="1"/>
    <n v="23"/>
    <n v="23"/>
    <n v="0"/>
    <m/>
    <m/>
    <m/>
    <n v="0"/>
    <x v="0"/>
    <m/>
    <n v="0"/>
    <n v="0"/>
    <n v="0"/>
    <n v="0"/>
    <n v="0"/>
    <n v="25"/>
    <n v="0"/>
    <n v="49"/>
    <n v="10"/>
    <n v="8.5"/>
    <m/>
    <n v="0.99"/>
    <m/>
    <n v="0.92500000000000004"/>
    <m/>
    <m/>
    <m/>
    <m/>
    <m/>
    <m/>
    <m/>
    <m/>
    <m/>
  </r>
  <r>
    <x v="130"/>
    <x v="0"/>
    <m/>
    <x v="5"/>
    <n v="25"/>
    <n v="25"/>
    <n v="0"/>
    <m/>
    <n v="9677"/>
    <n v="8980"/>
    <n v="697"/>
    <x v="101"/>
    <m/>
    <n v="387.08"/>
    <n v="359.2"/>
    <n v="27.88"/>
    <n v="234.64"/>
    <m/>
    <n v="25"/>
    <m/>
    <n v="50"/>
    <n v="10"/>
    <n v="8.5"/>
    <n v="7.2026454479694121E-2"/>
    <n v="1"/>
    <n v="0.60617960111604841"/>
    <n v="0.93500000000000005"/>
    <m/>
    <m/>
    <m/>
    <m/>
    <m/>
    <m/>
    <m/>
    <m/>
    <m/>
  </r>
  <r>
    <x v="130"/>
    <x v="1"/>
    <m/>
    <x v="1"/>
    <n v="20"/>
    <n v="20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131"/>
    <x v="0"/>
    <m/>
    <x v="0"/>
    <n v="27"/>
    <n v="27"/>
    <n v="0"/>
    <m/>
    <n v="12600"/>
    <n v="12250"/>
    <n v="350"/>
    <x v="102"/>
    <m/>
    <n v="466.66666666666669"/>
    <n v="453.7037037037037"/>
    <n v="12.962962962962964"/>
    <n v="280.12962962962962"/>
    <m/>
    <n v="25"/>
    <m/>
    <n v="50"/>
    <n v="10"/>
    <n v="8.5"/>
    <n v="2.777777777777778E-2"/>
    <n v="1"/>
    <n v="0.6002777777777778"/>
    <n v="0.93500000000000005"/>
    <m/>
    <m/>
    <m/>
    <m/>
    <m/>
    <m/>
    <m/>
    <m/>
    <m/>
  </r>
  <r>
    <x v="132"/>
    <x v="1"/>
    <m/>
    <x v="1"/>
    <n v="20"/>
    <n v="20"/>
    <n v="0"/>
    <m/>
    <m/>
    <m/>
    <n v="0"/>
    <x v="0"/>
    <m/>
    <n v="0"/>
    <n v="0"/>
    <n v="0"/>
    <n v="0"/>
    <n v="0"/>
    <n v="25"/>
    <n v="0"/>
    <n v="48.9"/>
    <n v="10"/>
    <n v="8.5"/>
    <m/>
    <n v="0.98899999999999999"/>
    <m/>
    <n v="0.92400000000000004"/>
    <m/>
    <m/>
    <m/>
    <m/>
    <m/>
    <m/>
    <m/>
    <m/>
    <m/>
  </r>
  <r>
    <x v="132"/>
    <x v="0"/>
    <m/>
    <x v="0"/>
    <n v="25"/>
    <n v="24"/>
    <n v="1"/>
    <m/>
    <m/>
    <m/>
    <n v="0"/>
    <x v="0"/>
    <m/>
    <m/>
    <m/>
    <m/>
    <m/>
    <m/>
    <n v="25"/>
    <m/>
    <n v="49.8"/>
    <n v="10"/>
    <n v="8.5"/>
    <m/>
    <n v="0.998"/>
    <m/>
    <n v="0.93299999999999994"/>
    <m/>
    <m/>
    <m/>
    <m/>
    <m/>
    <m/>
    <m/>
    <m/>
    <m/>
  </r>
  <r>
    <x v="133"/>
    <x v="0"/>
    <m/>
    <x v="5"/>
    <n v="26"/>
    <n v="25"/>
    <n v="1"/>
    <m/>
    <n v="9450"/>
    <n v="8820"/>
    <n v="630"/>
    <x v="103"/>
    <m/>
    <n v="378"/>
    <n v="352.8"/>
    <n v="25.2"/>
    <n v="231.06799999999998"/>
    <m/>
    <n v="25"/>
    <m/>
    <n v="49.9"/>
    <n v="10"/>
    <n v="8.5"/>
    <n v="6.6666666666666666E-2"/>
    <n v="0.999"/>
    <n v="0.61129100529100522"/>
    <n v="0.93400000000000005"/>
    <m/>
    <m/>
    <m/>
    <m/>
    <m/>
    <m/>
    <m/>
    <m/>
    <m/>
  </r>
  <r>
    <x v="134"/>
    <x v="0"/>
    <m/>
    <x v="5"/>
    <n v="33"/>
    <n v="33"/>
    <n v="0"/>
    <m/>
    <n v="12994"/>
    <n v="12035"/>
    <n v="959"/>
    <x v="104"/>
    <n v="217"/>
    <n v="393.75757575757575"/>
    <n v="364.69696969696969"/>
    <n v="29.060606060606062"/>
    <n v="238.87424242424242"/>
    <n v="6.5757575757575761"/>
    <n v="25"/>
    <m/>
    <n v="49.5"/>
    <n v="10"/>
    <n v="8.5"/>
    <n v="7.3803293827920585E-2"/>
    <n v="0.995"/>
    <n v="0.60665307064799145"/>
    <n v="0.93"/>
    <m/>
    <m/>
    <m/>
    <m/>
    <m/>
    <m/>
    <m/>
    <m/>
    <m/>
  </r>
  <r>
    <x v="135"/>
    <x v="0"/>
    <m/>
    <x v="0"/>
    <n v="33"/>
    <n v="32"/>
    <n v="1"/>
    <m/>
    <n v="15779"/>
    <n v="14904"/>
    <n v="875"/>
    <x v="105"/>
    <n v="256"/>
    <n v="493.09375"/>
    <n v="465.75"/>
    <n v="27.34375"/>
    <n v="295.875"/>
    <n v="8"/>
    <n v="25"/>
    <m/>
    <n v="49.8"/>
    <n v="10"/>
    <n v="8.5"/>
    <n v="5.5453450789023383E-2"/>
    <n v="0.998"/>
    <n v="0.60003802522339822"/>
    <n v="0.93299999999999994"/>
    <m/>
    <m/>
    <m/>
    <m/>
    <m/>
    <m/>
    <m/>
    <m/>
    <m/>
  </r>
  <r>
    <x v="135"/>
    <x v="1"/>
    <m/>
    <x v="1"/>
    <n v="20"/>
    <n v="20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m/>
    <m/>
    <m/>
    <m/>
    <m/>
    <m/>
    <m/>
  </r>
  <r>
    <x v="136"/>
    <x v="0"/>
    <m/>
    <x v="0"/>
    <n v="31"/>
    <n v="31"/>
    <n v="0"/>
    <m/>
    <n v="14940"/>
    <n v="14105"/>
    <n v="835"/>
    <x v="106"/>
    <n v="309"/>
    <n v="481.93548387096774"/>
    <n v="455"/>
    <n v="26.93548387096774"/>
    <n v="290.7161290322581"/>
    <n v="9.9677419354838701"/>
    <n v="21.8"/>
    <m/>
    <n v="49.8"/>
    <n v="9.9"/>
    <n v="8.5"/>
    <n v="5.5890227576974559E-2"/>
    <n v="0.93399999999999994"/>
    <n v="0.60322623828647925"/>
    <n v="0.9"/>
    <m/>
    <m/>
    <m/>
    <m/>
    <m/>
    <m/>
    <m/>
    <m/>
    <m/>
  </r>
  <r>
    <x v="137"/>
    <x v="0"/>
    <m/>
    <x v="0"/>
    <n v="31"/>
    <n v="31"/>
    <n v="0"/>
    <m/>
    <n v="15600"/>
    <n v="15150"/>
    <n v="450"/>
    <x v="107"/>
    <m/>
    <n v="503.22580645161293"/>
    <n v="488.70967741935482"/>
    <n v="14.516129032258064"/>
    <n v="313.51612903225805"/>
    <m/>
    <n v="21.8"/>
    <m/>
    <n v="49.4"/>
    <n v="9.8000000000000007"/>
    <n v="8.5"/>
    <n v="2.8846153846153844E-2"/>
    <n v="0.92999999999999994"/>
    <n v="0.62301282051282048"/>
    <n v="0.89500000000000002"/>
    <m/>
    <m/>
    <m/>
    <m/>
    <m/>
    <m/>
    <m/>
    <m/>
    <m/>
  </r>
  <r>
    <x v="138"/>
    <x v="0"/>
    <m/>
    <x v="7"/>
    <n v="6"/>
    <n v="6"/>
    <n v="0"/>
    <m/>
    <n v="2460"/>
    <n v="2300"/>
    <n v="160"/>
    <x v="108"/>
    <m/>
    <n v="410"/>
    <n v="383.33333333333331"/>
    <n v="26.666666666666668"/>
    <n v="247.43333333333331"/>
    <m/>
    <n v="25"/>
    <m/>
    <n v="49.7"/>
    <n v="10"/>
    <n v="8.5"/>
    <n v="6.5040650406504072E-2"/>
    <n v="0.99700000000000011"/>
    <n v="0.60349593495934961"/>
    <n v="0.93200000000000005"/>
    <m/>
    <m/>
    <m/>
    <m/>
    <m/>
    <m/>
    <m/>
    <m/>
    <m/>
  </r>
  <r>
    <x v="138"/>
    <x v="0"/>
    <m/>
    <x v="0"/>
    <n v="22"/>
    <n v="21"/>
    <n v="1"/>
    <m/>
    <n v="10036"/>
    <n v="9641"/>
    <n v="395"/>
    <x v="109"/>
    <m/>
    <n v="477.90476190476193"/>
    <n v="459.09523809523807"/>
    <n v="18.80952380952381"/>
    <n v="291.35714285714283"/>
    <m/>
    <n v="25"/>
    <m/>
    <n v="49.7"/>
    <n v="10"/>
    <n v="8.5"/>
    <n v="3.9358310083698687E-2"/>
    <n v="0.99700000000000011"/>
    <n v="0.60965524113192504"/>
    <n v="0.93200000000000005"/>
    <m/>
    <m/>
    <m/>
    <m/>
    <m/>
    <m/>
    <m/>
    <m/>
    <m/>
  </r>
  <r>
    <x v="138"/>
    <x v="1"/>
    <m/>
    <x v="1"/>
    <n v="20"/>
    <n v="19"/>
    <n v="1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39"/>
    <x v="0"/>
    <m/>
    <x v="5"/>
    <n v="28"/>
    <n v="28"/>
    <n v="0"/>
    <m/>
    <n v="10669"/>
    <n v="9910"/>
    <n v="759"/>
    <x v="110"/>
    <m/>
    <n v="381.03571428571428"/>
    <n v="353.92857142857144"/>
    <n v="27.107142857142858"/>
    <n v="232.46071428571426"/>
    <m/>
    <n v="25"/>
    <m/>
    <n v="49.9"/>
    <n v="10"/>
    <n v="8.5"/>
    <n v="7.1140687974505581E-2"/>
    <n v="0.999"/>
    <n v="0.61007592089230478"/>
    <n v="0.93400000000000005"/>
    <m/>
    <m/>
    <m/>
    <m/>
    <m/>
    <m/>
    <m/>
    <m/>
    <m/>
  </r>
  <r>
    <x v="140"/>
    <x v="0"/>
    <m/>
    <x v="0"/>
    <n v="30"/>
    <n v="30"/>
    <n v="0"/>
    <m/>
    <n v="13600"/>
    <n v="13020"/>
    <n v="580"/>
    <x v="111"/>
    <m/>
    <n v="453.33333333333331"/>
    <n v="434"/>
    <n v="19.333333333333332"/>
    <n v="280.79333333333329"/>
    <m/>
    <n v="25"/>
    <m/>
    <n v="49.9"/>
    <n v="10"/>
    <n v="8.5"/>
    <n v="4.2647058823529413E-2"/>
    <n v="0.999"/>
    <n v="0.61939705882352936"/>
    <n v="0.93400000000000005"/>
    <m/>
    <m/>
    <m/>
    <m/>
    <m/>
    <m/>
    <m/>
    <m/>
    <m/>
  </r>
  <r>
    <x v="141"/>
    <x v="0"/>
    <m/>
    <x v="0"/>
    <n v="33"/>
    <n v="32"/>
    <n v="1"/>
    <m/>
    <n v="14691"/>
    <n v="14061"/>
    <n v="630"/>
    <x v="112"/>
    <m/>
    <n v="459.09375"/>
    <n v="439.40625"/>
    <n v="19.6875"/>
    <n v="275.55312500000002"/>
    <m/>
    <n v="25"/>
    <m/>
    <n v="49.7"/>
    <n v="10"/>
    <n v="8.5"/>
    <n v="4.2883397998774761E-2"/>
    <n v="0.99700000000000011"/>
    <n v="0.60021101354570827"/>
    <n v="0.93200000000000005"/>
    <m/>
    <m/>
    <m/>
    <m/>
    <m/>
    <m/>
    <m/>
    <m/>
    <m/>
  </r>
  <r>
    <x v="141"/>
    <x v="1"/>
    <m/>
    <x v="1"/>
    <n v="20"/>
    <n v="20"/>
    <n v="0"/>
    <m/>
    <m/>
    <m/>
    <n v="0"/>
    <x v="0"/>
    <n v="0"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42"/>
    <x v="0"/>
    <m/>
    <x v="8"/>
    <n v="28"/>
    <n v="28"/>
    <n v="0"/>
    <m/>
    <n v="11699"/>
    <n v="11255"/>
    <n v="444"/>
    <x v="113"/>
    <m/>
    <n v="417.82142857142856"/>
    <n v="401.96428571428572"/>
    <n v="15.857142857142858"/>
    <n v="255.40357142857144"/>
    <m/>
    <n v="25"/>
    <m/>
    <n v="49.9"/>
    <n v="10"/>
    <n v="8.5"/>
    <n v="3.7951961706128731E-2"/>
    <n v="0.999"/>
    <n v="0.61127446790323958"/>
    <n v="0.93400000000000005"/>
    <m/>
    <m/>
    <m/>
    <m/>
    <m/>
    <m/>
    <m/>
    <m/>
    <m/>
  </r>
  <r>
    <x v="143"/>
    <x v="0"/>
    <m/>
    <x v="9"/>
    <n v="6"/>
    <n v="6"/>
    <n v="0"/>
    <m/>
    <n v="2486"/>
    <n v="2440"/>
    <n v="46"/>
    <x v="114"/>
    <m/>
    <n v="414.33333333333331"/>
    <n v="406.66666666666669"/>
    <n v="7.666666666666667"/>
    <n v="252.61666666666667"/>
    <m/>
    <n v="25"/>
    <m/>
    <n v="49.4"/>
    <n v="10"/>
    <n v="8.5"/>
    <n v="1.8503620273531779E-2"/>
    <n v="0.99399999999999999"/>
    <n v="0.60969428801287207"/>
    <n v="0.92900000000000005"/>
    <m/>
    <m/>
    <m/>
    <m/>
    <m/>
    <m/>
    <m/>
    <m/>
    <m/>
  </r>
  <r>
    <x v="143"/>
    <x v="0"/>
    <m/>
    <x v="0"/>
    <n v="24"/>
    <n v="23"/>
    <n v="1"/>
    <m/>
    <n v="10573"/>
    <n v="10193"/>
    <n v="380"/>
    <x v="115"/>
    <m/>
    <n v="459.69565217391306"/>
    <n v="443.17391304347825"/>
    <n v="16.521739130434781"/>
    <n v="281.21304347826083"/>
    <m/>
    <n v="25"/>
    <m/>
    <n v="49.4"/>
    <n v="10"/>
    <n v="8.5"/>
    <n v="3.5940603423815373E-2"/>
    <n v="0.99399999999999999"/>
    <n v="0.61173744443393541"/>
    <n v="0.92900000000000005"/>
    <m/>
    <m/>
    <m/>
    <m/>
    <m/>
    <m/>
    <m/>
    <m/>
    <m/>
  </r>
  <r>
    <x v="144"/>
    <x v="0"/>
    <m/>
    <x v="9"/>
    <n v="6"/>
    <n v="6"/>
    <n v="0"/>
    <m/>
    <n v="2555"/>
    <n v="2490"/>
    <n v="65"/>
    <x v="116"/>
    <n v="44"/>
    <n v="425.83333333333331"/>
    <n v="415"/>
    <n v="10.833333333333334"/>
    <n v="263.06666666666666"/>
    <n v="7.333333333333333"/>
    <n v="25"/>
    <m/>
    <n v="49.8"/>
    <n v="10"/>
    <n v="8.3000000000000007"/>
    <n v="2.544031311154599E-2"/>
    <n v="0.998"/>
    <n v="0.61776908023483368"/>
    <n v="0.93099999999999994"/>
    <m/>
    <m/>
    <m/>
    <m/>
    <m/>
    <m/>
    <m/>
    <m/>
    <m/>
  </r>
  <r>
    <x v="144"/>
    <x v="0"/>
    <m/>
    <x v="5"/>
    <n v="24"/>
    <n v="24"/>
    <n v="0"/>
    <m/>
    <n v="9510"/>
    <n v="8965"/>
    <n v="545"/>
    <x v="117"/>
    <n v="176"/>
    <n v="396.25"/>
    <n v="373.54166666666669"/>
    <n v="22.708333333333332"/>
    <n v="247.125"/>
    <n v="7.333333333333333"/>
    <n v="25"/>
    <m/>
    <n v="49.8"/>
    <n v="10"/>
    <n v="8.3000000000000007"/>
    <n v="5.7308096740273394E-2"/>
    <n v="0.998"/>
    <n v="0.6236593059936909"/>
    <n v="0.93099999999999994"/>
    <m/>
    <m/>
    <m/>
    <m/>
    <m/>
    <m/>
    <m/>
    <m/>
    <m/>
  </r>
  <r>
    <x v="145"/>
    <x v="0"/>
    <m/>
    <x v="9"/>
    <n v="6"/>
    <n v="6"/>
    <n v="0"/>
    <m/>
    <n v="2565"/>
    <n v="2525"/>
    <n v="40"/>
    <x v="118"/>
    <n v="39.200000000000003"/>
    <n v="427.5"/>
    <n v="420.83333333333331"/>
    <n v="6.666666666666667"/>
    <n v="258.01666666666665"/>
    <n v="6.5333333333333341"/>
    <n v="25"/>
    <m/>
    <n v="49.8"/>
    <n v="10"/>
    <n v="8.3000000000000007"/>
    <n v="1.5594541910331385E-2"/>
    <n v="0.998"/>
    <n v="0.60354775828460039"/>
    <n v="0.93099999999999994"/>
    <m/>
    <m/>
    <m/>
    <m/>
    <m/>
    <m/>
    <m/>
    <m/>
    <m/>
  </r>
  <r>
    <x v="145"/>
    <x v="0"/>
    <m/>
    <x v="8"/>
    <n v="24"/>
    <n v="24"/>
    <n v="0"/>
    <m/>
    <n v="9792"/>
    <n v="9370"/>
    <n v="422"/>
    <x v="119"/>
    <n v="156.80000000000001"/>
    <n v="408"/>
    <n v="390.41666666666669"/>
    <n v="17.583333333333332"/>
    <n v="250"/>
    <n v="6.5333333333333341"/>
    <n v="25"/>
    <m/>
    <n v="49.8"/>
    <n v="10"/>
    <n v="8.3000000000000007"/>
    <n v="4.3096405228758169E-2"/>
    <n v="0.998"/>
    <n v="0.61274509803921573"/>
    <n v="0.93099999999999994"/>
    <m/>
    <m/>
    <m/>
    <m/>
    <m/>
    <m/>
    <m/>
    <m/>
    <m/>
  </r>
  <r>
    <x v="146"/>
    <x v="1"/>
    <m/>
    <x v="0"/>
    <n v="20"/>
    <n v="20"/>
    <n v="0"/>
    <m/>
    <m/>
    <m/>
    <n v="0"/>
    <x v="0"/>
    <m/>
    <n v="0"/>
    <n v="0"/>
    <n v="0"/>
    <n v="0"/>
    <n v="0"/>
    <n v="20"/>
    <n v="0"/>
    <n v="47.7"/>
    <n v="10"/>
    <n v="8.5"/>
    <m/>
    <n v="0.877"/>
    <m/>
    <n v="0.86199999999999999"/>
    <m/>
    <m/>
    <m/>
    <m/>
    <m/>
    <m/>
    <m/>
    <m/>
    <m/>
  </r>
  <r>
    <x v="146"/>
    <x v="0"/>
    <m/>
    <x v="9"/>
    <n v="8"/>
    <n v="8"/>
    <n v="0"/>
    <m/>
    <m/>
    <m/>
    <n v="0"/>
    <x v="0"/>
    <m/>
    <m/>
    <m/>
    <m/>
    <m/>
    <m/>
    <n v="19.8"/>
    <m/>
    <n v="49.7"/>
    <n v="10"/>
    <n v="8.5"/>
    <m/>
    <n v="0.89300000000000002"/>
    <m/>
    <n v="0.88"/>
    <m/>
    <m/>
    <m/>
    <m/>
    <m/>
    <m/>
    <m/>
    <m/>
    <m/>
  </r>
  <r>
    <x v="146"/>
    <x v="0"/>
    <m/>
    <x v="0"/>
    <n v="24"/>
    <n v="23"/>
    <n v="1"/>
    <m/>
    <m/>
    <m/>
    <n v="0"/>
    <x v="0"/>
    <m/>
    <m/>
    <m/>
    <m/>
    <m/>
    <m/>
    <n v="19.8"/>
    <m/>
    <n v="49.7"/>
    <n v="10"/>
    <n v="8.5"/>
    <m/>
    <n v="0.89300000000000002"/>
    <m/>
    <n v="0.88"/>
    <m/>
    <m/>
    <m/>
    <m/>
    <m/>
    <m/>
    <m/>
    <m/>
    <m/>
  </r>
  <r>
    <x v="147"/>
    <x v="0"/>
    <m/>
    <x v="5"/>
    <n v="27"/>
    <n v="27"/>
    <n v="0"/>
    <m/>
    <n v="10709"/>
    <n v="10530"/>
    <n v="179"/>
    <x v="120"/>
    <m/>
    <n v="396.62962962962962"/>
    <n v="390"/>
    <n v="6.6296296296296298"/>
    <n v="242.64444444444442"/>
    <m/>
    <n v="25"/>
    <m/>
    <n v="49.8"/>
    <n v="10"/>
    <n v="8.5"/>
    <n v="1.6714912690260528E-2"/>
    <n v="0.998"/>
    <n v="0.61176580446353535"/>
    <n v="0.93299999999999994"/>
    <m/>
    <m/>
    <m/>
    <m/>
    <m/>
    <m/>
    <m/>
    <m/>
    <m/>
  </r>
  <r>
    <x v="147"/>
    <x v="0"/>
    <m/>
    <x v="9"/>
    <n v="8"/>
    <n v="7"/>
    <n v="1"/>
    <m/>
    <n v="2709"/>
    <n v="2648"/>
    <n v="61"/>
    <x v="121"/>
    <n v="41.18"/>
    <n v="387"/>
    <n v="378.28571428571428"/>
    <n v="8.7142857142857135"/>
    <n v="239.42428571428573"/>
    <n v="5.8828571428571426"/>
    <n v="25"/>
    <m/>
    <n v="49.8"/>
    <n v="10"/>
    <n v="8.5"/>
    <n v="2.251753414544112E-2"/>
    <n v="0.998"/>
    <n v="0.61866740494647476"/>
    <n v="0.93299999999999994"/>
    <m/>
    <m/>
    <m/>
    <m/>
    <m/>
    <m/>
    <m/>
    <m/>
    <m/>
  </r>
  <r>
    <x v="148"/>
    <x v="0"/>
    <m/>
    <x v="0"/>
    <n v="23"/>
    <n v="23"/>
    <n v="0"/>
    <m/>
    <n v="10700"/>
    <n v="10405"/>
    <n v="295"/>
    <x v="122"/>
    <n v="183.34"/>
    <n v="465.21739130434781"/>
    <n v="452.39130434782606"/>
    <n v="12.826086956521738"/>
    <n v="280.73043478260871"/>
    <n v="7.971304347826087"/>
    <n v="25"/>
    <m/>
    <n v="49.7"/>
    <n v="9.9"/>
    <n v="8"/>
    <n v="2.7570093457943923E-2"/>
    <n v="0.99700000000000011"/>
    <n v="0.60343925233644857"/>
    <n v="0.92600000000000005"/>
    <m/>
    <m/>
    <m/>
    <m/>
    <m/>
    <m/>
    <m/>
    <m/>
    <m/>
  </r>
  <r>
    <x v="148"/>
    <x v="0"/>
    <m/>
    <x v="9"/>
    <n v="12"/>
    <n v="12"/>
    <n v="0"/>
    <m/>
    <n v="5085"/>
    <n v="4910"/>
    <n v="175"/>
    <x v="123"/>
    <n v="95.66"/>
    <n v="423.75"/>
    <n v="409.16666666666669"/>
    <n v="14.583333333333334"/>
    <n v="257.27083333333331"/>
    <n v="7.9716666666666667"/>
    <n v="25"/>
    <m/>
    <n v="49.7"/>
    <n v="9.9"/>
    <n v="8"/>
    <n v="3.44149459193707E-2"/>
    <n v="0.99700000000000011"/>
    <n v="0.60712881022615539"/>
    <n v="0.92600000000000005"/>
    <m/>
    <m/>
    <m/>
    <m/>
    <m/>
    <m/>
    <m/>
    <m/>
    <m/>
  </r>
  <r>
    <x v="149"/>
    <x v="0"/>
    <m/>
    <x v="5"/>
    <n v="35"/>
    <n v="35"/>
    <n v="0"/>
    <m/>
    <n v="13991"/>
    <n v="13105"/>
    <n v="886"/>
    <x v="124"/>
    <n v="243"/>
    <n v="399.74285714285713"/>
    <n v="374.42857142857144"/>
    <n v="25.314285714285713"/>
    <n v="246.26857142857142"/>
    <n v="6.9428571428571431"/>
    <n v="25"/>
    <m/>
    <n v="49.8"/>
    <n v="8"/>
    <n v="10"/>
    <n v="6.332642412979772E-2"/>
    <n v="0.998"/>
    <n v="0.61606747194625111"/>
    <n v="0.92799999999999994"/>
    <m/>
    <m/>
    <m/>
    <m/>
    <m/>
    <m/>
    <m/>
    <m/>
    <m/>
  </r>
  <r>
    <x v="150"/>
    <x v="0"/>
    <m/>
    <x v="0"/>
    <n v="33"/>
    <n v="33"/>
    <n v="0"/>
    <m/>
    <n v="15500"/>
    <n v="14665"/>
    <n v="835"/>
    <x v="125"/>
    <n v="275"/>
    <n v="469.69696969696969"/>
    <n v="444.39393939393938"/>
    <n v="25.303030303030305"/>
    <n v="289.33636363636367"/>
    <n v="8.3333333333333339"/>
    <n v="24.8"/>
    <m/>
    <n v="49.9"/>
    <n v="10"/>
    <n v="8.5"/>
    <n v="5.3870967741935491E-2"/>
    <n v="0.995"/>
    <n v="0.61600645161290324"/>
    <n v="0.93200000000000005"/>
    <m/>
    <m/>
    <m/>
    <m/>
    <m/>
    <m/>
    <m/>
    <m/>
    <m/>
  </r>
  <r>
    <x v="150"/>
    <x v="1"/>
    <m/>
    <x v="1"/>
    <n v="21"/>
    <n v="21"/>
    <n v="0"/>
    <m/>
    <m/>
    <m/>
    <n v="0"/>
    <x v="0"/>
    <m/>
    <n v="0"/>
    <n v="0"/>
    <n v="0"/>
    <n v="0"/>
    <n v="0"/>
    <n v="20"/>
    <n v="0"/>
    <n v="49.7"/>
    <n v="10"/>
    <n v="8.5"/>
    <m/>
    <n v="0.89700000000000002"/>
    <m/>
    <n v="0.88200000000000001"/>
    <m/>
    <m/>
    <m/>
    <m/>
    <m/>
    <m/>
    <m/>
    <m/>
    <m/>
  </r>
  <r>
    <x v="151"/>
    <x v="0"/>
    <m/>
    <x v="9"/>
    <n v="6"/>
    <n v="6"/>
    <n v="0"/>
    <m/>
    <n v="2400"/>
    <n v="2285"/>
    <n v="115"/>
    <x v="126"/>
    <n v="38"/>
    <n v="400"/>
    <n v="380.83333333333331"/>
    <n v="19.166666666666668"/>
    <n v="241.03666666666666"/>
    <n v="6.333333333333333"/>
    <n v="25"/>
    <m/>
    <n v="49.8"/>
    <n v="10"/>
    <n v="8.5"/>
    <n v="4.791666666666667E-2"/>
    <n v="0.998"/>
    <n v="0.60259166666666664"/>
    <n v="0.93299999999999994"/>
    <m/>
    <m/>
    <m/>
    <m/>
    <m/>
    <m/>
    <m/>
    <m/>
    <m/>
  </r>
  <r>
    <x v="151"/>
    <x v="0"/>
    <m/>
    <x v="8"/>
    <n v="27"/>
    <n v="27"/>
    <n v="0"/>
    <m/>
    <n v="11419"/>
    <n v="10885"/>
    <n v="534"/>
    <x v="127"/>
    <n v="171"/>
    <n v="422.92592592592592"/>
    <n v="403.14814814814815"/>
    <n v="19.777777777777779"/>
    <n v="258.46296296296299"/>
    <n v="6.333333333333333"/>
    <n v="25"/>
    <m/>
    <n v="49.8"/>
    <n v="10"/>
    <n v="8.5"/>
    <n v="4.6764164988177599E-2"/>
    <n v="0.998"/>
    <n v="0.61113057185392772"/>
    <n v="0.93299999999999994"/>
    <m/>
    <m/>
    <m/>
    <m/>
    <m/>
    <m/>
    <m/>
    <m/>
    <m/>
  </r>
  <r>
    <x v="152"/>
    <x v="0"/>
    <m/>
    <x v="9"/>
    <n v="14"/>
    <n v="14"/>
    <n v="0"/>
    <m/>
    <n v="5770"/>
    <n v="5635"/>
    <n v="135"/>
    <x v="128"/>
    <n v="80"/>
    <n v="412.14285714285717"/>
    <n v="402.5"/>
    <n v="9.6428571428571423"/>
    <n v="247.27857142857144"/>
    <n v="5.7142857142857144"/>
    <n v="25"/>
    <m/>
    <n v="49.5"/>
    <n v="9.9"/>
    <n v="8.5"/>
    <n v="2.3396880415944538E-2"/>
    <n v="0.995"/>
    <n v="0.59998266897746966"/>
    <n v="0.92900000000000005"/>
    <m/>
    <m/>
    <m/>
    <m/>
    <m/>
    <m/>
    <m/>
    <m/>
    <m/>
  </r>
  <r>
    <x v="152"/>
    <x v="0"/>
    <m/>
    <x v="0"/>
    <n v="21"/>
    <n v="21"/>
    <n v="0"/>
    <m/>
    <n v="9185"/>
    <n v="8855"/>
    <n v="330"/>
    <x v="129"/>
    <n v="120"/>
    <n v="437.38095238095241"/>
    <n v="421.66666666666669"/>
    <n v="15.714285714285714"/>
    <n v="262.48095238095237"/>
    <n v="5.7142857142857144"/>
    <n v="25"/>
    <m/>
    <n v="49.5"/>
    <n v="9.9"/>
    <n v="8.5"/>
    <n v="3.5928143712574849E-2"/>
    <n v="0.995"/>
    <n v="0.60011976047904192"/>
    <n v="0.92900000000000005"/>
    <m/>
    <m/>
    <m/>
    <m/>
    <m/>
    <m/>
    <m/>
    <m/>
    <m/>
  </r>
  <r>
    <x v="153"/>
    <x v="0"/>
    <m/>
    <x v="5"/>
    <n v="35"/>
    <n v="35"/>
    <n v="0"/>
    <m/>
    <n v="13968"/>
    <n v="12965"/>
    <n v="1003"/>
    <x v="130"/>
    <m/>
    <n v="399.08571428571429"/>
    <n v="370.42857142857144"/>
    <n v="28.657142857142858"/>
    <n v="242.46571428571426"/>
    <m/>
    <n v="25"/>
    <m/>
    <n v="50"/>
    <n v="9"/>
    <n v="8.5"/>
    <n v="7.1806987399770913E-2"/>
    <n v="1"/>
    <n v="0.60755297823596788"/>
    <n v="0.92500000000000004"/>
    <m/>
    <m/>
    <m/>
    <m/>
    <m/>
    <m/>
    <m/>
    <m/>
    <m/>
  </r>
  <r>
    <x v="153"/>
    <x v="1"/>
    <m/>
    <x v="1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54"/>
    <x v="0"/>
    <m/>
    <x v="8"/>
    <n v="33"/>
    <n v="33"/>
    <n v="0"/>
    <m/>
    <n v="13810"/>
    <n v="13120"/>
    <n v="690"/>
    <x v="131"/>
    <m/>
    <n v="418.4848484848485"/>
    <n v="397.57575757575756"/>
    <n v="20.90909090909091"/>
    <n v="254.03333333333333"/>
    <m/>
    <n v="25"/>
    <m/>
    <n v="49.6"/>
    <n v="10"/>
    <n v="8.5"/>
    <n v="4.9963794351918903E-2"/>
    <n v="0.996"/>
    <n v="0.60703113685734977"/>
    <n v="0.93099999999999994"/>
    <m/>
    <m/>
    <m/>
    <m/>
    <m/>
    <m/>
    <m/>
    <m/>
    <m/>
  </r>
  <r>
    <x v="155"/>
    <x v="0"/>
    <m/>
    <x v="0"/>
    <n v="32"/>
    <n v="32"/>
    <n v="0"/>
    <m/>
    <n v="14980"/>
    <n v="14475"/>
    <n v="505"/>
    <x v="132"/>
    <m/>
    <n v="468.125"/>
    <n v="452.34375"/>
    <n v="15.78125"/>
    <n v="290.21249999999998"/>
    <m/>
    <n v="25"/>
    <m/>
    <n v="50"/>
    <n v="10"/>
    <n v="8.5"/>
    <n v="3.3711615487316424E-2"/>
    <n v="1"/>
    <n v="0.61994659546061415"/>
    <n v="0.93500000000000005"/>
    <m/>
    <m/>
    <m/>
    <m/>
    <m/>
    <m/>
    <m/>
    <m/>
    <m/>
  </r>
  <r>
    <x v="156"/>
    <x v="0"/>
    <m/>
    <x v="5"/>
    <n v="35"/>
    <n v="35"/>
    <n v="0"/>
    <m/>
    <n v="14327"/>
    <n v="13535"/>
    <n v="792"/>
    <x v="133"/>
    <m/>
    <n v="409.34285714285716"/>
    <n v="386.71428571428572"/>
    <n v="22.62857142857143"/>
    <n v="251.73714285714283"/>
    <m/>
    <n v="25"/>
    <m/>
    <n v="49.9"/>
    <n v="9"/>
    <n v="8.5"/>
    <n v="5.5280240106093392E-2"/>
    <n v="0.999"/>
    <n v="0.61497871152369643"/>
    <n v="0.92400000000000004"/>
    <m/>
    <m/>
    <m/>
    <m/>
    <m/>
    <m/>
    <m/>
    <m/>
    <m/>
  </r>
  <r>
    <x v="156"/>
    <x v="1"/>
    <m/>
    <x v="1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57"/>
    <x v="0"/>
    <m/>
    <x v="0"/>
    <n v="33"/>
    <n v="31"/>
    <n v="2"/>
    <m/>
    <n v="14852"/>
    <n v="14152"/>
    <n v="700"/>
    <x v="134"/>
    <m/>
    <n v="479.09677419354841"/>
    <n v="456.51612903225805"/>
    <n v="22.580645161290324"/>
    <n v="293.17741935483872"/>
    <m/>
    <n v="24.9"/>
    <m/>
    <n v="49.6"/>
    <n v="10"/>
    <n v="8.5"/>
    <n v="4.7131699434419604E-2"/>
    <n v="0.99399999999999999"/>
    <n v="0.61193778615674654"/>
    <n v="0.93"/>
    <m/>
    <m/>
    <m/>
    <m/>
    <m/>
    <m/>
    <m/>
    <m/>
    <m/>
  </r>
  <r>
    <x v="158"/>
    <x v="0"/>
    <m/>
    <x v="8"/>
    <n v="35"/>
    <n v="35"/>
    <n v="0"/>
    <m/>
    <n v="15843"/>
    <n v="15380"/>
    <n v="463"/>
    <x v="135"/>
    <m/>
    <n v="452.65714285714284"/>
    <n v="439.42857142857144"/>
    <n v="13.228571428571428"/>
    <n v="282.10000000000002"/>
    <m/>
    <n v="25"/>
    <m/>
    <n v="49.7"/>
    <n v="10"/>
    <n v="8.5"/>
    <n v="2.9224263081487092E-2"/>
    <n v="0.99700000000000011"/>
    <n v="0.62320898819667991"/>
    <n v="0.93200000000000005"/>
    <m/>
    <m/>
    <m/>
    <m/>
    <m/>
    <m/>
    <m/>
    <m/>
    <m/>
  </r>
  <r>
    <x v="159"/>
    <x v="0"/>
    <m/>
    <x v="5"/>
    <n v="35"/>
    <n v="34"/>
    <n v="1"/>
    <m/>
    <n v="13397"/>
    <n v="12530"/>
    <n v="867"/>
    <x v="136"/>
    <m/>
    <n v="394.02941176470586"/>
    <n v="368.52941176470586"/>
    <n v="25.5"/>
    <n v="241.8"/>
    <m/>
    <n v="25"/>
    <m/>
    <n v="49.9"/>
    <n v="10"/>
    <n v="8.5"/>
    <n v="6.4715981189818625E-2"/>
    <n v="0.999"/>
    <n v="0.61365977457639775"/>
    <n v="0.93400000000000005"/>
    <m/>
    <m/>
    <m/>
    <m/>
    <m/>
    <m/>
    <m/>
    <m/>
    <m/>
  </r>
  <r>
    <x v="159"/>
    <x v="1"/>
    <m/>
    <x v="1"/>
    <n v="20"/>
    <n v="20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160"/>
    <x v="0"/>
    <m/>
    <x v="5"/>
    <n v="33"/>
    <n v="32"/>
    <n v="1"/>
    <m/>
    <n v="12962"/>
    <n v="12230"/>
    <n v="732"/>
    <x v="137"/>
    <m/>
    <n v="405.0625"/>
    <n v="382.1875"/>
    <n v="22.875"/>
    <n v="252.40937500000001"/>
    <m/>
    <n v="25"/>
    <m/>
    <n v="49.4"/>
    <n v="9"/>
    <n v="8.5"/>
    <n v="5.6472766548372168E-2"/>
    <n v="0.99399999999999999"/>
    <n v="0.6231368615954328"/>
    <n v="0.91900000000000004"/>
    <m/>
    <m/>
    <m/>
    <m/>
    <m/>
    <m/>
    <m/>
    <m/>
    <m/>
  </r>
  <r>
    <x v="161"/>
    <x v="0"/>
    <m/>
    <x v="0"/>
    <n v="35"/>
    <n v="35"/>
    <n v="0"/>
    <m/>
    <n v="16400"/>
    <n v="15695"/>
    <n v="705"/>
    <x v="138"/>
    <m/>
    <n v="468.57142857142856"/>
    <n v="448.42857142857144"/>
    <n v="20.142857142857142"/>
    <n v="281.65142857142854"/>
    <m/>
    <n v="22"/>
    <m/>
    <n v="44.7"/>
    <n v="10"/>
    <n v="8.5"/>
    <n v="4.2987804878048784E-2"/>
    <n v="0.88700000000000001"/>
    <n v="0.60108536585365846"/>
    <n v="0.85199999999999998"/>
    <m/>
    <m/>
    <m/>
    <m/>
    <m/>
    <m/>
    <m/>
    <m/>
    <m/>
  </r>
  <r>
    <x v="162"/>
    <x v="0"/>
    <m/>
    <x v="8"/>
    <n v="36"/>
    <n v="35"/>
    <n v="1"/>
    <m/>
    <n v="16242"/>
    <n v="15675"/>
    <n v="567"/>
    <x v="139"/>
    <m/>
    <n v="464.05714285714288"/>
    <n v="447.85714285714283"/>
    <n v="16.2"/>
    <n v="288.0057142857143"/>
    <m/>
    <n v="20"/>
    <m/>
    <n v="49.9"/>
    <n v="10"/>
    <n v="8.5"/>
    <n v="3.4909493904691537E-2"/>
    <n v="0.89900000000000002"/>
    <n v="0.62062553872675785"/>
    <n v="0.88400000000000001"/>
    <m/>
    <m/>
    <m/>
    <m/>
    <m/>
    <m/>
    <m/>
    <m/>
    <m/>
  </r>
  <r>
    <x v="162"/>
    <x v="1"/>
    <m/>
    <x v="1"/>
    <n v="20"/>
    <n v="20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m/>
    <m/>
    <m/>
    <m/>
    <m/>
    <m/>
    <m/>
  </r>
  <r>
    <x v="163"/>
    <x v="0"/>
    <m/>
    <x v="0"/>
    <n v="32"/>
    <n v="32"/>
    <n v="0"/>
    <m/>
    <n v="15300"/>
    <n v="15300"/>
    <n v="0"/>
    <x v="140"/>
    <m/>
    <n v="478.125"/>
    <n v="478.125"/>
    <m/>
    <n v="287.25625000000002"/>
    <m/>
    <n v="25"/>
    <m/>
    <n v="49.8"/>
    <n v="10"/>
    <n v="8.5"/>
    <n v="0"/>
    <n v="0.998"/>
    <n v="0.60079738562091511"/>
    <n v="0.93299999999999994"/>
    <m/>
    <m/>
    <m/>
    <m/>
    <m/>
    <m/>
    <m/>
    <m/>
    <m/>
  </r>
  <r>
    <x v="164"/>
    <x v="0"/>
    <m/>
    <x v="5"/>
    <n v="35"/>
    <n v="35"/>
    <n v="0"/>
    <m/>
    <n v="14010"/>
    <n v="13035"/>
    <n v="975"/>
    <x v="141"/>
    <m/>
    <n v="400.28571428571428"/>
    <n v="372.42857142857144"/>
    <n v="27.857142857142858"/>
    <n v="245.1057142857143"/>
    <m/>
    <n v="25"/>
    <m/>
    <n v="49.7"/>
    <n v="9"/>
    <n v="8.5"/>
    <n v="6.9593147751605994E-2"/>
    <n v="0.99700000000000011"/>
    <n v="0.61232690935046397"/>
    <n v="0.92200000000000004"/>
    <m/>
    <m/>
    <m/>
    <m/>
    <m/>
    <m/>
    <m/>
    <m/>
    <m/>
  </r>
  <r>
    <x v="165"/>
    <x v="0"/>
    <m/>
    <x v="6"/>
    <n v="17"/>
    <n v="17"/>
    <n v="0"/>
    <m/>
    <n v="7345"/>
    <n v="7035"/>
    <n v="310"/>
    <x v="142"/>
    <m/>
    <n v="432.05882352941177"/>
    <n v="413.8235294117647"/>
    <n v="18.235294117647058"/>
    <n v="263.18235294117648"/>
    <m/>
    <n v="19.899999999999999"/>
    <m/>
    <n v="49.8"/>
    <n v="10"/>
    <n v="8.5"/>
    <n v="4.2205582028590878E-2"/>
    <n v="0.89599999999999991"/>
    <n v="0.60913546630360793"/>
    <n v="0.8819999999999999"/>
    <m/>
    <m/>
    <m/>
    <m/>
    <m/>
    <m/>
    <m/>
    <m/>
    <m/>
  </r>
  <r>
    <x v="165"/>
    <x v="0"/>
    <m/>
    <x v="8"/>
    <n v="21"/>
    <n v="19"/>
    <n v="2"/>
    <m/>
    <n v="9134"/>
    <n v="9134"/>
    <n v="0"/>
    <x v="143"/>
    <m/>
    <n v="480.73684210526318"/>
    <n v="480.73684210526318"/>
    <m/>
    <n v="303.65263157894736"/>
    <m/>
    <n v="19.899999999999999"/>
    <m/>
    <n v="49.8"/>
    <n v="10"/>
    <n v="8.5"/>
    <n v="0"/>
    <n v="0.89599999999999991"/>
    <n v="0.63164002627545435"/>
    <n v="0.8819999999999999"/>
    <m/>
    <m/>
    <m/>
    <m/>
    <m/>
    <m/>
    <m/>
    <m/>
    <m/>
  </r>
  <r>
    <x v="165"/>
    <x v="1"/>
    <m/>
    <x v="1"/>
    <n v="20"/>
    <n v="19"/>
    <n v="1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166"/>
    <x v="0"/>
    <m/>
    <x v="7"/>
    <n v="7"/>
    <n v="7"/>
    <n v="0"/>
    <m/>
    <n v="3010"/>
    <n v="2905"/>
    <n v="105"/>
    <x v="144"/>
    <m/>
    <n v="430"/>
    <n v="415"/>
    <n v="15"/>
    <n v="259.05714285714288"/>
    <m/>
    <n v="23.4"/>
    <m/>
    <n v="49"/>
    <n v="10"/>
    <n v="8.5"/>
    <n v="3.4883720930232558E-2"/>
    <n v="0.95799999999999996"/>
    <n v="0.60245847176079736"/>
    <n v="0.90900000000000003"/>
    <m/>
    <m/>
    <m/>
    <m/>
    <m/>
    <m/>
    <m/>
    <m/>
    <m/>
  </r>
  <r>
    <x v="166"/>
    <x v="0"/>
    <m/>
    <x v="0"/>
    <n v="27"/>
    <n v="26"/>
    <n v="1"/>
    <m/>
    <n v="12771"/>
    <n v="12121"/>
    <n v="650"/>
    <x v="145"/>
    <m/>
    <n v="491.19230769230768"/>
    <n v="466.19230769230768"/>
    <n v="25"/>
    <n v="299.8692307692308"/>
    <m/>
    <n v="23.4"/>
    <m/>
    <n v="49"/>
    <n v="10"/>
    <n v="8.5"/>
    <n v="5.0896562524469502E-2"/>
    <n v="0.95799999999999996"/>
    <n v="0.61049252212042915"/>
    <n v="0.90900000000000003"/>
    <m/>
    <m/>
    <m/>
    <m/>
    <m/>
    <m/>
    <m/>
    <m/>
    <m/>
  </r>
  <r>
    <x v="167"/>
    <x v="0"/>
    <m/>
    <x v="5"/>
    <n v="35"/>
    <n v="35"/>
    <n v="0"/>
    <m/>
    <n v="14334"/>
    <n v="13555"/>
    <n v="779"/>
    <x v="146"/>
    <m/>
    <n v="409.54285714285714"/>
    <n v="387.28571428571428"/>
    <n v="22.257142857142856"/>
    <n v="252.55714285714285"/>
    <m/>
    <n v="25"/>
    <m/>
    <n v="49.9"/>
    <n v="9"/>
    <n v="8.5"/>
    <n v="5.434630947397795E-2"/>
    <n v="0.999"/>
    <n v="0.61668061950606945"/>
    <n v="0.92400000000000004"/>
    <m/>
    <m/>
    <m/>
    <m/>
    <m/>
    <m/>
    <m/>
    <m/>
    <m/>
  </r>
  <r>
    <x v="168"/>
    <x v="0"/>
    <m/>
    <x v="10"/>
    <n v="4"/>
    <n v="3"/>
    <n v="1"/>
    <m/>
    <n v="1179"/>
    <n v="1155"/>
    <n v="24"/>
    <x v="147"/>
    <m/>
    <n v="393"/>
    <n v="385"/>
    <n v="8"/>
    <n v="238.06666666666669"/>
    <m/>
    <n v="23.8"/>
    <m/>
    <n v="49.6"/>
    <n v="10"/>
    <n v="8.5"/>
    <n v="2.0356234096692113E-2"/>
    <n v="0.97199999999999998"/>
    <n v="0.60576759966072946"/>
    <n v="0.91900000000000004"/>
    <m/>
    <m/>
    <m/>
    <m/>
    <m/>
    <m/>
    <m/>
    <m/>
    <m/>
  </r>
  <r>
    <x v="168"/>
    <x v="0"/>
    <m/>
    <x v="8"/>
    <n v="28"/>
    <n v="27"/>
    <n v="1"/>
    <m/>
    <n v="11240"/>
    <n v="11240"/>
    <n v="0"/>
    <x v="148"/>
    <m/>
    <n v="416.2962962962963"/>
    <n v="416.2962962962963"/>
    <m/>
    <n v="258.28518518518518"/>
    <m/>
    <n v="23.8"/>
    <m/>
    <n v="49.6"/>
    <n v="10"/>
    <n v="8.5"/>
    <n v="0"/>
    <n v="0.97199999999999998"/>
    <n v="0.62043594306049821"/>
    <n v="0.91900000000000004"/>
    <m/>
    <m/>
    <m/>
    <m/>
    <m/>
    <m/>
    <m/>
    <m/>
    <m/>
  </r>
  <r>
    <x v="168"/>
    <x v="1"/>
    <m/>
    <x v="1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69"/>
    <x v="0"/>
    <m/>
    <x v="0"/>
    <n v="30"/>
    <n v="29"/>
    <n v="1"/>
    <m/>
    <n v="14151"/>
    <n v="13286.2"/>
    <n v="864.79999999999927"/>
    <x v="149"/>
    <m/>
    <n v="487.9655172413793"/>
    <n v="458.14482758620693"/>
    <n v="29.820689655172387"/>
    <n v="296.26896551724133"/>
    <m/>
    <n v="24.3"/>
    <m/>
    <n v="49.3"/>
    <n v="10"/>
    <n v="8.5"/>
    <n v="6.1112288884177746E-2"/>
    <n v="0.97899999999999998"/>
    <n v="0.60715143806091432"/>
    <n v="0.92099999999999993"/>
    <m/>
    <m/>
    <m/>
    <m/>
    <m/>
    <m/>
    <m/>
    <m/>
    <m/>
  </r>
  <r>
    <x v="170"/>
    <x v="0"/>
    <m/>
    <x v="5"/>
    <n v="30"/>
    <n v="30"/>
    <n v="0"/>
    <m/>
    <n v="11907"/>
    <n v="11155"/>
    <n v="752"/>
    <x v="150"/>
    <m/>
    <n v="396.9"/>
    <n v="371.83333333333331"/>
    <n v="25.066666666666666"/>
    <n v="245.66666666666666"/>
    <m/>
    <n v="25"/>
    <m/>
    <n v="49.8"/>
    <n v="9"/>
    <n v="8.5"/>
    <n v="6.3156126648190147E-2"/>
    <n v="0.998"/>
    <n v="0.61896363483665073"/>
    <n v="0.92299999999999993"/>
    <m/>
    <m/>
    <m/>
    <m/>
    <m/>
    <m/>
    <m/>
    <m/>
    <m/>
  </r>
  <r>
    <x v="171"/>
    <x v="0"/>
    <m/>
    <x v="5"/>
    <n v="32"/>
    <n v="32"/>
    <n v="0"/>
    <m/>
    <n v="12659"/>
    <n v="11925"/>
    <n v="734"/>
    <x v="151"/>
    <n v="240"/>
    <n v="395.59375"/>
    <n v="372.65625"/>
    <n v="22.9375"/>
    <n v="244.0625"/>
    <n v="7.5"/>
    <n v="25"/>
    <m/>
    <n v="49.4"/>
    <n v="9"/>
    <n v="8.5"/>
    <n v="5.7982463069752743E-2"/>
    <n v="0.99399999999999999"/>
    <n v="0.6169523659056797"/>
    <n v="0.91900000000000004"/>
    <m/>
    <m/>
    <m/>
    <m/>
    <m/>
    <m/>
    <m/>
    <m/>
    <m/>
  </r>
  <r>
    <x v="172"/>
    <x v="0"/>
    <m/>
    <x v="0"/>
    <n v="31"/>
    <n v="31"/>
    <n v="0"/>
    <m/>
    <n v="14930"/>
    <n v="14110"/>
    <n v="820"/>
    <x v="152"/>
    <m/>
    <n v="481.61290322580646"/>
    <n v="455.16129032258067"/>
    <n v="26.451612903225808"/>
    <n v="293.32258064516128"/>
    <m/>
    <n v="25"/>
    <m/>
    <n v="49.1"/>
    <n v="10"/>
    <n v="8.5"/>
    <n v="5.4922973878097789E-2"/>
    <n v="0.99099999999999999"/>
    <n v="0.60904219691895511"/>
    <n v="0.92599999999999993"/>
    <m/>
    <m/>
    <m/>
    <m/>
    <m/>
    <m/>
    <m/>
    <m/>
    <m/>
  </r>
  <r>
    <x v="173"/>
    <x v="0"/>
    <m/>
    <x v="8"/>
    <n v="31"/>
    <n v="30"/>
    <n v="1"/>
    <m/>
    <n v="12110"/>
    <n v="11737"/>
    <n v="373"/>
    <x v="153"/>
    <m/>
    <n v="403.66666666666669"/>
    <n v="391.23333333333335"/>
    <n v="12.433333333333334"/>
    <n v="242.23666666666668"/>
    <m/>
    <n v="23.3"/>
    <m/>
    <n v="49.8"/>
    <n v="10"/>
    <n v="8.3000000000000007"/>
    <n v="3.0800990916597853E-2"/>
    <n v="0.96399999999999997"/>
    <n v="0.6000908340214699"/>
    <n v="0.91399999999999992"/>
    <m/>
    <m/>
    <m/>
    <m/>
    <m/>
    <m/>
    <m/>
    <m/>
    <m/>
  </r>
  <r>
    <x v="174"/>
    <x v="0"/>
    <m/>
    <x v="10"/>
    <n v="30"/>
    <n v="30"/>
    <n v="0"/>
    <m/>
    <n v="11481"/>
    <n v="11130"/>
    <n v="351"/>
    <x v="154"/>
    <m/>
    <n v="382.7"/>
    <n v="371"/>
    <n v="11.7"/>
    <n v="235.12"/>
    <m/>
    <n v="20"/>
    <m/>
    <n v="49.6"/>
    <n v="10"/>
    <n v="8.5"/>
    <n v="3.0572249804024038E-2"/>
    <n v="0.89600000000000002"/>
    <n v="0.61437157042069512"/>
    <n v="0.88099999999999989"/>
    <m/>
    <m/>
    <m/>
    <m/>
    <m/>
    <m/>
    <m/>
    <m/>
    <m/>
  </r>
  <r>
    <x v="174"/>
    <x v="1"/>
    <m/>
    <x v="5"/>
    <n v="22"/>
    <n v="22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m/>
    <m/>
    <m/>
    <m/>
    <m/>
    <m/>
    <m/>
  </r>
  <r>
    <x v="175"/>
    <x v="0"/>
    <m/>
    <x v="0"/>
    <n v="30"/>
    <n v="29"/>
    <n v="1"/>
    <m/>
    <n v="14100"/>
    <n v="13035"/>
    <n v="1065"/>
    <x v="155"/>
    <m/>
    <n v="486.20689655172413"/>
    <n v="449.48275862068965"/>
    <n v="36.724137931034484"/>
    <n v="291.86206896551727"/>
    <m/>
    <n v="25"/>
    <m/>
    <n v="49.8"/>
    <n v="10"/>
    <n v="8.5"/>
    <n v="7.5531914893617019E-2"/>
    <n v="0.998"/>
    <n v="0.60028368794326237"/>
    <n v="0.93299999999999994"/>
    <m/>
    <m/>
    <m/>
    <m/>
    <m/>
    <m/>
    <m/>
    <m/>
    <m/>
  </r>
  <r>
    <x v="176"/>
    <x v="0"/>
    <m/>
    <x v="5"/>
    <n v="30"/>
    <n v="30"/>
    <n v="0"/>
    <m/>
    <n v="12294"/>
    <n v="11485"/>
    <n v="809"/>
    <x v="156"/>
    <m/>
    <n v="409.8"/>
    <n v="382.83333333333331"/>
    <n v="26.966666666666665"/>
    <n v="252.03333333333333"/>
    <m/>
    <n v="25"/>
    <m/>
    <n v="49.9"/>
    <n v="9"/>
    <n v="8.5"/>
    <n v="6.5804457458923049E-2"/>
    <n v="0.999"/>
    <n v="0.6150154546933464"/>
    <n v="0.92400000000000004"/>
    <m/>
    <m/>
    <m/>
    <m/>
    <m/>
    <m/>
    <m/>
    <m/>
    <m/>
  </r>
  <r>
    <x v="177"/>
    <x v="0"/>
    <m/>
    <x v="8"/>
    <n v="30"/>
    <n v="30"/>
    <n v="0"/>
    <m/>
    <n v="14090"/>
    <n v="13745"/>
    <n v="345"/>
    <x v="157"/>
    <m/>
    <n v="469.66666666666669"/>
    <n v="458.16666666666669"/>
    <n v="11.5"/>
    <n v="284.02999999999997"/>
    <m/>
    <n v="25"/>
    <m/>
    <n v="50"/>
    <n v="10"/>
    <n v="8.5"/>
    <n v="2.4485450674237047E-2"/>
    <n v="1"/>
    <n v="0.60474804826117812"/>
    <n v="0.93500000000000005"/>
    <m/>
    <m/>
    <m/>
    <m/>
    <m/>
    <m/>
    <m/>
    <m/>
    <m/>
  </r>
  <r>
    <x v="177"/>
    <x v="1"/>
    <m/>
    <x v="5"/>
    <n v="20"/>
    <n v="20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m/>
    <m/>
    <m/>
    <m/>
    <m/>
    <m/>
    <m/>
  </r>
  <r>
    <x v="178"/>
    <x v="0"/>
    <m/>
    <x v="5"/>
    <n v="30"/>
    <n v="30"/>
    <n v="0"/>
    <m/>
    <n v="12142"/>
    <n v="11620"/>
    <n v="522"/>
    <x v="158"/>
    <m/>
    <n v="404.73333333333335"/>
    <n v="387.33333333333331"/>
    <n v="17.399999999999999"/>
    <n v="256.08999999999997"/>
    <m/>
    <n v="25"/>
    <m/>
    <n v="49.1"/>
    <n v="9"/>
    <n v="8.5"/>
    <n v="4.2991269971998015E-2"/>
    <n v="0.99099999999999999"/>
    <n v="0.63273760500741227"/>
    <n v="0.91599999999999993"/>
    <m/>
    <m/>
    <m/>
    <m/>
    <m/>
    <m/>
    <m/>
    <m/>
    <m/>
  </r>
  <r>
    <x v="179"/>
    <x v="0"/>
    <m/>
    <x v="0"/>
    <n v="30"/>
    <n v="29"/>
    <n v="1"/>
    <m/>
    <n v="14035"/>
    <n v="13330"/>
    <n v="705"/>
    <x v="159"/>
    <m/>
    <n v="483.9655172413793"/>
    <n v="459.65517241379308"/>
    <n v="24.310344827586206"/>
    <n v="295.58965517241381"/>
    <m/>
    <n v="24"/>
    <m/>
    <n v="49.5"/>
    <n v="10"/>
    <n v="8.5"/>
    <n v="5.0231563947274668E-2"/>
    <n v="0.97499999999999998"/>
    <n v="0.61076594228713932"/>
    <n v="0.92"/>
    <m/>
    <m/>
    <m/>
    <m/>
    <m/>
    <m/>
    <m/>
    <m/>
    <m/>
  </r>
  <r>
    <x v="180"/>
    <x v="0"/>
    <m/>
    <x v="5"/>
    <n v="30"/>
    <n v="29"/>
    <n v="1"/>
    <m/>
    <n v="11660"/>
    <n v="11089"/>
    <n v="571"/>
    <x v="160"/>
    <m/>
    <n v="402.06896551724139"/>
    <n v="382.37931034482756"/>
    <n v="19.689655172413794"/>
    <n v="252.49655172413793"/>
    <m/>
    <n v="25"/>
    <m/>
    <n v="49.8"/>
    <n v="9"/>
    <n v="8.5"/>
    <n v="4.897084048027444E-2"/>
    <n v="0.998"/>
    <n v="0.62799313893653508"/>
    <n v="0.92299999999999993"/>
    <m/>
    <m/>
    <m/>
    <m/>
    <m/>
    <m/>
    <m/>
    <m/>
    <m/>
  </r>
  <r>
    <x v="181"/>
    <x v="0"/>
    <m/>
    <x v="0"/>
    <n v="30"/>
    <n v="30"/>
    <n v="0"/>
    <m/>
    <n v="13950"/>
    <n v="13610"/>
    <n v="340"/>
    <x v="161"/>
    <m/>
    <n v="465"/>
    <n v="453.66666666666669"/>
    <n v="11.333333333333334"/>
    <n v="279.93"/>
    <m/>
    <n v="25"/>
    <m/>
    <n v="49.8"/>
    <n v="10"/>
    <n v="8.5"/>
    <n v="2.4372759856630826E-2"/>
    <n v="0.998"/>
    <n v="0.60199999999999998"/>
    <n v="0.93299999999999994"/>
    <m/>
    <m/>
    <m/>
    <m/>
    <m/>
    <m/>
    <m/>
    <m/>
    <m/>
  </r>
  <r>
    <x v="182"/>
    <x v="0"/>
    <m/>
    <x v="8"/>
    <n v="32"/>
    <n v="32"/>
    <n v="0"/>
    <m/>
    <n v="15200"/>
    <n v="14590"/>
    <n v="610"/>
    <x v="162"/>
    <m/>
    <n v="475"/>
    <n v="455.9375"/>
    <n v="19.0625"/>
    <n v="285.66093749999999"/>
    <m/>
    <n v="25"/>
    <m/>
    <n v="49.9"/>
    <n v="10"/>
    <n v="8"/>
    <n v="4.0131578947368421E-2"/>
    <n v="0.999"/>
    <n v="0.60139144736842098"/>
    <n v="0.92900000000000005"/>
    <m/>
    <m/>
    <m/>
    <m/>
    <m/>
    <m/>
    <m/>
    <m/>
    <m/>
  </r>
  <r>
    <x v="183"/>
    <x v="0"/>
    <m/>
    <x v="0"/>
    <n v="35"/>
    <n v="35"/>
    <n v="0"/>
    <m/>
    <n v="16485"/>
    <n v="15690"/>
    <n v="795"/>
    <x v="163"/>
    <m/>
    <n v="471"/>
    <n v="448.28571428571428"/>
    <n v="22.714285714285715"/>
    <n v="282.6142857142857"/>
    <m/>
    <n v="25"/>
    <m/>
    <n v="49.7"/>
    <n v="9.6999999999999993"/>
    <n v="8.5"/>
    <n v="4.8225659690627844E-2"/>
    <n v="0.99700000000000011"/>
    <n v="0.60003033060357902"/>
    <n v="0.92900000000000005"/>
    <m/>
    <m/>
    <m/>
    <m/>
    <m/>
    <m/>
    <m/>
    <m/>
    <m/>
  </r>
  <r>
    <x v="184"/>
    <x v="0"/>
    <m/>
    <x v="5"/>
    <n v="30"/>
    <n v="30"/>
    <n v="0"/>
    <m/>
    <n v="11858"/>
    <n v="11858"/>
    <n v="0"/>
    <x v="164"/>
    <m/>
    <n v="395.26666666666665"/>
    <n v="395.26666666666665"/>
    <m/>
    <n v="247.20333333333335"/>
    <m/>
    <n v="25"/>
    <m/>
    <n v="49.8"/>
    <n v="9"/>
    <n v="8.5"/>
    <n v="0"/>
    <n v="0.998"/>
    <n v="0.62540900657783782"/>
    <n v="0.92299999999999993"/>
    <m/>
    <m/>
    <m/>
    <m/>
    <m/>
    <m/>
    <m/>
    <m/>
    <m/>
  </r>
  <r>
    <x v="185"/>
    <x v="0"/>
    <m/>
    <x v="0"/>
    <n v="17"/>
    <n v="17"/>
    <n v="0"/>
    <m/>
    <n v="8175"/>
    <n v="7775"/>
    <n v="400"/>
    <x v="165"/>
    <n v="0"/>
    <n v="480.88235294117646"/>
    <n v="457.35294117647061"/>
    <n v="23.529411764705884"/>
    <n v="288.51764705882351"/>
    <n v="0"/>
    <n v="24.9"/>
    <n v="0"/>
    <n v="49.9"/>
    <n v="10"/>
    <n v="8.5"/>
    <n v="4.8929663608562698E-2"/>
    <n v="0.997"/>
    <n v="0.59997553516819579"/>
    <n v="0.93299999999999994"/>
    <m/>
    <m/>
    <m/>
    <m/>
    <m/>
    <n v="1"/>
    <m/>
    <m/>
    <m/>
  </r>
  <r>
    <x v="185"/>
    <x v="0"/>
    <m/>
    <x v="8"/>
    <n v="18"/>
    <n v="18"/>
    <n v="0"/>
    <m/>
    <n v="8645"/>
    <n v="8480"/>
    <n v="165"/>
    <x v="166"/>
    <n v="0"/>
    <n v="480.27777777777777"/>
    <n v="471.11111111111109"/>
    <n v="9.1666666666666661"/>
    <n v="292.88888888888891"/>
    <n v="0"/>
    <n v="24.9"/>
    <n v="0"/>
    <n v="49.9"/>
    <n v="10"/>
    <n v="8.5"/>
    <n v="1.9086176980913822E-2"/>
    <n v="0.997"/>
    <n v="0.60983227299016773"/>
    <n v="0.93299999999999994"/>
    <m/>
    <m/>
    <m/>
    <m/>
    <m/>
    <m/>
    <m/>
    <m/>
    <m/>
  </r>
  <r>
    <x v="186"/>
    <x v="0"/>
    <m/>
    <x v="0"/>
    <n v="35"/>
    <n v="34"/>
    <n v="1"/>
    <s v="c.bovis in the heart"/>
    <n v="15700"/>
    <n v="15030"/>
    <n v="670"/>
    <x v="167"/>
    <m/>
    <n v="461.76470588235293"/>
    <n v="442.05882352941177"/>
    <n v="19.705882352941178"/>
    <n v="277.08970588235292"/>
    <n v="0"/>
    <n v="25"/>
    <n v="0"/>
    <n v="49.8"/>
    <n v="10"/>
    <n v="8.5"/>
    <n v="4.2675159235668794E-2"/>
    <n v="0.998"/>
    <n v="0.60006687898089173"/>
    <n v="0.93299999999999994"/>
    <s v="1 lung TB"/>
    <m/>
    <m/>
    <m/>
    <n v="1"/>
    <m/>
    <m/>
    <m/>
    <m/>
  </r>
  <r>
    <x v="187"/>
    <x v="0"/>
    <m/>
    <x v="5"/>
    <n v="30"/>
    <n v="30"/>
    <n v="0"/>
    <m/>
    <n v="12037"/>
    <n v="11405"/>
    <n v="632"/>
    <x v="168"/>
    <m/>
    <n v="401.23333333333335"/>
    <n v="380.16666666666669"/>
    <n v="21.066666666666666"/>
    <n v="248.69333333333333"/>
    <n v="0"/>
    <n v="25"/>
    <n v="0"/>
    <n v="50"/>
    <n v="10"/>
    <n v="8.5"/>
    <n v="5.2504776937775194E-2"/>
    <n v="1"/>
    <n v="0.61982221483758415"/>
    <n v="0.93500000000000005"/>
    <m/>
    <m/>
    <m/>
    <m/>
    <m/>
    <m/>
    <m/>
    <m/>
    <m/>
  </r>
  <r>
    <x v="188"/>
    <x v="0"/>
    <m/>
    <x v="8"/>
    <n v="37"/>
    <n v="34"/>
    <n v="3"/>
    <s v="c.bovis in the heart of 3 carcasses"/>
    <n v="16205"/>
    <n v="16205"/>
    <n v="0"/>
    <x v="169"/>
    <m/>
    <n v="476.61764705882354"/>
    <n v="476.61764705882354"/>
    <n v="0"/>
    <n v="285.97941176470584"/>
    <n v="0"/>
    <n v="24"/>
    <n v="0"/>
    <n v="48.9"/>
    <n v="10"/>
    <n v="8.5"/>
    <n v="0"/>
    <n v="0.96899999999999997"/>
    <n v="0.60001851280468987"/>
    <n v="0.91400000000000003"/>
    <m/>
    <m/>
    <s v="1 liver abscess +  10 kidney cysts and stones"/>
    <n v="17"/>
    <m/>
    <m/>
    <m/>
    <m/>
    <m/>
  </r>
  <r>
    <x v="189"/>
    <x v="0"/>
    <m/>
    <x v="0"/>
    <n v="35"/>
    <n v="35"/>
    <n v="0"/>
    <m/>
    <n v="16610"/>
    <n v="15925"/>
    <n v="685"/>
    <x v="170"/>
    <m/>
    <n v="474.57142857142856"/>
    <n v="455"/>
    <n v="19.571428571428573"/>
    <n v="286.81142857142856"/>
    <n v="0"/>
    <n v="24"/>
    <n v="0"/>
    <n v="49.1"/>
    <n v="10"/>
    <n v="8.5"/>
    <n v="4.1240216736905484E-2"/>
    <n v="0.97099999999999997"/>
    <n v="0.60435881998795904"/>
    <n v="0.91599999999999993"/>
    <m/>
    <n v="2"/>
    <s v="2 liver cirrhosis fasciola"/>
    <n v="17"/>
    <n v="1"/>
    <n v="4"/>
    <m/>
    <m/>
    <m/>
  </r>
  <r>
    <x v="190"/>
    <x v="0"/>
    <m/>
    <x v="5"/>
    <n v="30"/>
    <n v="30"/>
    <n v="0"/>
    <m/>
    <n v="11836"/>
    <n v="11160"/>
    <n v="676"/>
    <x v="171"/>
    <m/>
    <n v="394.53333333333336"/>
    <n v="372"/>
    <n v="22.533333333333335"/>
    <n v="242.07000000000002"/>
    <n v="0"/>
    <n v="25"/>
    <n v="0"/>
    <n v="49.6"/>
    <n v="10"/>
    <n v="8.5"/>
    <n v="5.7113889827644475E-2"/>
    <n v="0.996"/>
    <n v="0.61356032443393038"/>
    <n v="0.93099999999999994"/>
    <s v="1 liver (multiple abscess)"/>
    <n v="1"/>
    <s v="1 liver abscess"/>
    <m/>
    <m/>
    <m/>
    <m/>
    <m/>
    <m/>
  </r>
  <r>
    <x v="191"/>
    <x v="0"/>
    <m/>
    <x v="5"/>
    <n v="34"/>
    <n v="33"/>
    <n v="1"/>
    <s v="c.bovis in the heart"/>
    <n v="13618"/>
    <n v="12850"/>
    <n v="768"/>
    <x v="172"/>
    <m/>
    <n v="412.66666666666669"/>
    <n v="389.39393939393938"/>
    <n v="23.272727272727273"/>
    <n v="257.56969696969696"/>
    <n v="0"/>
    <n v="25"/>
    <n v="0"/>
    <n v="49.8"/>
    <n v="10"/>
    <n v="8.5"/>
    <n v="5.6395946541342341E-2"/>
    <n v="0.998"/>
    <n v="0.62415920105742395"/>
    <n v="0.93299999999999994"/>
    <m/>
    <n v="2"/>
    <m/>
    <m/>
    <m/>
    <m/>
    <m/>
    <m/>
    <m/>
  </r>
  <r>
    <x v="192"/>
    <x v="0"/>
    <m/>
    <x v="8"/>
    <n v="35"/>
    <n v="35"/>
    <n v="0"/>
    <m/>
    <n v="17300"/>
    <n v="17230"/>
    <n v="70"/>
    <x v="173"/>
    <m/>
    <n v="494.28571428571428"/>
    <n v="492.28571428571428"/>
    <n v="2"/>
    <n v="305.24"/>
    <n v="0"/>
    <n v="25"/>
    <n v="0"/>
    <n v="49.9"/>
    <n v="10"/>
    <n v="8.5"/>
    <n v="4.0462427745664737E-3"/>
    <n v="0.999"/>
    <n v="0.61753757225433525"/>
    <n v="0.93400000000000005"/>
    <m/>
    <n v="1"/>
    <m/>
    <m/>
    <m/>
    <m/>
    <m/>
    <m/>
    <m/>
  </r>
  <r>
    <x v="193"/>
    <x v="0"/>
    <m/>
    <x v="5"/>
    <n v="32"/>
    <n v="32"/>
    <n v="0"/>
    <m/>
    <n v="12936"/>
    <n v="12240"/>
    <n v="696"/>
    <x v="174"/>
    <m/>
    <n v="404.25"/>
    <n v="382.5"/>
    <n v="21.75"/>
    <n v="249.45937499999999"/>
    <n v="0"/>
    <n v="24.7"/>
    <n v="0"/>
    <n v="49.7"/>
    <n v="10"/>
    <n v="8.5"/>
    <n v="5.3803339517625233E-2"/>
    <n v="0.9910000000000001"/>
    <n v="0.61709183673469381"/>
    <n v="0.92900000000000005"/>
    <m/>
    <n v="3"/>
    <s v="small liver abscess"/>
    <n v="5"/>
    <m/>
    <m/>
    <m/>
    <m/>
    <m/>
  </r>
  <r>
    <x v="194"/>
    <x v="0"/>
    <m/>
    <x v="0"/>
    <n v="32"/>
    <n v="32"/>
    <n v="0"/>
    <m/>
    <n v="15040"/>
    <n v="14390"/>
    <n v="650"/>
    <x v="175"/>
    <m/>
    <n v="470"/>
    <n v="449.6875"/>
    <n v="20.3125"/>
    <n v="283.47500000000002"/>
    <n v="0"/>
    <n v="25"/>
    <n v="0"/>
    <n v="49.9"/>
    <n v="10"/>
    <n v="8.5"/>
    <n v="4.3218085106382982E-2"/>
    <n v="0.999"/>
    <n v="0.60313829787234052"/>
    <n v="0.93400000000000005"/>
    <m/>
    <m/>
    <s v="1 liver abscess"/>
    <m/>
    <m/>
    <m/>
    <m/>
    <m/>
    <m/>
  </r>
  <r>
    <x v="195"/>
    <x v="0"/>
    <m/>
    <x v="8"/>
    <n v="35"/>
    <n v="35"/>
    <n v="0"/>
    <m/>
    <n v="17050"/>
    <n v="16810"/>
    <n v="240"/>
    <x v="176"/>
    <n v="0"/>
    <n v="487.14285714285717"/>
    <n v="480.28571428571428"/>
    <n v="6.8571428571428568"/>
    <n v="301.62857142857143"/>
    <n v="0"/>
    <n v="25"/>
    <n v="0"/>
    <n v="50"/>
    <n v="10"/>
    <n v="8.5"/>
    <n v="1.4076246334310849E-2"/>
    <n v="1"/>
    <n v="0.6191788856304985"/>
    <n v="0.93500000000000005"/>
    <s v="one single testicle"/>
    <m/>
    <m/>
    <m/>
    <m/>
    <m/>
    <m/>
    <m/>
    <m/>
  </r>
  <r>
    <x v="196"/>
    <x v="0"/>
    <m/>
    <x v="5"/>
    <n v="29"/>
    <n v="28"/>
    <n v="1"/>
    <s v="Renal failure in both kidneys"/>
    <n v="11505"/>
    <n v="10835"/>
    <n v="670"/>
    <x v="177"/>
    <m/>
    <n v="410.89285714285717"/>
    <n v="386.96428571428572"/>
    <n v="23.928571428571427"/>
    <n v="256.53571428571428"/>
    <n v="0"/>
    <n v="25"/>
    <n v="0"/>
    <n v="49.9"/>
    <n v="10"/>
    <n v="8.5"/>
    <n v="5.8235549760973483E-2"/>
    <n v="0.999"/>
    <n v="0.62433724467622775"/>
    <n v="0.93400000000000005"/>
    <m/>
    <n v="1"/>
    <m/>
    <m/>
    <m/>
    <m/>
    <m/>
    <m/>
    <m/>
  </r>
  <r>
    <x v="197"/>
    <x v="0"/>
    <m/>
    <x v="0"/>
    <n v="33"/>
    <n v="31"/>
    <n v="2"/>
    <s v="c. bovis in the heart and head"/>
    <n v="14515"/>
    <n v="13920"/>
    <n v="595"/>
    <x v="178"/>
    <m/>
    <n v="468.22580645161293"/>
    <n v="449.03225806451616"/>
    <n v="19.193548387096776"/>
    <n v="282.82903225806456"/>
    <n v="0"/>
    <n v="24.5"/>
    <n v="0"/>
    <n v="49.7"/>
    <n v="10"/>
    <n v="8.5"/>
    <n v="4.0992077161557013E-2"/>
    <n v="0.9870000000000001"/>
    <n v="0.60404409231829148"/>
    <n v="0.92700000000000005"/>
    <m/>
    <n v="1"/>
    <m/>
    <n v="6"/>
    <m/>
    <m/>
    <n v="1"/>
    <m/>
    <m/>
  </r>
  <r>
    <x v="198"/>
    <x v="0"/>
    <m/>
    <x v="8"/>
    <n v="33"/>
    <n v="31"/>
    <n v="2"/>
    <s v="age &gt; 3 years+ c. bovis in heart"/>
    <n v="14754"/>
    <n v="14094"/>
    <n v="660"/>
    <x v="179"/>
    <m/>
    <n v="475.93548387096774"/>
    <n v="454.64516129032256"/>
    <n v="21.29032258064516"/>
    <n v="289.50645161290328"/>
    <n v="0"/>
    <n v="24.8"/>
    <n v="0"/>
    <n v="49.5"/>
    <n v="10"/>
    <n v="8.5"/>
    <n v="4.4733631557543715E-2"/>
    <n v="0.99099999999999999"/>
    <n v="0.60828927748407213"/>
    <n v="0.92799999999999994"/>
    <m/>
    <n v="2"/>
    <m/>
    <m/>
    <m/>
    <n v="2"/>
    <m/>
    <m/>
    <m/>
  </r>
  <r>
    <x v="199"/>
    <x v="0"/>
    <m/>
    <x v="5"/>
    <n v="31"/>
    <n v="30"/>
    <n v="1"/>
    <s v="weight 340 kg"/>
    <n v="12123"/>
    <n v="11375"/>
    <n v="748"/>
    <x v="180"/>
    <m/>
    <n v="404.1"/>
    <n v="379.16666666666669"/>
    <n v="24.933333333333334"/>
    <n v="250.49666666666664"/>
    <n v="0"/>
    <n v="24.7"/>
    <n v="0"/>
    <n v="49.9"/>
    <n v="10"/>
    <n v="8.5"/>
    <n v="6.1700899117380185E-2"/>
    <n v="0.99299999999999999"/>
    <n v="0.61988781654705927"/>
    <n v="0.93099999999999994"/>
    <m/>
    <n v="1"/>
    <m/>
    <n v="4"/>
    <m/>
    <m/>
    <m/>
    <m/>
    <m/>
  </r>
  <r>
    <x v="200"/>
    <x v="0"/>
    <m/>
    <x v="0"/>
    <n v="34"/>
    <n v="34"/>
    <n v="0"/>
    <m/>
    <n v="16530"/>
    <n v="15805"/>
    <n v="725"/>
    <x v="181"/>
    <m/>
    <n v="486.1764705882353"/>
    <n v="464.85294117647061"/>
    <n v="21.323529411764707"/>
    <n v="298.01470588235293"/>
    <n v="0"/>
    <n v="25"/>
    <n v="0"/>
    <n v="49.9"/>
    <n v="10"/>
    <n v="8.5"/>
    <n v="4.3859649122807015E-2"/>
    <n v="0.999"/>
    <n v="0.61297640653357532"/>
    <n v="0.93400000000000005"/>
    <m/>
    <n v="1"/>
    <m/>
    <m/>
    <m/>
    <m/>
    <m/>
    <m/>
    <m/>
  </r>
  <r>
    <x v="201"/>
    <x v="0"/>
    <m/>
    <x v="8"/>
    <n v="35"/>
    <n v="35"/>
    <n v="0"/>
    <m/>
    <n v="15201"/>
    <n v="14475"/>
    <n v="726"/>
    <x v="182"/>
    <m/>
    <n v="434.31428571428569"/>
    <n v="413.57142857142856"/>
    <n v="20.742857142857144"/>
    <n v="263.36571428571426"/>
    <n v="0"/>
    <n v="25"/>
    <n v="0"/>
    <n v="49.4"/>
    <n v="10"/>
    <n v="8.5"/>
    <n v="4.7760015788434973E-2"/>
    <n v="0.99399999999999999"/>
    <n v="0.60639431616341022"/>
    <n v="0.92900000000000005"/>
    <s v="1 fore quarter"/>
    <m/>
    <s v="2 liver abscess + 2 inj site + heart"/>
    <m/>
    <m/>
    <m/>
    <m/>
    <m/>
    <m/>
  </r>
  <r>
    <x v="202"/>
    <x v="0"/>
    <m/>
    <x v="5"/>
    <n v="32"/>
    <n v="32"/>
    <n v="0"/>
    <m/>
    <n v="13273"/>
    <n v="12695"/>
    <n v="578"/>
    <x v="183"/>
    <m/>
    <n v="414.78125"/>
    <n v="396.71875"/>
    <n v="18.0625"/>
    <n v="261.20468749999998"/>
    <n v="0"/>
    <n v="25"/>
    <n v="0"/>
    <n v="49.8"/>
    <n v="10"/>
    <n v="8.5"/>
    <n v="4.3547050403073911E-2"/>
    <n v="0.998"/>
    <n v="0.62974082724327574"/>
    <n v="0.93299999999999994"/>
    <m/>
    <n v="1"/>
    <m/>
    <m/>
    <n v="4"/>
    <m/>
    <m/>
    <m/>
    <m/>
  </r>
  <r>
    <x v="203"/>
    <x v="0"/>
    <m/>
    <x v="0"/>
    <n v="35"/>
    <n v="35"/>
    <n v="0"/>
    <m/>
    <n v="17060"/>
    <n v="16080"/>
    <n v="980"/>
    <x v="184"/>
    <m/>
    <n v="487.42857142857144"/>
    <n v="459.42857142857144"/>
    <n v="28"/>
    <n v="292.4457142857143"/>
    <n v="0"/>
    <n v="21.1"/>
    <n v="0"/>
    <n v="49.9"/>
    <n v="10"/>
    <n v="8.5"/>
    <n v="5.74443141852286E-2"/>
    <n v="0.92100000000000004"/>
    <n v="0.59997655334114885"/>
    <n v="0.89500000000000002"/>
    <m/>
    <n v="1"/>
    <s v="bad transportation 3 trucks"/>
    <m/>
    <m/>
    <m/>
    <m/>
    <m/>
    <m/>
  </r>
  <r>
    <x v="204"/>
    <x v="0"/>
    <m/>
    <x v="8"/>
    <n v="35"/>
    <n v="35"/>
    <n v="0"/>
    <m/>
    <n v="15890"/>
    <n v="15405"/>
    <n v="485"/>
    <x v="185"/>
    <m/>
    <n v="454"/>
    <n v="440.14285714285717"/>
    <n v="13.857142857142858"/>
    <n v="279.81714285714287"/>
    <n v="0"/>
    <n v="25"/>
    <n v="0"/>
    <n v="50"/>
    <n v="10"/>
    <n v="8.5"/>
    <n v="3.052234109502832E-2"/>
    <n v="1"/>
    <n v="0.61633731906859668"/>
    <n v="0.93500000000000005"/>
    <m/>
    <m/>
    <m/>
    <m/>
    <m/>
    <m/>
    <m/>
    <m/>
    <m/>
  </r>
  <r>
    <x v="205"/>
    <x v="0"/>
    <m/>
    <x v="5"/>
    <n v="33"/>
    <n v="31"/>
    <n v="2"/>
    <s v="c. bovis in the heart"/>
    <n v="12806"/>
    <n v="12308"/>
    <n v="498"/>
    <x v="186"/>
    <m/>
    <n v="413.09677419354841"/>
    <n v="397.03225806451616"/>
    <n v="16.06451612903226"/>
    <n v="254.94193548387096"/>
    <n v="0"/>
    <n v="25"/>
    <n v="0"/>
    <n v="49.9"/>
    <n v="9"/>
    <n v="8.5"/>
    <n v="3.888802124004373E-2"/>
    <n v="0.999"/>
    <n v="0.61714821177573009"/>
    <n v="0.92400000000000004"/>
    <m/>
    <n v="2"/>
    <s v="2 liver cirrhosis"/>
    <m/>
    <m/>
    <m/>
    <m/>
    <m/>
    <m/>
  </r>
  <r>
    <x v="206"/>
    <x v="0"/>
    <m/>
    <x v="0"/>
    <n v="35"/>
    <n v="35"/>
    <n v="0"/>
    <m/>
    <n v="16270"/>
    <n v="15695"/>
    <n v="575"/>
    <x v="187"/>
    <m/>
    <n v="464.85714285714283"/>
    <n v="448.42857142857144"/>
    <n v="16.428571428571427"/>
    <n v="289.21142857142854"/>
    <n v="0"/>
    <n v="21.3"/>
    <n v="0"/>
    <n v="50"/>
    <n v="10"/>
    <n v="8.5"/>
    <n v="3.5341118623232942E-2"/>
    <n v="0.92599999999999993"/>
    <n v="0.62215119852489242"/>
    <n v="0.89800000000000002"/>
    <m/>
    <m/>
    <m/>
    <m/>
    <m/>
    <m/>
    <m/>
    <s v="3 trucks"/>
    <m/>
  </r>
  <r>
    <x v="206"/>
    <x v="1"/>
    <m/>
    <x v="11"/>
    <n v="5"/>
    <n v="5"/>
    <n v="0"/>
    <m/>
    <m/>
    <m/>
    <n v="0"/>
    <x v="0"/>
    <m/>
    <n v="0"/>
    <n v="0"/>
    <n v="0"/>
    <n v="0"/>
    <n v="0"/>
    <n v="25"/>
    <n v="0"/>
    <n v="48.8"/>
    <n v="10"/>
    <n v="8.5"/>
    <m/>
    <n v="0.98799999999999999"/>
    <m/>
    <n v="0.92299999999999993"/>
    <m/>
    <m/>
    <s v="3 liver abscesses"/>
    <m/>
    <m/>
    <m/>
    <m/>
    <m/>
    <m/>
  </r>
  <r>
    <x v="207"/>
    <x v="0"/>
    <m/>
    <x v="8"/>
    <n v="37"/>
    <n v="37"/>
    <n v="0"/>
    <m/>
    <n v="17270"/>
    <n v="17070"/>
    <n v="200"/>
    <x v="188"/>
    <m/>
    <n v="466.75675675675677"/>
    <n v="461.35135135135135"/>
    <n v="5.4054054054054053"/>
    <n v="284.48648648648651"/>
    <n v="0"/>
    <n v="25"/>
    <n v="0"/>
    <n v="49.6"/>
    <n v="10"/>
    <n v="8.5"/>
    <n v="1.1580775911986103E-2"/>
    <n v="0.996"/>
    <n v="0.60949623624782856"/>
    <n v="0.93099999999999994"/>
    <s v="1 lung TB"/>
    <n v="2"/>
    <s v="1 liver abscess"/>
    <m/>
    <m/>
    <m/>
    <m/>
    <m/>
    <m/>
  </r>
  <r>
    <x v="207"/>
    <x v="1"/>
    <m/>
    <x v="11"/>
    <n v="6"/>
    <n v="6"/>
    <n v="0"/>
    <m/>
    <m/>
    <m/>
    <n v="0"/>
    <x v="0"/>
    <m/>
    <n v="0"/>
    <n v="0"/>
    <n v="0"/>
    <n v="0"/>
    <n v="0"/>
    <n v="25"/>
    <n v="0"/>
    <n v="48.7"/>
    <n v="10"/>
    <n v="8.5"/>
    <m/>
    <n v="0.9870000000000001"/>
    <m/>
    <n v="0.92200000000000004"/>
    <m/>
    <m/>
    <m/>
    <m/>
    <m/>
    <m/>
    <m/>
    <m/>
    <m/>
  </r>
  <r>
    <x v="208"/>
    <x v="0"/>
    <m/>
    <x v="5"/>
    <n v="32"/>
    <n v="30"/>
    <n v="2"/>
    <s v="c. bovis in the heart"/>
    <n v="12489"/>
    <n v="11850"/>
    <n v="639"/>
    <x v="189"/>
    <m/>
    <n v="416.3"/>
    <n v="395"/>
    <n v="21.3"/>
    <n v="259.90666666666664"/>
    <n v="0"/>
    <n v="25"/>
    <n v="0"/>
    <n v="49.8"/>
    <n v="10"/>
    <n v="8.5"/>
    <n v="5.1165025222195536E-2"/>
    <n v="0.998"/>
    <n v="0.6243254063575947"/>
    <n v="0.93299999999999994"/>
    <m/>
    <n v="1"/>
    <s v="1 liver abscess"/>
    <m/>
    <n v="1"/>
    <m/>
    <m/>
    <m/>
    <m/>
  </r>
  <r>
    <x v="208"/>
    <x v="1"/>
    <m/>
    <x v="11"/>
    <n v="15"/>
    <n v="15"/>
    <n v="0"/>
    <m/>
    <m/>
    <m/>
    <n v="0"/>
    <x v="0"/>
    <m/>
    <n v="0"/>
    <n v="0"/>
    <n v="0"/>
    <n v="0"/>
    <n v="0"/>
    <n v="25"/>
    <n v="0"/>
    <n v="44.1"/>
    <n v="10"/>
    <n v="8.5"/>
    <m/>
    <n v="0.94100000000000006"/>
    <m/>
    <n v="0.87599999999999989"/>
    <s v="1 liver (multiple abscess)"/>
    <m/>
    <s v="3 livers abscesses"/>
    <m/>
    <m/>
    <m/>
    <m/>
    <m/>
    <m/>
  </r>
  <r>
    <x v="209"/>
    <x v="0"/>
    <m/>
    <x v="5"/>
    <n v="35"/>
    <n v="28"/>
    <n v="7"/>
    <s v="c. bovis in the heart"/>
    <n v="11567"/>
    <n v="10844"/>
    <n v="723"/>
    <x v="190"/>
    <m/>
    <n v="413.10714285714283"/>
    <n v="387.28571428571428"/>
    <n v="25.821428571428573"/>
    <n v="258.83928571428572"/>
    <n v="0"/>
    <n v="25"/>
    <n v="0"/>
    <n v="49.8"/>
    <n v="10"/>
    <n v="8.5"/>
    <n v="6.25054033024985E-2"/>
    <n v="0.998"/>
    <n v="0.62656695772456128"/>
    <n v="0.93299999999999994"/>
    <m/>
    <n v="2"/>
    <m/>
    <m/>
    <m/>
    <m/>
    <m/>
    <m/>
    <m/>
  </r>
  <r>
    <x v="210"/>
    <x v="0"/>
    <m/>
    <x v="0"/>
    <n v="34"/>
    <n v="34"/>
    <n v="0"/>
    <m/>
    <n v="15405"/>
    <n v="14500"/>
    <n v="905"/>
    <x v="191"/>
    <m/>
    <n v="453.08823529411762"/>
    <n v="426.47058823529414"/>
    <n v="26.617647058823529"/>
    <n v="271.84999999999997"/>
    <n v="0"/>
    <n v="25"/>
    <n v="0"/>
    <n v="50"/>
    <n v="10"/>
    <n v="8.5"/>
    <n v="5.8747160012982802E-2"/>
    <n v="1"/>
    <n v="0.59999350860110356"/>
    <n v="0.93500000000000005"/>
    <m/>
    <m/>
    <m/>
    <m/>
    <m/>
    <m/>
    <m/>
    <m/>
    <m/>
  </r>
  <r>
    <x v="210"/>
    <x v="1"/>
    <m/>
    <x v="11"/>
    <n v="8"/>
    <n v="8"/>
    <n v="0"/>
    <m/>
    <m/>
    <m/>
    <n v="0"/>
    <x v="0"/>
    <m/>
    <n v="0"/>
    <n v="0"/>
    <n v="0"/>
    <n v="0"/>
    <n v="0"/>
    <n v="25"/>
    <n v="0"/>
    <n v="47.5"/>
    <n v="10"/>
    <n v="8.5"/>
    <m/>
    <n v="0.97499999999999998"/>
    <m/>
    <n v="0.91"/>
    <s v="2 livers"/>
    <m/>
    <s v="3 liver abscesses"/>
    <m/>
    <m/>
    <m/>
    <m/>
    <m/>
    <m/>
  </r>
  <r>
    <x v="211"/>
    <x v="0"/>
    <m/>
    <x v="8"/>
    <n v="40"/>
    <n v="40"/>
    <n v="0"/>
    <m/>
    <n v="18215"/>
    <n v="17710"/>
    <n v="505"/>
    <x v="192"/>
    <m/>
    <n v="455.375"/>
    <n v="442.75"/>
    <n v="12.625"/>
    <n v="275.6925"/>
    <n v="0"/>
    <n v="24.9"/>
    <n v="0"/>
    <n v="49.9"/>
    <n v="10"/>
    <n v="8.5"/>
    <n v="2.7724402964589626E-2"/>
    <n v="0.997"/>
    <n v="0.60541861103486139"/>
    <n v="0.93299999999999994"/>
    <s v="1 single testicle"/>
    <m/>
    <m/>
    <m/>
    <m/>
    <m/>
    <n v="3"/>
    <m/>
    <m/>
  </r>
  <r>
    <x v="212"/>
    <x v="0"/>
    <m/>
    <x v="7"/>
    <n v="4"/>
    <n v="4"/>
    <n v="0"/>
    <m/>
    <n v="1736"/>
    <n v="1736"/>
    <n v="0"/>
    <x v="193"/>
    <m/>
    <n v="434"/>
    <n v="434"/>
    <n v="0"/>
    <n v="260.5"/>
    <n v="0"/>
    <n v="25"/>
    <n v="0"/>
    <n v="50"/>
    <n v="10"/>
    <n v="8.5"/>
    <n v="0"/>
    <n v="1"/>
    <n v="0.60023041474654382"/>
    <n v="0.93500000000000005"/>
    <m/>
    <m/>
    <m/>
    <m/>
    <m/>
    <m/>
    <m/>
    <m/>
    <m/>
  </r>
  <r>
    <x v="212"/>
    <x v="0"/>
    <m/>
    <x v="9"/>
    <n v="16"/>
    <n v="14"/>
    <n v="2"/>
    <s v="c. bovis in the heart+ 1 pyelonephritis"/>
    <n v="6318"/>
    <n v="6138"/>
    <n v="180"/>
    <x v="194"/>
    <m/>
    <n v="451.28571428571428"/>
    <n v="438.42857142857144"/>
    <n v="12.857142857142858"/>
    <n v="270.8857142857143"/>
    <n v="0"/>
    <n v="25"/>
    <n v="0"/>
    <n v="50"/>
    <n v="10"/>
    <n v="8.5"/>
    <n v="2.8490028490028491E-2"/>
    <n v="1"/>
    <n v="0.60025324469768915"/>
    <n v="0.93500000000000005"/>
    <s v="1 carcass (pyelonephritis)"/>
    <m/>
    <m/>
    <m/>
    <m/>
    <m/>
    <m/>
    <m/>
    <m/>
  </r>
  <r>
    <x v="212"/>
    <x v="0"/>
    <m/>
    <x v="12"/>
    <n v="16"/>
    <n v="16"/>
    <n v="0"/>
    <m/>
    <n v="7052"/>
    <n v="6805"/>
    <n v="247"/>
    <x v="195"/>
    <m/>
    <n v="440.75"/>
    <n v="425.3125"/>
    <n v="15.4375"/>
    <n v="266.375"/>
    <n v="0"/>
    <n v="25"/>
    <n v="0"/>
    <n v="50"/>
    <n v="10"/>
    <n v="8.5"/>
    <n v="3.5025524673851387E-2"/>
    <n v="1"/>
    <n v="0.60436755530345998"/>
    <n v="0.93500000000000005"/>
    <m/>
    <m/>
    <m/>
    <m/>
    <m/>
    <m/>
    <m/>
    <m/>
    <m/>
  </r>
  <r>
    <x v="213"/>
    <x v="0"/>
    <m/>
    <x v="0"/>
    <n v="39"/>
    <n v="36"/>
    <n v="3"/>
    <s v="c. bovis in 2 heart+ 1 age&gt;3 years"/>
    <n v="17005"/>
    <n v="16530"/>
    <n v="475"/>
    <x v="196"/>
    <m/>
    <n v="472.36111111111109"/>
    <n v="459.16666666666669"/>
    <n v="13.194444444444445"/>
    <n v="284.16666666666669"/>
    <n v="0"/>
    <n v="24.9"/>
    <n v="0"/>
    <n v="48.8"/>
    <n v="10"/>
    <n v="8.5"/>
    <n v="2.793296089385475E-2"/>
    <n v="0.98599999999999999"/>
    <n v="0.60158776830344018"/>
    <n v="0.92199999999999993"/>
    <s v="1 liver + 4 kidneys"/>
    <m/>
    <s v="1 liver fasciola"/>
    <m/>
    <m/>
    <m/>
    <m/>
    <m/>
    <m/>
  </r>
  <r>
    <x v="214"/>
    <x v="0"/>
    <m/>
    <x v="5"/>
    <n v="38"/>
    <n v="35"/>
    <n v="3"/>
    <s v="c. bovis in the heart"/>
    <n v="14507"/>
    <n v="13840"/>
    <n v="667"/>
    <x v="197"/>
    <m/>
    <n v="414.48571428571427"/>
    <n v="395.42857142857144"/>
    <n v="19.057142857142857"/>
    <n v="258.62857142857143"/>
    <n v="0"/>
    <n v="25"/>
    <n v="0"/>
    <n v="49.9"/>
    <n v="9"/>
    <n v="8.5"/>
    <n v="4.5977803818846079E-2"/>
    <n v="0.999"/>
    <n v="0.62397463293582411"/>
    <n v="0.92400000000000004"/>
    <m/>
    <n v="1"/>
    <s v="1 internal abscess"/>
    <m/>
    <m/>
    <m/>
    <m/>
    <m/>
    <m/>
  </r>
  <r>
    <x v="215"/>
    <x v="0"/>
    <m/>
    <x v="8"/>
    <n v="37"/>
    <n v="37"/>
    <n v="0"/>
    <m/>
    <n v="17617"/>
    <n v="17045"/>
    <n v="572"/>
    <x v="198"/>
    <m/>
    <n v="476.13513513513516"/>
    <n v="460.67567567567568"/>
    <n v="15.45945945945946"/>
    <n v="298.64594594594593"/>
    <n v="0"/>
    <n v="19.600000000000001"/>
    <n v="0"/>
    <n v="49.9"/>
    <n v="10"/>
    <n v="8.5"/>
    <n v="3.2468638247147644E-2"/>
    <n v="0.89100000000000001"/>
    <n v="0.62722938071181245"/>
    <n v="0.88"/>
    <m/>
    <m/>
    <m/>
    <m/>
    <m/>
    <n v="1"/>
    <n v="3"/>
    <s v="rough handling"/>
    <m/>
  </r>
  <r>
    <x v="216"/>
    <x v="0"/>
    <m/>
    <x v="0"/>
    <n v="40"/>
    <n v="36"/>
    <n v="4"/>
    <s v="c. bovis in the heart"/>
    <n v="16876"/>
    <n v="16061"/>
    <n v="815"/>
    <x v="199"/>
    <m/>
    <n v="468.77777777777777"/>
    <n v="446.13888888888891"/>
    <n v="22.638888888888889"/>
    <n v="282.64722222222218"/>
    <n v="0"/>
    <n v="22.6"/>
    <n v="0"/>
    <n v="49.5"/>
    <n v="10"/>
    <n v="8.5"/>
    <n v="4.8293434463142923E-2"/>
    <n v="0.94700000000000006"/>
    <n v="0.60294501066603456"/>
    <n v="0.90599999999999992"/>
    <s v="1 liver"/>
    <n v="3"/>
    <s v="1 liver cirrhosis"/>
    <n v="7"/>
    <m/>
    <m/>
    <n v="3"/>
    <m/>
    <m/>
  </r>
  <r>
    <x v="217"/>
    <x v="0"/>
    <m/>
    <x v="0"/>
    <n v="41"/>
    <n v="41"/>
    <n v="0"/>
    <m/>
    <n v="19415"/>
    <n v="18155"/>
    <n v="1260"/>
    <x v="200"/>
    <m/>
    <n v="473.53658536585368"/>
    <n v="442.80487804878049"/>
    <n v="30.73170731707317"/>
    <n v="284.10975609756099"/>
    <n v="0"/>
    <n v="19.899999999999999"/>
    <n v="0"/>
    <n v="49.9"/>
    <n v="10"/>
    <n v="8.5"/>
    <n v="6.4898274530002575E-2"/>
    <n v="0.89700000000000002"/>
    <n v="0.59997424671645638"/>
    <n v="0.88300000000000001"/>
    <m/>
    <m/>
    <s v="2 liver abscess"/>
    <m/>
    <m/>
    <m/>
    <n v="4"/>
    <s v="rough handling"/>
    <m/>
  </r>
  <r>
    <x v="217"/>
    <x v="0"/>
    <m/>
    <x v="5"/>
    <n v="40"/>
    <n v="40"/>
    <n v="0"/>
    <m/>
    <n v="16646"/>
    <n v="15900"/>
    <n v="746"/>
    <x v="201"/>
    <m/>
    <n v="416.15"/>
    <n v="397.5"/>
    <n v="18.649999999999999"/>
    <n v="253.80749999999998"/>
    <n v="0"/>
    <n v="25"/>
    <n v="0"/>
    <n v="48.4"/>
    <n v="10"/>
    <n v="8.5"/>
    <n v="4.4815571308422446E-2"/>
    <n v="0.98399999999999999"/>
    <n v="0.60989426889342779"/>
    <n v="0.91900000000000004"/>
    <m/>
    <n v="8"/>
    <s v="1 liver abscess"/>
    <m/>
    <m/>
    <m/>
    <m/>
    <m/>
    <m/>
  </r>
  <r>
    <x v="218"/>
    <x v="0"/>
    <m/>
    <x v="5"/>
    <n v="80"/>
    <n v="79"/>
    <n v="1"/>
    <s v="c. bovis in the heart"/>
    <n v="32113"/>
    <n v="32113"/>
    <n v="0"/>
    <x v="202"/>
    <m/>
    <n v="406.49367088607596"/>
    <n v="406.49367088607596"/>
    <n v="0"/>
    <n v="249.63164556962028"/>
    <n v="0"/>
    <n v="25"/>
    <n v="0"/>
    <n v="49.4"/>
    <n v="10"/>
    <n v="8.5"/>
    <n v="0"/>
    <n v="0.99399999999999999"/>
    <n v="0.61410955064926986"/>
    <n v="0.92900000000000005"/>
    <m/>
    <n v="16"/>
    <m/>
    <m/>
    <m/>
    <m/>
    <m/>
    <m/>
    <m/>
  </r>
  <r>
    <x v="219"/>
    <x v="0"/>
    <m/>
    <x v="0"/>
    <n v="32"/>
    <n v="32"/>
    <n v="0"/>
    <m/>
    <n v="15020"/>
    <n v="14185"/>
    <n v="835"/>
    <x v="203"/>
    <m/>
    <n v="469.375"/>
    <n v="443.28125"/>
    <n v="26.09375"/>
    <n v="287.95937500000002"/>
    <n v="0"/>
    <n v="24.7"/>
    <n v="0"/>
    <n v="49.9"/>
    <n v="10"/>
    <n v="8.5"/>
    <n v="5.559254327563249E-2"/>
    <n v="0.99299999999999999"/>
    <n v="0.61349533954727031"/>
    <n v="0.93099999999999994"/>
    <m/>
    <m/>
    <s v="2 liver cirrhosis"/>
    <m/>
    <m/>
    <m/>
    <n v="2"/>
    <m/>
    <m/>
  </r>
  <r>
    <x v="220"/>
    <x v="0"/>
    <m/>
    <x v="0"/>
    <n v="43"/>
    <n v="43"/>
    <n v="0"/>
    <m/>
    <n v="19595"/>
    <n v="19595"/>
    <n v="0"/>
    <x v="204"/>
    <m/>
    <n v="455.69767441860466"/>
    <n v="455.69767441860466"/>
    <n v="0"/>
    <n v="273.39534883720933"/>
    <n v="0"/>
    <n v="24.5"/>
    <n v="0"/>
    <n v="49.8"/>
    <n v="10"/>
    <n v="8.5"/>
    <n v="0"/>
    <n v="0.98799999999999999"/>
    <n v="0.59994896657310537"/>
    <n v="0.92799999999999994"/>
    <m/>
    <m/>
    <s v="2 liver abscess + 1 neck abscess"/>
    <m/>
    <m/>
    <m/>
    <n v="4"/>
    <m/>
    <m/>
  </r>
  <r>
    <x v="221"/>
    <x v="0"/>
    <m/>
    <x v="0"/>
    <n v="27"/>
    <n v="27"/>
    <n v="0"/>
    <m/>
    <n v="9648"/>
    <n v="9480"/>
    <n v="168"/>
    <x v="205"/>
    <m/>
    <n v="357.33333333333331"/>
    <n v="351.11111111111109"/>
    <n v="6.2222222222222223"/>
    <n v="214.39259259259259"/>
    <n v="0"/>
    <n v="20.5"/>
    <n v="0"/>
    <n v="49.8"/>
    <n v="10"/>
    <n v="8.5"/>
    <n v="1.7412935323383085E-2"/>
    <n v="0.90799999999999992"/>
    <n v="0.59997927031509124"/>
    <n v="0.88800000000000001"/>
    <m/>
    <m/>
    <s v="1 hindquarter abscess"/>
    <m/>
    <m/>
    <m/>
    <n v="18"/>
    <m/>
    <m/>
  </r>
  <r>
    <x v="222"/>
    <x v="0"/>
    <m/>
    <x v="5"/>
    <n v="42"/>
    <n v="38"/>
    <n v="4"/>
    <s v="c. bovis in 3 hearts + 1 head"/>
    <n v="15331"/>
    <n v="14480"/>
    <n v="851"/>
    <x v="206"/>
    <m/>
    <n v="403.44736842105266"/>
    <n v="381.05263157894734"/>
    <n v="22.394736842105264"/>
    <n v="247.3842105263158"/>
    <n v="0"/>
    <n v="25"/>
    <n v="0"/>
    <n v="49.8"/>
    <n v="10"/>
    <n v="8.5"/>
    <n v="5.5508446937577456E-2"/>
    <n v="0.998"/>
    <n v="0.61317591807448957"/>
    <n v="0.93299999999999994"/>
    <m/>
    <m/>
    <s v="1 liver abscess"/>
    <m/>
    <m/>
    <n v="1"/>
    <m/>
    <m/>
    <m/>
  </r>
  <r>
    <x v="223"/>
    <x v="0"/>
    <m/>
    <x v="0"/>
    <n v="35"/>
    <n v="33"/>
    <n v="2"/>
    <s v="c. bovis in the heart"/>
    <n v="15903"/>
    <n v="15218"/>
    <n v="685"/>
    <x v="207"/>
    <m/>
    <n v="481.90909090909093"/>
    <n v="461.15151515151513"/>
    <n v="20.757575757575758"/>
    <n v="289.13939393939393"/>
    <n v="0"/>
    <n v="24.2"/>
    <n v="0"/>
    <n v="48.8"/>
    <n v="10"/>
    <n v="8.5"/>
    <n v="4.3073633905552411E-2"/>
    <n v="0.97199999999999998"/>
    <n v="0.59998742375652392"/>
    <n v="0.91500000000000004"/>
    <m/>
    <m/>
    <s v="1 liver abscess"/>
    <m/>
    <n v="5"/>
    <n v="1"/>
    <n v="5"/>
    <m/>
    <m/>
  </r>
  <r>
    <x v="224"/>
    <x v="0"/>
    <m/>
    <x v="8"/>
    <n v="40"/>
    <n v="40"/>
    <n v="0"/>
    <m/>
    <n v="18875"/>
    <n v="18225"/>
    <n v="650"/>
    <x v="208"/>
    <m/>
    <n v="471.875"/>
    <n v="455.625"/>
    <n v="16.25"/>
    <n v="287.23"/>
    <n v="0"/>
    <n v="24.9"/>
    <n v="0"/>
    <n v="49.7"/>
    <n v="10"/>
    <n v="8.3000000000000007"/>
    <n v="3.443708609271523E-2"/>
    <n v="0.99500000000000011"/>
    <n v="0.60869933774834439"/>
    <n v="0.92899999999999994"/>
    <s v="1 liver"/>
    <m/>
    <s v="2 liver cirrhosis"/>
    <m/>
    <m/>
    <m/>
    <n v="1"/>
    <m/>
    <m/>
  </r>
  <r>
    <x v="225"/>
    <x v="0"/>
    <m/>
    <x v="5"/>
    <n v="50"/>
    <n v="48"/>
    <n v="2"/>
    <s v="c. bovis in the heart"/>
    <n v="19460"/>
    <n v="18468"/>
    <n v="992"/>
    <x v="209"/>
    <m/>
    <n v="405.41666666666669"/>
    <n v="384.75"/>
    <n v="20.666666666666668"/>
    <n v="249.69166666666669"/>
    <n v="0"/>
    <n v="25"/>
    <n v="0"/>
    <n v="49.6"/>
    <n v="10"/>
    <n v="8.5"/>
    <n v="5.0976361767728677E-2"/>
    <n v="0.996"/>
    <n v="0.61588900308324768"/>
    <n v="0.93099999999999994"/>
    <s v="1 liver"/>
    <n v="4"/>
    <s v="1 liver abscess"/>
    <m/>
    <m/>
    <m/>
    <m/>
    <m/>
    <m/>
  </r>
  <r>
    <x v="226"/>
    <x v="0"/>
    <m/>
    <x v="0"/>
    <n v="26"/>
    <n v="26"/>
    <n v="0"/>
    <m/>
    <n v="12960"/>
    <n v="12960"/>
    <n v="0"/>
    <x v="210"/>
    <m/>
    <n v="498.46153846153845"/>
    <n v="498.46153846153845"/>
    <n v="0"/>
    <n v="302.74615384615385"/>
    <n v="0"/>
    <n v="24.8"/>
    <n v="0"/>
    <n v="49.7"/>
    <n v="10"/>
    <n v="8.5"/>
    <n v="0"/>
    <n v="0.9930000000000001"/>
    <n v="0.60736111111111113"/>
    <n v="0.93"/>
    <m/>
    <n v="1"/>
    <s v="1 hematoma+ 1 liver abscess"/>
    <m/>
    <m/>
    <m/>
    <n v="3"/>
    <m/>
    <m/>
  </r>
  <r>
    <x v="227"/>
    <x v="0"/>
    <m/>
    <x v="0"/>
    <n v="27"/>
    <n v="27"/>
    <n v="0"/>
    <m/>
    <n v="11587"/>
    <n v="11587"/>
    <n v="0"/>
    <x v="211"/>
    <m/>
    <n v="429.14814814814815"/>
    <n v="429.14814814814815"/>
    <n v="0"/>
    <n v="257.48148148148147"/>
    <n v="0"/>
    <n v="25"/>
    <n v="0"/>
    <n v="41.9"/>
    <n v="10"/>
    <n v="8.5"/>
    <n v="0"/>
    <n v="0.91900000000000004"/>
    <n v="0.5999827392767757"/>
    <n v="0.85400000000000009"/>
    <m/>
    <n v="1"/>
    <m/>
    <m/>
    <m/>
    <m/>
    <m/>
    <m/>
    <m/>
  </r>
  <r>
    <x v="228"/>
    <x v="0"/>
    <m/>
    <x v="5"/>
    <n v="40"/>
    <n v="38"/>
    <n v="2"/>
    <s v="c. bovis in the heart"/>
    <n v="15513"/>
    <n v="14541"/>
    <n v="972"/>
    <x v="212"/>
    <m/>
    <n v="408.23684210526318"/>
    <n v="382.65789473684208"/>
    <n v="25.578947368421051"/>
    <n v="249.86315789473682"/>
    <n v="0"/>
    <n v="25"/>
    <n v="0"/>
    <n v="49.7"/>
    <n v="10"/>
    <n v="8.5"/>
    <n v="6.2657126281183514E-2"/>
    <n v="0.99700000000000011"/>
    <n v="0.6120544059820795"/>
    <n v="0.93200000000000005"/>
    <m/>
    <n v="3"/>
    <s v="2 liver abscesses"/>
    <m/>
    <m/>
    <m/>
    <m/>
    <m/>
    <m/>
  </r>
  <r>
    <x v="229"/>
    <x v="0"/>
    <m/>
    <x v="0"/>
    <n v="35"/>
    <n v="34"/>
    <n v="1"/>
    <s v="c. bovis in the heart"/>
    <n v="14502"/>
    <n v="14502"/>
    <n v="0"/>
    <x v="213"/>
    <m/>
    <n v="426.52941176470586"/>
    <n v="426.52941176470586"/>
    <n v="0"/>
    <n v="255.96176470588239"/>
    <n v="0"/>
    <n v="22.7"/>
    <n v="0"/>
    <n v="50"/>
    <n v="10"/>
    <n v="8.5"/>
    <n v="0"/>
    <n v="0.95399999999999996"/>
    <n v="0.60010343400910227"/>
    <n v="0.91200000000000003"/>
    <m/>
    <m/>
    <m/>
    <n v="4"/>
    <m/>
    <m/>
    <n v="2"/>
    <m/>
    <m/>
  </r>
  <r>
    <x v="230"/>
    <x v="0"/>
    <m/>
    <x v="8"/>
    <n v="40"/>
    <n v="40"/>
    <n v="0"/>
    <m/>
    <n v="19657"/>
    <n v="19230"/>
    <n v="427"/>
    <x v="214"/>
    <m/>
    <n v="491.42500000000001"/>
    <n v="480.75"/>
    <n v="10.675000000000001"/>
    <n v="310.03750000000002"/>
    <n v="0"/>
    <n v="25"/>
    <n v="0"/>
    <n v="49.8"/>
    <n v="10"/>
    <n v="8.5"/>
    <n v="2.1722541588238286E-2"/>
    <n v="0.998"/>
    <n v="0.63089484661952488"/>
    <n v="0.93299999999999994"/>
    <m/>
    <n v="3"/>
    <m/>
    <m/>
    <m/>
    <m/>
    <m/>
    <m/>
    <m/>
  </r>
  <r>
    <x v="231"/>
    <x v="0"/>
    <m/>
    <x v="8"/>
    <n v="35"/>
    <n v="35"/>
    <n v="0"/>
    <m/>
    <n v="16320"/>
    <n v="15896"/>
    <n v="424"/>
    <x v="215"/>
    <m/>
    <n v="466.28571428571428"/>
    <n v="454.17142857142858"/>
    <n v="12.114285714285714"/>
    <n v="285.74285714285713"/>
    <n v="0"/>
    <n v="24.7"/>
    <n v="0"/>
    <n v="49.8"/>
    <n v="10"/>
    <n v="8.5"/>
    <n v="2.5980392156862743E-2"/>
    <n v="0.99199999999999999"/>
    <n v="0.6128063725490196"/>
    <n v="0.93"/>
    <m/>
    <n v="2"/>
    <m/>
    <m/>
    <m/>
    <m/>
    <n v="2"/>
    <m/>
    <m/>
  </r>
  <r>
    <x v="232"/>
    <x v="0"/>
    <m/>
    <x v="12"/>
    <n v="24"/>
    <n v="23"/>
    <n v="1"/>
    <s v="c. bovis in the heart"/>
    <n v="10062"/>
    <n v="9937"/>
    <n v="125"/>
    <x v="216"/>
    <m/>
    <n v="437.47826086956519"/>
    <n v="432.04347826086956"/>
    <n v="5.4347826086956523"/>
    <n v="262.46521739130435"/>
    <n v="0"/>
    <n v="25"/>
    <n v="0"/>
    <n v="50"/>
    <n v="10"/>
    <n v="8.5"/>
    <n v="1.242297753925661E-2"/>
    <n v="1"/>
    <n v="0.59995030808984295"/>
    <n v="0.93500000000000005"/>
    <m/>
    <m/>
    <m/>
    <m/>
    <m/>
    <m/>
    <m/>
    <m/>
    <m/>
  </r>
  <r>
    <x v="232"/>
    <x v="0"/>
    <m/>
    <x v="8"/>
    <n v="24"/>
    <n v="24"/>
    <n v="0"/>
    <m/>
    <n v="11382"/>
    <n v="11040"/>
    <n v="342"/>
    <x v="217"/>
    <m/>
    <n v="474.25"/>
    <n v="460"/>
    <n v="14.25"/>
    <n v="284.56666666666666"/>
    <n v="0"/>
    <n v="25"/>
    <n v="0"/>
    <n v="50"/>
    <n v="10"/>
    <n v="8.5"/>
    <n v="3.0047443331576173E-2"/>
    <n v="1"/>
    <n v="0.60003514320857498"/>
    <n v="0.93500000000000005"/>
    <m/>
    <m/>
    <m/>
    <m/>
    <m/>
    <n v="1"/>
    <m/>
    <m/>
    <m/>
  </r>
  <r>
    <x v="233"/>
    <x v="0"/>
    <m/>
    <x v="0"/>
    <n v="32"/>
    <n v="31"/>
    <n v="1"/>
    <s v="c. bovis in the heart"/>
    <n v="16289"/>
    <n v="16289"/>
    <n v="0"/>
    <x v="218"/>
    <m/>
    <n v="525.45161290322585"/>
    <n v="525.45161290322585"/>
    <n v="0"/>
    <n v="318.48387096774195"/>
    <n v="0"/>
    <n v="24.2"/>
    <n v="0"/>
    <n v="49.8"/>
    <n v="10"/>
    <n v="8.5"/>
    <n v="0"/>
    <n v="0.98199999999999998"/>
    <n v="0.60611455583522622"/>
    <n v="0.92500000000000004"/>
    <m/>
    <n v="2"/>
    <m/>
    <m/>
    <m/>
    <m/>
    <n v="5"/>
    <m/>
    <m/>
  </r>
  <r>
    <x v="234"/>
    <x v="0"/>
    <m/>
    <x v="8"/>
    <n v="40"/>
    <n v="40"/>
    <n v="0"/>
    <m/>
    <n v="19499"/>
    <n v="18705"/>
    <n v="794"/>
    <x v="219"/>
    <m/>
    <n v="487.47500000000002"/>
    <n v="467.625"/>
    <n v="19.850000000000001"/>
    <n v="295.89499999999998"/>
    <n v="0"/>
    <n v="24.8"/>
    <n v="0"/>
    <n v="49.6"/>
    <n v="10"/>
    <n v="8.3000000000000007"/>
    <n v="4.0720036924970511E-2"/>
    <n v="0.99199999999999999"/>
    <n v="0.60699523052464222"/>
    <n v="0.92700000000000005"/>
    <s v="2 kidneys"/>
    <n v="2"/>
    <s v="1 liver abscess"/>
    <m/>
    <m/>
    <m/>
    <n v="2"/>
    <m/>
    <m/>
  </r>
  <r>
    <x v="235"/>
    <x v="0"/>
    <m/>
    <x v="0"/>
    <n v="28"/>
    <n v="28"/>
    <n v="0"/>
    <m/>
    <n v="13126"/>
    <n v="13126"/>
    <n v="0"/>
    <x v="220"/>
    <m/>
    <n v="468.78571428571428"/>
    <n v="468.78571428571428"/>
    <n v="0"/>
    <n v="281.25714285714287"/>
    <n v="0"/>
    <n v="21.5"/>
    <n v="0"/>
    <n v="46"/>
    <n v="10"/>
    <n v="7.9"/>
    <n v="0"/>
    <n v="0.89"/>
    <n v="0.59996952613134236"/>
    <n v="0.85400000000000009"/>
    <s v="1 spleen"/>
    <n v="1"/>
    <s v="2 abscesses"/>
    <m/>
    <m/>
    <n v="20"/>
    <n v="3"/>
    <n v="20"/>
    <m/>
  </r>
  <r>
    <x v="236"/>
    <x v="0"/>
    <m/>
    <x v="5"/>
    <n v="32"/>
    <n v="30"/>
    <n v="2"/>
    <s v="c. bovis in the heart"/>
    <n v="12568"/>
    <n v="11673"/>
    <n v="895"/>
    <x v="221"/>
    <m/>
    <n v="418.93333333333334"/>
    <n v="389.1"/>
    <n v="29.833333333333332"/>
    <n v="255.93333333333334"/>
    <n v="0"/>
    <n v="25"/>
    <n v="0"/>
    <n v="49.9"/>
    <n v="10"/>
    <n v="8.5"/>
    <n v="7.1212603437301084E-2"/>
    <n v="0.999"/>
    <n v="0.61091661362189686"/>
    <n v="0.93400000000000005"/>
    <m/>
    <m/>
    <s v="1 liver abscess"/>
    <m/>
    <m/>
    <m/>
    <m/>
    <m/>
    <m/>
  </r>
  <r>
    <x v="237"/>
    <x v="0"/>
    <m/>
    <x v="8"/>
    <n v="35"/>
    <n v="34"/>
    <n v="1"/>
    <s v="c. bovis in the gracilis muscle"/>
    <n v="15797"/>
    <n v="15272"/>
    <n v="525"/>
    <x v="222"/>
    <m/>
    <n v="464.61764705882354"/>
    <n v="449.1764705882353"/>
    <n v="15.441176470588236"/>
    <n v="290.84999999999997"/>
    <n v="0"/>
    <n v="25"/>
    <n v="0"/>
    <n v="49.8"/>
    <n v="10"/>
    <n v="8.5"/>
    <n v="3.3234158384503387E-2"/>
    <n v="0.998"/>
    <n v="0.62599860733050572"/>
    <n v="0.93299999999999994"/>
    <m/>
    <n v="1"/>
    <s v="2 liver abscesses"/>
    <m/>
    <m/>
    <m/>
    <m/>
    <m/>
    <m/>
  </r>
  <r>
    <x v="238"/>
    <x v="0"/>
    <m/>
    <x v="8"/>
    <n v="30"/>
    <n v="30"/>
    <n v="0"/>
    <m/>
    <n v="13700"/>
    <n v="13400"/>
    <n v="300"/>
    <x v="223"/>
    <m/>
    <n v="456.66666666666669"/>
    <n v="446.66666666666669"/>
    <n v="10"/>
    <n v="284.20999999999998"/>
    <n v="0"/>
    <n v="25"/>
    <n v="0"/>
    <n v="49.5"/>
    <n v="10"/>
    <n v="8.5"/>
    <n v="2.18978102189781E-2"/>
    <n v="0.995"/>
    <n v="0.62235766423357664"/>
    <n v="0.93"/>
    <m/>
    <m/>
    <s v="8 liver asbscesses"/>
    <m/>
    <m/>
    <m/>
    <m/>
    <m/>
    <m/>
  </r>
  <r>
    <x v="239"/>
    <x v="0"/>
    <m/>
    <x v="8"/>
    <n v="40"/>
    <n v="40"/>
    <n v="0"/>
    <m/>
    <n v="17050"/>
    <n v="17050"/>
    <n v="0"/>
    <x v="224"/>
    <m/>
    <n v="426.25"/>
    <n v="426.25"/>
    <n v="0"/>
    <n v="260.02249999999998"/>
    <n v="0"/>
    <n v="24.5"/>
    <n v="0"/>
    <n v="49.3"/>
    <n v="10"/>
    <n v="0.5"/>
    <n v="0"/>
    <n v="0.98299999999999998"/>
    <n v="0.61002346041055722"/>
    <n v="0.84299999999999997"/>
    <s v="1 single kidney"/>
    <m/>
    <s v="1 large hematoma"/>
    <m/>
    <m/>
    <n v="4"/>
    <m/>
    <n v="4"/>
    <m/>
  </r>
  <r>
    <x v="240"/>
    <x v="0"/>
    <m/>
    <x v="0"/>
    <n v="36"/>
    <n v="32"/>
    <n v="4"/>
    <s v="3 c. bovis in the heart + 1 emaciated bull"/>
    <n v="15336"/>
    <n v="14581"/>
    <n v="755"/>
    <x v="225"/>
    <m/>
    <n v="479.25"/>
    <n v="455.65625"/>
    <n v="23.59375"/>
    <n v="287.54374999999999"/>
    <n v="0"/>
    <n v="24.7"/>
    <n v="0"/>
    <n v="49.3"/>
    <n v="10"/>
    <n v="8.5"/>
    <n v="4.9230568596765778E-2"/>
    <n v="0.98699999999999999"/>
    <n v="0.5999869587897757"/>
    <n v="0.92500000000000004"/>
    <s v="1 liver "/>
    <n v="3"/>
    <s v="1 liver abscess + 1 bruise"/>
    <n v="5"/>
    <m/>
    <n v="1"/>
    <m/>
    <m/>
    <m/>
  </r>
  <r>
    <x v="241"/>
    <x v="0"/>
    <m/>
    <x v="8"/>
    <n v="40"/>
    <n v="40"/>
    <n v="0"/>
    <m/>
    <n v="17520"/>
    <n v="17005"/>
    <n v="515"/>
    <x v="226"/>
    <m/>
    <n v="438"/>
    <n v="425.125"/>
    <n v="12.875"/>
    <n v="270.39749999999998"/>
    <n v="0"/>
    <n v="25"/>
    <n v="0"/>
    <n v="49.5"/>
    <n v="10"/>
    <n v="8.5"/>
    <n v="2.939497716894977E-2"/>
    <n v="0.995"/>
    <n v="0.61734589041095889"/>
    <n v="0.93"/>
    <s v="1 single testicle"/>
    <n v="3"/>
    <s v="1 large abscess"/>
    <m/>
    <m/>
    <m/>
    <m/>
    <m/>
    <m/>
  </r>
  <r>
    <x v="241"/>
    <x v="1"/>
    <m/>
    <x v="11"/>
    <n v="11"/>
    <n v="10"/>
    <n v="1"/>
    <s v="heavy infestation of C. Tenuicollis"/>
    <m/>
    <m/>
    <n v="0"/>
    <x v="0"/>
    <m/>
    <n v="0"/>
    <n v="0"/>
    <n v="0"/>
    <n v="0"/>
    <n v="0"/>
    <n v="25"/>
    <n v="0"/>
    <n v="48.6"/>
    <n v="10"/>
    <n v="8.5"/>
    <m/>
    <n v="0.98599999999999999"/>
    <m/>
    <n v="0.92099999999999993"/>
    <s v="1 heart + 1 liver"/>
    <m/>
    <m/>
    <m/>
    <m/>
    <m/>
    <m/>
    <m/>
    <m/>
  </r>
  <r>
    <x v="242"/>
    <x v="0"/>
    <m/>
    <x v="8"/>
    <n v="45"/>
    <n v="44"/>
    <n v="1"/>
    <s v="Antibiotic residues"/>
    <n v="17664"/>
    <n v="17505"/>
    <n v="159"/>
    <x v="227"/>
    <m/>
    <n v="401.45454545454544"/>
    <n v="397.84090909090907"/>
    <n v="3.6136363636363638"/>
    <n v="245.72727272727272"/>
    <n v="0"/>
    <n v="25"/>
    <n v="0"/>
    <n v="49"/>
    <n v="10"/>
    <n v="8.5"/>
    <n v="9.001358695652174E-3"/>
    <n v="0.99"/>
    <n v="0.61209239130434778"/>
    <n v="0.92500000000000004"/>
    <s v="3 liver"/>
    <m/>
    <s v="4 liver abscesses"/>
    <m/>
    <m/>
    <n v="3"/>
    <m/>
    <n v="3"/>
    <m/>
  </r>
  <r>
    <x v="243"/>
    <x v="0"/>
    <m/>
    <x v="5"/>
    <n v="41"/>
    <n v="38"/>
    <n v="3"/>
    <s v="3 c. bovis in the heart"/>
    <n v="15988"/>
    <n v="15053"/>
    <n v="935"/>
    <x v="228"/>
    <m/>
    <n v="420.73684210526318"/>
    <n v="396.13157894736844"/>
    <n v="24.605263157894736"/>
    <n v="259.95789473684209"/>
    <n v="0"/>
    <n v="25"/>
    <n v="0"/>
    <n v="48.2"/>
    <n v="10"/>
    <n v="8.5"/>
    <n v="5.8481361020765572E-2"/>
    <n v="0.98199999999999998"/>
    <n v="0.61786339754816111"/>
    <n v="0.91700000000000004"/>
    <m/>
    <n v="2"/>
    <m/>
    <m/>
    <m/>
    <n v="1"/>
    <m/>
    <m/>
    <m/>
  </r>
  <r>
    <x v="243"/>
    <x v="1"/>
    <m/>
    <x v="1"/>
    <n v="25"/>
    <n v="25"/>
    <n v="0"/>
    <m/>
    <m/>
    <m/>
    <n v="0"/>
    <x v="0"/>
    <m/>
    <n v="0"/>
    <n v="0"/>
    <n v="0"/>
    <n v="0"/>
    <n v="0"/>
    <n v="25"/>
    <n v="0"/>
    <n v="48.2"/>
    <n v="10"/>
    <n v="8.5"/>
    <m/>
    <n v="0.98199999999999998"/>
    <m/>
    <n v="0.91700000000000004"/>
    <s v="2 hearts + 1 liver"/>
    <m/>
    <s v="3 livers abscesses"/>
    <m/>
    <m/>
    <m/>
    <m/>
    <m/>
    <m/>
  </r>
  <r>
    <x v="244"/>
    <x v="0"/>
    <m/>
    <x v="5"/>
    <n v="56"/>
    <n v="54"/>
    <n v="2"/>
    <s v="2 c. bovis in the heart"/>
    <n v="21857"/>
    <n v="20559"/>
    <n v="1298"/>
    <x v="229"/>
    <m/>
    <n v="404.75925925925924"/>
    <n v="380.72222222222223"/>
    <n v="24.037037037037038"/>
    <n v="247.9148148148148"/>
    <n v="0"/>
    <n v="25"/>
    <n v="0"/>
    <n v="49.7"/>
    <n v="10"/>
    <n v="8.5"/>
    <n v="5.9386009058882742E-2"/>
    <n v="0.99700000000000011"/>
    <n v="0.61249942810083724"/>
    <n v="0.93200000000000005"/>
    <m/>
    <n v="1"/>
    <s v="2 bruises + 1 liver abscess"/>
    <m/>
    <m/>
    <n v="2"/>
    <m/>
    <m/>
    <m/>
  </r>
  <r>
    <x v="245"/>
    <x v="0"/>
    <m/>
    <x v="8"/>
    <n v="45"/>
    <n v="45"/>
    <n v="0"/>
    <m/>
    <n v="20400"/>
    <n v="20400"/>
    <n v="0"/>
    <x v="230"/>
    <m/>
    <n v="453.33333333333331"/>
    <n v="453.33333333333331"/>
    <n v="0"/>
    <n v="279.66666666666669"/>
    <n v="0"/>
    <n v="25"/>
    <n v="0"/>
    <n v="49.7"/>
    <n v="10"/>
    <n v="8.5"/>
    <n v="0"/>
    <n v="0.99700000000000011"/>
    <n v="0.61691176470588238"/>
    <n v="0.93200000000000005"/>
    <m/>
    <n v="1"/>
    <s v="2 liver abscesses"/>
    <m/>
    <m/>
    <m/>
    <m/>
    <m/>
    <m/>
  </r>
  <r>
    <x v="246"/>
    <x v="0"/>
    <m/>
    <x v="8"/>
    <n v="56"/>
    <n v="56"/>
    <n v="0"/>
    <m/>
    <n v="25224"/>
    <n v="23885"/>
    <n v="1339"/>
    <x v="231"/>
    <m/>
    <n v="450.42857142857144"/>
    <n v="426.51785714285717"/>
    <n v="23.910714285714285"/>
    <n v="274.94642857142856"/>
    <n v="0"/>
    <n v="20"/>
    <n v="0"/>
    <n v="49.3"/>
    <n v="10"/>
    <n v="8.5"/>
    <n v="5.3084364097684737E-2"/>
    <n v="0.89300000000000002"/>
    <n v="0.61041071994925467"/>
    <n v="0.878"/>
    <s v="1 hindquarter + 1 lung"/>
    <n v="6"/>
    <s v="1 liver abscess + 2 bruises"/>
    <m/>
    <m/>
    <n v="2"/>
    <m/>
    <m/>
    <m/>
  </r>
  <r>
    <x v="247"/>
    <x v="0"/>
    <m/>
    <x v="0"/>
    <n v="40"/>
    <n v="30"/>
    <n v="10"/>
    <s v="8 bulls &gt; 3 years + 1 c. bovis in the heart + 1 miliary TB"/>
    <n v="15577"/>
    <n v="14662"/>
    <n v="915"/>
    <x v="232"/>
    <m/>
    <n v="519.23333333333335"/>
    <n v="488.73333333333335"/>
    <n v="30.5"/>
    <n v="312.19666666666666"/>
    <n v="0"/>
    <n v="24.8"/>
    <n v="0"/>
    <n v="49.5"/>
    <n v="10"/>
    <n v="8.5"/>
    <n v="5.8740450664441161E-2"/>
    <n v="0.99099999999999999"/>
    <n v="0.60126468511266606"/>
    <n v="0.92799999999999994"/>
    <s v="1 liver"/>
    <n v="2"/>
    <m/>
    <m/>
    <n v="1"/>
    <m/>
    <n v="1"/>
    <m/>
    <m/>
  </r>
  <r>
    <x v="248"/>
    <x v="0"/>
    <m/>
    <x v="5"/>
    <n v="45"/>
    <n v="44"/>
    <n v="1"/>
    <s v="1 c. bovis in the heart"/>
    <n v="18454"/>
    <n v="17173"/>
    <n v="1281"/>
    <x v="233"/>
    <m/>
    <n v="419.40909090909093"/>
    <n v="390.29545454545456"/>
    <n v="29.113636363636363"/>
    <n v="254.65"/>
    <n v="0"/>
    <n v="25"/>
    <n v="0"/>
    <n v="49.7"/>
    <n v="10"/>
    <n v="8.5"/>
    <n v="6.9415844803294671E-2"/>
    <n v="0.99700000000000011"/>
    <n v="0.60716375853473503"/>
    <n v="0.93200000000000005"/>
    <s v="1 liver"/>
    <m/>
    <s v="3 liver abscesses"/>
    <m/>
    <m/>
    <m/>
    <m/>
    <m/>
    <m/>
  </r>
  <r>
    <x v="249"/>
    <x v="0"/>
    <m/>
    <x v="5"/>
    <n v="47"/>
    <n v="44"/>
    <n v="3"/>
    <s v="3 c. bovis in the heart"/>
    <n v="18537"/>
    <n v="17415"/>
    <n v="1122"/>
    <x v="234"/>
    <m/>
    <n v="421.29545454545456"/>
    <n v="395.79545454545456"/>
    <n v="25.5"/>
    <n v="259.92500000000001"/>
    <n v="0"/>
    <n v="25"/>
    <n v="0"/>
    <n v="49.5"/>
    <n v="10"/>
    <n v="8.5"/>
    <n v="6.0527593461725197E-2"/>
    <n v="0.995"/>
    <n v="0.61696606786427155"/>
    <n v="0.93"/>
    <m/>
    <n v="8"/>
    <m/>
    <m/>
    <m/>
    <m/>
    <m/>
    <m/>
    <m/>
  </r>
  <r>
    <x v="249"/>
    <x v="1"/>
    <m/>
    <x v="1"/>
    <n v="26"/>
    <n v="26"/>
    <n v="0"/>
    <m/>
    <m/>
    <m/>
    <n v="0"/>
    <x v="0"/>
    <m/>
    <n v="0"/>
    <n v="0"/>
    <n v="0"/>
    <n v="0"/>
    <n v="0"/>
    <n v="25"/>
    <n v="0"/>
    <n v="49.4"/>
    <n v="10"/>
    <n v="8.5"/>
    <m/>
    <n v="0.99399999999999999"/>
    <m/>
    <n v="0.92900000000000005"/>
    <s v="1 heart"/>
    <m/>
    <s v="4 liver abscesses"/>
    <m/>
    <m/>
    <m/>
    <m/>
    <m/>
    <m/>
  </r>
  <r>
    <x v="250"/>
    <x v="0"/>
    <m/>
    <x v="0"/>
    <n v="25"/>
    <n v="23"/>
    <n v="2"/>
    <s v="2 bulls &gt; 3 years"/>
    <n v="11820"/>
    <n v="11820"/>
    <n v="0"/>
    <x v="235"/>
    <m/>
    <n v="513.91304347826087"/>
    <n v="513.91304347826087"/>
    <n v="0"/>
    <n v="320.80869565217392"/>
    <n v="0"/>
    <n v="25"/>
    <n v="0"/>
    <n v="49.5"/>
    <n v="10"/>
    <n v="8.5"/>
    <n v="0"/>
    <n v="0.995"/>
    <n v="0.62424703891708966"/>
    <n v="0.93"/>
    <m/>
    <n v="1"/>
    <s v="4 injection site blemish"/>
    <m/>
    <m/>
    <m/>
    <m/>
    <m/>
    <m/>
  </r>
  <r>
    <x v="251"/>
    <x v="0"/>
    <m/>
    <x v="8"/>
    <n v="28"/>
    <n v="26"/>
    <n v="2"/>
    <s v="1 bull age older than 3 years + 1 carcass c. bovis in the heart"/>
    <n v="13397"/>
    <n v="13022"/>
    <n v="375"/>
    <x v="236"/>
    <m/>
    <n v="515.26923076923072"/>
    <n v="500.84615384615387"/>
    <n v="14.423076923076923"/>
    <n v="322.67307692307691"/>
    <n v="0"/>
    <n v="19.8"/>
    <n v="0"/>
    <n v="48.5"/>
    <n v="10"/>
    <n v="8.5"/>
    <n v="2.7991341345077258E-2"/>
    <n v="0.88100000000000001"/>
    <n v="0.62622228857206841"/>
    <n v="0.86799999999999999"/>
    <s v="1 hindquarter + 1 liver + 1 lung"/>
    <n v="2"/>
    <m/>
    <m/>
    <m/>
    <m/>
    <n v="2"/>
    <n v="26"/>
    <m/>
  </r>
  <r>
    <x v="252"/>
    <x v="0"/>
    <m/>
    <x v="8"/>
    <n v="21"/>
    <n v="21"/>
    <n v="0"/>
    <m/>
    <n v="9915"/>
    <n v="9570"/>
    <n v="345"/>
    <x v="237"/>
    <m/>
    <n v="472.14285714285717"/>
    <n v="455.71428571428572"/>
    <n v="16.428571428571427"/>
    <n v="287.62857142857143"/>
    <n v="0"/>
    <n v="25"/>
    <n v="0"/>
    <n v="49.4"/>
    <n v="10"/>
    <n v="8.5"/>
    <n v="3.4795763993948556E-2"/>
    <n v="0.99399999999999999"/>
    <n v="0.60919818456883512"/>
    <n v="0.92900000000000005"/>
    <s v="1 lung"/>
    <m/>
    <m/>
    <m/>
    <m/>
    <n v="2"/>
    <m/>
    <m/>
    <m/>
  </r>
  <r>
    <x v="253"/>
    <x v="0"/>
    <m/>
    <x v="5"/>
    <n v="16"/>
    <n v="16"/>
    <n v="0"/>
    <m/>
    <n v="6643"/>
    <n v="6302"/>
    <n v="341"/>
    <x v="238"/>
    <m/>
    <n v="415.1875"/>
    <n v="393.875"/>
    <n v="21.3125"/>
    <n v="261.22500000000002"/>
    <n v="0"/>
    <n v="25"/>
    <n v="0"/>
    <n v="49.6"/>
    <n v="10"/>
    <n v="8.5"/>
    <n v="5.1332229414421192E-2"/>
    <n v="0.996"/>
    <n v="0.62917356615986764"/>
    <n v="0.93099999999999994"/>
    <m/>
    <n v="2"/>
    <m/>
    <m/>
    <m/>
    <m/>
    <m/>
    <m/>
    <m/>
  </r>
  <r>
    <x v="253"/>
    <x v="1"/>
    <m/>
    <x v="1"/>
    <n v="25"/>
    <n v="25"/>
    <n v="0"/>
    <s v="1 lung"/>
    <m/>
    <m/>
    <n v="0"/>
    <x v="0"/>
    <m/>
    <n v="0"/>
    <n v="0"/>
    <n v="0"/>
    <n v="0"/>
    <n v="0"/>
    <n v="25"/>
    <n v="0"/>
    <n v="49.3"/>
    <n v="10"/>
    <n v="8.5"/>
    <m/>
    <n v="0.99299999999999999"/>
    <m/>
    <n v="0.92799999999999994"/>
    <s v="1 lung"/>
    <m/>
    <s v="5 liver abscesses"/>
    <m/>
    <m/>
    <m/>
    <m/>
    <m/>
    <m/>
  </r>
  <r>
    <x v="254"/>
    <x v="0"/>
    <m/>
    <x v="0"/>
    <n v="46"/>
    <n v="46"/>
    <n v="0"/>
    <m/>
    <n v="23860"/>
    <n v="22525"/>
    <n v="1335"/>
    <x v="239"/>
    <m/>
    <n v="518.695652173913"/>
    <n v="489.67391304347825"/>
    <n v="29.021739130434781"/>
    <n v="319.51086956521738"/>
    <n v="0"/>
    <n v="25"/>
    <n v="0"/>
    <n v="49.5"/>
    <n v="10"/>
    <n v="8.5"/>
    <n v="5.5951383067896064E-2"/>
    <n v="0.995"/>
    <n v="0.61598910310142496"/>
    <n v="0.93"/>
    <s v="1 single kidney + 1 liver "/>
    <n v="2"/>
    <s v="1 sever bruise"/>
    <m/>
    <m/>
    <m/>
    <m/>
    <m/>
    <m/>
  </r>
  <r>
    <x v="255"/>
    <x v="0"/>
    <m/>
    <x v="0"/>
    <n v="25"/>
    <n v="25"/>
    <n v="0"/>
    <m/>
    <n v="12860"/>
    <n v="12110"/>
    <n v="750"/>
    <x v="240"/>
    <m/>
    <n v="514.4"/>
    <n v="484.4"/>
    <n v="30"/>
    <n v="316.49200000000002"/>
    <n v="0"/>
    <n v="25"/>
    <n v="0"/>
    <n v="49.4"/>
    <n v="10"/>
    <n v="8.5"/>
    <n v="5.8320373250388802E-2"/>
    <n v="0.99399999999999999"/>
    <n v="0.61526438569206843"/>
    <n v="0.92900000000000005"/>
    <m/>
    <n v="3"/>
    <s v="1 abscess"/>
    <m/>
    <m/>
    <m/>
    <m/>
    <m/>
    <m/>
  </r>
  <r>
    <x v="255"/>
    <x v="1"/>
    <m/>
    <x v="1"/>
    <n v="30"/>
    <n v="30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256"/>
    <x v="0"/>
    <m/>
    <x v="8"/>
    <n v="35"/>
    <n v="35"/>
    <n v="0"/>
    <m/>
    <n v="13600"/>
    <n v="13115"/>
    <n v="485"/>
    <x v="241"/>
    <m/>
    <n v="388.57142857142856"/>
    <n v="374.71428571428572"/>
    <n v="13.857142857142858"/>
    <n v="234.4457142857143"/>
    <n v="0"/>
    <n v="25"/>
    <n v="0"/>
    <n v="49.9"/>
    <n v="10"/>
    <n v="8.5"/>
    <n v="3.5661764705882358E-2"/>
    <n v="0.999"/>
    <n v="0.60335294117647065"/>
    <n v="0.93400000000000005"/>
    <m/>
    <m/>
    <s v="1 liver abscess"/>
    <m/>
    <m/>
    <m/>
    <m/>
    <m/>
    <m/>
  </r>
  <r>
    <x v="257"/>
    <x v="0"/>
    <m/>
    <x v="0"/>
    <n v="27"/>
    <n v="27"/>
    <n v="0"/>
    <m/>
    <n v="13880"/>
    <n v="12960"/>
    <n v="920"/>
    <x v="242"/>
    <m/>
    <n v="514.07407407407402"/>
    <n v="480"/>
    <n v="34.074074074074076"/>
    <n v="312.40740740740739"/>
    <n v="0"/>
    <n v="25"/>
    <n v="0"/>
    <n v="49.2"/>
    <n v="10"/>
    <n v="8.5"/>
    <n v="6.628242074927955E-2"/>
    <n v="0.99199999999999999"/>
    <n v="0.60770893371757928"/>
    <n v="0.92700000000000005"/>
    <m/>
    <m/>
    <s v="1 liver abscess"/>
    <m/>
    <m/>
    <n v="4"/>
    <m/>
    <m/>
    <m/>
  </r>
  <r>
    <x v="258"/>
    <x v="0"/>
    <m/>
    <x v="5"/>
    <n v="24"/>
    <n v="24"/>
    <n v="0"/>
    <m/>
    <n v="9939"/>
    <n v="9450"/>
    <n v="489"/>
    <x v="243"/>
    <m/>
    <n v="414.125"/>
    <n v="393.75"/>
    <n v="20.375"/>
    <n v="261.69583333333333"/>
    <n v="0"/>
    <n v="25"/>
    <n v="0"/>
    <n v="49.7"/>
    <n v="10"/>
    <n v="8.5"/>
    <n v="4.9200120736492603E-2"/>
    <n v="0.99700000000000011"/>
    <n v="0.6319247409196096"/>
    <n v="0.93200000000000005"/>
    <s v="1 liver"/>
    <m/>
    <m/>
    <m/>
    <m/>
    <m/>
    <m/>
    <m/>
    <m/>
  </r>
  <r>
    <x v="258"/>
    <x v="1"/>
    <m/>
    <x v="1"/>
    <n v="25"/>
    <n v="25"/>
    <n v="0"/>
    <m/>
    <m/>
    <m/>
    <n v="0"/>
    <x v="0"/>
    <m/>
    <n v="0"/>
    <n v="0"/>
    <n v="0"/>
    <n v="0"/>
    <n v="0"/>
    <n v="25"/>
    <n v="0"/>
    <n v="45.9"/>
    <n v="10"/>
    <n v="8.5"/>
    <m/>
    <n v="0.95899999999999996"/>
    <m/>
    <n v="0.89400000000000002"/>
    <s v="11 livers + 3 hearts + 2 omentums"/>
    <m/>
    <m/>
    <m/>
    <m/>
    <m/>
    <m/>
    <m/>
    <m/>
  </r>
  <r>
    <x v="259"/>
    <x v="0"/>
    <m/>
    <x v="5"/>
    <n v="37"/>
    <n v="37"/>
    <n v="0"/>
    <m/>
    <n v="15392"/>
    <n v="14345"/>
    <n v="1047"/>
    <x v="244"/>
    <m/>
    <n v="416"/>
    <n v="387.70270270270271"/>
    <n v="28.297297297297298"/>
    <n v="252.06216216216214"/>
    <n v="0"/>
    <n v="25"/>
    <n v="0"/>
    <n v="49.8"/>
    <n v="10"/>
    <n v="8.5"/>
    <n v="6.8022349272349278E-2"/>
    <n v="0.998"/>
    <n v="0.60591865904365905"/>
    <n v="0.93299999999999994"/>
    <m/>
    <n v="1"/>
    <m/>
    <m/>
    <m/>
    <n v="1"/>
    <m/>
    <m/>
    <m/>
  </r>
  <r>
    <x v="260"/>
    <x v="0"/>
    <m/>
    <x v="0"/>
    <n v="33"/>
    <n v="32"/>
    <n v="1"/>
    <s v="1 c. bovis in the masseter ms of the head"/>
    <n v="15015"/>
    <n v="14392"/>
    <n v="623"/>
    <x v="245"/>
    <m/>
    <n v="469.21875"/>
    <n v="449.75"/>
    <n v="19.46875"/>
    <n v="281.50937499999998"/>
    <n v="0"/>
    <n v="25"/>
    <n v="0"/>
    <n v="49.1"/>
    <n v="10"/>
    <n v="8.5"/>
    <n v="4.1491841491841493E-2"/>
    <n v="0.99099999999999999"/>
    <n v="0.59995337995337994"/>
    <n v="0.92599999999999993"/>
    <s v="2 forequarter TB + 1 head TB"/>
    <m/>
    <m/>
    <m/>
    <m/>
    <m/>
    <m/>
    <m/>
    <m/>
  </r>
  <r>
    <x v="261"/>
    <x v="0"/>
    <m/>
    <x v="8"/>
    <n v="32"/>
    <n v="32"/>
    <n v="0"/>
    <m/>
    <n v="15575"/>
    <n v="14940"/>
    <n v="635"/>
    <x v="246"/>
    <m/>
    <n v="486.71875"/>
    <n v="466.875"/>
    <n v="19.84375"/>
    <n v="294.75"/>
    <n v="0"/>
    <n v="25"/>
    <n v="0"/>
    <n v="49.2"/>
    <n v="10"/>
    <n v="8.5"/>
    <n v="4.0770465489566615E-2"/>
    <n v="0.99199999999999999"/>
    <n v="0.60558587479935799"/>
    <n v="0.92700000000000005"/>
    <s v="1 liver"/>
    <n v="1"/>
    <s v="1 liver abscess"/>
    <m/>
    <m/>
    <n v="3"/>
    <m/>
    <m/>
    <m/>
  </r>
  <r>
    <x v="262"/>
    <x v="0"/>
    <m/>
    <x v="8"/>
    <n v="28"/>
    <n v="27"/>
    <n v="1"/>
    <s v="1 age &gt; 3 years"/>
    <n v="12774"/>
    <n v="12184"/>
    <n v="590"/>
    <x v="247"/>
    <m/>
    <n v="473.11111111111109"/>
    <n v="451.25925925925924"/>
    <n v="21.851851851851851"/>
    <n v="291.55555555555554"/>
    <n v="0"/>
    <n v="24"/>
    <n v="0"/>
    <n v="49.1"/>
    <n v="10"/>
    <n v="8.5"/>
    <n v="4.6187568498512604E-2"/>
    <n v="0.97099999999999997"/>
    <n v="0.61625176139032412"/>
    <n v="0.91599999999999993"/>
    <s v="1 liver"/>
    <n v="2"/>
    <m/>
    <m/>
    <m/>
    <n v="2"/>
    <m/>
    <m/>
    <m/>
  </r>
  <r>
    <x v="263"/>
    <x v="0"/>
    <m/>
    <x v="5"/>
    <n v="16"/>
    <n v="15"/>
    <n v="1"/>
    <s v="1 c. bovis in the heart"/>
    <n v="5912"/>
    <n v="5589"/>
    <n v="323"/>
    <x v="248"/>
    <m/>
    <n v="394.13333333333333"/>
    <n v="372.6"/>
    <n v="21.533333333333335"/>
    <n v="246.74666666666664"/>
    <n v="0"/>
    <n v="25"/>
    <n v="0"/>
    <n v="49.4"/>
    <n v="10"/>
    <n v="8.5"/>
    <n v="5.4634641407307179E-2"/>
    <n v="0.99399999999999999"/>
    <n v="0.62604871447902566"/>
    <n v="0.92900000000000005"/>
    <s v="1 lung"/>
    <m/>
    <s v="1 liver abscess"/>
    <m/>
    <m/>
    <m/>
    <m/>
    <m/>
    <m/>
  </r>
  <r>
    <x v="264"/>
    <x v="0"/>
    <m/>
    <x v="5"/>
    <n v="35"/>
    <n v="35"/>
    <n v="0"/>
    <m/>
    <n v="14401"/>
    <n v="13650"/>
    <n v="751"/>
    <x v="249"/>
    <m/>
    <n v="411.45714285714286"/>
    <n v="390"/>
    <n v="21.457142857142856"/>
    <n v="253.06571428571428"/>
    <n v="0"/>
    <n v="25"/>
    <n v="0"/>
    <n v="49.7"/>
    <n v="10"/>
    <n v="8.5"/>
    <n v="5.2149156308589677E-2"/>
    <n v="0.99700000000000011"/>
    <n v="0.61504756614124012"/>
    <n v="0.93200000000000005"/>
    <s v="1 single testicle"/>
    <m/>
    <s v="2 liver abscess"/>
    <m/>
    <m/>
    <m/>
    <m/>
    <m/>
    <m/>
  </r>
  <r>
    <x v="265"/>
    <x v="0"/>
    <m/>
    <x v="0"/>
    <n v="35"/>
    <n v="35"/>
    <n v="0"/>
    <m/>
    <n v="15393"/>
    <n v="14320"/>
    <n v="1073"/>
    <x v="250"/>
    <m/>
    <n v="439.8"/>
    <n v="409.14285714285717"/>
    <n v="30.657142857142858"/>
    <n v="263.86857142857144"/>
    <n v="0"/>
    <n v="25"/>
    <n v="0"/>
    <n v="49.7"/>
    <n v="10"/>
    <n v="8.5"/>
    <n v="6.9707009679724555E-2"/>
    <n v="0.99700000000000011"/>
    <n v="0.59997401416228158"/>
    <n v="0.93200000000000005"/>
    <m/>
    <m/>
    <s v="1 liver abscess"/>
    <m/>
    <m/>
    <n v="2"/>
    <m/>
    <m/>
    <m/>
  </r>
  <r>
    <x v="266"/>
    <x v="0"/>
    <m/>
    <x v="8"/>
    <n v="34"/>
    <n v="34"/>
    <n v="0"/>
    <m/>
    <n v="16405"/>
    <n v="15475"/>
    <n v="930"/>
    <x v="251"/>
    <m/>
    <n v="482.5"/>
    <n v="455.14705882352939"/>
    <n v="27.352941176470587"/>
    <n v="294.78823529411761"/>
    <n v="0"/>
    <n v="25"/>
    <n v="0"/>
    <n v="49.8"/>
    <n v="10"/>
    <n v="8.5"/>
    <n v="5.6690033526363912E-2"/>
    <n v="0.998"/>
    <n v="0.61096007314843026"/>
    <n v="0.93299999999999994"/>
    <m/>
    <n v="1"/>
    <s v="1 lung + 1 abscess + 1 liver abscess"/>
    <m/>
    <m/>
    <m/>
    <m/>
    <m/>
    <m/>
  </r>
  <r>
    <x v="267"/>
    <x v="0"/>
    <m/>
    <x v="5"/>
    <n v="26"/>
    <n v="25"/>
    <n v="1"/>
    <s v="1 c. bovis in the heart"/>
    <n v="10179"/>
    <n v="9515"/>
    <n v="664"/>
    <x v="252"/>
    <m/>
    <n v="407.16"/>
    <n v="380.6"/>
    <n v="26.56"/>
    <n v="254.25200000000001"/>
    <n v="0"/>
    <n v="25"/>
    <n v="0"/>
    <n v="49.5"/>
    <n v="10"/>
    <n v="8.5"/>
    <n v="6.5232341094410048E-2"/>
    <n v="0.995"/>
    <n v="0.6244523037626486"/>
    <n v="0.93"/>
    <m/>
    <n v="3"/>
    <s v="2 liver abscess"/>
    <m/>
    <m/>
    <m/>
    <m/>
    <m/>
    <m/>
  </r>
  <r>
    <x v="267"/>
    <x v="1"/>
    <m/>
    <x v="1"/>
    <n v="22"/>
    <n v="22"/>
    <n v="0"/>
    <m/>
    <m/>
    <m/>
    <n v="0"/>
    <x v="0"/>
    <m/>
    <n v="0"/>
    <n v="0"/>
    <n v="0"/>
    <n v="0"/>
    <n v="0"/>
    <n v="25"/>
    <n v="0"/>
    <n v="49.4"/>
    <n v="10"/>
    <n v="8.5"/>
    <m/>
    <n v="0.99399999999999999"/>
    <m/>
    <n v="0.92900000000000005"/>
    <s v="1 liver"/>
    <m/>
    <s v="3 liver abscesses"/>
    <m/>
    <m/>
    <m/>
    <m/>
    <m/>
    <m/>
  </r>
  <r>
    <x v="268"/>
    <x v="0"/>
    <m/>
    <x v="5"/>
    <n v="28"/>
    <n v="28"/>
    <n v="0"/>
    <m/>
    <n v="11832"/>
    <n v="10840"/>
    <n v="992"/>
    <x v="253"/>
    <m/>
    <n v="422.57142857142856"/>
    <n v="387.14285714285717"/>
    <n v="35.428571428571431"/>
    <n v="257.30357142857144"/>
    <n v="0"/>
    <n v="25"/>
    <n v="0"/>
    <n v="49.5"/>
    <n v="9"/>
    <n v="8.5"/>
    <n v="8.3840432724814076E-2"/>
    <n v="0.995"/>
    <n v="0.60889959432048679"/>
    <n v="0.92"/>
    <m/>
    <n v="3"/>
    <s v="3 liver abscesses"/>
    <m/>
    <m/>
    <m/>
    <m/>
    <m/>
    <m/>
  </r>
  <r>
    <x v="269"/>
    <x v="0"/>
    <m/>
    <x v="0"/>
    <n v="18"/>
    <n v="16"/>
    <n v="2"/>
    <s v="2 c. bovis in the heart  and in the masseter ms."/>
    <n v="7663"/>
    <n v="7333"/>
    <n v="330"/>
    <x v="254"/>
    <m/>
    <n v="478.9375"/>
    <n v="458.3125"/>
    <n v="20.625"/>
    <n v="295.18124999999998"/>
    <n v="0"/>
    <n v="24"/>
    <n v="0"/>
    <n v="48.3"/>
    <n v="10"/>
    <n v="8.5"/>
    <n v="4.3064074122406371E-2"/>
    <n v="0.96299999999999997"/>
    <n v="0.61632519900822125"/>
    <n v="0.90799999999999992"/>
    <s v="1 forequarter TB + "/>
    <m/>
    <m/>
    <m/>
    <m/>
    <n v="3"/>
    <m/>
    <m/>
    <m/>
  </r>
  <r>
    <x v="270"/>
    <x v="0"/>
    <m/>
    <x v="5"/>
    <n v="51"/>
    <n v="46"/>
    <n v="5"/>
    <s v="5 c. bovis in the hearts"/>
    <n v="18880"/>
    <n v="17290"/>
    <n v="1590"/>
    <x v="255"/>
    <m/>
    <n v="410.43478260869563"/>
    <n v="375.86956521739131"/>
    <n v="34.565217391304351"/>
    <n v="250.89347826086959"/>
    <n v="0"/>
    <n v="25"/>
    <n v="0"/>
    <n v="49.9"/>
    <n v="10"/>
    <n v="8.5"/>
    <n v="8.4216101694915266E-2"/>
    <n v="0.999"/>
    <n v="0.6112870762711865"/>
    <n v="0.93400000000000005"/>
    <s v="1 heart"/>
    <m/>
    <m/>
    <m/>
    <m/>
    <m/>
    <m/>
    <m/>
    <m/>
  </r>
  <r>
    <x v="270"/>
    <x v="1"/>
    <m/>
    <x v="13"/>
    <n v="1"/>
    <n v="1"/>
    <n v="0"/>
    <m/>
    <m/>
    <m/>
    <n v="0"/>
    <x v="0"/>
    <m/>
    <n v="0"/>
    <n v="0"/>
    <n v="0"/>
    <n v="0"/>
    <n v="0"/>
    <n v="25"/>
    <n v="0"/>
    <n v="50"/>
    <n v="10"/>
    <n v="8.5"/>
    <m/>
    <n v="1"/>
    <m/>
    <n v="0.93500000000000005"/>
    <m/>
    <m/>
    <m/>
    <m/>
    <m/>
    <m/>
    <m/>
    <m/>
    <m/>
  </r>
  <r>
    <x v="271"/>
    <x v="0"/>
    <m/>
    <x v="8"/>
    <n v="58"/>
    <n v="56"/>
    <n v="2"/>
    <s v="2 c. bovis in the hearts"/>
    <n v="26154"/>
    <n v="26154"/>
    <n v="0"/>
    <x v="256"/>
    <m/>
    <n v="467.03571428571428"/>
    <n v="467.03571428571428"/>
    <n v="0"/>
    <n v="286.4892857142857"/>
    <n v="0"/>
    <n v="25"/>
    <n v="0"/>
    <n v="49.8"/>
    <n v="10"/>
    <n v="8.5"/>
    <n v="0"/>
    <n v="0.998"/>
    <n v="0.6134205092911218"/>
    <n v="0.93299999999999994"/>
    <s v="1 chuck"/>
    <m/>
    <m/>
    <m/>
    <m/>
    <m/>
    <m/>
    <m/>
    <m/>
  </r>
  <r>
    <x v="272"/>
    <x v="0"/>
    <m/>
    <x v="0"/>
    <n v="54"/>
    <n v="54"/>
    <n v="0"/>
    <m/>
    <n v="26715"/>
    <n v="26715"/>
    <n v="0"/>
    <x v="257"/>
    <m/>
    <n v="494.72222222222223"/>
    <n v="494.72222222222223"/>
    <n v="0"/>
    <n v="296.8351851851852"/>
    <n v="0"/>
    <n v="25"/>
    <n v="0"/>
    <n v="49.6"/>
    <n v="10"/>
    <n v="8.5"/>
    <n v="0"/>
    <n v="0.996"/>
    <n v="0.60000374321542205"/>
    <n v="0.93099999999999994"/>
    <s v="1 forequarter TB"/>
    <m/>
    <s v="2 injection site abscesses + 2 liver abscesses"/>
    <m/>
    <m/>
    <m/>
    <m/>
    <m/>
    <m/>
  </r>
  <r>
    <x v="273"/>
    <x v="0"/>
    <m/>
    <x v="8"/>
    <n v="48"/>
    <n v="46"/>
    <n v="2"/>
    <s v="2 c. bovis in the hearts"/>
    <n v="21992"/>
    <n v="20832"/>
    <n v="1160"/>
    <x v="258"/>
    <m/>
    <n v="478.08695652173913"/>
    <n v="452.86956521739131"/>
    <n v="25.217391304347824"/>
    <n v="291.47608695652173"/>
    <n v="0"/>
    <n v="24.9"/>
    <n v="0"/>
    <n v="49.7"/>
    <n v="10"/>
    <n v="8.5"/>
    <n v="5.2746453255729353E-2"/>
    <n v="0.99500000000000011"/>
    <n v="0.60967169879956351"/>
    <n v="0.93099999999999994"/>
    <m/>
    <n v="3"/>
    <s v="1 liver abscess"/>
    <m/>
    <m/>
    <s v="1 hematoma"/>
    <n v="1"/>
    <m/>
    <m/>
  </r>
  <r>
    <x v="274"/>
    <x v="0"/>
    <m/>
    <x v="8"/>
    <n v="27"/>
    <n v="24"/>
    <n v="3"/>
    <s v="3 not local breeds"/>
    <n v="10915"/>
    <n v="10470"/>
    <n v="445"/>
    <x v="259"/>
    <m/>
    <n v="454.79166666666669"/>
    <n v="436.25"/>
    <n v="18.541666666666668"/>
    <n v="277.03749999999997"/>
    <n v="0"/>
    <n v="25"/>
    <n v="0"/>
    <n v="49.7"/>
    <n v="10"/>
    <n v="8.5"/>
    <n v="4.0769583142464497E-2"/>
    <n v="0.99700000000000011"/>
    <n v="0.6091525423728813"/>
    <n v="0.93200000000000005"/>
    <m/>
    <m/>
    <s v="1 liver cirrhosis"/>
    <m/>
    <m/>
    <s v="1 bruise"/>
    <m/>
    <m/>
    <m/>
  </r>
  <r>
    <x v="275"/>
    <x v="0"/>
    <m/>
    <x v="8"/>
    <n v="24"/>
    <n v="24"/>
    <n v="0"/>
    <m/>
    <n v="10700"/>
    <n v="10270"/>
    <n v="430"/>
    <x v="260"/>
    <m/>
    <n v="445.83333333333331"/>
    <n v="427.91666666666669"/>
    <n v="17.916666666666668"/>
    <n v="270.9375"/>
    <n v="0"/>
    <n v="25"/>
    <n v="0"/>
    <n v="49.1"/>
    <n v="10"/>
    <n v="8.5"/>
    <n v="4.018691588785047E-2"/>
    <n v="0.99099999999999999"/>
    <n v="0.60771028037383179"/>
    <n v="0.92599999999999993"/>
    <m/>
    <n v="3"/>
    <s v="1 abscess + 1 hematoma + 1 liver cirrhosis"/>
    <m/>
    <m/>
    <n v="1"/>
    <m/>
    <m/>
    <n v="0.5"/>
  </r>
  <r>
    <x v="276"/>
    <x v="0"/>
    <m/>
    <x v="5"/>
    <n v="21"/>
    <n v="20"/>
    <n v="1"/>
    <s v="1 c. bovis in the heart"/>
    <n v="8430"/>
    <n v="8041"/>
    <n v="389"/>
    <x v="261"/>
    <m/>
    <n v="421.5"/>
    <n v="402.05"/>
    <n v="19.45"/>
    <n v="265.14499999999998"/>
    <n v="0"/>
    <n v="25"/>
    <n v="0"/>
    <n v="49.5"/>
    <n v="10"/>
    <n v="8.5"/>
    <n v="4.6144721233689207E-2"/>
    <n v="0.995"/>
    <n v="0.62905100830367733"/>
    <n v="0.93"/>
    <m/>
    <m/>
    <s v="2 bruises (500 gm)"/>
    <m/>
    <m/>
    <n v="2"/>
    <m/>
    <m/>
    <n v="422.5"/>
  </r>
  <r>
    <x v="277"/>
    <x v="0"/>
    <m/>
    <x v="5"/>
    <n v="30"/>
    <n v="29"/>
    <n v="1"/>
    <s v="1 c. bovis in the heart"/>
    <n v="11689"/>
    <n v="10896"/>
    <n v="793"/>
    <x v="262"/>
    <m/>
    <n v="403.06896551724139"/>
    <n v="375.72413793103448"/>
    <n v="27.344827586206897"/>
    <n v="248"/>
    <n v="0"/>
    <n v="25"/>
    <n v="0"/>
    <n v="49.1"/>
    <n v="10"/>
    <n v="8.5"/>
    <n v="6.7841560441440671E-2"/>
    <n v="0.99099999999999999"/>
    <n v="0.6152793224399008"/>
    <n v="0.92599999999999993"/>
    <s v="1 liver (cirrhosis)"/>
    <n v="6"/>
    <m/>
    <m/>
    <m/>
    <m/>
    <m/>
    <m/>
    <n v="410.5"/>
  </r>
  <r>
    <x v="278"/>
    <x v="0"/>
    <m/>
    <x v="0"/>
    <n v="56"/>
    <n v="55"/>
    <n v="1"/>
    <s v="1 c. bovis in the heart"/>
    <n v="27680"/>
    <n v="25915"/>
    <n v="1765"/>
    <x v="263"/>
    <m/>
    <n v="503.27272727272725"/>
    <n v="471.18181818181819"/>
    <n v="32.090909090909093"/>
    <n v="302.38909090909095"/>
    <n v="0"/>
    <n v="25"/>
    <n v="0"/>
    <n v="49.7"/>
    <n v="10"/>
    <n v="8.5"/>
    <n v="6.3764450867052028E-2"/>
    <n v="0.99700000000000011"/>
    <n v="0.60084537572254337"/>
    <n v="0.93200000000000005"/>
    <m/>
    <n v="5"/>
    <m/>
    <m/>
    <m/>
    <m/>
    <m/>
    <m/>
    <n v="503"/>
  </r>
  <r>
    <x v="279"/>
    <x v="0"/>
    <m/>
    <x v="0"/>
    <n v="25"/>
    <n v="25"/>
    <n v="0"/>
    <m/>
    <n v="12300"/>
    <n v="11685"/>
    <n v="615"/>
    <x v="264"/>
    <m/>
    <n v="492"/>
    <n v="467.4"/>
    <n v="24.6"/>
    <n v="300.40800000000002"/>
    <n v="0"/>
    <n v="25"/>
    <n v="0"/>
    <n v="49.5"/>
    <n v="10"/>
    <n v="8.5"/>
    <n v="0.05"/>
    <n v="0.995"/>
    <n v="0.61058536585365852"/>
    <n v="0.93"/>
    <m/>
    <n v="4"/>
    <m/>
    <m/>
    <m/>
    <m/>
    <m/>
    <m/>
    <m/>
  </r>
  <r>
    <x v="280"/>
    <x v="0"/>
    <m/>
    <x v="5"/>
    <n v="52"/>
    <n v="51"/>
    <n v="1"/>
    <s v="1 c. bovis in the heart"/>
    <n v="21769"/>
    <n v="20431"/>
    <n v="1338"/>
    <x v="265"/>
    <m/>
    <n v="426.84313725490193"/>
    <n v="400.60784313725492"/>
    <n v="26.235294117647058"/>
    <n v="261.87450980392157"/>
    <n v="0"/>
    <n v="25"/>
    <n v="0"/>
    <n v="49.7"/>
    <n v="9"/>
    <n v="8.5"/>
    <n v="6.1463549083559194E-2"/>
    <n v="0.99700000000000011"/>
    <n v="0.61351463089714731"/>
    <n v="0.92200000000000004"/>
    <m/>
    <m/>
    <s v="3 bruises"/>
    <m/>
    <m/>
    <n v="3"/>
    <m/>
    <m/>
    <n v="428"/>
  </r>
  <r>
    <x v="281"/>
    <x v="0"/>
    <m/>
    <x v="5"/>
    <n v="32"/>
    <n v="30"/>
    <n v="2"/>
    <s v="2 c. bovis in the heart"/>
    <n v="12685"/>
    <n v="12214"/>
    <n v="471"/>
    <x v="266"/>
    <m/>
    <n v="422.83333333333331"/>
    <n v="407.13333333333333"/>
    <n v="15.7"/>
    <n v="263.68"/>
    <n v="0"/>
    <n v="25"/>
    <n v="0"/>
    <n v="49.8"/>
    <n v="10"/>
    <n v="8.5"/>
    <n v="3.7130469057942449E-2"/>
    <n v="0.998"/>
    <n v="0.62360268033109967"/>
    <n v="0.93299999999999994"/>
    <s v="2 kidneys ( 800 gm)"/>
    <m/>
    <m/>
    <m/>
    <m/>
    <m/>
    <m/>
    <m/>
    <n v="846.8"/>
  </r>
  <r>
    <x v="282"/>
    <x v="0"/>
    <m/>
    <x v="8"/>
    <n v="52"/>
    <n v="52"/>
    <n v="0"/>
    <m/>
    <n v="23059"/>
    <n v="21355"/>
    <n v="1704"/>
    <x v="267"/>
    <m/>
    <n v="443.44230769230768"/>
    <n v="410.67307692307691"/>
    <n v="32.769230769230766"/>
    <n v="266.09038461538461"/>
    <n v="0"/>
    <n v="25"/>
    <n v="0"/>
    <n v="49.7"/>
    <n v="10"/>
    <n v="8.5"/>
    <n v="7.3897393642395587E-2"/>
    <n v="0.99700000000000011"/>
    <n v="0.60005637711956294"/>
    <n v="0.93200000000000005"/>
    <m/>
    <m/>
    <s v="7 liver abscesses"/>
    <m/>
    <m/>
    <m/>
    <m/>
    <m/>
    <n v="7.5"/>
  </r>
  <r>
    <x v="282"/>
    <x v="1"/>
    <m/>
    <x v="1"/>
    <n v="25"/>
    <n v="25"/>
    <n v="0"/>
    <m/>
    <m/>
    <m/>
    <n v="0"/>
    <x v="0"/>
    <m/>
    <n v="0"/>
    <n v="0"/>
    <n v="0"/>
    <n v="0"/>
    <n v="0"/>
    <n v="25"/>
    <n v="0"/>
    <n v="49.6"/>
    <n v="10"/>
    <n v="8.5"/>
    <m/>
    <n v="0.996"/>
    <m/>
    <n v="0.93099999999999994"/>
    <s v="1 liver (2.5 kg)"/>
    <m/>
    <s v="2 liver abscesses (750 gm)"/>
    <m/>
    <m/>
    <m/>
    <m/>
    <m/>
    <n v="1.5"/>
  </r>
  <r>
    <x v="283"/>
    <x v="0"/>
    <m/>
    <x v="0"/>
    <n v="38"/>
    <n v="38"/>
    <n v="0"/>
    <m/>
    <n v="19010"/>
    <n v="17710"/>
    <n v="1300"/>
    <x v="268"/>
    <m/>
    <n v="500.26315789473682"/>
    <n v="466.05263157894734"/>
    <n v="34.210526315789473"/>
    <n v="304.34473684210525"/>
    <n v="0"/>
    <n v="25"/>
    <n v="0"/>
    <n v="49.4"/>
    <n v="10"/>
    <n v="8.5"/>
    <n v="6.8385060494476596E-2"/>
    <n v="0.99399999999999999"/>
    <n v="0.60836927932667018"/>
    <n v="0.92900000000000005"/>
    <m/>
    <n v="8"/>
    <m/>
    <m/>
    <m/>
    <m/>
    <m/>
    <m/>
    <m/>
  </r>
  <r>
    <x v="284"/>
    <x v="0"/>
    <m/>
    <x v="5"/>
    <n v="42"/>
    <n v="41"/>
    <n v="1"/>
    <s v="1 c. bovis in the heart"/>
    <n v="17373"/>
    <n v="16157"/>
    <n v="1216"/>
    <x v="269"/>
    <m/>
    <n v="423.73170731707319"/>
    <n v="394.07317073170731"/>
    <n v="29.658536585365855"/>
    <n v="259.47073170731704"/>
    <n v="0"/>
    <n v="25"/>
    <n v="0"/>
    <n v="49.7"/>
    <n v="10"/>
    <n v="8.5"/>
    <n v="6.9993668335923562E-2"/>
    <n v="0.99700000000000011"/>
    <n v="0.61234674494905883"/>
    <n v="0.93200000000000005"/>
    <s v="1 single kidney"/>
    <n v="2"/>
    <m/>
    <m/>
    <m/>
    <m/>
    <m/>
    <m/>
    <n v="444"/>
  </r>
  <r>
    <x v="285"/>
    <x v="0"/>
    <m/>
    <x v="5"/>
    <n v="30"/>
    <n v="29"/>
    <n v="1"/>
    <s v="1 c. bovis in the heart"/>
    <n v="12375"/>
    <n v="11614"/>
    <n v="761"/>
    <x v="270"/>
    <m/>
    <n v="426.72413793103448"/>
    <n v="400.48275862068965"/>
    <n v="26.241379310344829"/>
    <n v="265.2896551724138"/>
    <n v="0"/>
    <n v="25"/>
    <n v="0"/>
    <n v="49.6"/>
    <n v="10"/>
    <n v="8.5"/>
    <n v="6.1494949494949498E-2"/>
    <n v="0.996"/>
    <n v="0.62168888888888885"/>
    <n v="0.93099999999999994"/>
    <m/>
    <n v="4"/>
    <m/>
    <m/>
    <m/>
    <m/>
    <m/>
    <m/>
    <n v="451"/>
  </r>
  <r>
    <x v="286"/>
    <x v="0"/>
    <m/>
    <x v="5"/>
    <n v="20"/>
    <n v="19"/>
    <n v="1"/>
    <s v="1 c. bovis in the heart"/>
    <n v="8126"/>
    <n v="7641"/>
    <n v="485"/>
    <x v="271"/>
    <m/>
    <n v="427.68421052631578"/>
    <n v="402.15789473684208"/>
    <n v="25.526315789473685"/>
    <n v="267.91578947368419"/>
    <n v="0"/>
    <n v="25"/>
    <n v="0"/>
    <n v="50"/>
    <n v="10"/>
    <n v="8.5"/>
    <n v="5.9684961850849129E-2"/>
    <n v="1"/>
    <n v="0.6264336697021905"/>
    <n v="0.93500000000000005"/>
    <m/>
    <m/>
    <s v="2 small abscesses (500 gm)"/>
    <m/>
    <m/>
    <m/>
    <m/>
    <m/>
    <n v="404.5"/>
  </r>
  <r>
    <x v="286"/>
    <x v="1"/>
    <m/>
    <x v="1"/>
    <n v="25"/>
    <n v="25"/>
    <n v="0"/>
    <m/>
    <m/>
    <m/>
    <n v="0"/>
    <x v="0"/>
    <m/>
    <n v="0"/>
    <n v="0"/>
    <n v="0"/>
    <n v="0"/>
    <n v="0"/>
    <n v="25"/>
    <n v="0"/>
    <n v="49.1"/>
    <n v="10"/>
    <n v="8.5"/>
    <m/>
    <n v="0.99099999999999999"/>
    <m/>
    <n v="0.92599999999999993"/>
    <s v="2 livers"/>
    <m/>
    <m/>
    <m/>
    <m/>
    <m/>
    <m/>
    <m/>
    <n v="7"/>
  </r>
  <r>
    <x v="287"/>
    <x v="0"/>
    <m/>
    <x v="8"/>
    <n v="42"/>
    <n v="42"/>
    <n v="0"/>
    <m/>
    <n v="17563"/>
    <n v="16330"/>
    <n v="1233"/>
    <x v="272"/>
    <m/>
    <n v="418.16666666666669"/>
    <n v="388.8095238095238"/>
    <n v="29.357142857142858"/>
    <n v="250.89285714285714"/>
    <n v="0"/>
    <n v="25"/>
    <n v="0"/>
    <n v="49.8"/>
    <n v="10"/>
    <n v="8.5"/>
    <n v="7.0204406991971752E-2"/>
    <n v="0.998"/>
    <n v="0.59998291863576836"/>
    <n v="0.93299999999999994"/>
    <s v="1 liver 8 kg"/>
    <m/>
    <m/>
    <m/>
    <m/>
    <m/>
    <m/>
    <m/>
    <n v="8"/>
  </r>
  <r>
    <x v="288"/>
    <x v="0"/>
    <m/>
    <x v="0"/>
    <n v="37"/>
    <n v="36"/>
    <n v="1"/>
    <s v="1 c. bovis in the heart"/>
    <n v="17551"/>
    <n v="16206"/>
    <n v="1345"/>
    <x v="273"/>
    <m/>
    <n v="487.52777777777777"/>
    <n v="450.16666666666669"/>
    <n v="37.361111111111114"/>
    <n v="296.11666666666667"/>
    <n v="0"/>
    <n v="25"/>
    <n v="0"/>
    <n v="49.6"/>
    <n v="10"/>
    <n v="8.5"/>
    <n v="7.6633810039314007E-2"/>
    <n v="0.996"/>
    <n v="0.60738419463278448"/>
    <n v="0.93099999999999994"/>
    <m/>
    <n v="5"/>
    <m/>
    <m/>
    <m/>
    <m/>
    <m/>
    <m/>
    <n v="579"/>
  </r>
  <r>
    <x v="289"/>
    <x v="0"/>
    <m/>
    <x v="5"/>
    <n v="42"/>
    <n v="41"/>
    <n v="1"/>
    <s v="1 c. bovis in the heart"/>
    <n v="17444"/>
    <n v="16310"/>
    <n v="1134"/>
    <x v="274"/>
    <m/>
    <n v="425.46341463414632"/>
    <n v="397.80487804878049"/>
    <n v="27.658536585365855"/>
    <n v="267.81219512195122"/>
    <n v="0"/>
    <n v="25"/>
    <n v="0"/>
    <n v="49.6"/>
    <n v="10"/>
    <n v="8.5"/>
    <n v="6.5008025682182988E-2"/>
    <n v="0.996"/>
    <n v="0.62945998624168764"/>
    <n v="0.93099999999999994"/>
    <s v="2 heads"/>
    <n v="2"/>
    <m/>
    <m/>
    <m/>
    <m/>
    <m/>
    <m/>
    <n v="445"/>
  </r>
  <r>
    <x v="290"/>
    <x v="0"/>
    <m/>
    <x v="5"/>
    <n v="30"/>
    <n v="30"/>
    <n v="0"/>
    <m/>
    <n v="12919"/>
    <n v="12310"/>
    <n v="609"/>
    <x v="275"/>
    <m/>
    <n v="430.63333333333333"/>
    <n v="410.33333333333331"/>
    <n v="20.3"/>
    <n v="273.17666666666662"/>
    <n v="0"/>
    <n v="25"/>
    <n v="0"/>
    <n v="49.5"/>
    <n v="10"/>
    <n v="8.5"/>
    <n v="4.7139871507082591E-2"/>
    <n v="0.995"/>
    <n v="0.63436024460097529"/>
    <n v="0.93"/>
    <s v="1 single testicles 250 gm"/>
    <n v="2"/>
    <s v="1 large bruise 1 kg"/>
    <m/>
    <m/>
    <m/>
    <m/>
    <m/>
    <n v="1.25"/>
  </r>
  <r>
    <x v="291"/>
    <x v="0"/>
    <m/>
    <x v="0"/>
    <n v="24"/>
    <n v="24"/>
    <n v="0"/>
    <m/>
    <n v="12360"/>
    <n v="11655"/>
    <n v="705"/>
    <x v="276"/>
    <m/>
    <n v="515"/>
    <n v="485.625"/>
    <n v="29.375"/>
    <n v="317.60416666666669"/>
    <n v="0"/>
    <n v="25"/>
    <n v="0"/>
    <n v="49.5"/>
    <n v="10"/>
    <n v="8.5"/>
    <n v="5.7038834951456313E-2"/>
    <n v="0.995"/>
    <n v="0.61670711974110037"/>
    <n v="0.93"/>
    <s v="1 liver abscesses (14 kg)"/>
    <n v="2"/>
    <s v="1 hematoma + 1 abscess 500 gm"/>
    <m/>
    <m/>
    <m/>
    <m/>
    <m/>
    <n v="14.5"/>
  </r>
  <r>
    <x v="292"/>
    <x v="0"/>
    <m/>
    <x v="8"/>
    <n v="33"/>
    <n v="33"/>
    <n v="0"/>
    <m/>
    <n v="15024"/>
    <n v="14495"/>
    <n v="529"/>
    <x v="277"/>
    <m/>
    <n v="455.27272727272725"/>
    <n v="439.24242424242425"/>
    <n v="16.030303030303031"/>
    <n v="280.14848484848483"/>
    <n v="0"/>
    <n v="25"/>
    <n v="0"/>
    <n v="49.6"/>
    <n v="10"/>
    <n v="8.5"/>
    <n v="3.5210330138445156E-2"/>
    <n v="0.996"/>
    <n v="0.61534211927582527"/>
    <n v="0.93099999999999994"/>
    <m/>
    <n v="4"/>
    <m/>
    <m/>
    <m/>
    <m/>
    <m/>
    <m/>
    <m/>
  </r>
  <r>
    <x v="293"/>
    <x v="0"/>
    <m/>
    <x v="0"/>
    <n v="31"/>
    <n v="31"/>
    <n v="0"/>
    <m/>
    <n v="15580"/>
    <n v="14495"/>
    <n v="1085"/>
    <x v="278"/>
    <m/>
    <n v="502.58064516129031"/>
    <n v="467.58064516129031"/>
    <n v="35"/>
    <n v="309.44193548387096"/>
    <n v="0"/>
    <n v="25"/>
    <n v="0"/>
    <n v="49.7"/>
    <n v="10"/>
    <n v="8.5"/>
    <n v="6.9640564826700904E-2"/>
    <n v="0.99700000000000011"/>
    <n v="0.61570603337612329"/>
    <n v="0.93200000000000005"/>
    <m/>
    <n v="2"/>
    <s v="liver cirrhosis 2.5 kg"/>
    <m/>
    <m/>
    <m/>
    <m/>
    <m/>
    <n v="2.5"/>
  </r>
  <r>
    <x v="294"/>
    <x v="0"/>
    <m/>
    <x v="5"/>
    <n v="48"/>
    <n v="48"/>
    <n v="0"/>
    <m/>
    <n v="20010"/>
    <n v="18610"/>
    <n v="1400"/>
    <x v="279"/>
    <m/>
    <n v="416.875"/>
    <n v="387.70833333333331"/>
    <n v="29.166666666666668"/>
    <n v="255.52500000000001"/>
    <n v="0"/>
    <n v="25"/>
    <n v="0"/>
    <n v="49.5"/>
    <n v="10"/>
    <n v="8.5"/>
    <n v="6.9965017491254375E-2"/>
    <n v="0.995"/>
    <n v="0.61295352323838082"/>
    <n v="0.93"/>
    <s v="1 head + 1 lung +1 liver"/>
    <n v="2"/>
    <m/>
    <m/>
    <m/>
    <m/>
    <m/>
    <m/>
    <m/>
  </r>
  <r>
    <x v="295"/>
    <x v="0"/>
    <m/>
    <x v="5"/>
    <n v="18"/>
    <n v="16"/>
    <n v="2"/>
    <s v="2 c. bovis in the heart"/>
    <n v="6589"/>
    <n v="6088"/>
    <n v="501"/>
    <x v="280"/>
    <m/>
    <n v="411.8125"/>
    <n v="380.5"/>
    <n v="31.3125"/>
    <n v="253.53749999999999"/>
    <n v="0"/>
    <n v="25"/>
    <n v="0"/>
    <n v="49.6"/>
    <n v="10"/>
    <n v="8.5"/>
    <n v="7.6035817271209588E-2"/>
    <n v="0.996"/>
    <n v="0.61566246774927913"/>
    <n v="0.93099999999999994"/>
    <m/>
    <m/>
    <s v="hematoma + abscess"/>
    <m/>
    <m/>
    <m/>
    <m/>
    <m/>
    <n v="867"/>
  </r>
  <r>
    <x v="296"/>
    <x v="0"/>
    <m/>
    <x v="0"/>
    <n v="25"/>
    <n v="25"/>
    <n v="0"/>
    <m/>
    <n v="12610"/>
    <n v="11775"/>
    <n v="835"/>
    <x v="281"/>
    <m/>
    <n v="504.4"/>
    <n v="471"/>
    <n v="33.4"/>
    <n v="304.68799999999999"/>
    <n v="0"/>
    <n v="25"/>
    <n v="0"/>
    <n v="49.6"/>
    <n v="10"/>
    <n v="8.5"/>
    <n v="6.6217287866772404E-2"/>
    <n v="0.996"/>
    <n v="0.60406026962727988"/>
    <n v="0.93099999999999994"/>
    <m/>
    <m/>
    <s v="3 liver cirrhosis + 1 hematoma"/>
    <m/>
    <m/>
    <m/>
    <m/>
    <m/>
    <n v="3"/>
  </r>
  <r>
    <x v="296"/>
    <x v="1"/>
    <m/>
    <x v="1"/>
    <n v="25"/>
    <n v="25"/>
    <n v="0"/>
    <m/>
    <m/>
    <m/>
    <n v="0"/>
    <x v="0"/>
    <m/>
    <n v="0"/>
    <n v="0"/>
    <n v="0"/>
    <n v="0"/>
    <n v="0"/>
    <n v="25"/>
    <n v="0"/>
    <n v="49.5"/>
    <n v="10"/>
    <n v="8.5"/>
    <m/>
    <n v="0.995"/>
    <m/>
    <n v="0.93"/>
    <s v="1 liver"/>
    <m/>
    <s v="3 livers abscesses"/>
    <m/>
    <m/>
    <m/>
    <m/>
    <m/>
    <n v="3"/>
  </r>
  <r>
    <x v="297"/>
    <x v="0"/>
    <m/>
    <x v="8"/>
    <n v="51"/>
    <n v="51"/>
    <n v="0"/>
    <m/>
    <n v="25100"/>
    <n v="24050"/>
    <n v="1050"/>
    <x v="282"/>
    <m/>
    <n v="492.15686274509807"/>
    <n v="471.56862745098039"/>
    <n v="20.588235294117649"/>
    <n v="304.36470588235295"/>
    <n v="0"/>
    <n v="25"/>
    <n v="0"/>
    <n v="49.4"/>
    <n v="10"/>
    <n v="8.5"/>
    <n v="4.1832669322709161E-2"/>
    <n v="0.99399999999999999"/>
    <n v="0.61843027888446211"/>
    <n v="0.92900000000000005"/>
    <m/>
    <n v="5"/>
    <s v="2 liver abscesses + 2 bruises"/>
    <m/>
    <m/>
    <m/>
    <m/>
    <m/>
    <n v="12"/>
  </r>
  <r>
    <x v="298"/>
    <x v="0"/>
    <m/>
    <x v="0"/>
    <n v="30"/>
    <n v="30"/>
    <n v="0"/>
    <m/>
    <n v="14095"/>
    <n v="13305"/>
    <n v="790"/>
    <x v="283"/>
    <m/>
    <n v="469.83333333333331"/>
    <n v="443.5"/>
    <n v="26.333333333333332"/>
    <n v="281.88333333333333"/>
    <n v="0"/>
    <n v="25"/>
    <n v="0"/>
    <n v="49.6"/>
    <n v="10"/>
    <n v="8.5"/>
    <n v="5.6048244058176655E-2"/>
    <n v="0.996"/>
    <n v="0.59996452642781128"/>
    <n v="0.93099999999999994"/>
    <m/>
    <n v="3"/>
    <s v="2 liver abscesses"/>
    <m/>
    <m/>
    <m/>
    <m/>
    <m/>
    <n v="2.5"/>
  </r>
  <r>
    <x v="299"/>
    <x v="0"/>
    <m/>
    <x v="5"/>
    <n v="46"/>
    <n v="45"/>
    <n v="1"/>
    <s v="1 c. bovis in the heart"/>
    <n v="18265"/>
    <n v="17443"/>
    <n v="822"/>
    <x v="284"/>
    <m/>
    <n v="405.88888888888891"/>
    <n v="387.62222222222221"/>
    <n v="18.266666666666666"/>
    <n v="251.28666666666666"/>
    <n v="0"/>
    <n v="25"/>
    <n v="0"/>
    <n v="49.2"/>
    <n v="10"/>
    <n v="8.5"/>
    <n v="4.5004106214070624E-2"/>
    <n v="0.99199999999999999"/>
    <n v="0.61910210785655628"/>
    <n v="0.92700000000000005"/>
    <s v="2 livers + 1 lung"/>
    <n v="4"/>
    <s v="2 livers"/>
    <m/>
    <m/>
    <m/>
    <m/>
    <m/>
    <n v="426"/>
  </r>
  <r>
    <x v="300"/>
    <x v="0"/>
    <m/>
    <x v="5"/>
    <n v="28"/>
    <n v="27"/>
    <n v="1"/>
    <s v="1 c. bovis in the heart"/>
    <n v="11393"/>
    <n v="10651"/>
    <n v="742"/>
    <x v="285"/>
    <m/>
    <n v="421.96296296296299"/>
    <n v="394.48148148148147"/>
    <n v="27.481481481481481"/>
    <n v="261.75185185185188"/>
    <n v="0"/>
    <n v="25"/>
    <n v="0"/>
    <n v="48.7"/>
    <n v="10"/>
    <n v="8.5"/>
    <n v="6.5127709997366792E-2"/>
    <n v="0.9870000000000001"/>
    <n v="0.62031949442640222"/>
    <n v="0.92200000000000004"/>
    <s v="2 livers + 1 lung"/>
    <n v="2"/>
    <s v="2 livers"/>
    <m/>
    <m/>
    <m/>
    <m/>
    <m/>
    <n v="434"/>
  </r>
  <r>
    <x v="300"/>
    <x v="1"/>
    <m/>
    <x v="1"/>
    <n v="26"/>
    <n v="26"/>
    <n v="0"/>
    <m/>
    <m/>
    <m/>
    <n v="0"/>
    <x v="0"/>
    <m/>
    <n v="0"/>
    <n v="0"/>
    <n v="0"/>
    <n v="0"/>
    <n v="0"/>
    <n v="25"/>
    <n v="0"/>
    <n v="49.7"/>
    <n v="10"/>
    <n v="8.5"/>
    <m/>
    <n v="0.99700000000000011"/>
    <m/>
    <n v="0.93200000000000005"/>
    <m/>
    <m/>
    <s v="4 LIVERS + 2  injection site abscesses"/>
    <m/>
    <m/>
    <m/>
    <m/>
    <m/>
    <n v="1"/>
  </r>
  <r>
    <x v="301"/>
    <x v="0"/>
    <m/>
    <x v="5"/>
    <n v="16"/>
    <n v="15"/>
    <n v="1"/>
    <s v="1 c. bovis in the heart"/>
    <n v="6589"/>
    <n v="6080"/>
    <n v="509"/>
    <x v="286"/>
    <m/>
    <n v="439.26666666666665"/>
    <n v="405.33333333333331"/>
    <n v="33.93333333333333"/>
    <n v="271.63333333333333"/>
    <n v="0"/>
    <n v="25"/>
    <n v="0"/>
    <n v="50"/>
    <n v="10"/>
    <n v="8.5"/>
    <n v="7.7249962057975408E-2"/>
    <n v="1"/>
    <n v="0.61837911670966761"/>
    <n v="0.93500000000000005"/>
    <m/>
    <m/>
    <m/>
    <m/>
    <m/>
    <m/>
    <m/>
    <m/>
    <n v="415"/>
  </r>
  <r>
    <x v="302"/>
    <x v="0"/>
    <m/>
    <x v="8"/>
    <n v="44"/>
    <n v="44"/>
    <n v="0"/>
    <m/>
    <n v="20330"/>
    <n v="19485"/>
    <n v="845"/>
    <x v="287"/>
    <m/>
    <n v="462.04545454545456"/>
    <n v="442.84090909090907"/>
    <n v="19.204545454545453"/>
    <n v="279.6068181818182"/>
    <n v="0"/>
    <n v="25"/>
    <n v="0"/>
    <n v="48.8"/>
    <n v="10"/>
    <n v="8.5"/>
    <n v="4.1564190850959172E-2"/>
    <n v="0.98799999999999999"/>
    <n v="0.60515002459419576"/>
    <n v="0.92299999999999993"/>
    <s v="2 livers + 1 lung + 1  single testicle"/>
    <m/>
    <s v="1 abscess"/>
    <m/>
    <m/>
    <m/>
    <m/>
    <m/>
    <n v="22"/>
  </r>
  <r>
    <x v="303"/>
    <x v="0"/>
    <m/>
    <x v="0"/>
    <n v="30"/>
    <n v="29"/>
    <n v="1"/>
    <s v="miliary tb"/>
    <n v="13650"/>
    <n v="12780"/>
    <n v="870"/>
    <x v="288"/>
    <m/>
    <n v="470.68965517241378"/>
    <n v="440.68965517241378"/>
    <n v="30"/>
    <n v="282.40689655172412"/>
    <n v="0"/>
    <n v="25"/>
    <n v="0"/>
    <n v="49.2"/>
    <n v="10"/>
    <n v="8.5"/>
    <n v="6.3736263736263732E-2"/>
    <n v="0.99199999999999999"/>
    <n v="0.59998534798534797"/>
    <n v="0.92700000000000005"/>
    <s v="2 livers"/>
    <m/>
    <s v="2 bruises"/>
    <m/>
    <m/>
    <m/>
    <m/>
    <m/>
    <n v="488.3"/>
  </r>
  <r>
    <x v="304"/>
    <x v="0"/>
    <m/>
    <x v="5"/>
    <n v="34"/>
    <n v="32"/>
    <n v="2"/>
    <s v="2 c. bovis in the heart"/>
    <n v="13581"/>
    <n v="12228"/>
    <n v="1353"/>
    <x v="289"/>
    <m/>
    <n v="424.40625"/>
    <n v="382.125"/>
    <n v="42.28125"/>
    <n v="259.52812499999999"/>
    <n v="0"/>
    <n v="25"/>
    <n v="0"/>
    <n v="49.3"/>
    <n v="10"/>
    <n v="8.5"/>
    <n v="9.9624475370002213E-2"/>
    <n v="0.99299999999999999"/>
    <n v="0.61150872542522638"/>
    <n v="0.92799999999999994"/>
    <s v="2 livers"/>
    <m/>
    <s v="2 livers abscesses + 1 bruises"/>
    <m/>
    <m/>
    <m/>
    <m/>
    <m/>
    <n v="875.5"/>
  </r>
  <r>
    <x v="305"/>
    <x v="0"/>
    <m/>
    <x v="5"/>
    <n v="30"/>
    <n v="29"/>
    <n v="1"/>
    <s v="1 c. bovis in the heart"/>
    <n v="12175"/>
    <n v="11193"/>
    <n v="982"/>
    <x v="290"/>
    <m/>
    <n v="419.82758620689657"/>
    <n v="385.9655172413793"/>
    <n v="33.862068965517238"/>
    <n v="259.72413793103448"/>
    <n v="0"/>
    <n v="25"/>
    <n v="0"/>
    <n v="49.1"/>
    <n v="10"/>
    <n v="8.5"/>
    <n v="8.0657084188911696E-2"/>
    <n v="0.99099999999999999"/>
    <n v="0.6186447638603696"/>
    <n v="0.92599999999999993"/>
    <s v="1 lung"/>
    <n v="6"/>
    <s v="1 liver abscess"/>
    <m/>
    <m/>
    <m/>
    <m/>
    <m/>
    <n v="433"/>
  </r>
  <r>
    <x v="306"/>
    <x v="0"/>
    <m/>
    <x v="5"/>
    <n v="26"/>
    <n v="26"/>
    <n v="0"/>
    <m/>
    <n v="11006"/>
    <n v="9995"/>
    <n v="1011"/>
    <x v="291"/>
    <m/>
    <n v="423.30769230769232"/>
    <n v="384.42307692307691"/>
    <n v="38.884615384615387"/>
    <n v="258.85769230769233"/>
    <n v="0"/>
    <n v="25"/>
    <n v="0"/>
    <n v="49"/>
    <n v="10"/>
    <n v="8.5"/>
    <n v="9.1858986007632204E-2"/>
    <n v="0.99"/>
    <n v="0.61151190259858257"/>
    <n v="0.92500000000000004"/>
    <s v="2 livers"/>
    <n v="3"/>
    <s v="1 liver abscess"/>
    <m/>
    <m/>
    <m/>
    <m/>
    <m/>
    <n v="14"/>
  </r>
  <r>
    <x v="306"/>
    <x v="1"/>
    <m/>
    <x v="1"/>
    <n v="25"/>
    <n v="25"/>
    <n v="0"/>
    <m/>
    <m/>
    <m/>
    <n v="0"/>
    <x v="0"/>
    <m/>
    <n v="0"/>
    <n v="0"/>
    <n v="0"/>
    <n v="0"/>
    <n v="0"/>
    <n v="25"/>
    <n v="0"/>
    <n v="49.8"/>
    <n v="10"/>
    <n v="8.5"/>
    <m/>
    <n v="0.998"/>
    <m/>
    <n v="0.93299999999999994"/>
    <m/>
    <m/>
    <s v="3 liver abscesses"/>
    <m/>
    <m/>
    <m/>
    <m/>
    <m/>
    <n v="1"/>
  </r>
  <r>
    <x v="307"/>
    <x v="0"/>
    <m/>
    <x v="0"/>
    <n v="45"/>
    <n v="45"/>
    <n v="0"/>
    <m/>
    <n v="20100"/>
    <n v="18910"/>
    <n v="1190"/>
    <x v="292"/>
    <m/>
    <n v="446.66666666666669"/>
    <n v="420.22222222222223"/>
    <n v="26.444444444444443"/>
    <n v="268.01777777777778"/>
    <n v="0"/>
    <n v="17"/>
    <n v="0"/>
    <n v="49.8"/>
    <n v="10"/>
    <n v="8.5"/>
    <n v="5.9203980099502479E-2"/>
    <n v="0.83800000000000008"/>
    <n v="0.60003980099502485"/>
    <n v="0.85299999999999998"/>
    <m/>
    <n v="3"/>
    <s v="1 liver abscesses + bruises"/>
    <m/>
    <m/>
    <m/>
    <m/>
    <m/>
    <n v="7"/>
  </r>
  <r>
    <x v="308"/>
    <x v="0"/>
    <m/>
    <x v="14"/>
    <n v="24"/>
    <n v="24"/>
    <n v="0"/>
    <m/>
    <n v="10627"/>
    <n v="10090"/>
    <n v="537"/>
    <x v="293"/>
    <m/>
    <n v="442.79166666666669"/>
    <n v="420.41666666666669"/>
    <n v="22.375"/>
    <n v="269.45416666666665"/>
    <n v="0"/>
    <n v="25"/>
    <n v="0"/>
    <n v="49.8"/>
    <n v="10"/>
    <n v="8.5"/>
    <n v="5.053166462783476E-2"/>
    <n v="0.998"/>
    <n v="0.6085348640255952"/>
    <n v="0.93299999999999994"/>
    <s v="1 lung"/>
    <n v="1"/>
    <m/>
    <m/>
    <m/>
    <m/>
    <m/>
    <m/>
    <m/>
  </r>
  <r>
    <x v="308"/>
    <x v="1"/>
    <m/>
    <x v="1"/>
    <n v="30"/>
    <n v="30"/>
    <n v="0"/>
    <m/>
    <m/>
    <m/>
    <n v="0"/>
    <x v="0"/>
    <m/>
    <n v="0"/>
    <n v="0"/>
    <n v="0"/>
    <n v="0"/>
    <n v="0"/>
    <n v="25"/>
    <n v="0"/>
    <n v="49.1"/>
    <n v="10"/>
    <n v="8.5"/>
    <m/>
    <n v="0.99099999999999999"/>
    <m/>
    <n v="0.92599999999999993"/>
    <s v="2 livers + 1 heart"/>
    <m/>
    <s v="3 livers abscesses"/>
    <m/>
    <m/>
    <m/>
    <m/>
    <m/>
    <n v="3"/>
  </r>
  <r>
    <x v="309"/>
    <x v="0"/>
    <m/>
    <x v="5"/>
    <n v="45"/>
    <n v="44"/>
    <n v="1"/>
    <s v="1 c. bovis in the heart"/>
    <n v="19122"/>
    <n v="17893"/>
    <n v="1229"/>
    <x v="294"/>
    <m/>
    <n v="434.59090909090907"/>
    <n v="406.65909090909093"/>
    <n v="27.931818181818183"/>
    <n v="272.33636363636361"/>
    <n v="0"/>
    <n v="25"/>
    <n v="0"/>
    <n v="49.7"/>
    <n v="10"/>
    <n v="8.5"/>
    <n v="6.4271519715510941E-2"/>
    <n v="0.99700000000000011"/>
    <n v="0.62664993201547947"/>
    <n v="0.93200000000000005"/>
    <s v="1 lung"/>
    <n v="3"/>
    <s v="1 liver abscess"/>
    <m/>
    <m/>
    <m/>
    <m/>
    <m/>
    <n v="489"/>
  </r>
  <r>
    <x v="310"/>
    <x v="0"/>
    <m/>
    <x v="5"/>
    <n v="31"/>
    <n v="31"/>
    <n v="0"/>
    <m/>
    <n v="13335"/>
    <n v="12500"/>
    <n v="835"/>
    <x v="295"/>
    <m/>
    <n v="430.16129032258067"/>
    <n v="403.22580645161293"/>
    <n v="26.93548387096774"/>
    <n v="266.65161290322584"/>
    <n v="0"/>
    <n v="25"/>
    <n v="0"/>
    <n v="49.2"/>
    <n v="10"/>
    <n v="8.5"/>
    <n v="6.2617172853393313E-2"/>
    <n v="0.99199999999999999"/>
    <n v="0.61988751406074249"/>
    <n v="0.92700000000000005"/>
    <s v="1 head + 1  liver"/>
    <n v="2"/>
    <s v="1 liver abscess"/>
    <m/>
    <m/>
    <m/>
    <m/>
    <m/>
    <n v="10"/>
  </r>
  <r>
    <x v="310"/>
    <x v="1"/>
    <m/>
    <x v="1"/>
    <n v="30"/>
    <n v="30"/>
    <n v="0"/>
    <m/>
    <m/>
    <m/>
    <n v="0"/>
    <x v="0"/>
    <m/>
    <n v="0"/>
    <n v="0"/>
    <n v="0"/>
    <n v="0"/>
    <n v="0"/>
    <n v="25"/>
    <n v="0"/>
    <n v="49.5"/>
    <n v="10"/>
    <n v="8.5"/>
    <m/>
    <n v="0.995"/>
    <m/>
    <n v="0.93"/>
    <s v="2 hearts"/>
    <m/>
    <s v="3 liver abscesses"/>
    <m/>
    <m/>
    <m/>
    <m/>
    <m/>
    <n v="1"/>
  </r>
  <r>
    <x v="311"/>
    <x v="0"/>
    <m/>
    <x v="5"/>
    <n v="35"/>
    <n v="34"/>
    <n v="1"/>
    <s v="1 c. bovis in the heart"/>
    <n v="14567"/>
    <n v="13658"/>
    <n v="909"/>
    <x v="296"/>
    <m/>
    <n v="428.44117647058823"/>
    <n v="401.70588235294116"/>
    <n v="26.735294117647058"/>
    <n v="271.2088235294118"/>
    <n v="0"/>
    <n v="25"/>
    <n v="0"/>
    <n v="49.7"/>
    <n v="10"/>
    <n v="8.5"/>
    <n v="6.2401318047641929E-2"/>
    <n v="0.99700000000000011"/>
    <n v="0.63301297453147531"/>
    <n v="0.93200000000000005"/>
    <s v="1 lung"/>
    <n v="1"/>
    <m/>
    <m/>
    <m/>
    <m/>
    <m/>
    <m/>
    <n v="428"/>
  </r>
  <r>
    <x v="311"/>
    <x v="1"/>
    <m/>
    <x v="1"/>
    <n v="36"/>
    <n v="36"/>
    <n v="0"/>
    <m/>
    <m/>
    <m/>
    <n v="0"/>
    <x v="0"/>
    <m/>
    <n v="0"/>
    <n v="0"/>
    <n v="0"/>
    <n v="0"/>
    <n v="0"/>
    <n v="25"/>
    <n v="0"/>
    <n v="49.3"/>
    <n v="10"/>
    <n v="8.5"/>
    <m/>
    <n v="0.99299999999999999"/>
    <m/>
    <n v="0.92799999999999994"/>
    <s v="1 heart + 1 liver"/>
    <m/>
    <s v="6 liver abscesses"/>
    <m/>
    <m/>
    <m/>
    <m/>
    <m/>
    <n v="2"/>
  </r>
  <r>
    <x v="312"/>
    <x v="0"/>
    <m/>
    <x v="0"/>
    <n v="40"/>
    <n v="40"/>
    <n v="0"/>
    <m/>
    <n v="20070"/>
    <n v="18855"/>
    <n v="1215"/>
    <x v="297"/>
    <m/>
    <n v="501.75"/>
    <n v="471.375"/>
    <n v="30.375"/>
    <n v="307.59499999999997"/>
    <n v="0"/>
    <n v="22"/>
    <n v="0"/>
    <n v="48.7"/>
    <n v="10"/>
    <n v="8.5"/>
    <n v="6.0538116591928252E-2"/>
    <n v="0.92700000000000005"/>
    <n v="0.61304434479322367"/>
    <n v="0.89200000000000002"/>
    <s v="2 livers"/>
    <n v="9"/>
    <s v="2 bruises"/>
    <m/>
    <m/>
    <m/>
    <m/>
    <m/>
    <n v="14"/>
  </r>
  <r>
    <x v="312"/>
    <x v="1"/>
    <m/>
    <x v="1"/>
    <n v="30"/>
    <n v="30"/>
    <n v="0"/>
    <m/>
    <m/>
    <m/>
    <n v="0"/>
    <x v="0"/>
    <m/>
    <n v="0"/>
    <n v="0"/>
    <n v="0"/>
    <n v="0"/>
    <n v="0"/>
    <n v="25"/>
    <n v="0"/>
    <n v="49.4"/>
    <n v="10"/>
    <n v="8.5"/>
    <m/>
    <n v="0.99399999999999999"/>
    <m/>
    <n v="0.92900000000000005"/>
    <s v="1 heart"/>
    <m/>
    <s v="7 liver abscesses"/>
    <m/>
    <m/>
    <m/>
    <m/>
    <m/>
    <n v="1"/>
  </r>
  <r>
    <x v="313"/>
    <x v="0"/>
    <m/>
    <x v="14"/>
    <n v="45"/>
    <n v="45"/>
    <n v="0"/>
    <m/>
    <n v="21406"/>
    <n v="21406"/>
    <n v="0"/>
    <x v="298"/>
    <m/>
    <n v="475.68888888888887"/>
    <n v="475.68888888888887"/>
    <n v="0"/>
    <n v="289.47777777777776"/>
    <n v="0"/>
    <n v="24"/>
    <n v="0"/>
    <n v="49.8"/>
    <n v="10"/>
    <n v="8.5"/>
    <n v="0"/>
    <n v="0.97799999999999998"/>
    <n v="0.60854433336447722"/>
    <n v="0.92299999999999993"/>
    <s v="1 heart"/>
    <n v="8"/>
    <m/>
    <m/>
    <m/>
    <m/>
    <m/>
    <m/>
    <n v="2"/>
  </r>
  <r>
    <x v="313"/>
    <x v="1"/>
    <m/>
    <x v="1"/>
    <n v="60"/>
    <n v="60"/>
    <n v="0"/>
    <m/>
    <m/>
    <m/>
    <n v="0"/>
    <x v="0"/>
    <m/>
    <n v="0"/>
    <n v="0"/>
    <n v="0"/>
    <n v="0"/>
    <n v="0"/>
    <n v="24"/>
    <n v="0"/>
    <n v="49.4"/>
    <n v="10"/>
    <n v="8.5"/>
    <m/>
    <n v="0.97399999999999998"/>
    <m/>
    <n v="0.91900000000000004"/>
    <s v="3 livers"/>
    <m/>
    <s v="7 liver abscesses"/>
    <m/>
    <m/>
    <m/>
    <m/>
    <m/>
    <n v="3.5"/>
  </r>
  <r>
    <x v="314"/>
    <x v="0"/>
    <m/>
    <x v="0"/>
    <n v="38"/>
    <n v="38"/>
    <n v="0"/>
    <m/>
    <n v="17350"/>
    <n v="17350"/>
    <n v="0"/>
    <x v="299"/>
    <m/>
    <n v="456.57894736842104"/>
    <n v="456.57894736842104"/>
    <n v="0"/>
    <n v="285.08421052631581"/>
    <n v="0"/>
    <n v="25"/>
    <n v="0"/>
    <n v="49.2"/>
    <n v="10"/>
    <n v="8.5"/>
    <n v="0"/>
    <n v="0.99199999999999999"/>
    <n v="0.62439193083573497"/>
    <n v="0.92700000000000005"/>
    <s v="1 head + 2 livers"/>
    <n v="6"/>
    <m/>
    <m/>
    <m/>
    <m/>
    <m/>
    <m/>
    <n v="14"/>
  </r>
  <r>
    <x v="314"/>
    <x v="1"/>
    <m/>
    <x v="1"/>
    <n v="60"/>
    <n v="60"/>
    <n v="0"/>
    <m/>
    <m/>
    <m/>
    <n v="0"/>
    <x v="0"/>
    <m/>
    <n v="0"/>
    <n v="0"/>
    <n v="0"/>
    <n v="0"/>
    <n v="0"/>
    <n v="25"/>
    <n v="0"/>
    <n v="49.3"/>
    <n v="10"/>
    <n v="8.5"/>
    <m/>
    <n v="0.99299999999999999"/>
    <m/>
    <n v="0.92799999999999994"/>
    <s v="2 livers + 2 hearts"/>
    <m/>
    <s v="6 liver abscesses"/>
    <m/>
    <m/>
    <m/>
    <m/>
    <m/>
    <n v="3.5"/>
  </r>
  <r>
    <x v="315"/>
    <x v="0"/>
    <m/>
    <x v="14"/>
    <n v="38"/>
    <n v="38"/>
    <n v="0"/>
    <m/>
    <n v="17179"/>
    <n v="17179"/>
    <n v="0"/>
    <x v="300"/>
    <m/>
    <n v="452.07894736842104"/>
    <n v="452.07894736842104"/>
    <n v="0"/>
    <n v="275.71578947368425"/>
    <n v="0"/>
    <n v="25"/>
    <n v="0"/>
    <n v="49.6"/>
    <n v="10"/>
    <n v="8.5"/>
    <n v="0"/>
    <n v="0.996"/>
    <n v="0.6098841608941149"/>
    <n v="0.93099999999999994"/>
    <m/>
    <n v="4"/>
    <s v="a small liver abscess"/>
    <m/>
    <m/>
    <m/>
    <m/>
    <m/>
    <m/>
  </r>
  <r>
    <x v="315"/>
    <x v="1"/>
    <m/>
    <x v="1"/>
    <n v="72"/>
    <n v="72"/>
    <n v="0"/>
    <m/>
    <m/>
    <m/>
    <n v="0"/>
    <x v="0"/>
    <m/>
    <n v="0"/>
    <n v="0"/>
    <n v="0"/>
    <n v="0"/>
    <n v="0"/>
    <n v="25"/>
    <n v="0"/>
    <n v="49.4"/>
    <n v="10"/>
    <n v="8.5"/>
    <m/>
    <n v="0.99399999999999999"/>
    <m/>
    <n v="0.92900000000000005"/>
    <s v="1 heart + 4 omentum"/>
    <m/>
    <s v="9 liver abscesses"/>
    <m/>
    <m/>
    <m/>
    <m/>
    <m/>
    <n v="5"/>
  </r>
  <r>
    <x v="316"/>
    <x v="0"/>
    <m/>
    <x v="5"/>
    <n v="42"/>
    <n v="42"/>
    <n v="0"/>
    <m/>
    <n v="18337"/>
    <n v="18337"/>
    <n v="0"/>
    <x v="301"/>
    <m/>
    <n v="436.59523809523807"/>
    <n v="436.59523809523807"/>
    <n v="0"/>
    <n v="270.94285714285718"/>
    <n v="0"/>
    <n v="25"/>
    <n v="0"/>
    <n v="49.3"/>
    <n v="9"/>
    <n v="8.5"/>
    <n v="0"/>
    <n v="0.99299999999999999"/>
    <n v="0.62058133827779904"/>
    <n v="0.91799999999999993"/>
    <s v="1 liver"/>
    <n v="5"/>
    <s v="3 liver abscesses"/>
    <m/>
    <m/>
    <m/>
    <m/>
    <m/>
    <n v="12"/>
  </r>
  <r>
    <x v="316"/>
    <x v="1"/>
    <m/>
    <x v="1"/>
    <n v="57"/>
    <n v="57"/>
    <n v="0"/>
    <m/>
    <m/>
    <m/>
    <n v="0"/>
    <x v="0"/>
    <m/>
    <n v="0"/>
    <n v="0"/>
    <n v="0"/>
    <n v="0"/>
    <n v="0"/>
    <n v="25"/>
    <n v="0"/>
    <n v="49.3"/>
    <n v="10"/>
    <n v="8.5"/>
    <m/>
    <n v="0.99299999999999999"/>
    <m/>
    <n v="0.92799999999999994"/>
    <s v="2 livers + 2 hearts"/>
    <m/>
    <s v="5 liver abscesses"/>
    <m/>
    <m/>
    <m/>
    <m/>
    <m/>
    <n v="4"/>
  </r>
  <r>
    <x v="317"/>
    <x v="0"/>
    <m/>
    <x v="0"/>
    <n v="43"/>
    <n v="43"/>
    <n v="0"/>
    <m/>
    <n v="19233"/>
    <n v="19233"/>
    <n v="0"/>
    <x v="302"/>
    <m/>
    <n v="447.27906976744185"/>
    <n v="447.27906976744185"/>
    <n v="0"/>
    <n v="268.35813953488372"/>
    <n v="0"/>
    <n v="24"/>
    <n v="0"/>
    <n v="49"/>
    <n v="10"/>
    <n v="8.5"/>
    <n v="0"/>
    <n v="0.97"/>
    <n v="0.59997920241252012"/>
    <n v="0.91500000000000004"/>
    <s v="1 liver + 1 single testicle"/>
    <n v="8"/>
    <s v="3 liver abscesses"/>
    <m/>
    <m/>
    <m/>
    <m/>
    <m/>
    <n v="17"/>
  </r>
  <r>
    <x v="317"/>
    <x v="1"/>
    <m/>
    <x v="1"/>
    <n v="74"/>
    <n v="74"/>
    <n v="0"/>
    <m/>
    <m/>
    <m/>
    <n v="0"/>
    <x v="0"/>
    <m/>
    <n v="0"/>
    <n v="0"/>
    <n v="0"/>
    <n v="0"/>
    <n v="0"/>
    <n v="25"/>
    <n v="0"/>
    <n v="49.2"/>
    <n v="10"/>
    <n v="8.5"/>
    <m/>
    <n v="0.99199999999999999"/>
    <m/>
    <n v="0.92700000000000005"/>
    <s v="6 livers + 1 omentum"/>
    <m/>
    <s v="5 liver abscesses"/>
    <m/>
    <m/>
    <m/>
    <m/>
    <m/>
    <n v="7"/>
  </r>
  <r>
    <x v="318"/>
    <x v="0"/>
    <m/>
    <x v="0"/>
    <n v="50"/>
    <n v="50"/>
    <n v="0"/>
    <m/>
    <n v="23325"/>
    <n v="23325"/>
    <n v="0"/>
    <x v="303"/>
    <m/>
    <n v="466.5"/>
    <n v="466.5"/>
    <n v="0"/>
    <n v="279.87799999999999"/>
    <n v="0"/>
    <n v="24"/>
    <n v="0"/>
    <n v="49.2"/>
    <n v="10"/>
    <n v="8.5"/>
    <n v="0"/>
    <n v="0.97199999999999998"/>
    <n v="0.5999528403001072"/>
    <n v="0.91700000000000004"/>
    <s v="1 lung"/>
    <n v="12"/>
    <m/>
    <m/>
    <m/>
    <m/>
    <m/>
    <m/>
    <m/>
  </r>
  <r>
    <x v="318"/>
    <x v="1"/>
    <m/>
    <x v="1"/>
    <n v="35"/>
    <n v="35"/>
    <n v="0"/>
    <m/>
    <m/>
    <m/>
    <n v="0"/>
    <x v="0"/>
    <m/>
    <n v="0"/>
    <n v="0"/>
    <n v="0"/>
    <n v="0"/>
    <n v="0"/>
    <n v="25"/>
    <n v="0"/>
    <n v="49.4"/>
    <n v="10"/>
    <n v="8.5"/>
    <m/>
    <n v="0.99399999999999999"/>
    <m/>
    <n v="0.92900000000000005"/>
    <s v="1 heart + 1 liver"/>
    <m/>
    <s v="3 liver abscesses"/>
    <m/>
    <m/>
    <m/>
    <m/>
    <m/>
    <n v="2.5"/>
  </r>
  <r>
    <x v="319"/>
    <x v="0"/>
    <m/>
    <x v="14"/>
    <n v="43"/>
    <n v="42"/>
    <n v="1"/>
    <s v="1 c. bovis in the heart"/>
    <n v="18529"/>
    <n v="17700"/>
    <n v="829"/>
    <x v="304"/>
    <m/>
    <n v="441.16666666666669"/>
    <n v="421.42857142857144"/>
    <n v="19.738095238095237"/>
    <n v="264.68095238095236"/>
    <n v="0"/>
    <n v="25"/>
    <n v="0"/>
    <n v="49.4"/>
    <n v="10"/>
    <n v="8.5"/>
    <n v="4.4740676776944245E-2"/>
    <n v="0.99399999999999999"/>
    <n v="0.59995682443736842"/>
    <n v="0.92900000000000005"/>
    <s v="1 liver + 1 single testicle"/>
    <n v="4"/>
    <m/>
    <m/>
    <m/>
    <m/>
    <m/>
    <m/>
    <n v="504"/>
  </r>
  <r>
    <x v="320"/>
    <x v="0"/>
    <m/>
    <x v="0"/>
    <n v="48"/>
    <n v="48"/>
    <n v="0"/>
    <m/>
    <n v="21379"/>
    <n v="20115"/>
    <n v="1264"/>
    <x v="305"/>
    <m/>
    <n v="445.39583333333331"/>
    <n v="419.0625"/>
    <n v="26.333333333333332"/>
    <n v="267.22083333333336"/>
    <n v="0"/>
    <n v="25"/>
    <n v="0"/>
    <n v="49.6"/>
    <n v="10"/>
    <n v="8.5"/>
    <n v="5.9123438888629025E-2"/>
    <n v="0.996"/>
    <n v="0.59996258010196923"/>
    <n v="0.93099999999999994"/>
    <m/>
    <n v="4"/>
    <s v="1 liver abscess"/>
    <m/>
    <m/>
    <m/>
    <m/>
    <m/>
    <m/>
  </r>
  <r>
    <x v="321"/>
    <x v="0"/>
    <m/>
    <x v="10"/>
    <n v="29"/>
    <n v="28"/>
    <n v="1"/>
    <s v="miliary tb"/>
    <n v="14004"/>
    <n v="13163"/>
    <n v="841"/>
    <x v="306"/>
    <m/>
    <n v="500.14285714285717"/>
    <n v="470.10714285714283"/>
    <n v="30.035714285714285"/>
    <n v="314.9785714285714"/>
    <n v="0"/>
    <n v="20"/>
    <n v="0"/>
    <n v="49.6"/>
    <n v="10"/>
    <n v="8.5"/>
    <n v="6.0054270208511847E-2"/>
    <n v="0.89600000000000002"/>
    <n v="0.62977720651242497"/>
    <n v="0.88099999999999989"/>
    <m/>
    <n v="3"/>
    <s v="1 liver absces"/>
    <m/>
    <m/>
    <m/>
    <m/>
    <n v="28"/>
    <n v="512"/>
  </r>
  <r>
    <x v="322"/>
    <x v="0"/>
    <m/>
    <x v="5"/>
    <n v="42"/>
    <n v="40"/>
    <n v="2"/>
    <s v="2 c. bovis in the heart"/>
    <n v="17100"/>
    <n v="15632"/>
    <n v="1468"/>
    <x v="307"/>
    <m/>
    <n v="427.5"/>
    <n v="390.8"/>
    <n v="36.700000000000003"/>
    <n v="257.9375"/>
    <n v="0"/>
    <n v="25"/>
    <n v="0"/>
    <n v="49.2"/>
    <n v="10"/>
    <n v="8.5"/>
    <n v="8.584795321637427E-2"/>
    <n v="0.99199999999999999"/>
    <n v="0.60336257309941521"/>
    <n v="0.92700000000000005"/>
    <s v="1 liver + 2 lungs + 1 single testicle"/>
    <n v="2"/>
    <m/>
    <m/>
    <m/>
    <m/>
    <m/>
    <m/>
    <n v="868.5"/>
  </r>
  <r>
    <x v="323"/>
    <x v="0"/>
    <m/>
    <x v="14"/>
    <n v="33"/>
    <n v="33"/>
    <n v="0"/>
    <m/>
    <n v="14425"/>
    <n v="13590"/>
    <n v="835"/>
    <x v="308"/>
    <m/>
    <n v="437.12121212121212"/>
    <n v="411.81818181818181"/>
    <n v="25.303030303030305"/>
    <n v="270.57272727272726"/>
    <n v="0"/>
    <n v="25"/>
    <n v="0"/>
    <n v="48.8"/>
    <n v="10"/>
    <n v="8.5"/>
    <n v="5.788561525129983E-2"/>
    <n v="0.98799999999999999"/>
    <n v="0.61898786828422869"/>
    <n v="0.92299999999999993"/>
    <m/>
    <n v="1"/>
    <s v="5 liver abscesses + 5 bruises"/>
    <m/>
    <m/>
    <m/>
    <m/>
    <m/>
    <n v="10"/>
  </r>
  <r>
    <x v="324"/>
    <x v="0"/>
    <m/>
    <x v="0"/>
    <n v="36"/>
    <n v="36"/>
    <n v="0"/>
    <m/>
    <n v="15590"/>
    <n v="14740"/>
    <n v="850"/>
    <x v="309"/>
    <m/>
    <n v="433.05555555555554"/>
    <n v="409.44444444444446"/>
    <n v="23.611111111111111"/>
    <n v="259.84166666666664"/>
    <n v="0"/>
    <n v="25"/>
    <n v="0"/>
    <n v="49.2"/>
    <n v="10"/>
    <n v="8.5"/>
    <n v="5.4522129570237332E-2"/>
    <n v="0.99199999999999999"/>
    <n v="0.60001924310455412"/>
    <n v="0.92700000000000005"/>
    <s v="1 hindquarter"/>
    <n v="3"/>
    <s v="3 liver abscesses"/>
    <m/>
    <m/>
    <m/>
    <m/>
    <m/>
    <n v="66.75"/>
  </r>
  <r>
    <x v="325"/>
    <x v="0"/>
    <m/>
    <x v="10"/>
    <n v="16"/>
    <n v="15"/>
    <n v="1"/>
    <s v="1 c. bovis in the heart"/>
    <n v="8065"/>
    <n v="7641"/>
    <n v="424"/>
    <x v="310"/>
    <m/>
    <n v="537.66666666666663"/>
    <n v="509.4"/>
    <n v="28.266666666666666"/>
    <n v="340.83333333333331"/>
    <n v="0"/>
    <n v="25"/>
    <n v="0"/>
    <n v="49.2"/>
    <n v="10"/>
    <n v="8.5"/>
    <n v="5.2572845629262246E-2"/>
    <n v="0.99199999999999999"/>
    <n v="0.63391196528208305"/>
    <n v="0.92700000000000005"/>
    <s v="2 kidneys + 1 single testicle"/>
    <m/>
    <m/>
    <m/>
    <m/>
    <m/>
    <m/>
    <m/>
    <n v="521.5"/>
  </r>
  <r>
    <x v="326"/>
    <x v="0"/>
    <m/>
    <x v="5"/>
    <n v="28"/>
    <n v="28"/>
    <n v="0"/>
    <m/>
    <n v="12015"/>
    <n v="11285"/>
    <n v="730"/>
    <x v="311"/>
    <m/>
    <n v="429.10714285714283"/>
    <n v="403.03571428571428"/>
    <n v="26.071428571428573"/>
    <n v="265.92857142857144"/>
    <n v="0"/>
    <n v="25"/>
    <n v="0"/>
    <n v="49.5"/>
    <n v="10"/>
    <n v="8.5"/>
    <n v="6.0757386600083237E-2"/>
    <n v="0.995"/>
    <n v="0.61972534332084894"/>
    <n v="0.93"/>
    <s v="1 head"/>
    <n v="1"/>
    <s v="1 liver abscess"/>
    <m/>
    <m/>
    <m/>
    <m/>
    <m/>
    <n v="0.5"/>
  </r>
  <r>
    <x v="327"/>
    <x v="0"/>
    <m/>
    <x v="5"/>
    <n v="34"/>
    <n v="32"/>
    <n v="2"/>
    <s v="2 c. bovis in the heart"/>
    <n v="13617"/>
    <n v="12728"/>
    <n v="889"/>
    <x v="312"/>
    <m/>
    <n v="425.53125"/>
    <n v="397.75"/>
    <n v="27.78125"/>
    <n v="264.765625"/>
    <n v="0"/>
    <n v="25"/>
    <n v="0"/>
    <n v="49.3"/>
    <n v="10"/>
    <n v="8.5"/>
    <n v="6.5286039509436733E-2"/>
    <n v="0.99299999999999999"/>
    <n v="0.62220019093779833"/>
    <n v="0.92799999999999994"/>
    <s v="1 lung + 1 liver"/>
    <m/>
    <s v="5 liver abscesses"/>
    <m/>
    <m/>
    <m/>
    <m/>
    <m/>
    <n v="898"/>
  </r>
  <r>
    <x v="328"/>
    <x v="0"/>
    <m/>
    <x v="0"/>
    <n v="40"/>
    <n v="40"/>
    <n v="0"/>
    <m/>
    <n v="17800"/>
    <n v="16925"/>
    <n v="875"/>
    <x v="313"/>
    <m/>
    <n v="445"/>
    <n v="423.125"/>
    <n v="21.875"/>
    <n v="275.7"/>
    <n v="0"/>
    <n v="25"/>
    <n v="0"/>
    <n v="49.5"/>
    <n v="10"/>
    <n v="8.5"/>
    <n v="4.9157303370786519E-2"/>
    <n v="0.995"/>
    <n v="0.61955056179775281"/>
    <n v="0.93"/>
    <s v="1 liver"/>
    <n v="3"/>
    <s v="2 liver abscsses + 3 bruises"/>
    <m/>
    <m/>
    <m/>
    <m/>
    <m/>
    <n v="10"/>
  </r>
  <r>
    <x v="329"/>
    <x v="0"/>
    <m/>
    <x v="10"/>
    <n v="23"/>
    <n v="23"/>
    <n v="0"/>
    <m/>
    <n v="12082"/>
    <n v="11540"/>
    <n v="542"/>
    <x v="314"/>
    <m/>
    <n v="525.304347826087"/>
    <n v="501.73913043478262"/>
    <n v="23.565217391304348"/>
    <n v="332.84347826086957"/>
    <n v="0"/>
    <n v="25"/>
    <n v="0"/>
    <n v="49.3"/>
    <n v="10"/>
    <n v="8.5"/>
    <n v="4.4860122496275447E-2"/>
    <n v="0.99299999999999999"/>
    <n v="0.63362026154610163"/>
    <n v="0.92799999999999994"/>
    <s v="1 heart + 1 kidney"/>
    <n v="1"/>
    <m/>
    <m/>
    <m/>
    <m/>
    <m/>
    <m/>
    <n v="5"/>
  </r>
  <r>
    <x v="330"/>
    <x v="0"/>
    <m/>
    <x v="14"/>
    <n v="36"/>
    <n v="35"/>
    <n v="1"/>
    <s v="TB in hepatic , left bronchial and retropharyngeal lns"/>
    <n v="14763"/>
    <n v="14077"/>
    <n v="686"/>
    <x v="315"/>
    <m/>
    <n v="421.8"/>
    <n v="402.2"/>
    <n v="19.600000000000001"/>
    <n v="264.46571428571428"/>
    <n v="0"/>
    <n v="25"/>
    <n v="0"/>
    <n v="49.3"/>
    <n v="10"/>
    <n v="8.5"/>
    <n v="4.6467520151730682E-2"/>
    <n v="0.99299999999999999"/>
    <n v="0.62699315857210591"/>
    <n v="0.92799999999999994"/>
    <s v="2 livers"/>
    <n v="3"/>
    <m/>
    <m/>
    <m/>
    <m/>
    <m/>
    <m/>
    <n v="424"/>
  </r>
  <r>
    <x v="331"/>
    <x v="0"/>
    <m/>
    <x v="5"/>
    <n v="34"/>
    <n v="34"/>
    <n v="0"/>
    <m/>
    <n v="14711"/>
    <n v="13805"/>
    <n v="906"/>
    <x v="316"/>
    <m/>
    <n v="432.6764705882353"/>
    <n v="406.02941176470586"/>
    <n v="26.647058823529413"/>
    <n v="268.77058823529416"/>
    <n v="0"/>
    <n v="25"/>
    <n v="0"/>
    <n v="49.6"/>
    <n v="10"/>
    <n v="8.5"/>
    <n v="6.1586567874379716E-2"/>
    <n v="0.996"/>
    <n v="0.62118142886275585"/>
    <n v="0.93099999999999994"/>
    <m/>
    <n v="1"/>
    <s v="2 bruises + 1 liver abscess"/>
    <m/>
    <m/>
    <m/>
    <m/>
    <m/>
    <n v="2"/>
  </r>
  <r>
    <x v="332"/>
    <x v="0"/>
    <m/>
    <x v="0"/>
    <n v="40"/>
    <n v="40"/>
    <n v="0"/>
    <m/>
    <n v="17560"/>
    <n v="16605"/>
    <n v="955"/>
    <x v="317"/>
    <m/>
    <n v="439"/>
    <n v="415.125"/>
    <n v="23.875"/>
    <n v="263.39499999999998"/>
    <n v="0"/>
    <n v="25"/>
    <n v="0"/>
    <n v="49.8"/>
    <n v="10"/>
    <n v="8.5"/>
    <n v="5.4384965831435081E-2"/>
    <n v="0.998"/>
    <n v="0.59998861047835983"/>
    <n v="0.93299999999999994"/>
    <s v="2 kidneys "/>
    <n v="1"/>
    <m/>
    <m/>
    <m/>
    <m/>
    <m/>
    <m/>
    <n v="2"/>
  </r>
  <r>
    <x v="333"/>
    <x v="0"/>
    <m/>
    <x v="5"/>
    <n v="24"/>
    <n v="24"/>
    <n v="0"/>
    <m/>
    <n v="10335"/>
    <n v="9735"/>
    <n v="600"/>
    <x v="318"/>
    <m/>
    <n v="430.625"/>
    <n v="405.625"/>
    <n v="25"/>
    <n v="268.02500000000003"/>
    <n v="0"/>
    <n v="25"/>
    <n v="0"/>
    <n v="48.5"/>
    <n v="10"/>
    <n v="8.5"/>
    <n v="5.8055152394775038E-2"/>
    <n v="0.98499999999999999"/>
    <n v="0.62240928882438318"/>
    <n v="0.92"/>
    <s v="2 livers + 2 lungs"/>
    <n v="1"/>
    <s v="1 bruise"/>
    <m/>
    <m/>
    <m/>
    <m/>
    <m/>
    <n v="13"/>
  </r>
  <r>
    <x v="334"/>
    <x v="0"/>
    <m/>
    <x v="5"/>
    <n v="38"/>
    <n v="37"/>
    <n v="1"/>
    <s v="1 c. bovis in the heart"/>
    <n v="16234"/>
    <n v="15423"/>
    <n v="811"/>
    <x v="319"/>
    <m/>
    <n v="438.75675675675677"/>
    <n v="416.83783783783781"/>
    <n v="21.918918918918919"/>
    <n v="276.85135135135135"/>
    <n v="0"/>
    <n v="25"/>
    <n v="0"/>
    <n v="48.3"/>
    <n v="10"/>
    <n v="8.5"/>
    <n v="4.9956880620919061E-2"/>
    <n v="0.98299999999999998"/>
    <n v="0.6309905137366022"/>
    <n v="0.91799999999999993"/>
    <s v="2 livers + 1 head"/>
    <n v="1"/>
    <s v="2 liver abscesses + 1 bruise"/>
    <m/>
    <m/>
    <n v="7"/>
    <m/>
    <m/>
    <n v="453"/>
  </r>
  <r>
    <x v="335"/>
    <x v="0"/>
    <m/>
    <x v="0"/>
    <n v="33"/>
    <n v="32"/>
    <n v="1"/>
    <s v="1 c. bovis in the heart"/>
    <n v="14532.5"/>
    <n v="13607.5"/>
    <n v="925"/>
    <x v="320"/>
    <m/>
    <n v="454.140625"/>
    <n v="425.234375"/>
    <n v="28.90625"/>
    <n v="276.328125"/>
    <n v="0"/>
    <n v="25"/>
    <n v="0"/>
    <n v="48.3"/>
    <n v="9.8000000000000007"/>
    <n v="8.5"/>
    <n v="6.36504386719422E-2"/>
    <n v="0.98299999999999998"/>
    <n v="0.60846378806124202"/>
    <n v="0.91599999999999993"/>
    <s v="1 liver + 1 heart"/>
    <n v="1"/>
    <s v="3 liver abscesses + 5 injection site abscesses + 6 bruises"/>
    <m/>
    <m/>
    <n v="6"/>
    <m/>
    <m/>
    <n v="485"/>
  </r>
  <r>
    <x v="336"/>
    <x v="0"/>
    <m/>
    <x v="0"/>
    <n v="46"/>
    <n v="44"/>
    <n v="2"/>
    <s v="1 c. bovis in the heart + 1 of purulent nephritis"/>
    <n v="21255"/>
    <n v="20495"/>
    <n v="760"/>
    <x v="321"/>
    <m/>
    <n v="483.06818181818181"/>
    <n v="465.79545454545456"/>
    <n v="17.272727272727273"/>
    <n v="289.82727272727271"/>
    <n v="0"/>
    <n v="22"/>
    <n v="0"/>
    <n v="49.1"/>
    <n v="9.9"/>
    <n v="8.5"/>
    <n v="3.5756292637026586E-2"/>
    <n v="0.93100000000000005"/>
    <n v="0.59997177134791813"/>
    <n v="0.89500000000000002"/>
    <s v="1 liver telangiectasis"/>
    <n v="2"/>
    <s v="5 bruises"/>
    <m/>
    <m/>
    <n v="5"/>
    <n v="3"/>
    <m/>
    <n v="923"/>
  </r>
  <r>
    <x v="337"/>
    <x v="0"/>
    <m/>
    <x v="5"/>
    <n v="28"/>
    <n v="27"/>
    <n v="1"/>
    <s v="1 c. bovis in the heart"/>
    <n v="11567"/>
    <n v="10833"/>
    <n v="734"/>
    <x v="322"/>
    <m/>
    <n v="428.40740740740739"/>
    <n v="401.22222222222223"/>
    <n v="27.185185185185187"/>
    <n v="266.57037037037037"/>
    <n v="0"/>
    <n v="25"/>
    <n v="0"/>
    <n v="48.5"/>
    <n v="10"/>
    <n v="8.5"/>
    <n v="6.3456384542232222E-2"/>
    <n v="0.98499999999999999"/>
    <n v="0.62223567044177397"/>
    <n v="0.92"/>
    <s v="5 livers+ single testicle"/>
    <m/>
    <m/>
    <m/>
    <m/>
    <m/>
    <m/>
    <m/>
    <n v="493"/>
  </r>
  <r>
    <x v="338"/>
    <x v="0"/>
    <m/>
    <x v="5"/>
    <n v="38"/>
    <n v="36"/>
    <n v="2"/>
    <s v="2 c. bovis in a heart and in the head"/>
    <n v="15314"/>
    <n v="14142"/>
    <n v="1172"/>
    <x v="323"/>
    <m/>
    <n v="425.38888888888891"/>
    <n v="392.83333333333331"/>
    <n v="32.555555555555557"/>
    <n v="262.47222222222223"/>
    <n v="0"/>
    <n v="25"/>
    <n v="0"/>
    <n v="49.6"/>
    <n v="10"/>
    <n v="8.5"/>
    <n v="7.6531278568630012E-2"/>
    <n v="0.996"/>
    <n v="0.61701710852814418"/>
    <n v="0.93099999999999994"/>
    <s v="1 liver telangiectasis"/>
    <m/>
    <s v="2 liver abscesses + 1  bruise"/>
    <m/>
    <m/>
    <m/>
    <m/>
    <m/>
    <n v="897"/>
  </r>
  <r>
    <x v="339"/>
    <x v="0"/>
    <m/>
    <x v="10"/>
    <n v="33"/>
    <n v="32"/>
    <n v="1"/>
    <s v="1 c. bovis in the heart"/>
    <n v="15378"/>
    <n v="14641"/>
    <n v="737"/>
    <x v="324"/>
    <m/>
    <n v="480.5625"/>
    <n v="457.53125"/>
    <n v="23.03125"/>
    <n v="306.015625"/>
    <n v="0"/>
    <n v="25"/>
    <n v="0"/>
    <n v="50"/>
    <n v="10"/>
    <n v="8.5"/>
    <n v="4.7925608011444923E-2"/>
    <n v="1"/>
    <n v="0.63678631811679021"/>
    <n v="0.93500000000000005"/>
    <m/>
    <m/>
    <m/>
    <m/>
    <m/>
    <m/>
    <m/>
    <m/>
    <n v="499"/>
  </r>
  <r>
    <x v="340"/>
    <x v="0"/>
    <m/>
    <x v="0"/>
    <n v="37"/>
    <n v="35"/>
    <n v="2"/>
    <s v="1 bull age older than 3 years + 1 carcass c. bovis in the heart"/>
    <n v="15504"/>
    <n v="14984"/>
    <n v="520"/>
    <x v="325"/>
    <m/>
    <n v="442.97142857142859"/>
    <n v="428.1142857142857"/>
    <n v="14.857142857142858"/>
    <n v="269.94"/>
    <n v="0"/>
    <n v="25"/>
    <n v="0"/>
    <n v="49.7"/>
    <n v="10"/>
    <n v="8.5"/>
    <n v="3.3539731682146544E-2"/>
    <n v="0.99700000000000011"/>
    <n v="0.60938467492260062"/>
    <n v="0.93200000000000005"/>
    <m/>
    <n v="3"/>
    <s v="1 liver cirrhosis"/>
    <m/>
    <m/>
    <m/>
    <m/>
    <m/>
    <n v="998"/>
  </r>
  <r>
    <x v="341"/>
    <x v="0"/>
    <m/>
    <x v="14"/>
    <n v="26"/>
    <n v="25"/>
    <n v="1"/>
    <s v="1 c. bovis in the heart"/>
    <n v="11027"/>
    <n v="10568"/>
    <n v="459"/>
    <x v="326"/>
    <m/>
    <n v="441.08"/>
    <n v="422.72"/>
    <n v="18.36"/>
    <n v="265.608"/>
    <n v="0"/>
    <n v="25"/>
    <n v="0"/>
    <n v="49.8"/>
    <n v="10"/>
    <n v="8.5"/>
    <n v="4.1625102022308881E-2"/>
    <n v="0.998"/>
    <n v="0.60217647592273504"/>
    <n v="0.93299999999999994"/>
    <m/>
    <n v="2"/>
    <m/>
    <m/>
    <m/>
    <m/>
    <m/>
    <m/>
    <n v="397"/>
  </r>
  <r>
    <x v="342"/>
    <x v="0"/>
    <m/>
    <x v="5"/>
    <n v="20"/>
    <n v="16"/>
    <n v="4"/>
    <s v="4 c. bovis in their hearts"/>
    <n v="7083"/>
    <n v="6554"/>
    <n v="529"/>
    <x v="327"/>
    <m/>
    <n v="442.6875"/>
    <n v="409.625"/>
    <n v="33.0625"/>
    <n v="277.90625"/>
    <n v="0"/>
    <n v="25"/>
    <n v="0"/>
    <n v="49.1"/>
    <n v="10"/>
    <n v="8.5"/>
    <n v="7.4685867570238595E-2"/>
    <n v="0.99099999999999999"/>
    <n v="0.6277707186220528"/>
    <n v="0.92599999999999993"/>
    <s v="1 liver + 1 head"/>
    <m/>
    <s v="1 liver abscess"/>
    <m/>
    <m/>
    <m/>
    <n v="1"/>
    <m/>
    <n v="1779"/>
  </r>
  <r>
    <x v="343"/>
    <x v="0"/>
    <m/>
    <x v="7"/>
    <n v="16"/>
    <n v="15"/>
    <n v="1"/>
    <s v="1 c. bovis in the heart"/>
    <n v="6066"/>
    <n v="5950"/>
    <n v="116"/>
    <x v="328"/>
    <m/>
    <n v="404.4"/>
    <n v="396.66666666666669"/>
    <n v="7.7333333333333334"/>
    <n v="245.24666666666664"/>
    <n v="0"/>
    <n v="25"/>
    <n v="0"/>
    <n v="48.8"/>
    <n v="10"/>
    <n v="8.5"/>
    <n v="1.9122980547312894E-2"/>
    <n v="0.98799999999999999"/>
    <n v="0.60644576327068911"/>
    <n v="0.92299999999999993"/>
    <s v="1 liver "/>
    <n v="2"/>
    <s v="1 injection site abscess + 1 bruise"/>
    <m/>
    <m/>
    <m/>
    <m/>
    <m/>
    <n v="389"/>
  </r>
  <r>
    <x v="344"/>
    <x v="0"/>
    <m/>
    <x v="10"/>
    <n v="37"/>
    <n v="37"/>
    <n v="0"/>
    <m/>
    <n v="19071"/>
    <n v="17905"/>
    <n v="1166"/>
    <x v="329"/>
    <m/>
    <n v="515.43243243243239"/>
    <n v="483.91891891891891"/>
    <n v="31.513513513513512"/>
    <n v="319.45945945945948"/>
    <n v="0"/>
    <n v="25"/>
    <n v="0"/>
    <n v="49.6"/>
    <n v="10"/>
    <n v="8.5"/>
    <n v="6.1139950710502863E-2"/>
    <n v="0.996"/>
    <n v="0.61978920874626398"/>
    <n v="0.93099999999999994"/>
    <s v="2 liver multiple abscesses + cirrhosis"/>
    <m/>
    <m/>
    <m/>
    <m/>
    <m/>
    <m/>
    <m/>
    <n v="15"/>
  </r>
  <r>
    <x v="344"/>
    <x v="1"/>
    <m/>
    <x v="1"/>
    <n v="25"/>
    <n v="25"/>
    <n v="0"/>
    <m/>
    <m/>
    <m/>
    <n v="0"/>
    <x v="0"/>
    <m/>
    <n v="0"/>
    <n v="0"/>
    <n v="0"/>
    <n v="0"/>
    <n v="0"/>
    <n v="25"/>
    <n v="0"/>
    <n v="49.3"/>
    <n v="10"/>
    <n v="8.5"/>
    <m/>
    <n v="0.99299999999999999"/>
    <m/>
    <n v="0.92799999999999994"/>
    <s v="2 hearts"/>
    <m/>
    <s v="2 liver abscesses"/>
    <m/>
    <m/>
    <m/>
    <m/>
    <m/>
    <n v="1"/>
  </r>
  <r>
    <x v="345"/>
    <x v="0"/>
    <m/>
    <x v="0"/>
    <n v="37"/>
    <n v="36"/>
    <n v="1"/>
    <s v="1 c. bovis in the heart"/>
    <n v="17491"/>
    <n v="16906"/>
    <n v="585"/>
    <x v="330"/>
    <m/>
    <n v="485.86111111111109"/>
    <n v="469.61111111111109"/>
    <n v="16.25"/>
    <n v="297.93055555555554"/>
    <n v="0"/>
    <n v="24.9"/>
    <n v="0"/>
    <n v="49.6"/>
    <n v="10"/>
    <n v="8.5"/>
    <n v="3.3445772111371563E-2"/>
    <n v="0.99399999999999999"/>
    <n v="0.6132010748384884"/>
    <n v="0.93"/>
    <m/>
    <n v="1"/>
    <s v="2 bruises"/>
    <m/>
    <m/>
    <n v="2"/>
    <m/>
    <m/>
    <n v="409"/>
  </r>
  <r>
    <x v="346"/>
    <x v="0"/>
    <m/>
    <x v="14"/>
    <n v="22"/>
    <n v="22"/>
    <n v="0"/>
    <m/>
    <n v="10456"/>
    <n v="9970"/>
    <n v="486"/>
    <x v="331"/>
    <m/>
    <n v="475.27272727272725"/>
    <n v="453.18181818181819"/>
    <n v="22.09090909090909"/>
    <n v="291.36363636363637"/>
    <n v="0"/>
    <n v="25"/>
    <n v="0"/>
    <n v="49"/>
    <n v="10"/>
    <n v="8.5"/>
    <n v="4.6480489671002295E-2"/>
    <n v="0.99"/>
    <n v="0.61304514154552414"/>
    <n v="0.92500000000000004"/>
    <s v="1 liver + 1 single testicle"/>
    <n v="3"/>
    <m/>
    <m/>
    <m/>
    <m/>
    <m/>
    <m/>
    <n v="10"/>
  </r>
  <r>
    <x v="347"/>
    <x v="0"/>
    <m/>
    <x v="5"/>
    <n v="32"/>
    <n v="30"/>
    <n v="2"/>
    <s v="2 c. bovis in a hearts"/>
    <n v="13121"/>
    <n v="12222"/>
    <n v="899"/>
    <x v="332"/>
    <m/>
    <n v="437.36666666666667"/>
    <n v="407.4"/>
    <n v="29.966666666666665"/>
    <n v="269.53333333333336"/>
    <n v="0"/>
    <n v="25"/>
    <n v="0"/>
    <n v="49.1"/>
    <n v="10"/>
    <n v="8.5"/>
    <n v="6.8516119198231834E-2"/>
    <n v="0.99099999999999999"/>
    <n v="0.61626400426796735"/>
    <n v="0.92599999999999993"/>
    <s v="1 liver + 1 single kidney"/>
    <n v="4"/>
    <s v="1 liver abscess"/>
    <m/>
    <m/>
    <m/>
    <m/>
    <m/>
    <n v="783"/>
  </r>
  <r>
    <x v="348"/>
    <x v="0"/>
    <m/>
    <x v="5"/>
    <n v="32"/>
    <n v="32"/>
    <n v="0"/>
    <m/>
    <n v="13944"/>
    <n v="13170"/>
    <n v="774"/>
    <x v="333"/>
    <m/>
    <n v="435.75"/>
    <n v="411.5625"/>
    <n v="24.1875"/>
    <n v="269.91250000000002"/>
    <n v="0"/>
    <n v="25"/>
    <n v="0"/>
    <n v="49.6"/>
    <n v="10"/>
    <n v="8.5"/>
    <n v="5.5507745266781414E-2"/>
    <n v="0.996"/>
    <n v="0.61942053930005747"/>
    <n v="0.93099999999999994"/>
    <s v="1 liver"/>
    <m/>
    <s v="2 liver abscesses"/>
    <m/>
    <m/>
    <m/>
    <m/>
    <m/>
    <n v="10"/>
  </r>
  <r>
    <x v="349"/>
    <x v="0"/>
    <m/>
    <x v="0"/>
    <n v="37"/>
    <n v="37"/>
    <n v="0"/>
    <m/>
    <n v="18450"/>
    <n v="17725"/>
    <n v="725"/>
    <x v="334"/>
    <m/>
    <n v="498.64864864864865"/>
    <n v="479.05405405405406"/>
    <n v="19.594594594594593"/>
    <n v="306.71351351351348"/>
    <n v="0"/>
    <n v="25"/>
    <n v="0"/>
    <n v="49.8"/>
    <n v="10"/>
    <n v="8.5"/>
    <n v="3.9295392953929538E-2"/>
    <n v="0.998"/>
    <n v="0.6150894308943089"/>
    <n v="0.93299999999999994"/>
    <s v="2 kidneys "/>
    <m/>
    <s v="1 liver abscess"/>
    <m/>
    <m/>
    <m/>
    <m/>
    <m/>
    <n v="6"/>
  </r>
  <r>
    <x v="350"/>
    <x v="0"/>
    <m/>
    <x v="14"/>
    <n v="24"/>
    <n v="24"/>
    <n v="0"/>
    <m/>
    <n v="11328"/>
    <n v="10815"/>
    <n v="513"/>
    <x v="335"/>
    <m/>
    <n v="472"/>
    <n v="450.625"/>
    <n v="21.375"/>
    <n v="291.83333333333331"/>
    <n v="0"/>
    <n v="25"/>
    <n v="0"/>
    <n v="49.3"/>
    <n v="10"/>
    <n v="8.5"/>
    <n v="4.528601694915254E-2"/>
    <n v="0.99299999999999999"/>
    <n v="0.6182909604519774"/>
    <n v="0.92799999999999994"/>
    <s v="1 lung"/>
    <n v="2"/>
    <s v="1 liver abscess and 1 bruise"/>
    <m/>
    <m/>
    <m/>
    <m/>
    <m/>
    <n v="0"/>
  </r>
  <r>
    <x v="351"/>
    <x v="0"/>
    <m/>
    <x v="5"/>
    <n v="35"/>
    <n v="33"/>
    <n v="2"/>
    <s v="2 c. bovis in a heart and in the head"/>
    <n v="14528"/>
    <n v="13671"/>
    <n v="857"/>
    <x v="336"/>
    <m/>
    <n v="440.24242424242425"/>
    <n v="414.27272727272725"/>
    <n v="25.969696969696969"/>
    <n v="273.04545454545456"/>
    <n v="0"/>
    <n v="25"/>
    <n v="0"/>
    <n v="49.9"/>
    <n v="10"/>
    <n v="8.5"/>
    <n v="5.8989537444933918E-2"/>
    <n v="0.999"/>
    <n v="0.62021613436123346"/>
    <n v="0.93400000000000005"/>
    <m/>
    <m/>
    <s v="1 liver abscess + 2 renal cysts"/>
    <m/>
    <m/>
    <m/>
    <m/>
    <m/>
    <n v="935"/>
  </r>
  <r>
    <x v="352"/>
    <x v="0"/>
    <m/>
    <x v="5"/>
    <n v="23"/>
    <n v="20"/>
    <n v="3"/>
    <s v="3 c. bovis in a hearts"/>
    <n v="8899"/>
    <n v="8356"/>
    <n v="543"/>
    <x v="337"/>
    <m/>
    <n v="444.95"/>
    <n v="417.8"/>
    <n v="27.15"/>
    <n v="275.22500000000002"/>
    <n v="0"/>
    <n v="25"/>
    <n v="0"/>
    <n v="48.5"/>
    <n v="10"/>
    <n v="8.5"/>
    <n v="6.1018091920440498E-2"/>
    <n v="0.98499999999999999"/>
    <n v="0.61855264636476004"/>
    <n v="0.92"/>
    <s v="2 livers"/>
    <n v="3"/>
    <s v="4 liver abscesses"/>
    <m/>
    <m/>
    <m/>
    <m/>
    <m/>
    <n v="1430"/>
  </r>
  <r>
    <x v="352"/>
    <x v="0"/>
    <m/>
    <x v="10"/>
    <n v="16"/>
    <n v="15"/>
    <n v="1"/>
    <s v="1 c. bovis in the heart"/>
    <n v="7668"/>
    <n v="7247"/>
    <n v="421"/>
    <x v="338"/>
    <m/>
    <n v="511.2"/>
    <n v="483.13333333333333"/>
    <n v="28.066666666666666"/>
    <n v="319.73333333333335"/>
    <n v="0"/>
    <n v="25"/>
    <n v="0"/>
    <n v="50"/>
    <n v="10"/>
    <n v="8.5"/>
    <n v="5.4903495044340118E-2"/>
    <n v="1"/>
    <n v="0.62545644235785081"/>
    <n v="0.93500000000000005"/>
    <m/>
    <m/>
    <m/>
    <m/>
    <m/>
    <m/>
    <m/>
    <m/>
    <n v="568"/>
  </r>
  <r>
    <x v="353"/>
    <x v="0"/>
    <m/>
    <x v="0"/>
    <n v="40"/>
    <n v="39"/>
    <n v="1"/>
    <s v="1 c. bovis in the heart"/>
    <n v="19949"/>
    <n v="18635"/>
    <n v="1314"/>
    <x v="339"/>
    <m/>
    <n v="511.5128205128205"/>
    <n v="477.82051282051282"/>
    <n v="33.692307692307693"/>
    <n v="306.8897435897436"/>
    <n v="0"/>
    <n v="24.6"/>
    <n v="0"/>
    <n v="49.4"/>
    <n v="10"/>
    <n v="8.5"/>
    <n v="6.586796330643141E-2"/>
    <n v="0.98599999999999999"/>
    <n v="0.59996491052183065"/>
    <n v="0.92500000000000004"/>
    <s v="2 kidneys"/>
    <n v="4"/>
    <s v="3 liver abscess"/>
    <m/>
    <m/>
    <m/>
    <m/>
    <m/>
    <n v="523"/>
  </r>
  <r>
    <x v="354"/>
    <x v="0"/>
    <m/>
    <x v="14"/>
    <n v="32"/>
    <n v="29"/>
    <n v="3"/>
    <s v="1 bull age older than 3 years + 2 carcasses miliary TB "/>
    <n v="13211"/>
    <n v="12603"/>
    <n v="608"/>
    <x v="340"/>
    <m/>
    <n v="455.55172413793105"/>
    <n v="434.58620689655174"/>
    <n v="20.96551724137931"/>
    <n v="273.82068965517243"/>
    <n v="0"/>
    <n v="25"/>
    <n v="0"/>
    <n v="49.8"/>
    <n v="10"/>
    <n v="8.5"/>
    <n v="4.6022254182120956E-2"/>
    <n v="0.998"/>
    <n v="0.601074861857543"/>
    <n v="0.93299999999999994"/>
    <s v="1 liver"/>
    <m/>
    <m/>
    <m/>
    <m/>
    <m/>
    <m/>
    <m/>
    <n v="1377"/>
  </r>
  <r>
    <x v="355"/>
    <x v="0"/>
    <m/>
    <x v="5"/>
    <n v="42"/>
    <n v="41"/>
    <n v="1"/>
    <s v="1 c. bovis in the masseter ms of the head"/>
    <n v="17528"/>
    <n v="16369"/>
    <n v="1159"/>
    <x v="341"/>
    <m/>
    <n v="427.51219512195121"/>
    <n v="399.2439024390244"/>
    <n v="28.26829268292683"/>
    <n v="262"/>
    <n v="0"/>
    <n v="25"/>
    <n v="0"/>
    <n v="49.3"/>
    <n v="10"/>
    <n v="8.5"/>
    <n v="6.6122774988589691E-2"/>
    <n v="0.99299999999999999"/>
    <n v="0.61284801460520311"/>
    <n v="0.92799999999999994"/>
    <s v="1 liver + 1 heart"/>
    <n v="2"/>
    <s v="4 livers"/>
    <m/>
    <m/>
    <m/>
    <m/>
    <m/>
    <n v="394"/>
  </r>
  <r>
    <x v="356"/>
    <x v="0"/>
    <m/>
    <x v="5"/>
    <n v="43"/>
    <n v="40"/>
    <n v="3"/>
    <s v="2 carcasses c. bovis + 1 carcasses miliary TB "/>
    <n v="17125"/>
    <n v="15830"/>
    <n v="1295"/>
    <x v="342"/>
    <m/>
    <n v="428.125"/>
    <n v="395.75"/>
    <n v="32.375"/>
    <n v="262.10000000000002"/>
    <n v="0"/>
    <n v="25"/>
    <n v="0"/>
    <n v="49.2"/>
    <n v="10"/>
    <n v="8.5"/>
    <n v="7.5620437956204378E-2"/>
    <n v="0.99199999999999999"/>
    <n v="0.61220437956204377"/>
    <n v="0.92700000000000005"/>
    <s v="3 livers + 2 kidneys"/>
    <m/>
    <s v="3 livers abscesses"/>
    <m/>
    <m/>
    <m/>
    <m/>
    <m/>
    <n v="975"/>
  </r>
  <r>
    <x v="357"/>
    <x v="0"/>
    <m/>
    <x v="0"/>
    <n v="33"/>
    <n v="33"/>
    <n v="0"/>
    <m/>
    <n v="15750"/>
    <n v="14800"/>
    <n v="950"/>
    <x v="343"/>
    <m/>
    <n v="477.27272727272725"/>
    <n v="448.4848484848485"/>
    <n v="28.787878787878789"/>
    <n v="288.18484848484849"/>
    <n v="0"/>
    <n v="24.6"/>
    <n v="0"/>
    <n v="49.9"/>
    <n v="10"/>
    <n v="8.5"/>
    <n v="6.0317460317460325E-2"/>
    <n v="0.9910000000000001"/>
    <n v="0.60381587301587303"/>
    <n v="0.93"/>
    <m/>
    <m/>
    <s v="1 liver abscess"/>
    <n v="7"/>
    <m/>
    <m/>
    <n v="6"/>
    <m/>
    <n v="4"/>
  </r>
  <r>
    <x v="358"/>
    <x v="0"/>
    <m/>
    <x v="14"/>
    <n v="33"/>
    <n v="33"/>
    <n v="0"/>
    <m/>
    <n v="14333"/>
    <n v="13645"/>
    <n v="688"/>
    <x v="344"/>
    <m/>
    <n v="434.33333333333331"/>
    <n v="413.4848484848485"/>
    <n v="20.848484848484848"/>
    <n v="260.59393939393942"/>
    <n v="0"/>
    <n v="25"/>
    <n v="0"/>
    <n v="49.2"/>
    <n v="10"/>
    <n v="8.5"/>
    <n v="4.8001116305030352E-2"/>
    <n v="0.99199999999999999"/>
    <n v="0.5999860461871207"/>
    <n v="0.92700000000000005"/>
    <s v="1 liver + 1 kidney"/>
    <n v="3"/>
    <s v="1 liver"/>
    <m/>
    <m/>
    <m/>
    <m/>
    <m/>
    <n v="5.5"/>
  </r>
  <r>
    <x v="359"/>
    <x v="0"/>
    <m/>
    <x v="5"/>
    <n v="40"/>
    <n v="39"/>
    <n v="1"/>
    <s v="1 c. bovis in the heart"/>
    <n v="17782"/>
    <n v="16355"/>
    <n v="1427"/>
    <x v="345"/>
    <m/>
    <n v="455.94871794871796"/>
    <n v="419.35897435897436"/>
    <n v="36.589743589743591"/>
    <n v="277.32564102564106"/>
    <n v="0"/>
    <n v="25"/>
    <n v="0"/>
    <n v="49.6"/>
    <n v="10"/>
    <n v="8.5"/>
    <n v="8.0249690698459122E-2"/>
    <n v="0.996"/>
    <n v="0.60823866831627493"/>
    <n v="0.93099999999999994"/>
    <s v="1 liver + 1 head "/>
    <m/>
    <m/>
    <m/>
    <m/>
    <m/>
    <m/>
    <m/>
    <n v="464"/>
  </r>
  <r>
    <x v="360"/>
    <x v="0"/>
    <m/>
    <x v="5"/>
    <n v="32"/>
    <n v="30"/>
    <n v="2"/>
    <s v="2 c. bovis in the heart"/>
    <n v="12761"/>
    <n v="11996"/>
    <n v="765"/>
    <x v="346"/>
    <m/>
    <n v="425.36666666666667"/>
    <n v="399.86666666666667"/>
    <n v="25.5"/>
    <n v="261.22000000000003"/>
    <n v="0"/>
    <n v="25"/>
    <n v="0"/>
    <n v="49.7"/>
    <n v="10"/>
    <n v="8.5"/>
    <n v="5.9948279915367136E-2"/>
    <n v="0.99700000000000011"/>
    <n v="0.61410547762714529"/>
    <n v="0.93200000000000005"/>
    <m/>
    <n v="2"/>
    <s v="2 liver"/>
    <m/>
    <m/>
    <m/>
    <m/>
    <m/>
    <n v="913"/>
  </r>
  <r>
    <x v="360"/>
    <x v="1"/>
    <m/>
    <x v="15"/>
    <n v="23"/>
    <n v="21"/>
    <n v="2"/>
    <s v="2 sheep not conform to standards"/>
    <m/>
    <m/>
    <n v="0"/>
    <x v="0"/>
    <m/>
    <n v="0"/>
    <n v="0"/>
    <n v="0"/>
    <n v="0"/>
    <n v="0"/>
    <n v="15"/>
    <n v="0"/>
    <n v="49.8"/>
    <n v="10"/>
    <n v="8.5"/>
    <m/>
    <n v="0.79800000000000004"/>
    <m/>
    <n v="0.83299999999999996"/>
    <m/>
    <m/>
    <s v="2 small abscesses"/>
    <m/>
    <m/>
    <m/>
    <n v="21"/>
    <n v="21"/>
    <n v="82.5"/>
  </r>
  <r>
    <x v="361"/>
    <x v="0"/>
    <m/>
    <x v="0"/>
    <n v="35"/>
    <n v="34"/>
    <n v="1"/>
    <s v="1 c. bovis in the heart"/>
    <n v="16844"/>
    <n v="15749"/>
    <n v="1095"/>
    <x v="347"/>
    <m/>
    <n v="495.41176470588238"/>
    <n v="463.20588235294116"/>
    <n v="32.205882352941174"/>
    <n v="297.24117647058824"/>
    <n v="0"/>
    <n v="24.5"/>
    <n v="0"/>
    <n v="49.6"/>
    <n v="10"/>
    <n v="8.5"/>
    <n v="6.5008311564948934E-2"/>
    <n v="0.98599999999999999"/>
    <n v="0.59998812633578724"/>
    <n v="0.92599999999999993"/>
    <s v="1 liver"/>
    <n v="2"/>
    <m/>
    <m/>
    <m/>
    <m/>
    <m/>
    <m/>
    <n v="522"/>
  </r>
  <r>
    <x v="361"/>
    <x v="0"/>
    <m/>
    <x v="16"/>
    <n v="6"/>
    <n v="6"/>
    <n v="0"/>
    <m/>
    <n v="2380"/>
    <n v="2380"/>
    <n v="0"/>
    <x v="348"/>
    <m/>
    <n v="396.66666666666669"/>
    <n v="396.66666666666669"/>
    <n v="0"/>
    <n v="243.81666666666669"/>
    <n v="0"/>
    <n v="25"/>
    <n v="0"/>
    <n v="48.8"/>
    <n v="10"/>
    <n v="8.5"/>
    <n v="0"/>
    <n v="0.98799999999999999"/>
    <n v="0.61466386554621855"/>
    <n v="0.92299999999999993"/>
    <s v="1 liver"/>
    <m/>
    <m/>
    <m/>
    <m/>
    <m/>
    <m/>
    <m/>
    <n v="8"/>
  </r>
  <r>
    <x v="362"/>
    <x v="0"/>
    <m/>
    <x v="14"/>
    <n v="24"/>
    <n v="24"/>
    <n v="0"/>
    <m/>
    <n v="11218"/>
    <n v="10730"/>
    <n v="488"/>
    <x v="76"/>
    <m/>
    <n v="467.41666666666669"/>
    <n v="447.08333333333331"/>
    <n v="20.333333333333332"/>
    <n v="280.44583333333333"/>
    <n v="0"/>
    <n v="25"/>
    <n v="0"/>
    <n v="50"/>
    <n v="10"/>
    <n v="8.5"/>
    <n v="4.350151542164378E-2"/>
    <n v="1"/>
    <n v="0.59999108575503657"/>
    <n v="0.93500000000000005"/>
    <m/>
    <m/>
    <m/>
    <m/>
    <m/>
    <m/>
    <m/>
    <m/>
    <m/>
  </r>
  <r>
    <x v="363"/>
    <x v="0"/>
    <m/>
    <x v="5"/>
    <n v="40"/>
    <n v="38"/>
    <n v="2"/>
    <s v="2 c. bovis in the heart"/>
    <n v="16608"/>
    <n v="15414"/>
    <n v="1194"/>
    <x v="349"/>
    <m/>
    <n v="437.05263157894734"/>
    <n v="405.63157894736844"/>
    <n v="31.421052631578949"/>
    <n v="264.69736842105266"/>
    <n v="0"/>
    <n v="25"/>
    <n v="0"/>
    <n v="49.9"/>
    <n v="10"/>
    <n v="8.5"/>
    <n v="7.1893063583815031E-2"/>
    <n v="0.999"/>
    <n v="0.60564185934489401"/>
    <n v="0.93400000000000005"/>
    <s v="1 heart + 1 liver"/>
    <m/>
    <m/>
    <m/>
    <m/>
    <m/>
    <m/>
    <m/>
    <n v="831"/>
  </r>
  <r>
    <x v="364"/>
    <x v="0"/>
    <m/>
    <x v="5"/>
    <n v="32"/>
    <n v="32"/>
    <n v="0"/>
    <m/>
    <n v="13906"/>
    <n v="13320"/>
    <n v="586"/>
    <x v="350"/>
    <m/>
    <n v="434.5625"/>
    <n v="416.25"/>
    <n v="18.3125"/>
    <n v="266.25312500000001"/>
    <n v="0"/>
    <n v="25"/>
    <n v="0"/>
    <n v="49.7"/>
    <n v="9.9"/>
    <n v="8.5"/>
    <n v="4.2140083417229975E-2"/>
    <n v="0.99700000000000011"/>
    <n v="0.61269236300877317"/>
    <n v="0.93100000000000005"/>
    <m/>
    <n v="2"/>
    <s v="2 small liver abscesses"/>
    <m/>
    <m/>
    <m/>
    <m/>
    <m/>
    <n v="10"/>
  </r>
  <r>
    <x v="365"/>
    <x v="0"/>
    <m/>
    <x v="0"/>
    <n v="40"/>
    <n v="39"/>
    <n v="1"/>
    <s v="1 bull age older than 3 years "/>
    <n v="19298.5"/>
    <n v="18238.5"/>
    <n v="1060"/>
    <x v="351"/>
    <m/>
    <n v="494.83333333333331"/>
    <n v="467.65384615384613"/>
    <n v="27.179487179487179"/>
    <n v="298.12051282051283"/>
    <n v="0"/>
    <n v="24.7"/>
    <n v="0"/>
    <n v="49.6"/>
    <n v="10"/>
    <n v="8.5"/>
    <n v="5.4926548695494466E-2"/>
    <n v="0.99"/>
    <n v="0.6024665129414204"/>
    <n v="0.92799999999999994"/>
    <s v="1 forequarter TB"/>
    <m/>
    <s v="3 liver abscesses"/>
    <m/>
    <m/>
    <m/>
    <m/>
    <m/>
    <n v="732.5"/>
  </r>
  <r>
    <x v="366"/>
    <x v="1"/>
    <m/>
    <x v="1"/>
    <n v="30"/>
    <n v="30"/>
    <n v="0"/>
    <m/>
    <n v="1404"/>
    <n v="1370"/>
    <n v="34"/>
    <x v="352"/>
    <m/>
    <n v="46.8"/>
    <n v="45.666666666666664"/>
    <n v="1.1333333333333333"/>
    <n v="27.276666666666664"/>
    <n v="0"/>
    <n v="25"/>
    <n v="0"/>
    <n v="49.9"/>
    <n v="10"/>
    <n v="8.5"/>
    <n v="2.4216524216524218E-2"/>
    <n v="0.999"/>
    <n v="0.5828347578347578"/>
    <n v="0.93400000000000005"/>
    <s v="2 hearts"/>
    <m/>
    <s v="2 small liver abscesses"/>
    <m/>
    <m/>
    <m/>
    <m/>
    <m/>
    <m/>
  </r>
  <r>
    <x v="366"/>
    <x v="0"/>
    <m/>
    <x v="14"/>
    <n v="32"/>
    <n v="32"/>
    <n v="0"/>
    <m/>
    <n v="15503"/>
    <n v="14885"/>
    <n v="618"/>
    <x v="353"/>
    <m/>
    <n v="484.46875"/>
    <n v="465.15625"/>
    <n v="19.3125"/>
    <n v="293.94062500000001"/>
    <n v="0"/>
    <n v="25"/>
    <n v="0"/>
    <n v="50"/>
    <n v="10"/>
    <n v="8.5"/>
    <n v="3.9863252273753466E-2"/>
    <n v="1"/>
    <n v="0.60672773011675163"/>
    <n v="0.93500000000000005"/>
    <m/>
    <m/>
    <m/>
    <m/>
    <m/>
    <m/>
    <m/>
    <m/>
    <m/>
  </r>
  <r>
    <x v="367"/>
    <x v="0"/>
    <m/>
    <x v="5"/>
    <n v="37"/>
    <n v="34"/>
    <n v="3"/>
    <s v="2 carcasses c. bovis  in the hearts+ 1 carcasses miliary TB "/>
    <n v="15019"/>
    <n v="13824"/>
    <n v="1195"/>
    <x v="354"/>
    <m/>
    <n v="441.73529411764707"/>
    <n v="406.58823529411762"/>
    <n v="35.147058823529413"/>
    <n v="270.06764705882352"/>
    <n v="0"/>
    <n v="25"/>
    <n v="0"/>
    <n v="49.6"/>
    <n v="10"/>
    <n v="8.5"/>
    <n v="7.9565883214594846E-2"/>
    <n v="0.996"/>
    <n v="0.6113789200346228"/>
    <n v="0.93099999999999994"/>
    <s v="1 liver + 1 lung"/>
    <n v="1"/>
    <s v="1 liver abscess"/>
    <m/>
    <m/>
    <m/>
    <m/>
    <m/>
    <n v="1355"/>
  </r>
  <r>
    <x v="368"/>
    <x v="0"/>
    <m/>
    <x v="9"/>
    <n v="24"/>
    <n v="22"/>
    <n v="2"/>
    <s v="2 bulls age older than 3 years "/>
    <n v="9063"/>
    <n v="8966"/>
    <n v="97"/>
    <x v="355"/>
    <m/>
    <n v="411.95454545454544"/>
    <n v="407.54545454545456"/>
    <n v="4.4090909090909092"/>
    <n v="247.15909090909091"/>
    <n v="0"/>
    <n v="25"/>
    <n v="0"/>
    <n v="49.9"/>
    <n v="10"/>
    <n v="8.5"/>
    <n v="1.0702857773364228E-2"/>
    <n v="0.999"/>
    <n v="0.59996689837802053"/>
    <n v="0.93400000000000005"/>
    <m/>
    <m/>
    <s v="1 liver abscess"/>
    <m/>
    <m/>
    <m/>
    <m/>
    <m/>
    <n v="917"/>
  </r>
  <r>
    <x v="368"/>
    <x v="0"/>
    <m/>
    <x v="0"/>
    <n v="8"/>
    <n v="8"/>
    <n v="0"/>
    <m/>
    <n v="3818"/>
    <n v="3515"/>
    <n v="303"/>
    <x v="356"/>
    <m/>
    <n v="477.25"/>
    <n v="439.375"/>
    <n v="37.875"/>
    <n v="286.33749999999998"/>
    <n v="0"/>
    <n v="25"/>
    <n v="0"/>
    <n v="49.9"/>
    <n v="10"/>
    <n v="8.5"/>
    <n v="7.9360921948664218E-2"/>
    <n v="0.999"/>
    <n v="0.59997380827658453"/>
    <n v="0.93400000000000005"/>
    <m/>
    <m/>
    <m/>
    <m/>
    <m/>
    <m/>
    <m/>
    <m/>
    <m/>
  </r>
  <r>
    <x v="369"/>
    <x v="0"/>
    <m/>
    <x v="0"/>
    <n v="43"/>
    <n v="43"/>
    <n v="0"/>
    <m/>
    <n v="20399"/>
    <n v="19265"/>
    <n v="1134"/>
    <x v="357"/>
    <m/>
    <n v="474.39534883720933"/>
    <n v="448.02325581395348"/>
    <n v="26.372093023255815"/>
    <n v="284.62558139534883"/>
    <n v="0"/>
    <n v="25"/>
    <n v="0"/>
    <n v="49.7"/>
    <n v="10"/>
    <n v="8.5"/>
    <n v="5.5590960341193194E-2"/>
    <n v="0.99700000000000011"/>
    <n v="0.59997548899455855"/>
    <n v="0.93200000000000005"/>
    <s v="1 liver"/>
    <n v="1"/>
    <s v="2 liver abscesses"/>
    <m/>
    <m/>
    <m/>
    <m/>
    <m/>
    <n v="11"/>
  </r>
  <r>
    <x v="370"/>
    <x v="1"/>
    <m/>
    <x v="1"/>
    <n v="29"/>
    <n v="29"/>
    <n v="0"/>
    <m/>
    <n v="1480"/>
    <n v="1450"/>
    <n v="30"/>
    <x v="358"/>
    <m/>
    <n v="51.03448275862069"/>
    <n v="50"/>
    <n v="1.0344827586206897"/>
    <n v="30.603448275862068"/>
    <n v="0"/>
    <n v="25"/>
    <n v="0"/>
    <n v="49.5"/>
    <n v="10"/>
    <n v="8.5"/>
    <n v="2.0270270270270271E-2"/>
    <n v="0.995"/>
    <n v="0.59966216216216217"/>
    <n v="0.93"/>
    <s v="1 heart"/>
    <m/>
    <s v="4 liver abscesses"/>
    <m/>
    <m/>
    <m/>
    <m/>
    <m/>
    <m/>
  </r>
  <r>
    <x v="370"/>
    <x v="0"/>
    <m/>
    <x v="14"/>
    <n v="30"/>
    <n v="29"/>
    <n v="1"/>
    <s v="1 bull age older than 3 years "/>
    <n v="13942"/>
    <n v="13614"/>
    <n v="328"/>
    <x v="359"/>
    <m/>
    <n v="480.75862068965517"/>
    <n v="469.44827586206895"/>
    <n v="11.310344827586206"/>
    <n v="299.47931034482758"/>
    <n v="0"/>
    <n v="25"/>
    <n v="0"/>
    <n v="49.5"/>
    <n v="10"/>
    <n v="8.5"/>
    <n v="2.3526036436666186E-2"/>
    <n v="0.995"/>
    <n v="0.6229307129536652"/>
    <n v="0.93"/>
    <s v="1 single kidney"/>
    <n v="1"/>
    <s v="2 liver cirrhosis and abscesses"/>
    <m/>
    <m/>
    <m/>
    <m/>
    <m/>
    <n v="531"/>
  </r>
  <r>
    <x v="371"/>
    <x v="0"/>
    <m/>
    <x v="5"/>
    <n v="44"/>
    <n v="43"/>
    <n v="1"/>
    <s v="1 c. bovis in the heart"/>
    <n v="18393"/>
    <n v="16996"/>
    <n v="1397"/>
    <x v="360"/>
    <m/>
    <n v="427.74418604651163"/>
    <n v="395.25581395348837"/>
    <n v="32.488372093023258"/>
    <n v="259.83488372093024"/>
    <n v="0"/>
    <n v="25"/>
    <n v="0"/>
    <n v="49.7"/>
    <n v="10"/>
    <n v="8.5"/>
    <n v="7.5952808133529059E-2"/>
    <n v="0.99700000000000011"/>
    <n v="0.60745392268797915"/>
    <n v="0.93200000000000005"/>
    <s v="1 liver"/>
    <n v="1"/>
    <s v="1 liver abscess"/>
    <m/>
    <m/>
    <m/>
    <m/>
    <m/>
    <n v="461.5"/>
  </r>
  <r>
    <x v="372"/>
    <x v="0"/>
    <m/>
    <x v="14"/>
    <n v="36"/>
    <n v="32"/>
    <n v="4"/>
    <s v="2 bulls older than 3 years + 2 carcasses c. bovis"/>
    <n v="14368.5"/>
    <n v="13743.5"/>
    <n v="625"/>
    <x v="361"/>
    <m/>
    <n v="449.015625"/>
    <n v="429.484375"/>
    <n v="19.53125"/>
    <n v="269.390625"/>
    <n v="0"/>
    <n v="24.8"/>
    <n v="0"/>
    <n v="49.4"/>
    <n v="10"/>
    <n v="8.5"/>
    <n v="4.3497929498555868E-2"/>
    <n v="0.99"/>
    <n v="0.59995824198768144"/>
    <n v="0.92700000000000005"/>
    <s v="1 liver"/>
    <n v="3"/>
    <s v="1 liver abscess"/>
    <m/>
    <m/>
    <m/>
    <m/>
    <m/>
    <n v="1825"/>
  </r>
  <r>
    <x v="373"/>
    <x v="0"/>
    <m/>
    <x v="0"/>
    <n v="48"/>
    <n v="48"/>
    <n v="0"/>
    <m/>
    <n v="22546"/>
    <n v="21250"/>
    <n v="1296"/>
    <x v="362"/>
    <m/>
    <n v="469.70833333333331"/>
    <n v="442.70833333333331"/>
    <n v="27"/>
    <n v="282.64791666666667"/>
    <n v="0"/>
    <n v="25"/>
    <n v="0"/>
    <n v="49.5"/>
    <n v="10"/>
    <n v="8.5"/>
    <n v="5.7482480262574298E-2"/>
    <n v="0.995"/>
    <n v="0.60175197374257072"/>
    <n v="0.93"/>
    <s v="2 kidneys"/>
    <n v="4"/>
    <s v="2 liver abscesses"/>
    <m/>
    <m/>
    <m/>
    <m/>
    <m/>
    <n v="4"/>
  </r>
  <r>
    <x v="374"/>
    <x v="1"/>
    <m/>
    <x v="1"/>
    <n v="26"/>
    <n v="26"/>
    <n v="0"/>
    <m/>
    <n v="1414"/>
    <n v="1410"/>
    <n v="4"/>
    <x v="363"/>
    <m/>
    <n v="54.384615384615387"/>
    <n v="54.230769230769234"/>
    <n v="0.15384615384615385"/>
    <n v="33.034615384615385"/>
    <n v="0"/>
    <n v="25"/>
    <n v="0"/>
    <n v="50"/>
    <n v="10"/>
    <n v="8.5"/>
    <n v="2.828854314002829E-3"/>
    <n v="1"/>
    <n v="0.60742574257425741"/>
    <n v="0.93500000000000005"/>
    <m/>
    <m/>
    <m/>
    <m/>
    <m/>
    <m/>
    <m/>
    <m/>
    <m/>
  </r>
  <r>
    <x v="374"/>
    <x v="0"/>
    <m/>
    <x v="14"/>
    <n v="30"/>
    <n v="30"/>
    <n v="0"/>
    <m/>
    <n v="14763"/>
    <n v="14525"/>
    <n v="238"/>
    <x v="364"/>
    <m/>
    <n v="492.1"/>
    <n v="484.16666666666669"/>
    <n v="7.9333333333333336"/>
    <n v="307.44333333333333"/>
    <n v="0"/>
    <n v="25"/>
    <n v="0"/>
    <n v="50"/>
    <n v="10"/>
    <n v="8.5"/>
    <n v="1.6121384542437174E-2"/>
    <n v="1"/>
    <n v="0.6247578405473142"/>
    <n v="0.93500000000000005"/>
    <m/>
    <m/>
    <m/>
    <m/>
    <m/>
    <m/>
    <m/>
    <m/>
    <m/>
  </r>
  <r>
    <x v="375"/>
    <x v="0"/>
    <m/>
    <x v="5"/>
    <n v="42"/>
    <n v="41"/>
    <n v="1"/>
    <s v="1 c. bovis in the masseter ms of the head"/>
    <n v="17862"/>
    <n v="16606"/>
    <n v="1256"/>
    <x v="365"/>
    <m/>
    <n v="435.65853658536588"/>
    <n v="405.02439024390242"/>
    <n v="30.634146341463413"/>
    <n v="264.96585365853662"/>
    <n v="0"/>
    <n v="25"/>
    <n v="0"/>
    <n v="49.95"/>
    <n v="10"/>
    <n v="8.5"/>
    <n v="7.0316873810323588E-2"/>
    <n v="0.99950000000000006"/>
    <n v="0.60819617064158549"/>
    <n v="0.9345"/>
    <m/>
    <m/>
    <s v="1 liver abscess"/>
    <m/>
    <m/>
    <m/>
    <m/>
    <m/>
    <n v="479"/>
  </r>
  <r>
    <x v="376"/>
    <x v="0"/>
    <m/>
    <x v="14"/>
    <n v="36"/>
    <n v="36"/>
    <n v="0"/>
    <m/>
    <n v="17615"/>
    <n v="17160"/>
    <n v="455"/>
    <x v="366"/>
    <m/>
    <n v="489.30555555555554"/>
    <n v="476.66666666666669"/>
    <n v="12.638888888888889"/>
    <n v="301.61666666666667"/>
    <n v="0"/>
    <n v="25"/>
    <n v="0"/>
    <n v="49.92"/>
    <n v="10"/>
    <n v="8.5"/>
    <n v="2.5830258302583026E-2"/>
    <n v="0.99920000000000009"/>
    <n v="0.61641782571671877"/>
    <n v="0.93420000000000003"/>
    <m/>
    <n v="1"/>
    <s v="small abscess in hindquarter"/>
    <m/>
    <m/>
    <m/>
    <m/>
    <m/>
    <m/>
  </r>
  <r>
    <x v="377"/>
    <x v="0"/>
    <m/>
    <x v="0"/>
    <n v="44"/>
    <n v="43"/>
    <n v="1"/>
    <s v="1 c. bovis in the heart"/>
    <n v="20438"/>
    <n v="19785"/>
    <n v="653"/>
    <x v="367"/>
    <m/>
    <n v="475.30232558139534"/>
    <n v="460.11627906976742"/>
    <n v="15.186046511627907"/>
    <n v="287.27906976744185"/>
    <n v="0"/>
    <n v="25"/>
    <n v="0"/>
    <n v="49.91"/>
    <n v="10"/>
    <n v="8.5"/>
    <n v="3.1950288677952833E-2"/>
    <n v="0.99909999999999999"/>
    <n v="0.60441334768568356"/>
    <n v="0.93409999999999993"/>
    <s v="1 liver + 2 kidneys"/>
    <m/>
    <m/>
    <m/>
    <m/>
    <m/>
    <m/>
    <m/>
    <n v="490"/>
  </r>
  <r>
    <x v="378"/>
    <x v="1"/>
    <m/>
    <x v="1"/>
    <n v="25"/>
    <n v="25"/>
    <n v="0"/>
    <m/>
    <n v="1178"/>
    <n v="1155"/>
    <n v="23"/>
    <x v="368"/>
    <m/>
    <n v="47.12"/>
    <n v="46.2"/>
    <n v="0.92"/>
    <n v="27.844000000000001"/>
    <n v="0"/>
    <n v="25"/>
    <n v="0"/>
    <n v="49.44"/>
    <n v="10"/>
    <n v="8.5"/>
    <n v="1.9524617996604415E-2"/>
    <n v="0.99439999999999995"/>
    <n v="0.59091680814940584"/>
    <n v="0.9294"/>
    <s v="2 livers"/>
    <m/>
    <m/>
    <m/>
    <m/>
    <m/>
    <m/>
    <m/>
    <n v="3"/>
  </r>
  <r>
    <x v="378"/>
    <x v="0"/>
    <m/>
    <x v="14"/>
    <n v="27"/>
    <n v="26"/>
    <n v="1"/>
    <s v="1 bull age older than 4 years "/>
    <n v="12108"/>
    <n v="11870"/>
    <n v="238"/>
    <x v="369"/>
    <m/>
    <n v="465.69230769230768"/>
    <n v="456.53846153846155"/>
    <n v="9.1538461538461533"/>
    <n v="286.72307692307692"/>
    <n v="0"/>
    <n v="25"/>
    <n v="0"/>
    <n v="49.73"/>
    <n v="10"/>
    <n v="8.5"/>
    <n v="1.9656425503799139E-2"/>
    <n v="0.99729999999999996"/>
    <n v="0.6156921043937893"/>
    <n v="0.93229999999999991"/>
    <s v="1 lung"/>
    <m/>
    <m/>
    <m/>
    <m/>
    <m/>
    <m/>
    <m/>
    <n v="520"/>
  </r>
  <r>
    <x v="379"/>
    <x v="0"/>
    <m/>
    <x v="5"/>
    <n v="44"/>
    <n v="42"/>
    <n v="2"/>
    <s v="2 c. bovis in the heart and head"/>
    <n v="18377"/>
    <n v="17004"/>
    <n v="1373"/>
    <x v="370"/>
    <m/>
    <n v="437.54761904761904"/>
    <n v="404.85714285714283"/>
    <n v="32.69047619047619"/>
    <n v="270.26666666666671"/>
    <n v="0"/>
    <n v="25"/>
    <n v="0"/>
    <n v="49.95"/>
    <n v="10"/>
    <n v="8.5"/>
    <n v="7.4712956412907441E-2"/>
    <n v="0.99950000000000006"/>
    <n v="0.61768514991565548"/>
    <n v="0.9345"/>
    <s v="2 kidneys"/>
    <m/>
    <m/>
    <m/>
    <m/>
    <m/>
    <m/>
    <m/>
    <n v="858"/>
  </r>
  <r>
    <x v="380"/>
    <x v="0"/>
    <m/>
    <x v="14"/>
    <n v="32"/>
    <n v="31"/>
    <n v="1"/>
    <s v="1 c. bovis in the heart"/>
    <n v="14050"/>
    <n v="13735"/>
    <n v="315"/>
    <x v="149"/>
    <m/>
    <n v="453.22580645161293"/>
    <n v="443.06451612903226"/>
    <n v="10.161290322580646"/>
    <n v="277.15483870967739"/>
    <n v="0"/>
    <n v="25"/>
    <n v="0"/>
    <n v="49.87"/>
    <n v="10"/>
    <n v="8.5"/>
    <n v="2.2419928825622777E-2"/>
    <n v="0.99869999999999992"/>
    <n v="0.61151601423487534"/>
    <n v="0.93370000000000009"/>
    <m/>
    <m/>
    <s v="2 liver"/>
    <m/>
    <m/>
    <m/>
    <m/>
    <m/>
    <n v="446"/>
  </r>
  <r>
    <x v="381"/>
    <x v="0"/>
    <m/>
    <x v="0"/>
    <n v="43"/>
    <n v="40"/>
    <n v="3"/>
    <s v="3 c. bovis in their hearts"/>
    <n v="18813"/>
    <n v="17767"/>
    <n v="1046"/>
    <x v="284"/>
    <m/>
    <n v="470.32499999999999"/>
    <n v="444.17500000000001"/>
    <n v="26.15"/>
    <n v="282.69749999999999"/>
    <n v="0"/>
    <n v="25"/>
    <n v="0"/>
    <n v="49"/>
    <n v="10"/>
    <n v="8.5"/>
    <n v="5.55998511667464E-2"/>
    <n v="0.99"/>
    <n v="0.60106841014192314"/>
    <n v="0.92500000000000004"/>
    <s v="1 liver + 1 lung + 1 heart"/>
    <n v="3"/>
    <s v="2 bad bruises"/>
    <m/>
    <m/>
    <m/>
    <m/>
    <m/>
    <n v="1518"/>
  </r>
  <r>
    <x v="382"/>
    <x v="1"/>
    <m/>
    <x v="1"/>
    <n v="26"/>
    <n v="26"/>
    <n v="0"/>
    <m/>
    <n v="1235"/>
    <n v="1225"/>
    <n v="10"/>
    <x v="371"/>
    <m/>
    <n v="47.5"/>
    <n v="47.115384615384613"/>
    <n v="0.38461538461538464"/>
    <n v="28.738461538461539"/>
    <n v="0"/>
    <n v="25"/>
    <n v="0"/>
    <n v="50"/>
    <n v="10"/>
    <n v="8.1999999999999993"/>
    <n v="8.0971659919028341E-3"/>
    <n v="1"/>
    <n v="0.6050202429149798"/>
    <n v="0.93200000000000005"/>
    <m/>
    <m/>
    <s v="3 liver abscesses"/>
    <m/>
    <m/>
    <m/>
    <m/>
    <m/>
    <m/>
  </r>
  <r>
    <x v="382"/>
    <x v="0"/>
    <m/>
    <x v="14"/>
    <n v="30"/>
    <n v="29"/>
    <n v="1"/>
    <s v="1 c. bovis in the heart"/>
    <n v="13825"/>
    <n v="13510"/>
    <n v="315"/>
    <x v="372"/>
    <m/>
    <n v="476.72413793103448"/>
    <n v="465.86206896551727"/>
    <n v="10.862068965517242"/>
    <n v="293.39310344827584"/>
    <n v="0"/>
    <n v="25"/>
    <n v="0"/>
    <n v="50"/>
    <n v="10"/>
    <n v="8.1999999999999993"/>
    <n v="2.2784810126582278E-2"/>
    <n v="1"/>
    <n v="0.61543580470162751"/>
    <n v="0.93200000000000005"/>
    <m/>
    <m/>
    <s v="2 small liver abscesses"/>
    <m/>
    <m/>
    <m/>
    <m/>
    <m/>
    <n v="440"/>
  </r>
  <r>
    <x v="383"/>
    <x v="0"/>
    <m/>
    <x v="5"/>
    <n v="45"/>
    <n v="44"/>
    <n v="1"/>
    <s v="1 c. bovis in the heart"/>
    <n v="19143"/>
    <n v="17985"/>
    <n v="1158"/>
    <x v="373"/>
    <m/>
    <n v="435.06818181818181"/>
    <n v="408.75"/>
    <n v="26.318181818181817"/>
    <n v="268.14090909090913"/>
    <n v="0"/>
    <n v="25"/>
    <n v="0"/>
    <n v="49.55"/>
    <n v="10"/>
    <n v="8.5"/>
    <n v="6.0492085879956116E-2"/>
    <n v="0.99550000000000005"/>
    <n v="0.61631928119939405"/>
    <n v="0.93049999999999999"/>
    <s v="1 liver + 2 kidneys"/>
    <m/>
    <s v="3 liver abscesses"/>
    <m/>
    <m/>
    <m/>
    <m/>
    <m/>
    <n v="475"/>
  </r>
  <r>
    <x v="384"/>
    <x v="0"/>
    <m/>
    <x v="14"/>
    <n v="32"/>
    <n v="31"/>
    <n v="1"/>
    <s v="1 carcasses miliary TB "/>
    <n v="14783"/>
    <n v="14508"/>
    <n v="275"/>
    <x v="140"/>
    <m/>
    <n v="476.87096774193549"/>
    <n v="468"/>
    <n v="8.870967741935484"/>
    <n v="296.52258064516133"/>
    <n v="0"/>
    <n v="25"/>
    <n v="0"/>
    <n v="49.71"/>
    <n v="10"/>
    <n v="8.5"/>
    <n v="1.8602448758709329E-2"/>
    <n v="0.99709999999999999"/>
    <n v="0.62180883447202873"/>
    <n v="0.93210000000000004"/>
    <m/>
    <n v="3"/>
    <m/>
    <m/>
    <m/>
    <m/>
    <m/>
    <m/>
    <n v="447"/>
  </r>
  <r>
    <x v="385"/>
    <x v="0"/>
    <m/>
    <x v="0"/>
    <n v="44"/>
    <n v="42"/>
    <n v="2"/>
    <s v="2 bulls not conform (age &amp; bad BCS)"/>
    <n v="20658"/>
    <n v="19685"/>
    <n v="973"/>
    <x v="374"/>
    <m/>
    <n v="491.85714285714283"/>
    <n v="468.6904761904762"/>
    <n v="23.166666666666668"/>
    <n v="295.67619047619047"/>
    <n v="0"/>
    <n v="25"/>
    <n v="0"/>
    <n v="49.69"/>
    <n v="10"/>
    <n v="8.5"/>
    <n v="4.7100396940652538E-2"/>
    <n v="0.9968999999999999"/>
    <n v="0.60114241456094486"/>
    <n v="0.93189999999999995"/>
    <s v="1 liver"/>
    <n v="2"/>
    <m/>
    <m/>
    <m/>
    <m/>
    <m/>
    <m/>
    <n v="888"/>
  </r>
  <r>
    <x v="386"/>
    <x v="1"/>
    <m/>
    <x v="1"/>
    <n v="25"/>
    <n v="25"/>
    <n v="0"/>
    <m/>
    <n v="1220"/>
    <n v="1185"/>
    <n v="35"/>
    <x v="375"/>
    <m/>
    <n v="48.8"/>
    <n v="47.4"/>
    <n v="1.4"/>
    <n v="28.54"/>
    <n v="0"/>
    <n v="25"/>
    <n v="0"/>
    <n v="49"/>
    <n v="10"/>
    <n v="8.5"/>
    <n v="2.8688524590163935E-2"/>
    <n v="0.99"/>
    <n v="0.58483606557377055"/>
    <n v="0.92500000000000004"/>
    <s v="1 heart + 1 liver + 2 kidneys"/>
    <m/>
    <s v="2 liver abscesses"/>
    <m/>
    <m/>
    <m/>
    <m/>
    <m/>
    <n v="2"/>
  </r>
  <r>
    <x v="386"/>
    <x v="0"/>
    <m/>
    <x v="14"/>
    <n v="30"/>
    <n v="30"/>
    <n v="0"/>
    <m/>
    <n v="14610"/>
    <n v="14390"/>
    <n v="220"/>
    <x v="376"/>
    <m/>
    <n v="487"/>
    <n v="479.66666666666669"/>
    <n v="7.333333333333333"/>
    <n v="300.01666666666665"/>
    <n v="0"/>
    <n v="25"/>
    <n v="0"/>
    <n v="49.61"/>
    <n v="9.8000000000000007"/>
    <n v="8.5"/>
    <n v="1.5058179329226557E-2"/>
    <n v="0.99609999999999999"/>
    <n v="0.61605065023956196"/>
    <n v="0.92909999999999993"/>
    <s v="1 liver"/>
    <n v="2"/>
    <s v="1 blood splash"/>
    <m/>
    <m/>
    <m/>
    <m/>
    <m/>
    <n v="2"/>
  </r>
  <r>
    <x v="387"/>
    <x v="0"/>
    <m/>
    <x v="5"/>
    <n v="47"/>
    <n v="42"/>
    <n v="5"/>
    <s v="5 c. bovis in their hearts"/>
    <n v="18493"/>
    <n v="17396"/>
    <n v="1097"/>
    <x v="377"/>
    <m/>
    <n v="440.3095238095238"/>
    <n v="414.1904761904762"/>
    <n v="26.11904761904762"/>
    <n v="271.95952380952377"/>
    <n v="0"/>
    <n v="25"/>
    <n v="0"/>
    <n v="49.74"/>
    <n v="10"/>
    <n v="8.5"/>
    <n v="5.9319742605310123E-2"/>
    <n v="0.99740000000000006"/>
    <n v="0.6176553290434218"/>
    <n v="0.93240000000000012"/>
    <s v="1 liver"/>
    <m/>
    <s v="2 livers"/>
    <m/>
    <m/>
    <m/>
    <m/>
    <m/>
    <n v="2217"/>
  </r>
  <r>
    <x v="388"/>
    <x v="0"/>
    <m/>
    <x v="0"/>
    <n v="35"/>
    <n v="34"/>
    <n v="1"/>
    <s v="1 c. bovis in the heart"/>
    <n v="16470"/>
    <n v="15780"/>
    <n v="690"/>
    <x v="378"/>
    <m/>
    <n v="484.41176470588238"/>
    <n v="464.11764705882354"/>
    <n v="20.294117647058822"/>
    <n v="296.99411764705883"/>
    <n v="0"/>
    <n v="25"/>
    <n v="0"/>
    <n v="49.94"/>
    <n v="10"/>
    <n v="8.5"/>
    <n v="4.1894353369763201E-2"/>
    <n v="0.99939999999999996"/>
    <n v="0.61310261080752881"/>
    <n v="0.93440000000000001"/>
    <s v="2 kidneys"/>
    <m/>
    <m/>
    <m/>
    <m/>
    <m/>
    <m/>
    <m/>
    <n v="457"/>
  </r>
  <r>
    <x v="389"/>
    <x v="0"/>
    <m/>
    <x v="0"/>
    <n v="50"/>
    <n v="49"/>
    <n v="1"/>
    <s v="1 bulls not conform (older than 3 years)"/>
    <n v="22735"/>
    <n v="21830"/>
    <n v="905"/>
    <x v="379"/>
    <m/>
    <n v="463.9795918367347"/>
    <n v="445.51020408163265"/>
    <n v="18.469387755102041"/>
    <n v="280.46530612244896"/>
    <n v="0"/>
    <n v="25"/>
    <n v="0"/>
    <n v="50"/>
    <n v="9.6999999999999993"/>
    <n v="8.5"/>
    <n v="3.9806465801627444E-2"/>
    <n v="1"/>
    <n v="0.60447767758961946"/>
    <n v="0.93200000000000005"/>
    <m/>
    <m/>
    <s v="blood splash in 3 carcasses"/>
    <m/>
    <m/>
    <m/>
    <m/>
    <m/>
    <n v="470"/>
  </r>
  <r>
    <x v="390"/>
    <x v="1"/>
    <m/>
    <x v="1"/>
    <n v="25"/>
    <n v="25"/>
    <n v="0"/>
    <m/>
    <n v="1190"/>
    <n v="1170"/>
    <n v="20"/>
    <x v="380"/>
    <m/>
    <n v="47.6"/>
    <n v="46.8"/>
    <n v="0.8"/>
    <n v="28"/>
    <n v="0"/>
    <n v="25"/>
    <n v="0"/>
    <n v="49.44"/>
    <n v="10"/>
    <n v="8.5"/>
    <n v="1.680672268907563E-2"/>
    <n v="0.99439999999999995"/>
    <n v="0.58823529411764708"/>
    <n v="0.9294"/>
    <s v="1 liver + 1 lung"/>
    <m/>
    <m/>
    <m/>
    <m/>
    <m/>
    <m/>
    <m/>
    <n v="1"/>
  </r>
  <r>
    <x v="390"/>
    <x v="0"/>
    <m/>
    <x v="14"/>
    <n v="36"/>
    <n v="36"/>
    <n v="0"/>
    <m/>
    <n v="16570"/>
    <n v="15945"/>
    <n v="625"/>
    <x v="381"/>
    <m/>
    <n v="460.27777777777777"/>
    <n v="442.91666666666669"/>
    <n v="17.361111111111111"/>
    <n v="276.90277777777777"/>
    <n v="0"/>
    <n v="25"/>
    <n v="0"/>
    <n v="49.81"/>
    <n v="10"/>
    <n v="8.5"/>
    <n v="3.7718768859384431E-2"/>
    <n v="0.99809999999999999"/>
    <n v="0.6015992757996379"/>
    <n v="0.93310000000000004"/>
    <s v="1 heart"/>
    <m/>
    <m/>
    <m/>
    <m/>
    <m/>
    <m/>
    <m/>
    <n v="2"/>
  </r>
  <r>
    <x v="391"/>
    <x v="0"/>
    <m/>
    <x v="10"/>
    <n v="47"/>
    <n v="45"/>
    <n v="2"/>
    <s v="1  bulls not conform (bad BCS) + 1 carcass c. bovis in the heart"/>
    <n v="21537"/>
    <n v="20609"/>
    <n v="928"/>
    <x v="382"/>
    <m/>
    <n v="478.6"/>
    <n v="457.97777777777776"/>
    <n v="20.622222222222224"/>
    <n v="307.53333333333336"/>
    <n v="0"/>
    <n v="25"/>
    <n v="0"/>
    <n v="49.64"/>
    <n v="10"/>
    <n v="8.5"/>
    <n v="4.3088638157589267E-2"/>
    <n v="0.99639999999999995"/>
    <n v="0.64256860286948048"/>
    <n v="0.93140000000000001"/>
    <s v="2 livers"/>
    <m/>
    <m/>
    <m/>
    <m/>
    <m/>
    <m/>
    <m/>
    <n v="927"/>
  </r>
  <r>
    <x v="392"/>
    <x v="0"/>
    <m/>
    <x v="5"/>
    <n v="42"/>
    <n v="41"/>
    <n v="1"/>
    <s v="1 c. bovis in the heart"/>
    <n v="18115"/>
    <n v="16945"/>
    <n v="1170"/>
    <x v="383"/>
    <m/>
    <n v="441.82926829268291"/>
    <n v="413.29268292682929"/>
    <n v="28.536585365853657"/>
    <n v="273.26585365853657"/>
    <n v="0"/>
    <n v="25"/>
    <n v="0"/>
    <n v="49.9"/>
    <n v="10"/>
    <n v="8.5"/>
    <n v="6.4587358542644219E-2"/>
    <n v="0.999"/>
    <n v="0.61848744134695"/>
    <n v="0.93400000000000005"/>
    <s v="2 livers"/>
    <m/>
    <m/>
    <m/>
    <m/>
    <m/>
    <m/>
    <m/>
    <n v="436"/>
  </r>
  <r>
    <x v="393"/>
    <x v="0"/>
    <m/>
    <x v="0"/>
    <n v="48"/>
    <n v="44"/>
    <n v="4"/>
    <s v="4 c. bovis in the heart"/>
    <n v="20830"/>
    <n v="19875"/>
    <n v="955"/>
    <x v="384"/>
    <m/>
    <n v="473.40909090909093"/>
    <n v="451.70454545454544"/>
    <n v="21.704545454545453"/>
    <n v="284.06136363636364"/>
    <n v="0"/>
    <n v="25"/>
    <n v="0"/>
    <n v="49.91"/>
    <n v="10"/>
    <n v="8.5"/>
    <n v="4.5847335573691785E-2"/>
    <n v="0.99909999999999999"/>
    <n v="0.60003360537686035"/>
    <n v="0.93409999999999993"/>
    <s v="2 livers"/>
    <m/>
    <m/>
    <m/>
    <m/>
    <m/>
    <m/>
    <m/>
    <n v="1950"/>
  </r>
  <r>
    <x v="394"/>
    <x v="1"/>
    <m/>
    <x v="1"/>
    <n v="25"/>
    <n v="24"/>
    <n v="1"/>
    <s v="1 sever c. tenuicollis infestation"/>
    <n v="1122"/>
    <n v="1087"/>
    <n v="35"/>
    <x v="385"/>
    <m/>
    <n v="46.75"/>
    <n v="45.291666666666664"/>
    <n v="1.4583333333333333"/>
    <n v="27.741666666666664"/>
    <n v="0"/>
    <n v="25"/>
    <n v="0"/>
    <n v="49.17"/>
    <n v="10"/>
    <n v="8.5"/>
    <n v="3.1194295900178252E-2"/>
    <n v="0.99170000000000003"/>
    <n v="0.59340463458110515"/>
    <n v="0.92669999999999997"/>
    <s v="2 livers"/>
    <m/>
    <s v="3 livers abscesses"/>
    <m/>
    <m/>
    <m/>
    <m/>
    <n v="0"/>
    <n v="38.5"/>
  </r>
  <r>
    <x v="394"/>
    <x v="0"/>
    <m/>
    <x v="14"/>
    <n v="30"/>
    <n v="29"/>
    <n v="1"/>
    <s v="1 bull not conform (older than 3 years)"/>
    <n v="14041"/>
    <n v="13715"/>
    <n v="326"/>
    <x v="386"/>
    <m/>
    <n v="484.17241379310343"/>
    <n v="472.93103448275861"/>
    <n v="11.241379310344827"/>
    <n v="294.48620689655172"/>
    <n v="0"/>
    <n v="25"/>
    <n v="0"/>
    <n v="49.69"/>
    <n v="10"/>
    <n v="8.5"/>
    <n v="2.3217719535645609E-2"/>
    <n v="0.9968999999999999"/>
    <n v="0.60822590983548186"/>
    <n v="0.93189999999999995"/>
    <m/>
    <n v="3"/>
    <m/>
    <m/>
    <m/>
    <m/>
    <n v="1"/>
    <n v="3.3333333333333333E-2"/>
    <n v="575"/>
  </r>
  <r>
    <x v="395"/>
    <x v="0"/>
    <m/>
    <x v="5"/>
    <n v="44"/>
    <n v="42"/>
    <n v="2"/>
    <s v="2 c. bovis in the heart"/>
    <n v="18376"/>
    <n v="17221"/>
    <n v="1155"/>
    <x v="387"/>
    <m/>
    <n v="437.52380952380952"/>
    <n v="410.02380952380952"/>
    <n v="27.5"/>
    <n v="269.2833333333333"/>
    <n v="0"/>
    <n v="25"/>
    <n v="0"/>
    <n v="49.67"/>
    <n v="10"/>
    <n v="8.5"/>
    <n v="6.2853722246408353E-2"/>
    <n v="0.99670000000000003"/>
    <n v="0.61547126686983022"/>
    <n v="0.93169999999999997"/>
    <s v="2 livers"/>
    <m/>
    <m/>
    <m/>
    <m/>
    <m/>
    <m/>
    <n v="0"/>
    <n v="920"/>
  </r>
  <r>
    <x v="396"/>
    <x v="0"/>
    <m/>
    <x v="14"/>
    <n v="30"/>
    <n v="29"/>
    <n v="1"/>
    <s v="1 bull not conform (older than 3 years)"/>
    <n v="13425"/>
    <n v="13145"/>
    <n v="280"/>
    <x v="388"/>
    <m/>
    <n v="462.93103448275861"/>
    <n v="453.27586206896552"/>
    <n v="9.6551724137931032"/>
    <n v="290.00344827586207"/>
    <n v="0"/>
    <n v="25"/>
    <n v="0"/>
    <n v="48.93"/>
    <n v="10"/>
    <n v="8.5"/>
    <n v="2.0856610800744878E-2"/>
    <n v="0.98930000000000007"/>
    <n v="0.62645065176908754"/>
    <n v="0.92430000000000012"/>
    <s v="2 livers + 2 kidneys"/>
    <n v="2"/>
    <s v="2 livers abscesses "/>
    <m/>
    <m/>
    <m/>
    <m/>
    <n v="0"/>
    <n v="487.5"/>
  </r>
  <r>
    <x v="397"/>
    <x v="0"/>
    <m/>
    <x v="0"/>
    <n v="38"/>
    <n v="38"/>
    <n v="0"/>
    <m/>
    <n v="17331"/>
    <n v="16055"/>
    <n v="1276"/>
    <x v="389"/>
    <m/>
    <n v="456.07894736842104"/>
    <n v="422.5"/>
    <n v="33.578947368421055"/>
    <n v="274.46315789473687"/>
    <n v="0"/>
    <n v="25"/>
    <n v="0"/>
    <n v="49.87"/>
    <n v="10"/>
    <n v="8.5"/>
    <n v="7.3625295712884439E-2"/>
    <n v="0.99869999999999992"/>
    <n v="0.60178870232531301"/>
    <n v="0.93370000000000009"/>
    <m/>
    <n v="1"/>
    <s v="1 liver abscesses"/>
    <m/>
    <m/>
    <m/>
    <n v="8"/>
    <n v="0.21052631578947367"/>
    <m/>
  </r>
  <r>
    <x v="398"/>
    <x v="1"/>
    <m/>
    <x v="1"/>
    <n v="25"/>
    <n v="25"/>
    <n v="0"/>
    <m/>
    <n v="1155"/>
    <n v="1145"/>
    <n v="10"/>
    <x v="390"/>
    <m/>
    <n v="46.2"/>
    <n v="45.8"/>
    <n v="0.4"/>
    <n v="27.684000000000001"/>
    <n v="0"/>
    <n v="25"/>
    <n v="0"/>
    <n v="49.12"/>
    <n v="10"/>
    <n v="8.5"/>
    <n v="8.658008658008658E-3"/>
    <n v="0.99119999999999997"/>
    <n v="0.59922077922077921"/>
    <n v="0.92620000000000002"/>
    <s v="1 heart + 2 kidneys"/>
    <m/>
    <s v="4 liver abscesses"/>
    <m/>
    <m/>
    <m/>
    <m/>
    <n v="0"/>
    <n v="4"/>
  </r>
  <r>
    <x v="398"/>
    <x v="0"/>
    <m/>
    <x v="14"/>
    <n v="30"/>
    <n v="29"/>
    <n v="1"/>
    <s v="1 c. bovis in the heart"/>
    <n v="13329"/>
    <n v="13080"/>
    <n v="249"/>
    <x v="391"/>
    <m/>
    <n v="459.62068965517244"/>
    <n v="451.0344827586207"/>
    <n v="8.5862068965517242"/>
    <n v="286.5"/>
    <n v="0"/>
    <n v="25"/>
    <n v="0"/>
    <n v="49.28"/>
    <n v="9.8000000000000007"/>
    <n v="8.5"/>
    <n v="1.8681071348188159E-2"/>
    <n v="0.99280000000000002"/>
    <n v="0.62334008552779652"/>
    <n v="0.92579999999999996"/>
    <s v="4 kidneys + lung"/>
    <m/>
    <s v="1 abscess + blood splash in 2 hindquarter"/>
    <m/>
    <m/>
    <m/>
    <n v="9"/>
    <n v="0.3"/>
    <n v="476"/>
  </r>
  <r>
    <x v="399"/>
    <x v="0"/>
    <m/>
    <x v="5"/>
    <n v="40"/>
    <n v="38"/>
    <n v="2"/>
    <s v="2 c. bovis in their heads"/>
    <n v="16842"/>
    <n v="15755"/>
    <n v="1087"/>
    <x v="392"/>
    <m/>
    <n v="443.21052631578948"/>
    <n v="414.60526315789474"/>
    <n v="28.605263157894736"/>
    <n v="272.0263157894737"/>
    <n v="0"/>
    <n v="25"/>
    <n v="0"/>
    <n v="49.76"/>
    <n v="10"/>
    <n v="8.5"/>
    <n v="6.4541028381427376E-2"/>
    <n v="0.99760000000000004"/>
    <n v="0.61376321102006892"/>
    <n v="0.93259999999999987"/>
    <s v="1 liver"/>
    <m/>
    <s v="small liver abscesses"/>
    <m/>
    <m/>
    <m/>
    <n v="7"/>
    <n v="0.17499999999999999"/>
    <n v="896"/>
  </r>
  <r>
    <x v="400"/>
    <x v="0"/>
    <m/>
    <x v="14"/>
    <n v="32"/>
    <n v="32"/>
    <n v="0"/>
    <m/>
    <n v="14020"/>
    <n v="13455"/>
    <n v="565"/>
    <x v="393"/>
    <m/>
    <n v="438.125"/>
    <n v="420.46875"/>
    <n v="17.65625"/>
    <n v="263.23750000000001"/>
    <n v="0"/>
    <n v="25"/>
    <n v="0"/>
    <n v="49.78"/>
    <n v="10"/>
    <n v="8.5"/>
    <n v="4.0299572039942937E-2"/>
    <n v="0.99780000000000002"/>
    <n v="0.60082738944365199"/>
    <n v="0.93279999999999996"/>
    <m/>
    <m/>
    <s v="liver telangiectasis"/>
    <m/>
    <m/>
    <m/>
    <n v="4"/>
    <n v="0.125"/>
    <n v="2"/>
  </r>
  <r>
    <x v="401"/>
    <x v="1"/>
    <m/>
    <x v="0"/>
    <n v="2"/>
    <n v="2"/>
    <n v="0"/>
    <m/>
    <n v="84"/>
    <n v="83"/>
    <n v="1"/>
    <x v="394"/>
    <m/>
    <n v="42"/>
    <n v="41.5"/>
    <n v="0.5"/>
    <n v="24"/>
    <n v="0"/>
    <n v="25"/>
    <n v="0"/>
    <n v="50"/>
    <n v="10"/>
    <n v="8.5"/>
    <n v="1.1904761904761904E-2"/>
    <n v="1"/>
    <n v="0.5714285714285714"/>
    <n v="0.93500000000000005"/>
    <m/>
    <m/>
    <s v="1 small liver abscess"/>
    <m/>
    <m/>
    <m/>
    <m/>
    <n v="0"/>
    <m/>
  </r>
  <r>
    <x v="401"/>
    <x v="0"/>
    <m/>
    <x v="0"/>
    <n v="50"/>
    <n v="49"/>
    <n v="1"/>
    <s v="1 carcasses miliary TB "/>
    <n v="22772"/>
    <n v="21509"/>
    <n v="1263"/>
    <x v="395"/>
    <m/>
    <n v="464.73469387755102"/>
    <n v="438.9591836734694"/>
    <n v="25.775510204081634"/>
    <n v="279.1142857142857"/>
    <n v="0"/>
    <n v="22"/>
    <n v="0"/>
    <n v="49.43"/>
    <n v="10"/>
    <n v="8.5"/>
    <n v="5.5462849112945724E-2"/>
    <n v="0.93430000000000002"/>
    <n v="0.60058844194624983"/>
    <n v="0.8993000000000001"/>
    <s v="1 liver + 2 kidneys + 1 single testicle"/>
    <m/>
    <s v="2 liver abscesses"/>
    <m/>
    <m/>
    <m/>
    <n v="2"/>
    <n v="0.04"/>
    <n v="537"/>
  </r>
  <r>
    <x v="402"/>
    <x v="1"/>
    <m/>
    <x v="1"/>
    <n v="25"/>
    <n v="25"/>
    <n v="0"/>
    <m/>
    <n v="1057"/>
    <n v="1045"/>
    <n v="12"/>
    <x v="396"/>
    <m/>
    <n v="42.28"/>
    <n v="41.8"/>
    <n v="0.48"/>
    <n v="24.475999999999999"/>
    <n v="0"/>
    <n v="25"/>
    <n v="0"/>
    <n v="49.44"/>
    <n v="10"/>
    <n v="8.5"/>
    <n v="1.1352885525070956E-2"/>
    <n v="0.99439999999999995"/>
    <n v="0.5789025543992431"/>
    <n v="0.9294"/>
    <s v="2 livers"/>
    <m/>
    <m/>
    <m/>
    <m/>
    <m/>
    <m/>
    <n v="0"/>
    <n v="2"/>
  </r>
  <r>
    <x v="402"/>
    <x v="0"/>
    <m/>
    <x v="14"/>
    <n v="30"/>
    <n v="29"/>
    <n v="1"/>
    <s v="1 c. bovis in the heart"/>
    <n v="12853"/>
    <n v="12380"/>
    <n v="473"/>
    <x v="397"/>
    <m/>
    <n v="443.20689655172413"/>
    <n v="426.89655172413791"/>
    <n v="16.310344827586206"/>
    <n v="267.86206896551727"/>
    <n v="0"/>
    <n v="25"/>
    <n v="0"/>
    <n v="49.52"/>
    <n v="10"/>
    <n v="8.5"/>
    <n v="3.6800746907336805E-2"/>
    <n v="0.99520000000000008"/>
    <n v="0.60437252003423325"/>
    <n v="0.93020000000000014"/>
    <s v="1 liver + 2 kidneys"/>
    <m/>
    <m/>
    <m/>
    <m/>
    <m/>
    <n v="14"/>
    <n v="0.46666666666666667"/>
    <n v="474"/>
  </r>
  <r>
    <x v="403"/>
    <x v="0"/>
    <m/>
    <x v="5"/>
    <n v="48"/>
    <n v="47"/>
    <n v="1"/>
    <s v="1 c. bovis in the heart"/>
    <n v="19895"/>
    <n v="18728"/>
    <n v="1167"/>
    <x v="398"/>
    <m/>
    <n v="423.29787234042556"/>
    <n v="398.468085106383"/>
    <n v="24.829787234042552"/>
    <n v="258.28723404255317"/>
    <n v="0"/>
    <n v="25"/>
    <n v="0"/>
    <n v="49.45"/>
    <n v="10"/>
    <n v="8.5"/>
    <n v="5.8657954259864281E-2"/>
    <n v="0.99450000000000005"/>
    <n v="0.61017843679316408"/>
    <n v="0.92949999999999999"/>
    <s v="3 liver + 1 single testicle"/>
    <m/>
    <m/>
    <m/>
    <m/>
    <m/>
    <n v="3"/>
    <n v="6.25E-2"/>
    <n v="424"/>
  </r>
  <r>
    <x v="404"/>
    <x v="0"/>
    <m/>
    <x v="0"/>
    <n v="42"/>
    <n v="38"/>
    <n v="4"/>
    <s v="1 bull older than 3 years + 3 carcasses c. bovis"/>
    <n v="17995"/>
    <n v="17050"/>
    <n v="945"/>
    <x v="399"/>
    <m/>
    <n v="473.55263157894734"/>
    <n v="448.68421052631578"/>
    <n v="24.868421052631579"/>
    <n v="284.12368421052633"/>
    <n v="0"/>
    <n v="25"/>
    <n v="0"/>
    <n v="49.74"/>
    <n v="10"/>
    <n v="8.5"/>
    <n v="5.251458738538483E-2"/>
    <n v="0.99740000000000006"/>
    <n v="0.59998332870241733"/>
    <n v="0.93240000000000012"/>
    <s v="7 legs"/>
    <m/>
    <s v="bruises and abscesses in 2 carcasses"/>
    <m/>
    <m/>
    <m/>
    <n v="13"/>
    <n v="0.30952380952380953"/>
    <n v="1917"/>
  </r>
  <r>
    <x v="405"/>
    <x v="0"/>
    <m/>
    <x v="0"/>
    <n v="44"/>
    <n v="43"/>
    <n v="1"/>
    <s v="1 c. bovis in the heart"/>
    <n v="20682"/>
    <n v="19381"/>
    <n v="1301"/>
    <x v="400"/>
    <m/>
    <n v="480.97674418604652"/>
    <n v="450.72093023255815"/>
    <n v="30.255813953488371"/>
    <n v="288.63255813953492"/>
    <n v="0"/>
    <n v="25"/>
    <n v="0"/>
    <n v="49.84"/>
    <n v="10"/>
    <n v="8.5"/>
    <n v="6.2904941495019823E-2"/>
    <n v="0.99839999999999995"/>
    <n v="0.60009670244657198"/>
    <n v="0.93340000000000001"/>
    <s v="1 liver "/>
    <m/>
    <m/>
    <m/>
    <m/>
    <m/>
    <n v="3"/>
    <n v="6.8181818181818177E-2"/>
    <n v="486"/>
  </r>
  <r>
    <x v="405"/>
    <x v="0"/>
    <m/>
    <x v="7"/>
    <n v="7"/>
    <n v="7"/>
    <n v="0"/>
    <m/>
    <n v="3060"/>
    <n v="2875"/>
    <n v="185"/>
    <x v="401"/>
    <m/>
    <n v="437.14285714285717"/>
    <n v="410.71428571428572"/>
    <n v="26.428571428571427"/>
    <n v="272.74285714285713"/>
    <n v="0"/>
    <n v="25"/>
    <n v="0"/>
    <n v="50"/>
    <n v="10"/>
    <n v="8.5"/>
    <n v="6.0457516339869274E-2"/>
    <n v="1"/>
    <n v="0.62392156862745096"/>
    <n v="0.93500000000000005"/>
    <m/>
    <m/>
    <m/>
    <m/>
    <m/>
    <m/>
    <m/>
    <n v="0"/>
    <n v="0"/>
  </r>
  <r>
    <x v="406"/>
    <x v="1"/>
    <m/>
    <x v="1"/>
    <n v="27"/>
    <n v="27"/>
    <n v="0"/>
    <m/>
    <n v="1348"/>
    <n v="1310"/>
    <n v="38"/>
    <x v="402"/>
    <m/>
    <n v="49.925925925925924"/>
    <n v="48.518518518518519"/>
    <n v="1.4074074074074074"/>
    <n v="28.788888888888888"/>
    <n v="0"/>
    <n v="25"/>
    <n v="0"/>
    <n v="49.74"/>
    <n v="10"/>
    <n v="8.5"/>
    <n v="2.8189910979228489E-2"/>
    <n v="0.99740000000000006"/>
    <n v="0.57663204747774477"/>
    <n v="0.93240000000000012"/>
    <s v="1 heart"/>
    <m/>
    <s v="3 liver abscesses"/>
    <m/>
    <m/>
    <m/>
    <m/>
    <n v="0"/>
    <n v="1"/>
  </r>
  <r>
    <x v="406"/>
    <x v="0"/>
    <m/>
    <x v="14"/>
    <n v="33"/>
    <n v="32"/>
    <n v="1"/>
    <s v="1 c. bovis in the heart"/>
    <n v="14098"/>
    <n v="13552"/>
    <n v="546"/>
    <x v="403"/>
    <m/>
    <n v="440.5625"/>
    <n v="423.5"/>
    <n v="17.0625"/>
    <n v="273.88749999999999"/>
    <n v="0"/>
    <n v="25"/>
    <n v="0"/>
    <n v="49.06"/>
    <n v="10"/>
    <n v="8.5"/>
    <n v="3.8728897715988087E-2"/>
    <n v="0.99060000000000004"/>
    <n v="0.62167683359341752"/>
    <n v="0.92559999999999998"/>
    <m/>
    <m/>
    <m/>
    <m/>
    <m/>
    <n v="6"/>
    <m/>
    <n v="0"/>
    <n v="435"/>
  </r>
  <r>
    <x v="407"/>
    <x v="0"/>
    <m/>
    <x v="5"/>
    <n v="50"/>
    <n v="46"/>
    <n v="4"/>
    <s v="4 c. bovis in the heart"/>
    <n v="20036"/>
    <n v="18691"/>
    <n v="1345"/>
    <x v="404"/>
    <m/>
    <n v="435.56521739130437"/>
    <n v="406.32608695652175"/>
    <n v="29.239130434782609"/>
    <n v="270.17608695652177"/>
    <n v="0"/>
    <n v="25"/>
    <n v="0"/>
    <n v="49.7"/>
    <n v="10"/>
    <n v="8.5"/>
    <n v="6.7129167498502687E-2"/>
    <n v="0.99700000000000011"/>
    <n v="0.62028848073467757"/>
    <n v="0.93200000000000005"/>
    <s v="2 livers"/>
    <m/>
    <m/>
    <m/>
    <m/>
    <m/>
    <n v="4"/>
    <n v="0.08"/>
    <n v="1673"/>
  </r>
  <r>
    <x v="408"/>
    <x v="0"/>
    <m/>
    <x v="0"/>
    <n v="48"/>
    <n v="48"/>
    <n v="0"/>
    <m/>
    <n v="22754"/>
    <n v="21200"/>
    <n v="1554"/>
    <x v="405"/>
    <m/>
    <n v="474.04166666666669"/>
    <n v="441.66666666666669"/>
    <n v="32.375"/>
    <n v="284.41041666666666"/>
    <n v="0"/>
    <n v="25"/>
    <n v="0"/>
    <n v="49.81"/>
    <n v="10"/>
    <n v="8.5"/>
    <n v="6.8295684275292257E-2"/>
    <n v="0.99809999999999999"/>
    <n v="0.59996923617825437"/>
    <n v="0.93310000000000004"/>
    <s v="1 liver"/>
    <m/>
    <s v="1 liver cirrhosis"/>
    <m/>
    <m/>
    <m/>
    <n v="12"/>
    <n v="0.25"/>
    <n v="10"/>
  </r>
  <r>
    <x v="409"/>
    <x v="0"/>
    <m/>
    <x v="0"/>
    <n v="48"/>
    <n v="48"/>
    <n v="0"/>
    <m/>
    <n v="22068"/>
    <n v="20630"/>
    <n v="1438"/>
    <x v="406"/>
    <m/>
    <n v="459.75"/>
    <n v="429.79166666666669"/>
    <n v="29.958333333333332"/>
    <n v="279.86875000000003"/>
    <n v="0"/>
    <n v="25"/>
    <n v="0"/>
    <n v="49.73"/>
    <n v="10"/>
    <n v="8.5"/>
    <n v="6.5162225847380822E-2"/>
    <n v="0.99729999999999996"/>
    <n v="0.6087411636759108"/>
    <n v="0.93229999999999991"/>
    <s v="1 liver"/>
    <m/>
    <s v="3 livers "/>
    <m/>
    <m/>
    <m/>
    <n v="6"/>
    <n v="0.125"/>
    <n v="11"/>
  </r>
  <r>
    <x v="410"/>
    <x v="1"/>
    <m/>
    <x v="1"/>
    <n v="27"/>
    <n v="27"/>
    <n v="0"/>
    <m/>
    <n v="1294"/>
    <n v="1260"/>
    <n v="34"/>
    <x v="407"/>
    <m/>
    <n v="47.925925925925924"/>
    <n v="46.666666666666664"/>
    <n v="1.2592592592592593"/>
    <n v="27.766666666666669"/>
    <n v="0"/>
    <n v="25"/>
    <n v="0"/>
    <n v="49.52"/>
    <n v="10"/>
    <n v="8.5"/>
    <n v="2.6275115919629059E-2"/>
    <n v="0.99520000000000008"/>
    <n v="0.5793663060278208"/>
    <n v="0.93020000000000014"/>
    <s v="1 liver"/>
    <m/>
    <s v="3 livers"/>
    <m/>
    <m/>
    <m/>
    <m/>
    <n v="0"/>
    <n v="0.5"/>
  </r>
  <r>
    <x v="410"/>
    <x v="0"/>
    <m/>
    <x v="14"/>
    <n v="30"/>
    <n v="30"/>
    <n v="0"/>
    <m/>
    <n v="13870"/>
    <n v="13495"/>
    <n v="375"/>
    <x v="408"/>
    <m/>
    <n v="462.33333333333331"/>
    <n v="449.83333333333331"/>
    <n v="12.5"/>
    <n v="278.67"/>
    <n v="0"/>
    <n v="25"/>
    <n v="0"/>
    <n v="48.93"/>
    <n v="10"/>
    <n v="8.5"/>
    <n v="2.7036770007209807E-2"/>
    <n v="0.98930000000000007"/>
    <n v="0.60274693583273253"/>
    <n v="0.92430000000000012"/>
    <s v="2 kidneys"/>
    <m/>
    <m/>
    <m/>
    <m/>
    <n v="5"/>
    <n v="8"/>
    <n v="0.26666666666666666"/>
    <n v="2.5"/>
  </r>
  <r>
    <x v="411"/>
    <x v="0"/>
    <m/>
    <x v="5"/>
    <n v="45"/>
    <n v="42"/>
    <n v="3"/>
    <s v="3 c. bovis in the heart"/>
    <n v="18141"/>
    <n v="17136"/>
    <n v="1005"/>
    <x v="409"/>
    <m/>
    <n v="431.92857142857144"/>
    <n v="408"/>
    <n v="23.928571428571427"/>
    <n v="266.95952380952377"/>
    <n v="0"/>
    <n v="25"/>
    <n v="0"/>
    <n v="49.74"/>
    <n v="10"/>
    <n v="8.5"/>
    <n v="5.5399371589217788E-2"/>
    <n v="0.99740000000000006"/>
    <n v="0.61806405380078266"/>
    <n v="0.93240000000000012"/>
    <s v="1 liver"/>
    <m/>
    <s v="2 livers"/>
    <m/>
    <m/>
    <m/>
    <n v="8"/>
    <n v="0.17777777777777778"/>
    <n v="1243"/>
  </r>
  <r>
    <x v="412"/>
    <x v="0"/>
    <m/>
    <x v="0"/>
    <n v="36"/>
    <n v="36"/>
    <n v="0"/>
    <m/>
    <n v="17256"/>
    <n v="16450"/>
    <n v="806"/>
    <x v="410"/>
    <m/>
    <n v="479.33333333333331"/>
    <n v="456.94444444444446"/>
    <n v="22.388888888888889"/>
    <n v="292.65555555555557"/>
    <n v="0"/>
    <n v="25"/>
    <n v="0"/>
    <n v="49.81"/>
    <n v="10"/>
    <n v="8.5"/>
    <n v="4.6708391284191006E-2"/>
    <n v="0.99809999999999999"/>
    <n v="0.61054705609643023"/>
    <n v="0.93310000000000004"/>
    <s v="2 kidneys"/>
    <m/>
    <m/>
    <m/>
    <m/>
    <m/>
    <n v="13"/>
    <n v="0.3611111111111111"/>
    <n v="1.5"/>
  </r>
  <r>
    <x v="413"/>
    <x v="0"/>
    <m/>
    <x v="0"/>
    <n v="45"/>
    <n v="45"/>
    <n v="0"/>
    <m/>
    <n v="21640"/>
    <n v="20540"/>
    <n v="1100"/>
    <x v="411"/>
    <m/>
    <n v="480.88888888888891"/>
    <n v="456.44444444444446"/>
    <n v="24.444444444444443"/>
    <n v="289.82222222222219"/>
    <n v="0"/>
    <n v="25"/>
    <n v="0"/>
    <n v="48.93"/>
    <n v="10"/>
    <n v="8.5"/>
    <n v="5.0831792975970416E-2"/>
    <n v="0.98930000000000007"/>
    <n v="0.6026802218114603"/>
    <n v="0.92430000000000012"/>
    <s v="1 liver + 4 kidneys"/>
    <m/>
    <s v="1 liver abscess"/>
    <m/>
    <m/>
    <n v="5"/>
    <n v="25"/>
    <n v="0.55555555555555558"/>
    <n v="11"/>
  </r>
  <r>
    <x v="414"/>
    <x v="1"/>
    <m/>
    <x v="1"/>
    <n v="27"/>
    <n v="27"/>
    <n v="0"/>
    <m/>
    <n v="1398"/>
    <n v="1345"/>
    <n v="53"/>
    <x v="412"/>
    <m/>
    <n v="51.777777777777779"/>
    <n v="49.814814814814817"/>
    <n v="1.962962962962963"/>
    <n v="30.444444444444443"/>
    <n v="0"/>
    <n v="25"/>
    <n v="0"/>
    <n v="49.74"/>
    <n v="10"/>
    <n v="8.5"/>
    <n v="3.7911301859799712E-2"/>
    <n v="0.99740000000000006"/>
    <n v="0.58798283261802575"/>
    <n v="0.93240000000000012"/>
    <s v="1 liver"/>
    <m/>
    <m/>
    <m/>
    <m/>
    <m/>
    <m/>
    <n v="0"/>
    <n v="1"/>
  </r>
  <r>
    <x v="414"/>
    <x v="0"/>
    <m/>
    <x v="14"/>
    <n v="30"/>
    <n v="30"/>
    <n v="0"/>
    <m/>
    <n v="14115"/>
    <n v="13780"/>
    <n v="335"/>
    <x v="413"/>
    <m/>
    <n v="470.5"/>
    <n v="459.33333333333331"/>
    <n v="11.166666666666666"/>
    <n v="282.79666666666668"/>
    <n v="0"/>
    <n v="25"/>
    <n v="0"/>
    <n v="50"/>
    <n v="10"/>
    <n v="8.5"/>
    <n v="2.3733616719801627E-2"/>
    <n v="1"/>
    <n v="0.60105561459440304"/>
    <n v="0.93500000000000005"/>
    <m/>
    <m/>
    <m/>
    <m/>
    <m/>
    <m/>
    <n v="15"/>
    <n v="0.5"/>
    <n v="0"/>
  </r>
  <r>
    <x v="415"/>
    <x v="0"/>
    <m/>
    <x v="5"/>
    <n v="45"/>
    <n v="45"/>
    <n v="0"/>
    <m/>
    <n v="20216"/>
    <n v="19170"/>
    <n v="1046"/>
    <x v="414"/>
    <m/>
    <n v="449.24444444444447"/>
    <n v="426"/>
    <n v="23.244444444444444"/>
    <n v="280.02"/>
    <n v="0"/>
    <n v="25"/>
    <n v="0"/>
    <n v="49.8"/>
    <n v="10"/>
    <n v="8.5"/>
    <n v="5.1741195092995643E-2"/>
    <n v="0.998"/>
    <n v="0.6233132172536604"/>
    <n v="0.93299999999999994"/>
    <s v="1 liver"/>
    <m/>
    <s v="1 liver"/>
    <m/>
    <m/>
    <m/>
    <n v="6"/>
    <n v="0.13333333333333333"/>
    <n v="11"/>
  </r>
  <r>
    <x v="416"/>
    <x v="0"/>
    <m/>
    <x v="0"/>
    <n v="38"/>
    <n v="37"/>
    <n v="1"/>
    <s v="1 bulls not conform (older than 3 years)"/>
    <n v="17817"/>
    <n v="16532"/>
    <n v="1285"/>
    <x v="415"/>
    <m/>
    <n v="481.54054054054052"/>
    <n v="446.81081081081084"/>
    <n v="34.729729729729726"/>
    <n v="294.01351351351349"/>
    <n v="0"/>
    <n v="25"/>
    <n v="0"/>
    <n v="49.13"/>
    <n v="9.9"/>
    <n v="8.5"/>
    <n v="7.2122130549475222E-2"/>
    <n v="0.99130000000000007"/>
    <n v="0.61056855811865074"/>
    <n v="0.92530000000000001"/>
    <s v="3 livers"/>
    <m/>
    <s v="1 liver"/>
    <m/>
    <m/>
    <n v="3"/>
    <n v="7"/>
    <n v="0.18421052631578946"/>
    <n v="516"/>
  </r>
  <r>
    <x v="417"/>
    <x v="0"/>
    <m/>
    <x v="0"/>
    <n v="36"/>
    <n v="35"/>
    <n v="1"/>
    <s v="1 c. bovis in the heart"/>
    <n v="16925"/>
    <n v="16260"/>
    <n v="665"/>
    <x v="416"/>
    <m/>
    <n v="483.57142857142856"/>
    <n v="464.57142857142856"/>
    <n v="19"/>
    <n v="295.08"/>
    <n v="0"/>
    <n v="25"/>
    <n v="0"/>
    <n v="49.4"/>
    <n v="10"/>
    <n v="8.5"/>
    <n v="3.9290989660265882E-2"/>
    <n v="0.99399999999999999"/>
    <n v="0.61020974889217128"/>
    <n v="0.92900000000000005"/>
    <m/>
    <m/>
    <s v="1 liver"/>
    <m/>
    <m/>
    <n v="3"/>
    <n v="11"/>
    <n v="0.30555555555555558"/>
    <n v="488"/>
  </r>
  <r>
    <x v="418"/>
    <x v="1"/>
    <m/>
    <x v="1"/>
    <n v="25"/>
    <n v="25"/>
    <n v="0"/>
    <m/>
    <n v="1259"/>
    <n v="1230"/>
    <n v="29"/>
    <x v="417"/>
    <m/>
    <n v="50.36"/>
    <n v="49.2"/>
    <n v="1.1599999999999999"/>
    <n v="29.544"/>
    <n v="0"/>
    <n v="25"/>
    <n v="0"/>
    <n v="49.76"/>
    <n v="10"/>
    <n v="8.5"/>
    <n v="2.3034154090548053E-2"/>
    <n v="0.99760000000000004"/>
    <n v="0.58665607625099292"/>
    <n v="0.93259999999999987"/>
    <m/>
    <m/>
    <s v="3 liver abscesses"/>
    <m/>
    <m/>
    <m/>
    <m/>
    <n v="0"/>
    <n v="0"/>
  </r>
  <r>
    <x v="418"/>
    <x v="0"/>
    <m/>
    <x v="14"/>
    <n v="32"/>
    <n v="31"/>
    <n v="1"/>
    <s v="1 bulls not conform (older than 3 years)"/>
    <n v="14513"/>
    <n v="14105"/>
    <n v="408"/>
    <x v="418"/>
    <m/>
    <n v="468.16129032258067"/>
    <n v="455"/>
    <n v="13.161290322580646"/>
    <n v="280.90322580645159"/>
    <n v="0"/>
    <n v="25"/>
    <n v="0"/>
    <n v="49.35"/>
    <n v="10"/>
    <n v="8.5"/>
    <n v="2.8112726521050093E-2"/>
    <n v="0.99350000000000005"/>
    <n v="0.60001378074829459"/>
    <n v="0.92849999999999999"/>
    <m/>
    <m/>
    <m/>
    <m/>
    <m/>
    <n v="1"/>
    <n v="10"/>
    <n v="0.3125"/>
    <n v="490"/>
  </r>
  <r>
    <x v="419"/>
    <x v="0"/>
    <m/>
    <x v="14"/>
    <n v="42"/>
    <n v="39"/>
    <n v="3"/>
    <s v="2 bulls older than 3 years + 1 carcasses c. bovis in the heart"/>
    <n v="17866"/>
    <n v="17263"/>
    <n v="603"/>
    <x v="419"/>
    <m/>
    <n v="458.10256410256409"/>
    <n v="442.64102564102564"/>
    <n v="15.461538461538462"/>
    <n v="275.26410256410253"/>
    <n v="0"/>
    <n v="25"/>
    <n v="0"/>
    <n v="49.64"/>
    <n v="10"/>
    <n v="8.5"/>
    <n v="3.3751259375349826E-2"/>
    <n v="0.99639999999999995"/>
    <n v="0.60087876413299002"/>
    <n v="0.93140000000000001"/>
    <m/>
    <m/>
    <m/>
    <m/>
    <m/>
    <m/>
    <n v="14"/>
    <n v="0.33333333333333331"/>
    <n v="1433"/>
  </r>
  <r>
    <x v="420"/>
    <x v="0"/>
    <m/>
    <x v="0"/>
    <n v="34"/>
    <n v="33"/>
    <n v="1"/>
    <s v="1 bulls not conform (older than 3 years)"/>
    <n v="15925"/>
    <n v="14935"/>
    <n v="990"/>
    <x v="420"/>
    <m/>
    <n v="482.57575757575756"/>
    <n v="452.57575757575756"/>
    <n v="30"/>
    <n v="291.12727272727273"/>
    <n v="0"/>
    <n v="25"/>
    <n v="0"/>
    <n v="49.58"/>
    <n v="10"/>
    <n v="8.5"/>
    <n v="6.216640502354788E-2"/>
    <n v="0.99580000000000002"/>
    <n v="0.60327786499215075"/>
    <n v="0.93079999999999996"/>
    <s v="1 liver + 2 kidneys"/>
    <m/>
    <m/>
    <m/>
    <m/>
    <m/>
    <n v="8"/>
    <n v="0.23529411764705882"/>
    <n v="488"/>
  </r>
  <r>
    <x v="421"/>
    <x v="0"/>
    <m/>
    <x v="0"/>
    <n v="44"/>
    <n v="41"/>
    <n v="3"/>
    <s v="3 c. bovis in the heart"/>
    <n v="17796"/>
    <n v="17015"/>
    <n v="781"/>
    <x v="421"/>
    <m/>
    <n v="434.04878048780489"/>
    <n v="415"/>
    <n v="19.048780487804876"/>
    <n v="260.42195121951215"/>
    <n v="0"/>
    <n v="25"/>
    <n v="0"/>
    <n v="49.71"/>
    <n v="10"/>
    <n v="8.5"/>
    <n v="4.3886266576758814E-2"/>
    <n v="0.99709999999999999"/>
    <n v="0.59998314227916383"/>
    <n v="0.93210000000000004"/>
    <s v="2 kidneys"/>
    <m/>
    <s v="1 liver"/>
    <m/>
    <m/>
    <m/>
    <n v="10"/>
    <n v="0.22727272727272727"/>
    <n v="1291"/>
  </r>
  <r>
    <x v="422"/>
    <x v="1"/>
    <m/>
    <x v="1"/>
    <n v="24"/>
    <n v="24"/>
    <n v="0"/>
    <m/>
    <n v="1313"/>
    <n v="1265"/>
    <n v="48"/>
    <x v="422"/>
    <m/>
    <n v="54.708333333333336"/>
    <n v="52.708333333333336"/>
    <n v="2"/>
    <n v="32.19166666666667"/>
    <n v="0"/>
    <n v="25"/>
    <n v="0"/>
    <n v="49.92"/>
    <n v="10"/>
    <n v="8.5"/>
    <n v="3.6557501904036553E-2"/>
    <n v="0.99920000000000009"/>
    <n v="0.5884234577303884"/>
    <n v="0.93420000000000003"/>
    <m/>
    <m/>
    <s v="1 small liver abscess"/>
    <m/>
    <m/>
    <m/>
    <m/>
    <n v="0"/>
    <n v="0"/>
  </r>
  <r>
    <x v="422"/>
    <x v="0"/>
    <m/>
    <x v="14"/>
    <n v="36"/>
    <n v="34"/>
    <n v="2"/>
    <s v="1 c. bovis in the heart + 1 carcass TB"/>
    <n v="15490"/>
    <n v="15267"/>
    <n v="223"/>
    <x v="423"/>
    <m/>
    <n v="455.58823529411762"/>
    <n v="449.02941176470586"/>
    <n v="6.5588235294117645"/>
    <n v="273.33529411764704"/>
    <n v="0"/>
    <n v="25"/>
    <n v="0"/>
    <n v="49.29"/>
    <n v="9.9"/>
    <n v="8.5"/>
    <n v="1.4396384764364107E-2"/>
    <n v="0.9929"/>
    <n v="0.59996126533247252"/>
    <n v="0.92689999999999995"/>
    <s v="1 forequarter + 2 livers"/>
    <m/>
    <m/>
    <m/>
    <m/>
    <n v="1"/>
    <n v="10"/>
    <n v="0.27777777777777779"/>
    <n v="998.6"/>
  </r>
  <r>
    <x v="423"/>
    <x v="0"/>
    <m/>
    <x v="14"/>
    <n v="46"/>
    <n v="46"/>
    <n v="0"/>
    <m/>
    <n v="21666"/>
    <n v="20945"/>
    <n v="721"/>
    <x v="424"/>
    <m/>
    <n v="471"/>
    <n v="455.32608695652175"/>
    <n v="15.673913043478262"/>
    <n v="282.58478260869566"/>
    <n v="0"/>
    <n v="25"/>
    <n v="0"/>
    <n v="49.57"/>
    <n v="9.6999999999999993"/>
    <n v="8.5"/>
    <n v="3.3277947013754271E-2"/>
    <n v="0.99570000000000003"/>
    <n v="0.59996769131357885"/>
    <n v="0.92769999999999997"/>
    <s v="1 forequarter + 4 kidneys"/>
    <m/>
    <m/>
    <m/>
    <m/>
    <m/>
    <n v="6"/>
    <n v="0.13043478260869565"/>
    <n v="56.3"/>
  </r>
  <r>
    <x v="424"/>
    <x v="0"/>
    <m/>
    <x v="7"/>
    <n v="8"/>
    <n v="7"/>
    <n v="1"/>
    <s v="1 c. bovis in the heart"/>
    <n v="2945"/>
    <n v="2740"/>
    <n v="205"/>
    <x v="425"/>
    <m/>
    <n v="420.71428571428572"/>
    <n v="391.42857142857144"/>
    <n v="29.285714285714285"/>
    <n v="240.55714285714288"/>
    <n v="0"/>
    <n v="25"/>
    <n v="0"/>
    <n v="50"/>
    <n v="10"/>
    <n v="8.5"/>
    <n v="6.9609507640067902E-2"/>
    <n v="1"/>
    <n v="0.57178268251273345"/>
    <n v="0.93500000000000005"/>
    <m/>
    <m/>
    <m/>
    <m/>
    <m/>
    <m/>
    <n v="1"/>
    <n v="0.125"/>
    <n v="456"/>
  </r>
  <r>
    <x v="424"/>
    <x v="0"/>
    <m/>
    <x v="5"/>
    <n v="33"/>
    <n v="32"/>
    <n v="1"/>
    <s v="1 c. bovis in the heart"/>
    <n v="14204"/>
    <n v="13624"/>
    <n v="580"/>
    <x v="426"/>
    <m/>
    <n v="443.875"/>
    <n v="425.75"/>
    <n v="18.125"/>
    <n v="272.66250000000002"/>
    <n v="0"/>
    <n v="25"/>
    <n v="0"/>
    <n v="50"/>
    <n v="10"/>
    <n v="8.5"/>
    <n v="4.0833568009011549E-2"/>
    <n v="1"/>
    <n v="0.61427766826246133"/>
    <n v="0.93500000000000005"/>
    <m/>
    <m/>
    <m/>
    <m/>
    <m/>
    <m/>
    <n v="4"/>
    <n v="0.12121212121212122"/>
    <n v="406"/>
  </r>
  <r>
    <x v="425"/>
    <x v="0"/>
    <m/>
    <x v="0"/>
    <n v="50"/>
    <n v="47"/>
    <n v="3"/>
    <s v="3 c. bovis in the heart"/>
    <n v="22722"/>
    <n v="21657"/>
    <n v="1065"/>
    <x v="427"/>
    <m/>
    <n v="483.44680851063828"/>
    <n v="460.78723404255317"/>
    <n v="22.659574468085108"/>
    <n v="290.07021276595742"/>
    <n v="0"/>
    <n v="25"/>
    <n v="0"/>
    <n v="49.74"/>
    <n v="10"/>
    <n v="8.5"/>
    <n v="4.6870874042777927E-2"/>
    <n v="0.99740000000000006"/>
    <n v="0.6000044010210368"/>
    <n v="0.93240000000000012"/>
    <s v="1 liver"/>
    <m/>
    <s v="3 liver"/>
    <m/>
    <m/>
    <m/>
    <n v="16"/>
    <n v="0.32"/>
    <n v="1466"/>
  </r>
  <r>
    <x v="426"/>
    <x v="0"/>
    <m/>
    <x v="14"/>
    <n v="37"/>
    <n v="35"/>
    <n v="2"/>
    <s v="1 c. bovis in the heart + 1 bulls not conform (older than 3 years)"/>
    <n v="15681"/>
    <n v="15330"/>
    <n v="351"/>
    <x v="428"/>
    <m/>
    <n v="448.02857142857141"/>
    <n v="438"/>
    <n v="10.028571428571428"/>
    <n v="268.95714285714286"/>
    <n v="0"/>
    <n v="25"/>
    <n v="0"/>
    <n v="49.89"/>
    <n v="9.9"/>
    <n v="8.5"/>
    <n v="2.2383776544863211E-2"/>
    <n v="0.99890000000000001"/>
    <n v="0.60031248007142402"/>
    <n v="0.93290000000000006"/>
    <m/>
    <m/>
    <s v="2 livers"/>
    <m/>
    <m/>
    <m/>
    <n v="12"/>
    <n v="0.32432432432432434"/>
    <n v="910"/>
  </r>
  <r>
    <x v="426"/>
    <x v="1"/>
    <m/>
    <x v="1"/>
    <n v="23"/>
    <n v="23"/>
    <n v="0"/>
    <m/>
    <n v="1268"/>
    <n v="1240"/>
    <n v="28"/>
    <x v="429"/>
    <m/>
    <n v="55.130434782608695"/>
    <n v="53.913043478260867"/>
    <n v="1.2173913043478262"/>
    <n v="34.308695652173917"/>
    <n v="0"/>
    <n v="25"/>
    <n v="0"/>
    <n v="47.85"/>
    <n v="10"/>
    <n v="8.5"/>
    <n v="2.2082018927444796E-2"/>
    <n v="0.97850000000000004"/>
    <n v="0.6223186119873817"/>
    <n v="0.91349999999999998"/>
    <s v="2 livers"/>
    <m/>
    <s v="3 livers"/>
    <m/>
    <m/>
    <m/>
    <m/>
    <n v="0"/>
    <n v="3"/>
  </r>
  <r>
    <x v="427"/>
    <x v="0"/>
    <m/>
    <x v="0"/>
    <n v="45"/>
    <n v="41"/>
    <n v="4"/>
    <s v="4 c. bovis in the heart"/>
    <n v="19305"/>
    <n v="17980"/>
    <n v="1325"/>
    <x v="430"/>
    <m/>
    <n v="470.85365853658539"/>
    <n v="438.53658536585368"/>
    <n v="32.31707317073171"/>
    <n v="285.06829268292682"/>
    <n v="0"/>
    <n v="25"/>
    <n v="0"/>
    <n v="49.85"/>
    <n v="9.9"/>
    <n v="8.5"/>
    <n v="6.8635068635068644E-2"/>
    <n v="0.99849999999999994"/>
    <n v="0.60542864542864538"/>
    <n v="0.9325"/>
    <m/>
    <m/>
    <s v="3 livers"/>
    <m/>
    <m/>
    <m/>
    <n v="13"/>
    <n v="0.28888888888888886"/>
    <n v="1857"/>
  </r>
  <r>
    <x v="428"/>
    <x v="0"/>
    <m/>
    <x v="5"/>
    <n v="40"/>
    <n v="38"/>
    <n v="2"/>
    <s v="2 c. bovis in the heart"/>
    <n v="16402"/>
    <n v="15587"/>
    <n v="815"/>
    <x v="431"/>
    <m/>
    <n v="431.63157894736844"/>
    <n v="410.18421052631578"/>
    <n v="21.44736842105263"/>
    <n v="271.47105263157891"/>
    <n v="0"/>
    <n v="25"/>
    <n v="0"/>
    <n v="49.95"/>
    <n v="10"/>
    <n v="8.5"/>
    <n v="4.9689062309474452E-2"/>
    <n v="0.99950000000000006"/>
    <n v="0.62894159248872084"/>
    <n v="0.9345"/>
    <m/>
    <m/>
    <s v="1 liver"/>
    <m/>
    <m/>
    <m/>
    <n v="4"/>
    <n v="0.1"/>
    <n v="924"/>
  </r>
  <r>
    <x v="429"/>
    <x v="0"/>
    <m/>
    <x v="0"/>
    <n v="46"/>
    <n v="45"/>
    <n v="1"/>
    <s v="1 bulls not conform (older than 3 years)"/>
    <n v="20893"/>
    <n v="19293"/>
    <n v="1600"/>
    <x v="432"/>
    <m/>
    <n v="464.28888888888889"/>
    <n v="428.73333333333335"/>
    <n v="35.555555555555557"/>
    <n v="278.56888888888892"/>
    <n v="0"/>
    <n v="25"/>
    <n v="0"/>
    <n v="49.2"/>
    <n v="10"/>
    <n v="8.5"/>
    <n v="7.6580672952663575E-2"/>
    <n v="0.99199999999999999"/>
    <n v="0.59999042741588093"/>
    <n v="0.92700000000000005"/>
    <s v="1 liver"/>
    <m/>
    <s v="2 livers"/>
    <m/>
    <m/>
    <m/>
    <n v="13"/>
    <n v="0.28260869565217389"/>
    <n v="502"/>
  </r>
  <r>
    <x v="430"/>
    <x v="1"/>
    <m/>
    <x v="1"/>
    <n v="25"/>
    <n v="25"/>
    <n v="0"/>
    <m/>
    <n v="1221"/>
    <n v="1200"/>
    <n v="21"/>
    <x v="433"/>
    <m/>
    <n v="48.84"/>
    <n v="48"/>
    <n v="0.84"/>
    <n v="28.811999999999998"/>
    <n v="0"/>
    <n v="25"/>
    <n v="0"/>
    <n v="48.64"/>
    <n v="10"/>
    <n v="8.5"/>
    <n v="1.7199017199017196E-2"/>
    <n v="0.98639999999999994"/>
    <n v="0.58992628992628993"/>
    <n v="0.9214"/>
    <s v="4 livers"/>
    <m/>
    <s v="3 livers"/>
    <m/>
    <m/>
    <m/>
    <m/>
    <n v="0"/>
    <n v="5"/>
  </r>
  <r>
    <x v="430"/>
    <x v="0"/>
    <m/>
    <x v="14"/>
    <n v="36"/>
    <n v="35"/>
    <n v="1"/>
    <s v="1 c. bovis in the heart"/>
    <n v="17080"/>
    <n v="16490"/>
    <n v="590"/>
    <x v="434"/>
    <m/>
    <n v="488"/>
    <n v="471.14285714285717"/>
    <n v="16.857142857142858"/>
    <n v="292.79428571428571"/>
    <n v="0"/>
    <n v="25"/>
    <n v="0"/>
    <n v="49.51"/>
    <n v="10"/>
    <n v="8.5"/>
    <n v="3.4543325526932088E-2"/>
    <n v="0.99509999999999998"/>
    <n v="0.5999882903981264"/>
    <n v="0.93009999999999993"/>
    <s v="1 forequarter + 1 lung"/>
    <m/>
    <s v="1 injection site plemish"/>
    <m/>
    <m/>
    <m/>
    <n v="21"/>
    <n v="0.58333333333333337"/>
    <n v="533"/>
  </r>
  <r>
    <x v="431"/>
    <x v="0"/>
    <m/>
    <x v="0"/>
    <n v="47"/>
    <n v="43"/>
    <n v="4"/>
    <s v="2 c. bovis in the heart + 1 miliary TB + 1 bulls not conform (older than 3 years)"/>
    <n v="20942"/>
    <n v="19750"/>
    <n v="1192"/>
    <x v="435"/>
    <m/>
    <n v="487.02325581395348"/>
    <n v="459.30232558139534"/>
    <n v="27.720930232558139"/>
    <n v="292.2"/>
    <n v="0"/>
    <n v="22"/>
    <n v="0"/>
    <n v="49.65"/>
    <n v="9.9"/>
    <n v="8.5"/>
    <n v="5.6919109922643492E-2"/>
    <n v="0.9365"/>
    <n v="0.59997134944131414"/>
    <n v="0.90050000000000008"/>
    <s v="1 heart"/>
    <m/>
    <s v="4 livers"/>
    <m/>
    <m/>
    <m/>
    <n v="17"/>
    <n v="0.36170212765957449"/>
    <n v="1958"/>
  </r>
  <r>
    <x v="432"/>
    <x v="0"/>
    <m/>
    <x v="5"/>
    <n v="33"/>
    <n v="30"/>
    <n v="3"/>
    <s v="3 c. bovis in the heart"/>
    <n v="13072"/>
    <n v="12550"/>
    <n v="522"/>
    <x v="436"/>
    <m/>
    <n v="435.73333333333335"/>
    <n v="418.33333333333331"/>
    <n v="17.399999999999999"/>
    <n v="276.09333333333331"/>
    <n v="0"/>
    <n v="25"/>
    <n v="0"/>
    <n v="49.82"/>
    <n v="10"/>
    <n v="8.5"/>
    <n v="3.9932680538555684E-2"/>
    <n v="0.99819999999999998"/>
    <n v="0.63362913096695217"/>
    <n v="0.93319999999999992"/>
    <m/>
    <m/>
    <s v="3 livers"/>
    <m/>
    <m/>
    <m/>
    <n v="5"/>
    <n v="0.15151515151515152"/>
    <n v="1353"/>
  </r>
  <r>
    <x v="433"/>
    <x v="0"/>
    <m/>
    <x v="0"/>
    <n v="38"/>
    <n v="35"/>
    <n v="3"/>
    <s v="2 bulls not conform (older than 3 years) + 1 c. bovis in the heart"/>
    <n v="17063"/>
    <n v="15784"/>
    <n v="1279"/>
    <x v="437"/>
    <m/>
    <n v="487.51428571428573"/>
    <n v="450.97142857142859"/>
    <n v="36.542857142857144"/>
    <n v="292.52000000000004"/>
    <n v="0"/>
    <n v="20"/>
    <n v="0"/>
    <n v="43.54"/>
    <n v="10"/>
    <n v="8.5"/>
    <n v="7.4957510402625563E-2"/>
    <n v="0.83540000000000003"/>
    <n v="0.60002344253648254"/>
    <n v="0.82039999999999991"/>
    <s v="5 livers + 1 lung"/>
    <n v="3"/>
    <m/>
    <m/>
    <m/>
    <m/>
    <n v="14"/>
    <n v="0.36842105263157893"/>
    <n v="1561"/>
  </r>
  <r>
    <x v="434"/>
    <x v="0"/>
    <m/>
    <x v="14"/>
    <n v="26"/>
    <n v="26"/>
    <n v="0"/>
    <m/>
    <n v="12030"/>
    <n v="11440"/>
    <n v="590"/>
    <x v="438"/>
    <m/>
    <n v="462.69230769230768"/>
    <n v="440"/>
    <n v="22.692307692307693"/>
    <n v="279.6307692307692"/>
    <n v="0"/>
    <n v="25"/>
    <n v="0"/>
    <n v="49.65"/>
    <n v="9.8000000000000007"/>
    <n v="8.5"/>
    <n v="4.9044056525353284E-2"/>
    <n v="0.99649999999999994"/>
    <n v="0.60435577722360767"/>
    <n v="0.92949999999999999"/>
    <s v="1 liver"/>
    <m/>
    <s v="1 liver"/>
    <m/>
    <m/>
    <m/>
    <n v="7"/>
    <n v="0.26923076923076922"/>
    <n v="9"/>
  </r>
  <r>
    <x v="435"/>
    <x v="0"/>
    <m/>
    <x v="0"/>
    <n v="45"/>
    <n v="36"/>
    <n v="9"/>
    <s v="8 c. bovis in the heart + 1 bulls not conform (older than 3 years)"/>
    <n v="17661"/>
    <n v="16031"/>
    <n v="1630"/>
    <x v="439"/>
    <m/>
    <n v="490.58333333333331"/>
    <n v="445.30555555555554"/>
    <n v="45.277777777777779"/>
    <n v="297.75555555555559"/>
    <n v="0"/>
    <n v="25"/>
    <n v="0"/>
    <n v="49.19"/>
    <n v="10"/>
    <n v="8.5"/>
    <n v="9.2293754600532255E-2"/>
    <n v="0.9919"/>
    <n v="0.60694184927240813"/>
    <n v="0.92689999999999995"/>
    <s v="1 liver + 1 lung + 2 heads"/>
    <m/>
    <s v="1 liver "/>
    <m/>
    <m/>
    <m/>
    <n v="21"/>
    <n v="0.46666666666666667"/>
    <n v="4407"/>
  </r>
  <r>
    <x v="436"/>
    <x v="1"/>
    <m/>
    <x v="17"/>
    <n v="15"/>
    <n v="15"/>
    <n v="0"/>
    <m/>
    <n v="733"/>
    <n v="685"/>
    <n v="48"/>
    <x v="440"/>
    <m/>
    <n v="48.866666666666667"/>
    <n v="45.666666666666664"/>
    <n v="3.2"/>
    <n v="26.973333333333336"/>
    <n v="0"/>
    <n v="25"/>
    <n v="0"/>
    <n v="48.6"/>
    <n v="10"/>
    <n v="8.5"/>
    <n v="6.5484311050477487E-2"/>
    <n v="0.98599999999999999"/>
    <n v="0.55197817189631659"/>
    <n v="0.92099999999999993"/>
    <s v="2 livers + 1 head"/>
    <m/>
    <m/>
    <m/>
    <m/>
    <m/>
    <m/>
    <n v="0"/>
    <n v="2.5"/>
  </r>
  <r>
    <x v="436"/>
    <x v="0"/>
    <m/>
    <x v="5"/>
    <n v="42"/>
    <n v="39"/>
    <n v="3"/>
    <s v="3 c. bovis in the heart"/>
    <n v="17292"/>
    <n v="16276"/>
    <n v="1016"/>
    <x v="441"/>
    <m/>
    <n v="443.38461538461536"/>
    <n v="417.33333333333331"/>
    <n v="26.051282051282051"/>
    <n v="274.41538461538465"/>
    <n v="0"/>
    <n v="25"/>
    <n v="0"/>
    <n v="49.44"/>
    <n v="10"/>
    <n v="8.5"/>
    <n v="5.8755493869997691E-2"/>
    <n v="0.99439999999999995"/>
    <n v="0.61891047883414296"/>
    <n v="0.9294"/>
    <s v="1 liver + 1 head"/>
    <m/>
    <s v="5 livers"/>
    <m/>
    <m/>
    <m/>
    <n v="3"/>
    <n v="7.1428571428571425E-2"/>
    <n v="1307"/>
  </r>
  <r>
    <x v="437"/>
    <x v="0"/>
    <m/>
    <x v="0"/>
    <n v="42"/>
    <n v="41"/>
    <n v="1"/>
    <s v="1 bulls not conform (older than 3 years)"/>
    <n v="19237"/>
    <n v="18440"/>
    <n v="797"/>
    <x v="442"/>
    <m/>
    <n v="469.19512195121951"/>
    <n v="449.7560975609756"/>
    <n v="19.439024390243901"/>
    <n v="281.49756097560976"/>
    <n v="0"/>
    <n v="24.9"/>
    <n v="0"/>
    <n v="49.49"/>
    <n v="10"/>
    <n v="8.5"/>
    <n v="4.1430576493216194E-2"/>
    <n v="0.9929"/>
    <n v="0.59995841347403445"/>
    <n v="0.92890000000000006"/>
    <m/>
    <m/>
    <s v="3 livers"/>
    <m/>
    <m/>
    <m/>
    <n v="15"/>
    <n v="0.35714285714285715"/>
    <n v="498"/>
  </r>
  <r>
    <x v="438"/>
    <x v="0"/>
    <m/>
    <x v="14"/>
    <n v="31"/>
    <n v="31"/>
    <n v="0"/>
    <m/>
    <n v="14885"/>
    <n v="14540"/>
    <n v="345"/>
    <x v="443"/>
    <m/>
    <n v="480.16129032258067"/>
    <n v="469.03225806451616"/>
    <n v="11.129032258064516"/>
    <n v="295.93870967741935"/>
    <n v="0"/>
    <n v="25"/>
    <n v="0"/>
    <n v="48.84"/>
    <n v="9.8000000000000007"/>
    <n v="8.5"/>
    <n v="2.3177695666778634E-2"/>
    <n v="0.98840000000000006"/>
    <n v="0.61633187772925768"/>
    <n v="0.9214"/>
    <s v="8 kidneys"/>
    <m/>
    <s v="1 liver + 1 bruise"/>
    <m/>
    <m/>
    <m/>
    <n v="11"/>
    <n v="0.35483870967741937"/>
    <n v="8"/>
  </r>
  <r>
    <x v="439"/>
    <x v="0"/>
    <m/>
    <x v="14"/>
    <n v="47"/>
    <n v="46"/>
    <n v="1"/>
    <s v="1 c. bovis in the heart"/>
    <n v="22290"/>
    <n v="21715"/>
    <n v="575"/>
    <x v="444"/>
    <m/>
    <n v="484.56521739130437"/>
    <n v="472.06521739130437"/>
    <n v="12.5"/>
    <n v="292.58913043478259"/>
    <n v="0"/>
    <n v="25"/>
    <n v="0"/>
    <n v="49.57"/>
    <n v="10"/>
    <n v="8.5"/>
    <n v="2.579632122027815E-2"/>
    <n v="0.99570000000000003"/>
    <n v="0.60381785554060119"/>
    <n v="0.93069999999999997"/>
    <s v="2 forequarter TB "/>
    <m/>
    <m/>
    <m/>
    <m/>
    <m/>
    <n v="19"/>
    <n v="0.40425531914893614"/>
    <n v="622.5"/>
  </r>
  <r>
    <x v="440"/>
    <x v="0"/>
    <m/>
    <x v="9"/>
    <n v="35"/>
    <n v="33"/>
    <n v="2"/>
    <s v="2 bulls not conform (older than 3 years)"/>
    <n v="15361"/>
    <n v="14801"/>
    <n v="560"/>
    <x v="445"/>
    <m/>
    <n v="465.4848484848485"/>
    <n v="448.5151515151515"/>
    <n v="16.969696969696969"/>
    <n v="280.71515151515155"/>
    <n v="0"/>
    <n v="25"/>
    <n v="0"/>
    <n v="48.03"/>
    <n v="9.6999999999999993"/>
    <n v="8.5"/>
    <n v="3.6455959898444107E-2"/>
    <n v="0.98029999999999995"/>
    <n v="0.60305969663433368"/>
    <n v="0.9123"/>
    <s v="5 kidneys"/>
    <m/>
    <s v="bruises and abscesses and wound myasis"/>
    <m/>
    <m/>
    <m/>
    <n v="10"/>
    <n v="0.2857142857142857"/>
    <n v="984"/>
  </r>
  <r>
    <x v="441"/>
    <x v="0"/>
    <m/>
    <x v="0"/>
    <n v="50"/>
    <n v="50"/>
    <n v="0"/>
    <m/>
    <n v="23712"/>
    <n v="22770"/>
    <n v="942"/>
    <x v="446"/>
    <m/>
    <n v="474.24"/>
    <n v="455.4"/>
    <n v="18.84"/>
    <n v="284.55400000000003"/>
    <n v="0"/>
    <n v="24.9"/>
    <n v="0"/>
    <n v="49.28"/>
    <n v="9.9"/>
    <n v="8.5"/>
    <n v="3.972672064777328E-2"/>
    <n v="0.99080000000000001"/>
    <n v="0.60002108636977058"/>
    <n v="0.92580000000000018"/>
    <s v="3 kidneys"/>
    <m/>
    <s v="bruises in 3 carcasses"/>
    <m/>
    <m/>
    <m/>
    <n v="21"/>
    <n v="0.42"/>
    <n v="11"/>
  </r>
  <r>
    <x v="442"/>
    <x v="0"/>
    <m/>
    <x v="14"/>
    <n v="32"/>
    <n v="31"/>
    <n v="1"/>
    <s v="1 bulls not conform (older than 3 years)"/>
    <n v="14235"/>
    <n v="13960"/>
    <n v="275"/>
    <x v="447"/>
    <m/>
    <n v="459.19354838709677"/>
    <n v="450.32258064516128"/>
    <n v="8.870967741935484"/>
    <n v="275.49677419354839"/>
    <n v="0"/>
    <n v="25"/>
    <n v="0"/>
    <n v="49.77"/>
    <n v="9.8000000000000007"/>
    <n v="8.5"/>
    <n v="1.9318580962416579E-2"/>
    <n v="0.99770000000000003"/>
    <n v="0.59995785036880922"/>
    <n v="0.93070000000000008"/>
    <s v="1 lung"/>
    <m/>
    <m/>
    <m/>
    <m/>
    <m/>
    <n v="15"/>
    <n v="0.46875"/>
    <n v="485"/>
  </r>
  <r>
    <x v="443"/>
    <x v="0"/>
    <m/>
    <x v="9"/>
    <n v="48"/>
    <n v="47"/>
    <n v="1"/>
    <s v="1 c. bovis in the heart"/>
    <n v="23152"/>
    <n v="22480"/>
    <n v="672"/>
    <x v="448"/>
    <m/>
    <n v="492.59574468085106"/>
    <n v="478.29787234042556"/>
    <n v="14.297872340425531"/>
    <n v="295.57021276595742"/>
    <n v="0"/>
    <n v="25"/>
    <n v="0"/>
    <n v="49.85"/>
    <n v="10"/>
    <n v="8.5"/>
    <n v="2.9025570145127851E-2"/>
    <n v="0.99849999999999994"/>
    <n v="0.60002591568762953"/>
    <n v="0.9335"/>
    <s v="1 single kidney"/>
    <m/>
    <m/>
    <m/>
    <m/>
    <m/>
    <n v="17"/>
    <n v="0.35416666666666669"/>
    <n v="500"/>
  </r>
  <r>
    <x v="444"/>
    <x v="0"/>
    <m/>
    <x v="5"/>
    <n v="41"/>
    <n v="40"/>
    <n v="1"/>
    <s v="1 c. bovis in the masseter ms."/>
    <n v="18055"/>
    <n v="17299"/>
    <n v="756"/>
    <x v="449"/>
    <m/>
    <n v="451.375"/>
    <n v="432.47500000000002"/>
    <n v="18.899999999999999"/>
    <n v="277.63249999999999"/>
    <n v="0"/>
    <n v="25"/>
    <n v="0"/>
    <n v="49.74"/>
    <n v="10"/>
    <n v="8.5"/>
    <n v="4.1872057601772358E-2"/>
    <n v="0.99740000000000006"/>
    <n v="0.61508169482137909"/>
    <n v="0.93240000000000012"/>
    <s v="1 liver"/>
    <m/>
    <s v="1 liver"/>
    <m/>
    <m/>
    <m/>
    <n v="3"/>
    <n v="7.3170731707317069E-2"/>
    <n v="449"/>
  </r>
  <r>
    <x v="445"/>
    <x v="0"/>
    <m/>
    <x v="0"/>
    <n v="40"/>
    <n v="36"/>
    <n v="4"/>
    <s v="1 bull not conform (older than 3 years)+ 2 c. bovis in the heart + 1 pyogenic pericarditis"/>
    <n v="17308"/>
    <n v="15801"/>
    <n v="1507"/>
    <x v="450"/>
    <m/>
    <n v="480.77777777777777"/>
    <n v="438.91666666666669"/>
    <n v="41.861111111111114"/>
    <n v="288.44722222222225"/>
    <n v="0"/>
    <n v="25"/>
    <n v="0"/>
    <n v="49.42"/>
    <n v="10"/>
    <n v="8.5"/>
    <n v="8.7069563207765197E-2"/>
    <n v="0.99419999999999997"/>
    <n v="0.59995955627455511"/>
    <n v="0.92920000000000003"/>
    <s v="1 liver"/>
    <m/>
    <s v="1 kidney,1 liver , 2 bruises"/>
    <m/>
    <m/>
    <m/>
    <n v="16"/>
    <n v="0.4"/>
    <n v="2004"/>
  </r>
  <r>
    <x v="446"/>
    <x v="0"/>
    <m/>
    <x v="9"/>
    <n v="30"/>
    <n v="29"/>
    <n v="1"/>
    <s v="1 c. bovis in the heart"/>
    <n v="13918"/>
    <n v="13483"/>
    <n v="435"/>
    <x v="451"/>
    <m/>
    <n v="479.93103448275861"/>
    <n v="464.93103448275861"/>
    <n v="15"/>
    <n v="287.94827586206895"/>
    <n v="0"/>
    <n v="24.8"/>
    <n v="0"/>
    <n v="49.28"/>
    <n v="10"/>
    <n v="8.5"/>
    <n v="3.1254490587728126E-2"/>
    <n v="0.98880000000000001"/>
    <n v="0.59997844517890497"/>
    <n v="0.92579999999999996"/>
    <s v="2 livers + 2 kidneys "/>
    <m/>
    <m/>
    <m/>
    <m/>
    <m/>
    <n v="7"/>
    <n v="0.23333333333333334"/>
    <n v="483"/>
  </r>
  <r>
    <x v="447"/>
    <x v="0"/>
    <m/>
    <x v="14"/>
    <n v="40"/>
    <n v="39"/>
    <n v="1"/>
    <s v="1 bulls not conform (older than 3 years)"/>
    <n v="19515"/>
    <n v="19225"/>
    <n v="290"/>
    <x v="452"/>
    <m/>
    <n v="500.38461538461536"/>
    <n v="492.94871794871796"/>
    <n v="7.4358974358974361"/>
    <n v="312.57179487179485"/>
    <n v="0"/>
    <n v="25"/>
    <n v="0"/>
    <n v="49.49"/>
    <n v="10"/>
    <n v="8.5"/>
    <n v="1.4860363822700487E-2"/>
    <n v="0.99490000000000001"/>
    <n v="0.62466307968229562"/>
    <n v="0.92990000000000006"/>
    <s v="2 kidneys + 1 heart"/>
    <m/>
    <s v="3 livers"/>
    <m/>
    <m/>
    <m/>
    <n v="1"/>
    <n v="2.5000000000000001E-2"/>
    <n v="460"/>
  </r>
  <r>
    <x v="448"/>
    <x v="0"/>
    <m/>
    <x v="5"/>
    <n v="28"/>
    <n v="28"/>
    <n v="0"/>
    <m/>
    <n v="12429"/>
    <n v="11651"/>
    <n v="778"/>
    <x v="453"/>
    <m/>
    <n v="443.89285714285717"/>
    <n v="416.10714285714283"/>
    <n v="27.785714285714285"/>
    <n v="278.63928571428568"/>
    <n v="0"/>
    <n v="25"/>
    <n v="0"/>
    <n v="49.28"/>
    <n v="9.8000000000000007"/>
    <n v="8.5"/>
    <n v="6.2595542682436237E-2"/>
    <n v="0.99280000000000002"/>
    <n v="0.62771743503097588"/>
    <n v="0.92579999999999996"/>
    <s v="1 liver"/>
    <m/>
    <s v="1 bruise"/>
    <m/>
    <m/>
    <m/>
    <n v="2"/>
    <n v="7.1428571428571425E-2"/>
    <n v="9"/>
  </r>
  <r>
    <x v="449"/>
    <x v="0"/>
    <m/>
    <x v="8"/>
    <n v="30"/>
    <n v="26"/>
    <n v="4"/>
    <s v="2 bulls not conform (older than 3 years)+ (bad BCS) + 2 c. bovis in the heart"/>
    <n v="11347"/>
    <n v="10849"/>
    <n v="498"/>
    <x v="454"/>
    <m/>
    <n v="436.42307692307691"/>
    <n v="417.26923076923077"/>
    <n v="19.153846153846153"/>
    <n v="261.84615384615387"/>
    <n v="0"/>
    <n v="25"/>
    <n v="0"/>
    <n v="48.77"/>
    <n v="10"/>
    <n v="8.5"/>
    <n v="4.3888252401515816E-2"/>
    <n v="0.98770000000000002"/>
    <n v="0.59998237419582268"/>
    <n v="0.92270000000000008"/>
    <s v="2 livers + 1 heart"/>
    <m/>
    <s v="1 bruise + 3 liver cirrhosis"/>
    <m/>
    <m/>
    <m/>
    <n v="12"/>
    <n v="0.4"/>
    <n v="1720"/>
  </r>
  <r>
    <x v="450"/>
    <x v="0"/>
    <m/>
    <x v="9"/>
    <n v="27"/>
    <n v="26"/>
    <n v="1"/>
    <s v="1 bulls not conform (older than 3 years)"/>
    <n v="12965"/>
    <n v="12305"/>
    <n v="660"/>
    <x v="455"/>
    <m/>
    <n v="498.65384615384613"/>
    <n v="473.26923076923077"/>
    <n v="25.384615384615383"/>
    <n v="302.53461538461539"/>
    <n v="0"/>
    <n v="25"/>
    <n v="0"/>
    <n v="49.85"/>
    <n v="10"/>
    <n v="8.5"/>
    <n v="5.090628615503278E-2"/>
    <n v="0.99849999999999994"/>
    <n v="0.60670266101041259"/>
    <n v="0.9335"/>
    <s v="2 kidneys"/>
    <m/>
    <s v="1 liver cirrhosis"/>
    <m/>
    <m/>
    <m/>
    <n v="11"/>
    <n v="0.40740740740740738"/>
    <n v="514"/>
  </r>
  <r>
    <x v="451"/>
    <x v="0"/>
    <m/>
    <x v="14"/>
    <n v="38"/>
    <n v="37"/>
    <n v="1"/>
    <s v="1 bulls not conform (older than 3 years)"/>
    <n v="18415"/>
    <n v="17690"/>
    <n v="725"/>
    <x v="456"/>
    <m/>
    <n v="497.70270270270271"/>
    <n v="478.10810810810813"/>
    <n v="19.594594594594593"/>
    <n v="299.22702702702702"/>
    <n v="0"/>
    <n v="25"/>
    <n v="0"/>
    <n v="49.95"/>
    <n v="9.9"/>
    <n v="8.5"/>
    <n v="3.937007874015748E-2"/>
    <n v="0.99950000000000006"/>
    <n v="0.60121639967417861"/>
    <n v="0.93350000000000011"/>
    <s v="2 kidneys"/>
    <m/>
    <m/>
    <m/>
    <m/>
    <m/>
    <n v="17"/>
    <n v="0.44736842105263158"/>
    <n v="493"/>
  </r>
  <r>
    <x v="452"/>
    <x v="0"/>
    <m/>
    <x v="5"/>
    <n v="27"/>
    <n v="25"/>
    <n v="2"/>
    <s v="2 c. bovis in the heart"/>
    <n v="11582"/>
    <n v="10867"/>
    <n v="715"/>
    <x v="457"/>
    <m/>
    <n v="463.28"/>
    <n v="434.68"/>
    <n v="28.6"/>
    <n v="291.99200000000002"/>
    <n v="0"/>
    <n v="25"/>
    <n v="0"/>
    <n v="49.52"/>
    <n v="10"/>
    <n v="8.5"/>
    <n v="6.1733724745294427E-2"/>
    <n v="0.99520000000000008"/>
    <n v="0.6302711103436367"/>
    <n v="0.93020000000000014"/>
    <s v="1 liver"/>
    <m/>
    <s v="1 bruise"/>
    <m/>
    <m/>
    <m/>
    <n v="7"/>
    <n v="0.25925925925925924"/>
    <n v="920"/>
  </r>
  <r>
    <x v="453"/>
    <x v="0"/>
    <m/>
    <x v="0"/>
    <n v="35"/>
    <n v="35"/>
    <n v="0"/>
    <m/>
    <n v="17593"/>
    <n v="16530"/>
    <n v="1063"/>
    <x v="458"/>
    <m/>
    <n v="502.65714285714284"/>
    <n v="472.28571428571428"/>
    <n v="30.37142857142857"/>
    <n v="303.67714285714288"/>
    <n v="0"/>
    <n v="25"/>
    <n v="0"/>
    <n v="50"/>
    <n v="10"/>
    <n v="8.5"/>
    <n v="6.0421758654010116E-2"/>
    <n v="1"/>
    <n v="0.60414369351446606"/>
    <n v="0.93500000000000005"/>
    <s v="3 livers + 2 omentums"/>
    <m/>
    <m/>
    <m/>
    <m/>
    <m/>
    <n v="10"/>
    <n v="0.2857142857142857"/>
    <n v="5"/>
  </r>
  <r>
    <x v="453"/>
    <x v="1"/>
    <m/>
    <x v="1"/>
    <n v="30"/>
    <n v="30"/>
    <n v="0"/>
    <m/>
    <n v="1494"/>
    <n v="1460"/>
    <n v="34"/>
    <x v="459"/>
    <m/>
    <n v="49.8"/>
    <n v="48.666666666666664"/>
    <n v="1.1333333333333333"/>
    <n v="30.256666666666668"/>
    <n v="0"/>
    <n v="25"/>
    <n v="0"/>
    <n v="48.97"/>
    <n v="10"/>
    <n v="8.5"/>
    <n v="2.2757697456492639E-2"/>
    <n v="0.98970000000000002"/>
    <n v="0.60756358768406959"/>
    <n v="0.92469999999999997"/>
    <m/>
    <m/>
    <m/>
    <m/>
    <m/>
    <m/>
    <n v="0"/>
    <n v="0"/>
    <m/>
  </r>
  <r>
    <x v="454"/>
    <x v="0"/>
    <m/>
    <x v="9"/>
    <n v="20"/>
    <n v="17"/>
    <n v="3"/>
    <s v="2 c. bovis in the heart + 1 bulls not conform (older than 3 years)"/>
    <n v="8744"/>
    <n v="8197"/>
    <n v="547"/>
    <x v="460"/>
    <m/>
    <n v="514.35294117647061"/>
    <n v="482.1764705882353"/>
    <n v="32.176470588235297"/>
    <n v="308.65882352941173"/>
    <n v="0"/>
    <n v="25"/>
    <n v="0"/>
    <n v="49.64"/>
    <n v="10"/>
    <n v="8.5"/>
    <n v="6.2557182067703568E-2"/>
    <n v="0.99639999999999995"/>
    <n v="0.60009149130832573"/>
    <n v="0.93140000000000001"/>
    <s v="1 liver"/>
    <m/>
    <m/>
    <m/>
    <m/>
    <m/>
    <n v="8"/>
    <n v="0.4"/>
    <n v="1539"/>
  </r>
  <r>
    <x v="454"/>
    <x v="0"/>
    <m/>
    <x v="18"/>
    <n v="8"/>
    <n v="8"/>
    <n v="0"/>
    <m/>
    <n v="3523"/>
    <n v="3283"/>
    <n v="240"/>
    <x v="461"/>
    <m/>
    <n v="440.375"/>
    <n v="410.375"/>
    <n v="30"/>
    <n v="264.27499999999998"/>
    <n v="0"/>
    <n v="25"/>
    <n v="0"/>
    <n v="49.64"/>
    <n v="10"/>
    <n v="8.5"/>
    <n v="6.8123758160658535E-2"/>
    <n v="0.99639999999999995"/>
    <n v="0.60011353959693436"/>
    <n v="0.93140000000000001"/>
    <m/>
    <m/>
    <m/>
    <m/>
    <m/>
    <m/>
    <n v="2"/>
    <n v="0.25"/>
    <n v="0"/>
  </r>
  <r>
    <x v="455"/>
    <x v="0"/>
    <m/>
    <x v="14"/>
    <n v="45"/>
    <n v="44"/>
    <n v="1"/>
    <s v="1 bulls not conform (older than 3 years)"/>
    <n v="22645"/>
    <n v="21955"/>
    <n v="690"/>
    <x v="462"/>
    <m/>
    <n v="514.65909090909088"/>
    <n v="498.97727272727275"/>
    <n v="15.681818181818182"/>
    <n v="313.67045454545456"/>
    <n v="0"/>
    <n v="25"/>
    <n v="0"/>
    <n v="49.48"/>
    <n v="9.9"/>
    <n v="8.5"/>
    <n v="3.0470302495032017E-2"/>
    <n v="0.99479999999999991"/>
    <n v="0.60947228968867295"/>
    <n v="0.92879999999999996"/>
    <s v="1 liver + 4 kidneys "/>
    <m/>
    <s v="1 liver abscess"/>
    <m/>
    <m/>
    <m/>
    <n v="21"/>
    <n v="0.46666666666666667"/>
    <n v="461"/>
  </r>
  <r>
    <x v="456"/>
    <x v="0"/>
    <m/>
    <x v="5"/>
    <n v="43"/>
    <n v="42"/>
    <n v="1"/>
    <s v="2 c. bovis in the heart"/>
    <n v="19135"/>
    <n v="18346"/>
    <n v="789"/>
    <x v="463"/>
    <m/>
    <n v="455.59523809523807"/>
    <n v="436.8095238095238"/>
    <n v="18.785714285714285"/>
    <n v="291.08333333333331"/>
    <n v="0"/>
    <n v="25"/>
    <n v="0"/>
    <n v="49.83"/>
    <n v="9.6"/>
    <n v="8.5"/>
    <n v="4.123334204337601E-2"/>
    <n v="0.99829999999999997"/>
    <n v="0.63890776064802712"/>
    <n v="0.9292999999999999"/>
    <s v="1 liver "/>
    <m/>
    <s v="1 abscess"/>
    <m/>
    <m/>
    <m/>
    <n v="6"/>
    <n v="0.13953488372093023"/>
    <n v="477"/>
  </r>
  <r>
    <x v="457"/>
    <x v="1"/>
    <m/>
    <x v="1"/>
    <n v="30"/>
    <n v="30"/>
    <n v="0"/>
    <m/>
    <n v="1552"/>
    <n v="1440"/>
    <n v="112"/>
    <x v="464"/>
    <m/>
    <n v="51.733333333333334"/>
    <n v="48"/>
    <n v="3.7333333333333334"/>
    <n v="28.903333333333332"/>
    <n v="0"/>
    <n v="25"/>
    <n v="0"/>
    <n v="49.93"/>
    <n v="10"/>
    <n v="8.5"/>
    <n v="7.2164948453608241E-2"/>
    <n v="0.99930000000000008"/>
    <n v="0.55869845360824744"/>
    <n v="0.93430000000000002"/>
    <m/>
    <m/>
    <m/>
    <m/>
    <m/>
    <m/>
    <m/>
    <n v="0"/>
    <n v="0"/>
  </r>
  <r>
    <x v="457"/>
    <x v="0"/>
    <m/>
    <x v="0"/>
    <n v="45"/>
    <n v="45"/>
    <n v="0"/>
    <m/>
    <n v="23132"/>
    <n v="21765"/>
    <n v="1367"/>
    <x v="465"/>
    <m/>
    <n v="514.04444444444448"/>
    <n v="483.66666666666669"/>
    <n v="30.377777777777776"/>
    <n v="308.06444444444446"/>
    <n v="0"/>
    <n v="25"/>
    <n v="0"/>
    <n v="49.84"/>
    <n v="10"/>
    <n v="8.5"/>
    <n v="5.9095625108075388E-2"/>
    <n v="0.99839999999999995"/>
    <n v="0.59929534843506826"/>
    <n v="0.93340000000000001"/>
    <m/>
    <m/>
    <m/>
    <m/>
    <m/>
    <m/>
    <n v="14"/>
    <n v="0.31111111111111112"/>
    <n v="0"/>
  </r>
  <r>
    <x v="458"/>
    <x v="0"/>
    <m/>
    <x v="8"/>
    <n v="39"/>
    <n v="36"/>
    <n v="3"/>
    <s v="3 c. bovis in the heart"/>
    <n v="16095"/>
    <n v="15702"/>
    <n v="393"/>
    <x v="466"/>
    <m/>
    <n v="447.08333333333331"/>
    <n v="436.16666666666669"/>
    <n v="10.916666666666666"/>
    <n v="270.5361111111111"/>
    <n v="0"/>
    <n v="25"/>
    <n v="0"/>
    <n v="50"/>
    <n v="10"/>
    <n v="8.5"/>
    <n v="2.4417520969245106E-2"/>
    <n v="1"/>
    <n v="0.60511338925132019"/>
    <n v="0.93500000000000005"/>
    <m/>
    <m/>
    <m/>
    <m/>
    <m/>
    <m/>
    <n v="10"/>
    <n v="0.25641025641025639"/>
    <n v="1313"/>
  </r>
  <r>
    <x v="459"/>
    <x v="0"/>
    <m/>
    <x v="0"/>
    <n v="50"/>
    <n v="50"/>
    <n v="0"/>
    <m/>
    <n v="23636"/>
    <n v="22295"/>
    <n v="1341"/>
    <x v="467"/>
    <m/>
    <n v="472.72"/>
    <n v="445.9"/>
    <n v="26.82"/>
    <n v="283.64"/>
    <n v="0"/>
    <n v="25"/>
    <n v="0"/>
    <n v="50"/>
    <n v="10"/>
    <n v="8.5"/>
    <n v="5.6735488238280583E-2"/>
    <n v="1"/>
    <n v="0.60001692333728207"/>
    <n v="0.93500000000000005"/>
    <m/>
    <m/>
    <m/>
    <m/>
    <m/>
    <m/>
    <n v="12"/>
    <n v="0.24"/>
    <n v="2"/>
  </r>
  <r>
    <x v="460"/>
    <x v="0"/>
    <m/>
    <x v="5"/>
    <n v="47"/>
    <n v="44"/>
    <n v="3"/>
    <s v="2 c. bovis in the heart + 1 bulls not conform (older than 3 years)"/>
    <n v="20630"/>
    <n v="19676"/>
    <n v="954"/>
    <x v="468"/>
    <m/>
    <n v="468.86363636363637"/>
    <n v="447.18181818181819"/>
    <n v="21.681818181818183"/>
    <n v="295.39772727272725"/>
    <n v="0"/>
    <n v="25"/>
    <n v="0"/>
    <n v="49.8"/>
    <n v="9.9"/>
    <n v="8.5"/>
    <n v="4.6243334949103251E-2"/>
    <n v="0.998"/>
    <n v="0.63002908385845857"/>
    <n v="0.93200000000000005"/>
    <m/>
    <m/>
    <m/>
    <m/>
    <m/>
    <m/>
    <n v="9"/>
    <n v="0.19148936170212766"/>
    <n v="1383"/>
  </r>
  <r>
    <x v="461"/>
    <x v="0"/>
    <m/>
    <x v="14"/>
    <n v="55"/>
    <n v="47"/>
    <n v="8"/>
    <s v="7 c. bovis + 1 miliary tb"/>
    <n v="23482"/>
    <n v="22882"/>
    <n v="600"/>
    <x v="469"/>
    <m/>
    <n v="499.61702127659572"/>
    <n v="486.85106382978722"/>
    <n v="12.76595744680851"/>
    <n v="299.76170212765953"/>
    <n v="0"/>
    <n v="25"/>
    <n v="0"/>
    <n v="49.55"/>
    <n v="10"/>
    <n v="8.5"/>
    <n v="2.5551486244783241E-2"/>
    <n v="0.99550000000000005"/>
    <n v="0.59998296567583675"/>
    <n v="0.93049999999999999"/>
    <m/>
    <m/>
    <m/>
    <m/>
    <m/>
    <m/>
    <n v="16"/>
    <n v="0.29090909090909089"/>
    <n v="3819"/>
  </r>
  <r>
    <x v="462"/>
    <x v="0"/>
    <m/>
    <x v="0"/>
    <n v="16"/>
    <n v="16"/>
    <n v="0"/>
    <m/>
    <n v="7387"/>
    <n v="7050"/>
    <n v="337"/>
    <x v="470"/>
    <m/>
    <n v="461.6875"/>
    <n v="440.625"/>
    <n v="21.0625"/>
    <n v="277.02499999999998"/>
    <n v="0"/>
    <n v="25"/>
    <n v="0"/>
    <n v="49.13"/>
    <n v="10"/>
    <n v="8.5"/>
    <n v="4.5620684987139566E-2"/>
    <n v="0.99130000000000007"/>
    <n v="0.60002707459049676"/>
    <n v="0.9262999999999999"/>
    <m/>
    <m/>
    <m/>
    <m/>
    <m/>
    <m/>
    <n v="11"/>
    <n v="0.6875"/>
    <n v="14"/>
  </r>
  <r>
    <x v="463"/>
    <x v="1"/>
    <m/>
    <x v="1"/>
    <n v="30"/>
    <n v="30"/>
    <n v="0"/>
    <m/>
    <n v="1361"/>
    <n v="1330"/>
    <n v="31"/>
    <x v="471"/>
    <m/>
    <n v="45.366666666666667"/>
    <n v="44.333333333333336"/>
    <n v="1.0333333333333334"/>
    <n v="26.483333333333334"/>
    <n v="0"/>
    <n v="25"/>
    <n v="0"/>
    <n v="48.6"/>
    <n v="10"/>
    <n v="8.5"/>
    <n v="2.2777369581190303E-2"/>
    <n v="0.98599999999999999"/>
    <n v="0.58376193975018364"/>
    <n v="0.92099999999999993"/>
    <m/>
    <m/>
    <m/>
    <m/>
    <m/>
    <m/>
    <m/>
    <n v="0"/>
    <n v="5"/>
  </r>
  <r>
    <x v="463"/>
    <x v="0"/>
    <m/>
    <x v="0"/>
    <n v="50"/>
    <n v="48"/>
    <n v="2"/>
    <s v="Rejection of 2 carcasses due to presence of C. Bovis in the heart and in the abdominal muscles (976 kg)."/>
    <n v="23448"/>
    <n v="22399"/>
    <n v="1049"/>
    <x v="472"/>
    <m/>
    <n v="488.5"/>
    <n v="466.64583333333331"/>
    <n v="21.854166666666668"/>
    <n v="293.10208333333333"/>
    <n v="0"/>
    <n v="25"/>
    <n v="0"/>
    <n v="49.63"/>
    <n v="10"/>
    <n v="8.5"/>
    <n v="4.4737291026953258E-2"/>
    <n v="0.99629999999999996"/>
    <n v="0.60000426475605595"/>
    <n v="0.93129999999999991"/>
    <m/>
    <m/>
    <m/>
    <m/>
    <m/>
    <m/>
    <n v="10"/>
    <n v="0.2"/>
    <n v="983"/>
  </r>
  <r>
    <x v="464"/>
    <x v="0"/>
    <m/>
    <x v="5"/>
    <n v="52"/>
    <n v="51"/>
    <n v="1"/>
    <s v="1 c. bovis in the heart"/>
    <n v="23004"/>
    <n v="21870"/>
    <n v="1134"/>
    <x v="473"/>
    <m/>
    <n v="451.05882352941177"/>
    <n v="428.8235294117647"/>
    <n v="22.235294117647058"/>
    <n v="279.82156862745097"/>
    <n v="0"/>
    <n v="25"/>
    <n v="0"/>
    <n v="49.88"/>
    <n v="10"/>
    <n v="8.5"/>
    <n v="4.9295774647887321E-2"/>
    <n v="0.99880000000000002"/>
    <n v="0.62036602330029555"/>
    <n v="0.93379999999999996"/>
    <m/>
    <m/>
    <m/>
    <m/>
    <m/>
    <m/>
    <n v="8"/>
    <n v="0.15384615384615385"/>
    <n v="497"/>
  </r>
  <r>
    <x v="465"/>
    <x v="0"/>
    <m/>
    <x v="8"/>
    <n v="58"/>
    <n v="53"/>
    <n v="5"/>
    <s v="5 c. bovis in the heart"/>
    <n v="23695"/>
    <n v="23116"/>
    <n v="579"/>
    <x v="474"/>
    <m/>
    <n v="447.07547169811323"/>
    <n v="436.15094339622641"/>
    <n v="10.924528301886792"/>
    <n v="270.53773584905662"/>
    <n v="0"/>
    <n v="25"/>
    <n v="0"/>
    <n v="49.91"/>
    <n v="10"/>
    <n v="8.5"/>
    <n v="2.4435534922979528E-2"/>
    <n v="0.99909999999999999"/>
    <n v="0.60512766406414853"/>
    <n v="0.93409999999999993"/>
    <m/>
    <m/>
    <m/>
    <m/>
    <m/>
    <m/>
    <n v="6"/>
    <n v="0.10344827586206896"/>
    <n v="2089"/>
  </r>
  <r>
    <x v="466"/>
    <x v="0"/>
    <m/>
    <x v="8"/>
    <n v="24"/>
    <n v="23"/>
    <n v="1"/>
    <s v="1 c. bovis in the heart"/>
    <n v="10046"/>
    <n v="9613"/>
    <n v="433"/>
    <x v="475"/>
    <m/>
    <n v="436.78260869565219"/>
    <n v="417.95652173913044"/>
    <n v="18.826086956521738"/>
    <n v="262.08695652173913"/>
    <n v="0"/>
    <n v="25"/>
    <n v="0"/>
    <n v="49.57"/>
    <n v="9.8000000000000007"/>
    <n v="8.5"/>
    <n v="4.310173203264981E-2"/>
    <n v="0.99570000000000003"/>
    <n v="0.60003981684252439"/>
    <n v="0.92869999999999986"/>
    <m/>
    <m/>
    <m/>
    <m/>
    <m/>
    <m/>
    <n v="5"/>
    <n v="0.20833333333333334"/>
    <n v="402"/>
  </r>
  <r>
    <x v="467"/>
    <x v="0"/>
    <m/>
    <x v="0"/>
    <n v="26"/>
    <n v="26"/>
    <n v="0"/>
    <m/>
    <n v="12520"/>
    <n v="11675"/>
    <n v="845"/>
    <x v="476"/>
    <m/>
    <n v="481.53846153846155"/>
    <n v="449.03846153846155"/>
    <n v="32.5"/>
    <n v="289.27307692307693"/>
    <n v="0"/>
    <n v="25"/>
    <n v="0"/>
    <n v="49.27"/>
    <n v="10"/>
    <n v="8.5"/>
    <n v="6.7492012779552718E-2"/>
    <n v="0.99270000000000003"/>
    <n v="0.60072683706070296"/>
    <n v="0.92770000000000008"/>
    <m/>
    <m/>
    <m/>
    <m/>
    <m/>
    <m/>
    <n v="0"/>
    <n v="0"/>
    <n v="14.5"/>
  </r>
  <r>
    <x v="468"/>
    <x v="0"/>
    <m/>
    <x v="0"/>
    <n v="37"/>
    <n v="37"/>
    <n v="0"/>
    <m/>
    <n v="18898"/>
    <n v="17730"/>
    <n v="1168"/>
    <x v="477"/>
    <m/>
    <n v="510.75675675675677"/>
    <n v="479.18918918918916"/>
    <n v="31.567567567567568"/>
    <n v="306.44594594594594"/>
    <n v="0"/>
    <n v="25"/>
    <n v="0"/>
    <n v="49.95"/>
    <n v="9.9"/>
    <n v="8.5"/>
    <n v="6.1805482061593822E-2"/>
    <n v="0.99950000000000006"/>
    <n v="0.59998412530426504"/>
    <n v="0.93350000000000011"/>
    <m/>
    <m/>
    <m/>
    <m/>
    <m/>
    <m/>
    <n v="15"/>
    <n v="0.40540540540540543"/>
    <n v="4"/>
  </r>
  <r>
    <x v="469"/>
    <x v="0"/>
    <m/>
    <x v="5"/>
    <n v="21"/>
    <n v="20"/>
    <n v="1"/>
    <s v="1 c. bovis in the head"/>
    <n v="9339"/>
    <n v="8686"/>
    <n v="653"/>
    <x v="478"/>
    <m/>
    <n v="466.95"/>
    <n v="434.3"/>
    <n v="32.65"/>
    <n v="290.51499999999999"/>
    <n v="0"/>
    <n v="25"/>
    <n v="0"/>
    <n v="49.75"/>
    <n v="10"/>
    <n v="8.5"/>
    <n v="6.9921833172716566E-2"/>
    <n v="0.99750000000000005"/>
    <n v="0.62215440625334617"/>
    <n v="0.9325"/>
    <m/>
    <m/>
    <m/>
    <m/>
    <m/>
    <m/>
    <n v="4"/>
    <n v="0.19047619047619047"/>
    <n v="420"/>
  </r>
  <r>
    <x v="470"/>
    <x v="0"/>
    <m/>
    <x v="5"/>
    <n v="33"/>
    <n v="32"/>
    <n v="1"/>
    <s v="1 c. bovis in the heart"/>
    <n v="14901"/>
    <n v="14225"/>
    <n v="676"/>
    <x v="479"/>
    <m/>
    <n v="465.65625"/>
    <n v="444.53125"/>
    <n v="21.125"/>
    <n v="288.61874999999998"/>
    <n v="0"/>
    <n v="25"/>
    <n v="0"/>
    <n v="49.94"/>
    <n v="10"/>
    <n v="8.5"/>
    <n v="4.536608281323401E-2"/>
    <n v="0.99939999999999996"/>
    <n v="0.61981075095631166"/>
    <n v="0.93440000000000001"/>
    <m/>
    <m/>
    <m/>
    <m/>
    <m/>
    <m/>
    <n v="10"/>
    <n v="0.30303030303030304"/>
    <n v="428"/>
  </r>
  <r>
    <x v="471"/>
    <x v="0"/>
    <m/>
    <x v="8"/>
    <n v="32"/>
    <n v="26"/>
    <n v="6"/>
    <s v="6 bulls not conform (older than 3 years)"/>
    <n v="11424"/>
    <n v="10965"/>
    <n v="459"/>
    <x v="480"/>
    <m/>
    <n v="439.38461538461536"/>
    <n v="421.73076923076923"/>
    <n v="17.653846153846153"/>
    <n v="263.61538461538464"/>
    <n v="0"/>
    <n v="25"/>
    <n v="0"/>
    <n v="49.92"/>
    <n v="10"/>
    <n v="8.5"/>
    <n v="4.0178571428571432E-2"/>
    <n v="0.99920000000000009"/>
    <n v="0.59996498599439774"/>
    <n v="0.93420000000000003"/>
    <m/>
    <m/>
    <m/>
    <m/>
    <m/>
    <m/>
    <n v="6"/>
    <n v="0.1875"/>
    <n v="1808"/>
  </r>
  <r>
    <x v="472"/>
    <x v="0"/>
    <m/>
    <x v="0"/>
    <n v="35"/>
    <n v="34"/>
    <n v="1"/>
    <s v="1 bulls not conform (older than 3 years)"/>
    <n v="17607"/>
    <n v="16340"/>
    <n v="1267"/>
    <x v="481"/>
    <m/>
    <n v="517.85294117647061"/>
    <n v="480.58823529411762"/>
    <n v="37.264705882352942"/>
    <n v="310.95"/>
    <n v="0"/>
    <n v="25"/>
    <n v="0"/>
    <n v="49.65"/>
    <n v="10"/>
    <n v="8.5"/>
    <n v="7.1960015902765948E-2"/>
    <n v="0.99649999999999994"/>
    <n v="0.60046004430056221"/>
    <n v="0.93150000000000011"/>
    <m/>
    <m/>
    <m/>
    <m/>
    <m/>
    <m/>
    <n v="14"/>
    <n v="0.4"/>
    <n v="524"/>
  </r>
  <r>
    <x v="473"/>
    <x v="0"/>
    <m/>
    <x v="14"/>
    <n v="32"/>
    <n v="31"/>
    <n v="1"/>
    <s v="1 c. bovis in the heart"/>
    <n v="13710"/>
    <n v="13121"/>
    <n v="589"/>
    <x v="482"/>
    <m/>
    <n v="442.25806451612902"/>
    <n v="423.25806451612902"/>
    <n v="19"/>
    <n v="270.34516129032261"/>
    <n v="0"/>
    <n v="25"/>
    <n v="0"/>
    <n v="49.95"/>
    <n v="9.9"/>
    <n v="8.5"/>
    <n v="4.2961342086068562E-2"/>
    <n v="0.99950000000000006"/>
    <n v="0.61128373450036477"/>
    <n v="0.93350000000000011"/>
    <m/>
    <m/>
    <m/>
    <m/>
    <m/>
    <m/>
    <n v="4"/>
    <n v="0.125"/>
    <n v="474"/>
  </r>
  <r>
    <x v="474"/>
    <x v="0"/>
    <m/>
    <x v="0"/>
    <n v="40"/>
    <n v="39"/>
    <n v="1"/>
    <s v="1 c. bovis in the heart"/>
    <n v="20105"/>
    <n v="18477"/>
    <n v="1628"/>
    <x v="483"/>
    <m/>
    <n v="515.51282051282055"/>
    <n v="473.76923076923077"/>
    <n v="41.743589743589745"/>
    <n v="311.20256410256411"/>
    <n v="0"/>
    <n v="25"/>
    <n v="0"/>
    <n v="50"/>
    <n v="10"/>
    <n v="8.5"/>
    <n v="8.0974881870181536E-2"/>
    <n v="1"/>
    <n v="0.60367570256155179"/>
    <n v="0.93500000000000005"/>
    <m/>
    <m/>
    <m/>
    <m/>
    <m/>
    <m/>
    <n v="10"/>
    <n v="0.25"/>
    <n v="539"/>
  </r>
  <r>
    <x v="475"/>
    <x v="0"/>
    <m/>
    <x v="8"/>
    <n v="34"/>
    <n v="31"/>
    <n v="3"/>
    <s v="3 c. bovis in the heart"/>
    <n v="13425"/>
    <n v="12812"/>
    <n v="613"/>
    <x v="484"/>
    <m/>
    <n v="433.06451612903226"/>
    <n v="413.29032258064518"/>
    <n v="19.774193548387096"/>
    <n v="259.841935483871"/>
    <n v="0"/>
    <n v="25"/>
    <n v="0"/>
    <n v="49.45"/>
    <n v="10"/>
    <n v="8.5"/>
    <n v="4.5661080074487895E-2"/>
    <n v="0.99450000000000005"/>
    <n v="0.60000744878957168"/>
    <n v="0.92949999999999999"/>
    <m/>
    <m/>
    <m/>
    <m/>
    <m/>
    <m/>
    <n v="3"/>
    <n v="8.8235294117647065E-2"/>
    <n v="1332"/>
  </r>
  <r>
    <x v="476"/>
    <x v="0"/>
    <m/>
    <x v="5"/>
    <n v="32"/>
    <n v="32"/>
    <n v="0"/>
    <m/>
    <n v="14383"/>
    <n v="13624"/>
    <n v="759"/>
    <x v="485"/>
    <m/>
    <n v="449.46875"/>
    <n v="425.75"/>
    <n v="23.71875"/>
    <n v="275.921875"/>
    <n v="0"/>
    <n v="25"/>
    <n v="0"/>
    <n v="49.03"/>
    <n v="10"/>
    <n v="8.5"/>
    <n v="5.2770631996106515E-2"/>
    <n v="0.99029999999999996"/>
    <n v="0.61388444691649868"/>
    <n v="0.92530000000000001"/>
    <m/>
    <m/>
    <m/>
    <m/>
    <m/>
    <m/>
    <n v="10"/>
    <n v="0.3125"/>
    <n v="22"/>
  </r>
  <r>
    <x v="477"/>
    <x v="0"/>
    <m/>
    <x v="14"/>
    <n v="29"/>
    <n v="24"/>
    <n v="5"/>
    <s v="4 c. bovis in the heart + 1 older than 3 years"/>
    <n v="12565"/>
    <n v="11892"/>
    <n v="673"/>
    <x v="486"/>
    <m/>
    <n v="523.54166666666663"/>
    <n v="495.5"/>
    <n v="28.041666666666668"/>
    <n v="318.10416666666669"/>
    <n v="0"/>
    <n v="24.8"/>
    <n v="0"/>
    <n v="50"/>
    <n v="10"/>
    <n v="8.5"/>
    <n v="5.3561480302427383E-2"/>
    <n v="0.996"/>
    <n v="0.60760047751691204"/>
    <n v="0.93299999999999994"/>
    <m/>
    <m/>
    <m/>
    <m/>
    <m/>
    <m/>
    <n v="16"/>
    <n v="0.55172413793103448"/>
    <n v="2573"/>
  </r>
  <r>
    <x v="478"/>
    <x v="0"/>
    <m/>
    <x v="0"/>
    <n v="43"/>
    <n v="41"/>
    <n v="2"/>
    <s v="2 c. bovis in the heart"/>
    <n v="21871"/>
    <n v="20498"/>
    <n v="1373"/>
    <x v="487"/>
    <m/>
    <n v="533.43902439024396"/>
    <n v="499.95121951219511"/>
    <n v="33.487804878048777"/>
    <n v="330.15121951219515"/>
    <n v="0"/>
    <n v="23"/>
    <n v="0"/>
    <n v="49.32"/>
    <n v="8.5"/>
    <n v="8.5"/>
    <n v="6.2777193543962315E-2"/>
    <n v="0.95320000000000005"/>
    <n v="0.61891088656211424"/>
    <n v="0.89319999999999988"/>
    <m/>
    <m/>
    <m/>
    <m/>
    <m/>
    <m/>
    <n v="18"/>
    <n v="0.41860465116279072"/>
    <n v="1047"/>
  </r>
  <r>
    <x v="479"/>
    <x v="0"/>
    <m/>
    <x v="0"/>
    <n v="28"/>
    <n v="23"/>
    <n v="5"/>
    <s v="2 c. bovis in the heart + 1 older than 3 years + 1 miliary TB + 1 bad BCS"/>
    <n v="12640"/>
    <n v="11491"/>
    <n v="1149"/>
    <x v="488"/>
    <m/>
    <n v="549.56521739130437"/>
    <n v="499.60869565217394"/>
    <n v="49.956521739130437"/>
    <n v="331.9304347826087"/>
    <n v="0"/>
    <n v="23"/>
    <n v="0"/>
    <n v="48.83"/>
    <n v="10"/>
    <n v="8.5"/>
    <n v="9.0901898734177214E-2"/>
    <n v="0.94829999999999992"/>
    <n v="0.60398734177215185"/>
    <n v="0.90329999999999999"/>
    <m/>
    <m/>
    <m/>
    <m/>
    <m/>
    <m/>
    <n v="7"/>
    <n v="0.25"/>
    <n v="2625"/>
  </r>
  <r>
    <x v="480"/>
    <x v="0"/>
    <m/>
    <x v="18"/>
    <n v="8"/>
    <n v="7"/>
    <n v="1"/>
    <s v="1 not conform to standards"/>
    <n v="3258"/>
    <n v="3110.5"/>
    <n v="147.5"/>
    <x v="489"/>
    <m/>
    <n v="465.42857142857144"/>
    <n v="444.35714285714283"/>
    <n v="21.071428571428573"/>
    <n v="279.25714285714287"/>
    <n v="0"/>
    <n v="25"/>
    <n v="0"/>
    <n v="50"/>
    <n v="10"/>
    <n v="8.5"/>
    <n v="4.5273173726212403E-2"/>
    <n v="1"/>
    <n v="0.6"/>
    <n v="0.93500000000000005"/>
    <m/>
    <m/>
    <m/>
    <m/>
    <m/>
    <m/>
    <n v="0"/>
    <n v="0"/>
    <n v="374.5"/>
  </r>
  <r>
    <x v="480"/>
    <x v="0"/>
    <m/>
    <x v="5"/>
    <n v="28"/>
    <n v="27"/>
    <n v="1"/>
    <s v="1 carcass miliary TB "/>
    <n v="12605"/>
    <n v="11195"/>
    <n v="1410"/>
    <x v="490"/>
    <m/>
    <n v="466.85185185185185"/>
    <n v="414.62962962962962"/>
    <n v="52.222222222222221"/>
    <n v="287.04814814814813"/>
    <n v="0"/>
    <n v="25"/>
    <n v="0"/>
    <n v="49.75"/>
    <n v="10"/>
    <n v="8.5"/>
    <n v="0.11186037286790956"/>
    <n v="0.99750000000000005"/>
    <n v="0.61485918286394292"/>
    <n v="0.9325"/>
    <m/>
    <m/>
    <m/>
    <m/>
    <m/>
    <m/>
    <n v="4"/>
    <n v="0.14285714285714285"/>
    <n v="524"/>
  </r>
  <r>
    <x v="481"/>
    <x v="0"/>
    <m/>
    <x v="0"/>
    <n v="27"/>
    <n v="27"/>
    <n v="0"/>
    <m/>
    <n v="14364"/>
    <n v="13305"/>
    <n v="1059"/>
    <x v="491"/>
    <m/>
    <n v="532"/>
    <n v="492.77777777777777"/>
    <n v="39.222222222222221"/>
    <n v="319.89259259259262"/>
    <n v="0"/>
    <n v="25"/>
    <n v="0"/>
    <n v="48.89"/>
    <n v="10"/>
    <n v="8.5"/>
    <n v="7.3725981620718459E-2"/>
    <n v="0.9889"/>
    <n v="0.60130186577555"/>
    <n v="0.92390000000000005"/>
    <m/>
    <m/>
    <m/>
    <m/>
    <m/>
    <m/>
    <n v="4"/>
    <n v="0.14814814814814814"/>
    <n v="4"/>
  </r>
  <r>
    <x v="482"/>
    <x v="0"/>
    <m/>
    <x v="5"/>
    <n v="35"/>
    <n v="35"/>
    <n v="0"/>
    <m/>
    <n v="14647"/>
    <n v="13960"/>
    <n v="687"/>
    <x v="492"/>
    <m/>
    <n v="418.48571428571427"/>
    <n v="398.85714285714283"/>
    <n v="19.62857142857143"/>
    <n v="257.59714285714284"/>
    <n v="0"/>
    <n v="25"/>
    <n v="0"/>
    <n v="50"/>
    <n v="10"/>
    <n v="8.5"/>
    <n v="4.6903802826517384E-2"/>
    <n v="1"/>
    <n v="0.61554584556564484"/>
    <n v="0.93500000000000005"/>
    <m/>
    <m/>
    <m/>
    <m/>
    <m/>
    <m/>
    <n v="4"/>
    <n v="0.11428571428571428"/>
    <n v="0"/>
  </r>
  <r>
    <x v="483"/>
    <x v="0"/>
    <m/>
    <x v="8"/>
    <n v="40"/>
    <n v="33"/>
    <n v="7"/>
    <s v="7 c. bovis in the heart"/>
    <n v="14370"/>
    <n v="13558"/>
    <n v="812"/>
    <x v="493"/>
    <m/>
    <n v="435.45454545454544"/>
    <n v="410.84848484848487"/>
    <n v="24.606060606060606"/>
    <n v="261.27272727272725"/>
    <n v="0"/>
    <n v="25"/>
    <n v="0"/>
    <n v="49.94"/>
    <n v="10"/>
    <n v="8.5"/>
    <n v="5.6506610995128742E-2"/>
    <n v="0.99939999999999996"/>
    <n v="0.6"/>
    <n v="0.93440000000000001"/>
    <m/>
    <m/>
    <m/>
    <m/>
    <m/>
    <m/>
    <n v="24"/>
    <n v="0.6"/>
    <n v="3092"/>
  </r>
  <r>
    <x v="484"/>
    <x v="0"/>
    <m/>
    <x v="0"/>
    <n v="24"/>
    <n v="24"/>
    <n v="0"/>
    <m/>
    <n v="12780"/>
    <n v="11985"/>
    <n v="795"/>
    <x v="494"/>
    <m/>
    <n v="532.5"/>
    <n v="499.375"/>
    <n v="33.125"/>
    <n v="326.88333333333333"/>
    <n v="0"/>
    <n v="25"/>
    <n v="0"/>
    <n v="50"/>
    <n v="10"/>
    <n v="8.5"/>
    <n v="6.2206572769953054E-2"/>
    <n v="1"/>
    <n v="0.61386541471048517"/>
    <n v="0.93500000000000005"/>
    <m/>
    <m/>
    <m/>
    <m/>
    <m/>
    <m/>
    <n v="5"/>
    <n v="0.20833333333333334"/>
    <n v="0"/>
  </r>
  <r>
    <x v="485"/>
    <x v="0"/>
    <m/>
    <x v="5"/>
    <n v="45"/>
    <n v="43"/>
    <n v="2"/>
    <s v="2 c. bovis in the heart"/>
    <n v="18218"/>
    <n v="17181"/>
    <n v="1037"/>
    <x v="495"/>
    <m/>
    <n v="423.67441860465118"/>
    <n v="399.55813953488371"/>
    <n v="24.11627906976744"/>
    <n v="259.24883720930234"/>
    <n v="0"/>
    <n v="25"/>
    <n v="0"/>
    <n v="49.6"/>
    <n v="10"/>
    <n v="8.5"/>
    <n v="5.6921725765726197E-2"/>
    <n v="0.996"/>
    <n v="0.61190580744318812"/>
    <n v="0.93099999999999994"/>
    <m/>
    <m/>
    <m/>
    <m/>
    <m/>
    <m/>
    <n v="3"/>
    <n v="6.6666666666666666E-2"/>
    <n v="834"/>
  </r>
  <r>
    <x v="486"/>
    <x v="0"/>
    <m/>
    <x v="0"/>
    <n v="46"/>
    <n v="45"/>
    <n v="1"/>
    <s v="1 c. bovis in the heart"/>
    <n v="19002"/>
    <n v="18462"/>
    <n v="540"/>
    <x v="496"/>
    <m/>
    <n v="422.26666666666665"/>
    <n v="410.26666666666665"/>
    <n v="12"/>
    <n v="253.37555555555554"/>
    <n v="0"/>
    <n v="25"/>
    <n v="0"/>
    <n v="49.71"/>
    <n v="10"/>
    <n v="8.5"/>
    <n v="2.8418061256709821E-2"/>
    <n v="0.99709999999999999"/>
    <n v="0.60003683822755494"/>
    <n v="0.93210000000000004"/>
    <m/>
    <m/>
    <m/>
    <m/>
    <m/>
    <m/>
    <n v="24"/>
    <n v="0.52173913043478259"/>
    <n v="471"/>
  </r>
  <r>
    <x v="487"/>
    <x v="1"/>
    <m/>
    <x v="1"/>
    <n v="28"/>
    <n v="28"/>
    <n v="0"/>
    <m/>
    <n v="1410"/>
    <n v="1360"/>
    <n v="50"/>
    <x v="497"/>
    <m/>
    <n v="50.357142857142854"/>
    <n v="48.571428571428569"/>
    <n v="1.7857142857142858"/>
    <n v="29.682142857142857"/>
    <n v="0"/>
    <n v="25"/>
    <n v="0"/>
    <n v="49.29"/>
    <n v="10"/>
    <n v="8.5"/>
    <n v="3.5460992907801421E-2"/>
    <n v="0.9929"/>
    <n v="0.58943262411347519"/>
    <n v="0.92789999999999995"/>
    <m/>
    <m/>
    <m/>
    <m/>
    <m/>
    <m/>
    <n v="0"/>
    <n v="0"/>
    <n v="4.5"/>
  </r>
  <r>
    <x v="487"/>
    <x v="0"/>
    <m/>
    <x v="5"/>
    <n v="30"/>
    <n v="27"/>
    <n v="3"/>
    <s v="3 c. bovis in the heart"/>
    <n v="10955"/>
    <n v="10307"/>
    <n v="648"/>
    <x v="498"/>
    <m/>
    <n v="405.74074074074076"/>
    <n v="381.74074074074076"/>
    <n v="24"/>
    <n v="250.73333333333335"/>
    <n v="0"/>
    <n v="25"/>
    <n v="0"/>
    <n v="49.81"/>
    <n v="9.8000000000000007"/>
    <n v="8.5"/>
    <n v="5.9151072569602919E-2"/>
    <n v="0.99809999999999999"/>
    <n v="0.61796439981743501"/>
    <n v="0.93110000000000004"/>
    <m/>
    <m/>
    <m/>
    <m/>
    <m/>
    <m/>
    <n v="1"/>
    <n v="3.3333333333333333E-2"/>
    <n v="1251"/>
  </r>
  <r>
    <x v="488"/>
    <x v="0"/>
    <m/>
    <x v="0"/>
    <n v="8"/>
    <n v="8"/>
    <n v="0"/>
    <m/>
    <n v="3655"/>
    <n v="3470"/>
    <n v="185"/>
    <x v="499"/>
    <m/>
    <n v="456.875"/>
    <n v="433.75"/>
    <n v="23.125"/>
    <n v="274.27499999999998"/>
    <n v="0"/>
    <n v="25"/>
    <n v="0"/>
    <n v="50"/>
    <n v="10"/>
    <n v="8.5"/>
    <n v="5.0615595075239397E-2"/>
    <n v="1"/>
    <n v="0.60032831737346093"/>
    <n v="0.93500000000000005"/>
    <m/>
    <m/>
    <m/>
    <m/>
    <m/>
    <m/>
    <n v="2"/>
    <n v="0.25"/>
    <n v="0"/>
  </r>
  <r>
    <x v="488"/>
    <x v="0"/>
    <m/>
    <x v="5"/>
    <n v="35"/>
    <n v="35"/>
    <n v="0"/>
    <m/>
    <n v="13425"/>
    <n v="12599"/>
    <n v="826"/>
    <x v="500"/>
    <m/>
    <n v="383.57142857142856"/>
    <n v="359.97142857142859"/>
    <n v="23.6"/>
    <n v="231.9542857142857"/>
    <n v="0"/>
    <n v="25"/>
    <n v="0"/>
    <n v="49.78"/>
    <n v="9.8000000000000007"/>
    <n v="8.5"/>
    <n v="6.1527001862197402E-2"/>
    <n v="0.99780000000000002"/>
    <n v="0.60472253258845432"/>
    <n v="0.93079999999999996"/>
    <m/>
    <m/>
    <m/>
    <m/>
    <m/>
    <m/>
    <n v="2"/>
    <n v="5.7142857142857141E-2"/>
    <n v="808"/>
  </r>
  <r>
    <x v="489"/>
    <x v="0"/>
    <m/>
    <x v="14"/>
    <n v="40"/>
    <n v="37"/>
    <n v="3"/>
    <s v="3 bulls not conform to standards (older than 3 years)"/>
    <n v="16747"/>
    <n v="16530"/>
    <n v="217"/>
    <x v="501"/>
    <m/>
    <n v="452.62162162162161"/>
    <n v="446.75675675675677"/>
    <n v="5.8648648648648649"/>
    <n v="271.57837837837837"/>
    <n v="0"/>
    <n v="23"/>
    <n v="0"/>
    <n v="49.35"/>
    <n v="9.9"/>
    <n v="8.5"/>
    <n v="1.2957544634859975E-2"/>
    <n v="0.95350000000000001"/>
    <n v="0.60001194243745148"/>
    <n v="0.90749999999999997"/>
    <m/>
    <m/>
    <m/>
    <m/>
    <m/>
    <m/>
    <n v="6"/>
    <n v="0.15"/>
    <n v="3129.5"/>
  </r>
  <r>
    <x v="490"/>
    <x v="1"/>
    <m/>
    <x v="1"/>
    <n v="26"/>
    <n v="26"/>
    <n v="0"/>
    <m/>
    <n v="1298"/>
    <n v="1250"/>
    <n v="48"/>
    <x v="502"/>
    <m/>
    <n v="49.92307692307692"/>
    <n v="48.07692307692308"/>
    <n v="1.8461538461538463"/>
    <n v="28.484615384615385"/>
    <n v="0"/>
    <n v="25"/>
    <n v="0"/>
    <n v="49.69"/>
    <n v="10"/>
    <n v="8.5"/>
    <n v="3.6979969183359017E-2"/>
    <n v="0.9968999999999999"/>
    <n v="0.57057010785824347"/>
    <n v="0.93189999999999995"/>
    <m/>
    <m/>
    <m/>
    <m/>
    <m/>
    <m/>
    <n v="0"/>
    <n v="0"/>
    <n v="0"/>
  </r>
  <r>
    <x v="490"/>
    <x v="0"/>
    <m/>
    <x v="0"/>
    <n v="48"/>
    <n v="47"/>
    <n v="1"/>
    <s v="1 c. bovis in the heart"/>
    <n v="21739"/>
    <n v="21190"/>
    <n v="549"/>
    <x v="503"/>
    <m/>
    <n v="462.531914893617"/>
    <n v="450.85106382978722"/>
    <n v="11.680851063829786"/>
    <n v="284.3276595744681"/>
    <n v="0"/>
    <n v="25"/>
    <n v="0"/>
    <n v="49.43"/>
    <n v="10"/>
    <n v="8.5"/>
    <n v="2.525415152490915E-2"/>
    <n v="0.99429999999999996"/>
    <n v="0.61472008832052993"/>
    <n v="0.92930000000000001"/>
    <m/>
    <m/>
    <m/>
    <m/>
    <m/>
    <m/>
    <n v="17"/>
    <n v="0.35416666666666669"/>
    <n v="490"/>
  </r>
  <r>
    <x v="491"/>
    <x v="0"/>
    <m/>
    <x v="14"/>
    <n v="30"/>
    <n v="30"/>
    <n v="0"/>
    <m/>
    <n v="15045"/>
    <n v="14445"/>
    <n v="600"/>
    <x v="504"/>
    <m/>
    <n v="501.5"/>
    <n v="481.5"/>
    <n v="20"/>
    <n v="301.48666666666668"/>
    <n v="0"/>
    <n v="25"/>
    <n v="0"/>
    <n v="49.87"/>
    <n v="10"/>
    <n v="8.5"/>
    <n v="3.9880358923230309E-2"/>
    <n v="0.99869999999999992"/>
    <n v="0.60116982386174811"/>
    <n v="0.93370000000000009"/>
    <m/>
    <m/>
    <m/>
    <m/>
    <m/>
    <m/>
    <n v="12"/>
    <n v="0.4"/>
    <n v="0"/>
  </r>
  <r>
    <x v="492"/>
    <x v="0"/>
    <m/>
    <x v="8"/>
    <n v="42"/>
    <n v="39"/>
    <n v="3"/>
    <s v="3 c. bovis in the heart"/>
    <n v="17023"/>
    <n v="16466"/>
    <n v="557"/>
    <x v="505"/>
    <m/>
    <n v="436.4871794871795"/>
    <n v="422.20512820512823"/>
    <n v="14.282051282051283"/>
    <n v="261.88461538461536"/>
    <n v="0"/>
    <n v="25"/>
    <n v="0"/>
    <n v="49.9"/>
    <n v="10"/>
    <n v="8.5"/>
    <n v="3.2720437055748106E-2"/>
    <n v="0.999"/>
    <n v="0.59998237678435062"/>
    <n v="0.93400000000000005"/>
    <m/>
    <m/>
    <m/>
    <m/>
    <m/>
    <m/>
    <n v="9"/>
    <n v="0.21428571428571427"/>
    <n v="1334"/>
  </r>
  <r>
    <x v="493"/>
    <x v="0"/>
    <m/>
    <x v="8"/>
    <n v="30"/>
    <n v="28"/>
    <n v="2"/>
    <s v="1 bull bad BCS + 1 carcass c. bovis"/>
    <n v="12425"/>
    <n v="11957"/>
    <n v="468"/>
    <x v="506"/>
    <m/>
    <n v="443.75"/>
    <n v="427.03571428571428"/>
    <n v="16.714285714285715"/>
    <n v="266.2285714285714"/>
    <n v="0"/>
    <n v="25"/>
    <n v="0"/>
    <n v="49.86"/>
    <n v="10"/>
    <n v="8.5"/>
    <n v="3.7665995975855134E-2"/>
    <n v="0.99859999999999993"/>
    <n v="0.59995171026156935"/>
    <n v="0.93359999999999999"/>
    <m/>
    <m/>
    <m/>
    <m/>
    <m/>
    <m/>
    <n v="7"/>
    <n v="0.23333333333333334"/>
    <n v="905"/>
  </r>
  <r>
    <x v="493"/>
    <x v="0"/>
    <m/>
    <x v="18"/>
    <n v="9"/>
    <n v="9"/>
    <n v="0"/>
    <m/>
    <n v="3745"/>
    <n v="3675"/>
    <n v="70"/>
    <x v="507"/>
    <m/>
    <n v="416.11111111111109"/>
    <n v="408.33333333333331"/>
    <n v="7.7777777777777777"/>
    <n v="249.70000000000002"/>
    <n v="0"/>
    <n v="25"/>
    <n v="0"/>
    <n v="50"/>
    <n v="10"/>
    <n v="8.5"/>
    <n v="1.8691588785046731E-2"/>
    <n v="1"/>
    <n v="0.60008010680907886"/>
    <n v="0.93500000000000005"/>
    <m/>
    <m/>
    <m/>
    <m/>
    <m/>
    <m/>
    <n v="1"/>
    <n v="0.1111111111111111"/>
    <n v="0"/>
  </r>
  <r>
    <x v="494"/>
    <x v="1"/>
    <m/>
    <x v="1"/>
    <n v="27"/>
    <n v="27"/>
    <n v="0"/>
    <m/>
    <n v="1296"/>
    <n v="1250"/>
    <n v="46"/>
    <x v="508"/>
    <m/>
    <n v="48"/>
    <n v="46.296296296296298"/>
    <n v="1.7037037037037037"/>
    <n v="27.562962962962963"/>
    <n v="0"/>
    <n v="25"/>
    <n v="0"/>
    <n v="49.37"/>
    <n v="10"/>
    <n v="8.5"/>
    <n v="3.5493827160493825E-2"/>
    <n v="0.99370000000000003"/>
    <n v="0.5742283950617284"/>
    <n v="0.92870000000000008"/>
    <m/>
    <m/>
    <m/>
    <m/>
    <m/>
    <m/>
    <n v="0"/>
    <n v="0"/>
    <n v="1"/>
  </r>
  <r>
    <x v="494"/>
    <x v="0"/>
    <m/>
    <x v="0"/>
    <n v="57"/>
    <n v="55"/>
    <n v="2"/>
    <s v="1 c. bovis + 1 miliary TB"/>
    <n v="23784"/>
    <n v="23023"/>
    <n v="761"/>
    <x v="509"/>
    <m/>
    <n v="432.43636363636364"/>
    <n v="418.6"/>
    <n v="13.836363636363636"/>
    <n v="259.47454545454548"/>
    <n v="0"/>
    <n v="25"/>
    <n v="0"/>
    <n v="49.65"/>
    <n v="10"/>
    <n v="8.5"/>
    <n v="3.1996300033636058E-2"/>
    <n v="0.99649999999999994"/>
    <n v="0.60002943155062227"/>
    <n v="0.93150000000000011"/>
    <m/>
    <m/>
    <m/>
    <m/>
    <m/>
    <m/>
    <n v="21"/>
    <n v="0.36842105263157893"/>
    <n v="915"/>
  </r>
  <r>
    <x v="495"/>
    <x v="0"/>
    <m/>
    <x v="14"/>
    <n v="40"/>
    <n v="39"/>
    <n v="1"/>
    <s v="1 bull older than 3 years"/>
    <n v="18557"/>
    <n v="18155"/>
    <n v="402"/>
    <x v="510"/>
    <m/>
    <n v="475.82051282051282"/>
    <n v="465.5128205128205"/>
    <n v="10.307692307692308"/>
    <n v="285.50256410256412"/>
    <n v="0"/>
    <n v="25"/>
    <n v="0"/>
    <n v="49.95"/>
    <n v="10"/>
    <n v="8.5"/>
    <n v="2.166298431858598E-2"/>
    <n v="0.99950000000000006"/>
    <n v="0.60002155520827727"/>
    <n v="0.9345"/>
    <m/>
    <m/>
    <m/>
    <m/>
    <m/>
    <m/>
    <n v="13"/>
    <n v="0.32500000000000001"/>
    <n v="501"/>
  </r>
  <r>
    <x v="496"/>
    <x v="0"/>
    <m/>
    <x v="5"/>
    <n v="52"/>
    <n v="47"/>
    <n v="5"/>
    <s v="5 c. bovis"/>
    <n v="20391"/>
    <n v="19685"/>
    <n v="706"/>
    <x v="511"/>
    <m/>
    <n v="433.85106382978722"/>
    <n v="418.82978723404256"/>
    <n v="15.021276595744681"/>
    <n v="271.88723404255319"/>
    <n v="0"/>
    <n v="25"/>
    <n v="0"/>
    <n v="49.81"/>
    <n v="10"/>
    <n v="8.5"/>
    <n v="3.4623118042273554E-2"/>
    <n v="0.99809999999999999"/>
    <n v="0.62668334068951992"/>
    <n v="0.93310000000000004"/>
    <m/>
    <m/>
    <m/>
    <m/>
    <m/>
    <m/>
    <n v="8"/>
    <n v="0.15384615384615385"/>
    <n v="2119"/>
  </r>
  <r>
    <x v="497"/>
    <x v="1"/>
    <m/>
    <x v="1"/>
    <n v="25"/>
    <n v="25"/>
    <n v="0"/>
    <m/>
    <n v="1304"/>
    <n v="1255"/>
    <n v="49"/>
    <x v="512"/>
    <m/>
    <n v="52.16"/>
    <n v="50.2"/>
    <n v="1.96"/>
    <n v="29.552"/>
    <n v="0"/>
    <n v="25"/>
    <n v="0"/>
    <n v="49.2"/>
    <n v="10"/>
    <n v="8.5"/>
    <n v="3.7576687116564422E-2"/>
    <n v="0.99199999999999999"/>
    <n v="0.56656441717791406"/>
    <n v="0.92700000000000005"/>
    <m/>
    <m/>
    <m/>
    <m/>
    <m/>
    <m/>
    <n v="0"/>
    <n v="0"/>
    <n v="0.5"/>
  </r>
  <r>
    <x v="497"/>
    <x v="0"/>
    <m/>
    <x v="8"/>
    <n v="35"/>
    <n v="31"/>
    <n v="4"/>
    <s v="1 miliary tb + 3 c. bovis "/>
    <n v="13730"/>
    <n v="13088"/>
    <n v="642"/>
    <x v="513"/>
    <m/>
    <n v="442.90322580645159"/>
    <n v="422.19354838709677"/>
    <n v="20.70967741935484"/>
    <n v="265.72580645161293"/>
    <n v="0"/>
    <n v="25"/>
    <n v="0"/>
    <n v="49.16"/>
    <n v="9.6999999999999993"/>
    <n v="8.5"/>
    <n v="4.6758922068463223E-2"/>
    <n v="0.99160000000000004"/>
    <n v="0.59996358339402767"/>
    <n v="0.92359999999999998"/>
    <m/>
    <m/>
    <m/>
    <m/>
    <m/>
    <m/>
    <n v="5"/>
    <n v="0.14285714285714285"/>
    <n v="1950"/>
  </r>
  <r>
    <x v="498"/>
    <x v="0"/>
    <m/>
    <x v="0"/>
    <n v="44"/>
    <n v="41"/>
    <n v="3"/>
    <s v="2 c. bovis + 1 abscesses in both kidneys"/>
    <n v="18070"/>
    <n v="17155"/>
    <n v="915"/>
    <x v="514"/>
    <m/>
    <n v="440.73170731707319"/>
    <n v="418.41463414634148"/>
    <n v="22.317073170731707"/>
    <n v="264.42195121951215"/>
    <n v="0"/>
    <n v="25"/>
    <n v="0"/>
    <n v="49.76"/>
    <n v="10"/>
    <n v="8.5"/>
    <n v="5.0636413945766463E-2"/>
    <n v="0.99760000000000004"/>
    <n v="0.59996126175982289"/>
    <n v="0.93259999999999987"/>
    <m/>
    <m/>
    <m/>
    <m/>
    <m/>
    <m/>
    <n v="7"/>
    <n v="0.15909090909090909"/>
    <n v="1508"/>
  </r>
  <r>
    <x v="499"/>
    <x v="0"/>
    <m/>
    <x v="14"/>
    <n v="34"/>
    <n v="34"/>
    <n v="0"/>
    <m/>
    <n v="17365"/>
    <n v="16680"/>
    <n v="685"/>
    <x v="515"/>
    <m/>
    <n v="510.73529411764707"/>
    <n v="490.58823529411762"/>
    <n v="20.147058823529413"/>
    <n v="309.09117647058827"/>
    <n v="0"/>
    <n v="25"/>
    <n v="0"/>
    <n v="49.71"/>
    <n v="10"/>
    <n v="8.5"/>
    <n v="3.9447163835300891E-2"/>
    <n v="0.99709999999999999"/>
    <n v="0.60518859775410305"/>
    <n v="0.93210000000000004"/>
    <m/>
    <m/>
    <m/>
    <m/>
    <m/>
    <m/>
    <n v="9"/>
    <n v="0.26470588235294118"/>
    <n v="0"/>
  </r>
  <r>
    <x v="500"/>
    <x v="0"/>
    <m/>
    <x v="5"/>
    <n v="39"/>
    <n v="38"/>
    <n v="1"/>
    <s v="1 c. bovis"/>
    <n v="16529"/>
    <n v="15506"/>
    <n v="1023"/>
    <x v="516"/>
    <m/>
    <n v="434.9736842105263"/>
    <n v="408.05263157894734"/>
    <n v="26.921052631578949"/>
    <n v="266.11315789473684"/>
    <n v="0"/>
    <n v="25"/>
    <n v="0"/>
    <n v="49.59"/>
    <n v="10"/>
    <n v="8.5"/>
    <n v="6.1891221489503302E-2"/>
    <n v="0.99590000000000001"/>
    <n v="0.61179139693871376"/>
    <n v="0.93090000000000006"/>
    <m/>
    <m/>
    <m/>
    <m/>
    <m/>
    <m/>
    <n v="2"/>
    <n v="5.128205128205128E-2"/>
    <n v="437"/>
  </r>
  <r>
    <x v="501"/>
    <x v="0"/>
    <m/>
    <x v="8"/>
    <n v="18"/>
    <n v="15"/>
    <n v="3"/>
    <s v="3 c. bovis in the heart"/>
    <n v="6428"/>
    <n v="6230"/>
    <n v="198"/>
    <x v="517"/>
    <m/>
    <n v="428.53333333333336"/>
    <n v="415.33333333333331"/>
    <n v="13.2"/>
    <n v="257.11333333333334"/>
    <n v="0"/>
    <n v="25"/>
    <n v="0"/>
    <n v="49.67"/>
    <n v="10"/>
    <n v="8.5"/>
    <n v="3.0802738021157433E-2"/>
    <n v="0.99670000000000003"/>
    <n v="0.59998444306160548"/>
    <n v="0.93169999999999997"/>
    <m/>
    <m/>
    <m/>
    <m/>
    <m/>
    <m/>
    <n v="5"/>
    <n v="0.27777777777777779"/>
    <n v="1496"/>
  </r>
  <r>
    <x v="501"/>
    <x v="0"/>
    <m/>
    <x v="18"/>
    <n v="16"/>
    <n v="16"/>
    <n v="0"/>
    <m/>
    <n v="6730"/>
    <n v="6685"/>
    <n v="45"/>
    <x v="518"/>
    <m/>
    <n v="420.625"/>
    <n v="417.8125"/>
    <n v="2.8125"/>
    <n v="252.38749999999999"/>
    <n v="0"/>
    <n v="25"/>
    <n v="0"/>
    <n v="49.56"/>
    <n v="10"/>
    <n v="8.5"/>
    <n v="6.6864784546805346E-3"/>
    <n v="0.99560000000000004"/>
    <n v="0.60002971768202074"/>
    <n v="0.93059999999999998"/>
    <m/>
    <m/>
    <m/>
    <m/>
    <m/>
    <m/>
    <n v="3"/>
    <n v="0.1875"/>
    <n v="8"/>
  </r>
  <r>
    <x v="502"/>
    <x v="0"/>
    <m/>
    <x v="0"/>
    <n v="40"/>
    <n v="33"/>
    <n v="7"/>
    <s v="7 c. bovis in the heart"/>
    <n v="14748"/>
    <n v="13480"/>
    <n v="1268"/>
    <x v="519"/>
    <m/>
    <n v="446.90909090909093"/>
    <n v="408.4848484848485"/>
    <n v="38.424242424242422"/>
    <n v="268.13939393939393"/>
    <n v="0"/>
    <n v="25"/>
    <n v="0"/>
    <n v="49.64"/>
    <n v="10"/>
    <n v="8.5"/>
    <n v="8.5977759696229991E-2"/>
    <n v="0.99639999999999995"/>
    <n v="0.59998643883916469"/>
    <n v="0.93140000000000001"/>
    <m/>
    <m/>
    <m/>
    <m/>
    <m/>
    <m/>
    <n v="16"/>
    <n v="0.4"/>
    <n v="3605"/>
  </r>
  <r>
    <x v="503"/>
    <x v="1"/>
    <m/>
    <x v="1"/>
    <n v="25"/>
    <n v="25"/>
    <n v="0"/>
    <m/>
    <n v="1258"/>
    <n v="1245"/>
    <n v="13"/>
    <x v="520"/>
    <m/>
    <n v="50.32"/>
    <n v="49.8"/>
    <n v="0.52"/>
    <n v="29.384"/>
    <n v="0"/>
    <n v="25"/>
    <n v="0"/>
    <n v="48.96"/>
    <n v="10"/>
    <n v="8.5"/>
    <n v="1.0333863275039747E-2"/>
    <n v="0.98960000000000004"/>
    <n v="0.58394276629570752"/>
    <n v="0.92460000000000009"/>
    <m/>
    <m/>
    <m/>
    <m/>
    <m/>
    <m/>
    <n v="0"/>
    <n v="0"/>
    <n v="1"/>
  </r>
  <r>
    <x v="503"/>
    <x v="0"/>
    <m/>
    <x v="14"/>
    <n v="34"/>
    <n v="32"/>
    <n v="2"/>
    <s v="2 c. bovis in the heart and head"/>
    <n v="14840"/>
    <n v="14545"/>
    <n v="295"/>
    <x v="521"/>
    <m/>
    <n v="463.75"/>
    <n v="454.53125"/>
    <n v="9.21875"/>
    <n v="283.47812499999998"/>
    <n v="0"/>
    <n v="25"/>
    <n v="0"/>
    <n v="50"/>
    <n v="10"/>
    <n v="8.5"/>
    <n v="1.9878706199460916E-2"/>
    <n v="1"/>
    <n v="0.61127358490566031"/>
    <n v="0.93500000000000005"/>
    <m/>
    <m/>
    <m/>
    <m/>
    <m/>
    <m/>
    <n v="7"/>
    <n v="0.20588235294117646"/>
    <n v="865"/>
  </r>
  <r>
    <x v="504"/>
    <x v="0"/>
    <m/>
    <x v="5"/>
    <n v="42"/>
    <n v="42"/>
    <n v="0"/>
    <m/>
    <n v="19305"/>
    <n v="18026"/>
    <n v="1279"/>
    <x v="522"/>
    <m/>
    <n v="459.64285714285717"/>
    <n v="429.1904761904762"/>
    <n v="30.452380952380953"/>
    <n v="282.77380952380952"/>
    <n v="0"/>
    <n v="25"/>
    <n v="0"/>
    <n v="49.83"/>
    <n v="10"/>
    <n v="8.5"/>
    <n v="6.6252266252266254E-2"/>
    <n v="0.99829999999999997"/>
    <n v="0.61520331520331517"/>
    <n v="0.93330000000000002"/>
    <m/>
    <m/>
    <m/>
    <m/>
    <m/>
    <m/>
    <n v="4"/>
    <n v="9.5238095238095233E-2"/>
    <n v="8"/>
  </r>
  <r>
    <x v="505"/>
    <x v="0"/>
    <m/>
    <x v="8"/>
    <n v="26"/>
    <n v="22"/>
    <n v="4"/>
    <s v="4 c. bovis in the heart"/>
    <n v="9213"/>
    <n v="9012"/>
    <n v="201"/>
    <x v="523"/>
    <m/>
    <n v="418.77272727272725"/>
    <n v="409.63636363636363"/>
    <n v="9.1363636363636367"/>
    <n v="251.2590909090909"/>
    <n v="0"/>
    <n v="25"/>
    <n v="0"/>
    <n v="49.91"/>
    <n v="10"/>
    <n v="8.5"/>
    <n v="2.1816997720612179E-2"/>
    <n v="0.99909999999999999"/>
    <n v="0.59998914577227824"/>
    <n v="0.93409999999999993"/>
    <m/>
    <m/>
    <m/>
    <m/>
    <m/>
    <m/>
    <n v="16"/>
    <n v="0.61538461538461542"/>
    <n v="1948"/>
  </r>
  <r>
    <x v="505"/>
    <x v="0"/>
    <m/>
    <x v="18"/>
    <n v="8"/>
    <n v="7"/>
    <n v="1"/>
    <s v="1 c. bovis"/>
    <n v="2812"/>
    <n v="2732"/>
    <n v="80"/>
    <x v="524"/>
    <m/>
    <n v="401.71428571428572"/>
    <n v="390.28571428571428"/>
    <n v="11.428571428571429"/>
    <n v="241.02857142857144"/>
    <n v="0"/>
    <n v="25"/>
    <n v="0"/>
    <n v="50"/>
    <n v="10"/>
    <n v="8.5"/>
    <n v="2.8449502133712661E-2"/>
    <n v="1"/>
    <n v="0.6"/>
    <n v="0.93500000000000005"/>
    <m/>
    <m/>
    <m/>
    <m/>
    <m/>
    <m/>
    <n v="1"/>
    <n v="0.125"/>
    <n v="338"/>
  </r>
  <r>
    <x v="506"/>
    <x v="0"/>
    <m/>
    <x v="0"/>
    <n v="46"/>
    <n v="45"/>
    <n v="1"/>
    <s v="1 c. bovis"/>
    <n v="21774"/>
    <n v="19748"/>
    <n v="2026"/>
    <x v="525"/>
    <m/>
    <n v="483.86666666666667"/>
    <n v="438.84444444444443"/>
    <n v="45.022222222222226"/>
    <n v="290.31777777777774"/>
    <n v="0"/>
    <n v="25"/>
    <n v="0"/>
    <n v="49.73"/>
    <n v="10"/>
    <n v="8.5"/>
    <n v="9.3046753008174887E-2"/>
    <n v="0.99729999999999996"/>
    <n v="0.59999540736658397"/>
    <n v="0.93229999999999991"/>
    <m/>
    <m/>
    <m/>
    <m/>
    <m/>
    <m/>
    <n v="16"/>
    <n v="0.34782608695652173"/>
    <n v="520.6"/>
  </r>
  <r>
    <x v="507"/>
    <x v="1"/>
    <m/>
    <x v="1"/>
    <n v="25"/>
    <n v="25"/>
    <n v="0"/>
    <m/>
    <n v="1314"/>
    <n v="1295"/>
    <n v="19"/>
    <x v="526"/>
    <m/>
    <n v="52.56"/>
    <n v="51.8"/>
    <n v="0.76"/>
    <n v="30.344000000000001"/>
    <n v="0"/>
    <n v="25"/>
    <n v="0"/>
    <n v="49.44"/>
    <n v="10"/>
    <n v="8.5"/>
    <n v="1.4459665144596651E-2"/>
    <n v="0.99439999999999995"/>
    <n v="0.57732115677321161"/>
    <n v="0.9294"/>
    <m/>
    <m/>
    <m/>
    <m/>
    <m/>
    <m/>
    <n v="0"/>
    <n v="0"/>
    <n v="1"/>
  </r>
  <r>
    <x v="507"/>
    <x v="0"/>
    <m/>
    <x v="9"/>
    <n v="30"/>
    <n v="25"/>
    <n v="5"/>
    <s v="4 c. bovis in the heart + 1 bull older than 3 years"/>
    <n v="11648"/>
    <n v="11274"/>
    <n v="374"/>
    <x v="527"/>
    <m/>
    <n v="465.92"/>
    <n v="450.96"/>
    <n v="14.96"/>
    <n v="279.548"/>
    <n v="0"/>
    <n v="25"/>
    <n v="0"/>
    <n v="44.92"/>
    <n v="10"/>
    <n v="8.5"/>
    <n v="3.2108516483516487E-2"/>
    <n v="0.94920000000000004"/>
    <n v="0.59999141483516483"/>
    <n v="0.88419999999999999"/>
    <m/>
    <m/>
    <m/>
    <m/>
    <m/>
    <m/>
    <n v="9"/>
    <n v="0.3"/>
    <n v="2441.5"/>
  </r>
  <r>
    <x v="508"/>
    <x v="0"/>
    <m/>
    <x v="14"/>
    <n v="38"/>
    <n v="34"/>
    <n v="4"/>
    <s v="3 older than 3 years + 1 c. bovis"/>
    <n v="15533"/>
    <n v="15260"/>
    <n v="273"/>
    <x v="528"/>
    <m/>
    <n v="456.85294117647061"/>
    <n v="448.8235294117647"/>
    <n v="8.0294117647058822"/>
    <n v="274.12058823529412"/>
    <n v="0"/>
    <n v="25"/>
    <n v="0"/>
    <n v="49.44"/>
    <n v="10"/>
    <n v="8.5"/>
    <n v="1.7575484452456061E-2"/>
    <n v="0.99439999999999995"/>
    <n v="0.60001931371917849"/>
    <n v="0.9294"/>
    <m/>
    <m/>
    <m/>
    <m/>
    <m/>
    <m/>
    <n v="9"/>
    <n v="0.23684210526315788"/>
    <n v="1844"/>
  </r>
  <r>
    <x v="509"/>
    <x v="0"/>
    <m/>
    <x v="5"/>
    <n v="30"/>
    <n v="29"/>
    <n v="1"/>
    <s v="1 miliary TB"/>
    <n v="12623"/>
    <n v="12014"/>
    <n v="609"/>
    <x v="529"/>
    <m/>
    <n v="435.27586206896552"/>
    <n v="414.27586206896552"/>
    <n v="21"/>
    <n v="272.26206896551724"/>
    <n v="0"/>
    <n v="25"/>
    <n v="0"/>
    <n v="49.69"/>
    <n v="9.8000000000000007"/>
    <n v="8.5"/>
    <n v="4.8245266576883467E-2"/>
    <n v="0.9968999999999999"/>
    <n v="0.62549314742929574"/>
    <n v="0.92989999999999995"/>
    <m/>
    <m/>
    <m/>
    <m/>
    <m/>
    <m/>
    <n v="6"/>
    <n v="0.2"/>
    <n v="448"/>
  </r>
  <r>
    <x v="510"/>
    <x v="0"/>
    <m/>
    <x v="0"/>
    <n v="48"/>
    <n v="48"/>
    <n v="0"/>
    <m/>
    <n v="23782"/>
    <n v="21880"/>
    <n v="1902"/>
    <x v="530"/>
    <m/>
    <n v="495.45833333333331"/>
    <n v="455.83333333333331"/>
    <n v="39.625"/>
    <n v="297.25624999999997"/>
    <n v="0"/>
    <n v="25"/>
    <n v="0"/>
    <n v="50"/>
    <n v="10"/>
    <n v="8.5"/>
    <n v="7.997645277941301E-2"/>
    <n v="1"/>
    <n v="0.59996215625262805"/>
    <n v="0.93500000000000005"/>
    <m/>
    <m/>
    <m/>
    <m/>
    <m/>
    <m/>
    <n v="10"/>
    <n v="0.20833333333333334"/>
    <n v="3"/>
  </r>
  <r>
    <x v="511"/>
    <x v="1"/>
    <m/>
    <x v="1"/>
    <n v="25"/>
    <n v="25"/>
    <n v="0"/>
    <m/>
    <n v="1227"/>
    <n v="1185"/>
    <n v="42"/>
    <x v="531"/>
    <m/>
    <n v="49.08"/>
    <n v="47.4"/>
    <n v="1.68"/>
    <n v="28.58"/>
    <n v="0"/>
    <n v="25"/>
    <n v="0"/>
    <n v="50"/>
    <n v="10"/>
    <n v="8.5"/>
    <n v="3.4229828850855744E-2"/>
    <n v="1"/>
    <n v="0.58231458842705786"/>
    <n v="0.93500000000000005"/>
    <m/>
    <m/>
    <m/>
    <m/>
    <m/>
    <m/>
    <m/>
    <n v="0"/>
    <m/>
  </r>
  <r>
    <x v="511"/>
    <x v="0"/>
    <m/>
    <x v="14"/>
    <n v="30"/>
    <n v="26"/>
    <n v="4"/>
    <s v="3 c bovis in heart + 1 c. bovis in hindquarter"/>
    <n v="11470"/>
    <n v="11085"/>
    <n v="385"/>
    <x v="532"/>
    <m/>
    <n v="441.15384615384613"/>
    <n v="426.34615384615387"/>
    <n v="14.807692307692308"/>
    <n v="264.69230769230768"/>
    <n v="0"/>
    <n v="25"/>
    <n v="0"/>
    <n v="49.73"/>
    <n v="10"/>
    <n v="8.5"/>
    <n v="3.3565823888404539E-2"/>
    <n v="0.99729999999999996"/>
    <n v="0.6"/>
    <n v="0.93229999999999991"/>
    <m/>
    <m/>
    <m/>
    <m/>
    <m/>
    <m/>
    <n v="6"/>
    <n v="0.2"/>
    <n v="1891"/>
  </r>
  <r>
    <x v="512"/>
    <x v="0"/>
    <m/>
    <x v="5"/>
    <n v="44"/>
    <n v="44"/>
    <n v="0"/>
    <m/>
    <n v="18638"/>
    <n v="17405"/>
    <n v="1233"/>
    <x v="533"/>
    <m/>
    <n v="423.59090909090907"/>
    <n v="395.56818181818181"/>
    <n v="28.022727272727273"/>
    <n v="256.97045454545457"/>
    <n v="0"/>
    <n v="24.4"/>
    <n v="0"/>
    <n v="49.34"/>
    <n v="9.1999999999999993"/>
    <n v="8.5"/>
    <n v="6.6155166863397369E-2"/>
    <n v="0.98140000000000005"/>
    <n v="0.60664770898165044"/>
    <n v="0.9144000000000001"/>
    <m/>
    <m/>
    <m/>
    <m/>
    <m/>
    <m/>
    <n v="9"/>
    <n v="0.20454545454545456"/>
    <n v="5"/>
  </r>
  <r>
    <x v="513"/>
    <x v="0"/>
    <m/>
    <x v="18"/>
    <n v="24"/>
    <n v="21"/>
    <n v="3"/>
    <s v="1 c. bovis in heart + 2 older than 3 years"/>
    <n v="8985"/>
    <n v="8860"/>
    <n v="125"/>
    <x v="534"/>
    <m/>
    <n v="427.85714285714283"/>
    <n v="421.90476190476193"/>
    <n v="5.9523809523809526"/>
    <n v="256.70952380952377"/>
    <n v="0"/>
    <n v="25"/>
    <n v="0"/>
    <n v="50"/>
    <n v="10"/>
    <n v="8.5"/>
    <n v="1.3912075681691709E-2"/>
    <n v="1"/>
    <n v="0.59998887033945458"/>
    <n v="0.93500000000000005"/>
    <m/>
    <m/>
    <m/>
    <m/>
    <m/>
    <m/>
    <n v="2"/>
    <n v="8.3333333333333329E-2"/>
    <n v="1420"/>
  </r>
  <r>
    <x v="513"/>
    <x v="0"/>
    <m/>
    <x v="8"/>
    <n v="21"/>
    <n v="19"/>
    <n v="2"/>
    <s v="2 c. bovis in the heart"/>
    <n v="7532"/>
    <n v="7429"/>
    <n v="103"/>
    <x v="535"/>
    <m/>
    <n v="396.42105263157896"/>
    <n v="391"/>
    <n v="5.4210526315789478"/>
    <n v="237.86842105263159"/>
    <n v="0"/>
    <n v="25"/>
    <n v="0"/>
    <n v="50"/>
    <n v="10"/>
    <n v="8.5"/>
    <n v="1.3674986723313862E-2"/>
    <n v="1"/>
    <n v="0.60003983005841743"/>
    <n v="0.93500000000000005"/>
    <m/>
    <m/>
    <m/>
    <m/>
    <m/>
    <m/>
    <n v="2"/>
    <n v="9.5238095238095233E-2"/>
    <n v="881"/>
  </r>
  <r>
    <x v="514"/>
    <x v="0"/>
    <m/>
    <x v="0"/>
    <n v="46"/>
    <n v="45"/>
    <n v="1"/>
    <s v="1 older than 3 years"/>
    <n v="20469"/>
    <n v="19381"/>
    <n v="1088"/>
    <x v="536"/>
    <m/>
    <n v="454.86666666666667"/>
    <n v="430.68888888888887"/>
    <n v="24.177777777777777"/>
    <n v="272.93555555555554"/>
    <n v="0"/>
    <n v="25"/>
    <n v="0"/>
    <n v="49.78"/>
    <n v="10"/>
    <n v="8.5"/>
    <n v="5.3153549269627239E-2"/>
    <n v="0.99780000000000002"/>
    <n v="0.60003419805559632"/>
    <n v="0.93279999999999996"/>
    <m/>
    <m/>
    <m/>
    <m/>
    <m/>
    <m/>
    <n v="16"/>
    <n v="0.34782608695652173"/>
    <n v="444"/>
  </r>
  <r>
    <x v="515"/>
    <x v="1"/>
    <m/>
    <x v="1"/>
    <n v="30"/>
    <n v="30"/>
    <n v="0"/>
    <m/>
    <n v="1471"/>
    <n v="1471"/>
    <n v="0"/>
    <x v="537"/>
    <m/>
    <n v="49.033333333333331"/>
    <n v="49.033333333333331"/>
    <n v="0"/>
    <n v="29.2"/>
    <n v="0"/>
    <n v="25"/>
    <n v="0"/>
    <n v="49.77"/>
    <n v="10"/>
    <n v="8.5"/>
    <n v="0"/>
    <n v="0.99770000000000003"/>
    <n v="0.59551325628823926"/>
    <n v="0.93270000000000008"/>
    <m/>
    <m/>
    <m/>
    <m/>
    <m/>
    <m/>
    <m/>
    <n v="0"/>
    <n v="1"/>
  </r>
  <r>
    <x v="515"/>
    <x v="0"/>
    <m/>
    <x v="14"/>
    <n v="42"/>
    <n v="40"/>
    <n v="2"/>
    <s v="1 tb + 1 c. bovis in the heart"/>
    <n v="18345"/>
    <n v="18345"/>
    <n v="0"/>
    <x v="538"/>
    <m/>
    <n v="458.625"/>
    <n v="458.625"/>
    <n v="0"/>
    <n v="278.01750000000004"/>
    <n v="0"/>
    <n v="25"/>
    <n v="0"/>
    <n v="50"/>
    <n v="10"/>
    <n v="8.5"/>
    <n v="0"/>
    <n v="1"/>
    <n v="0.60619787408013082"/>
    <n v="0.93500000000000005"/>
    <m/>
    <m/>
    <m/>
    <m/>
    <m/>
    <m/>
    <n v="18"/>
    <n v="0.42857142857142855"/>
    <n v="918"/>
  </r>
  <r>
    <x v="516"/>
    <x v="1"/>
    <m/>
    <x v="1"/>
    <n v="37"/>
    <n v="37"/>
    <n v="0"/>
    <m/>
    <n v="1859"/>
    <n v="1859"/>
    <n v="0"/>
    <x v="539"/>
    <m/>
    <n v="50.243243243243242"/>
    <n v="50.243243243243242"/>
    <n v="0"/>
    <n v="29.405405405405407"/>
    <n v="0"/>
    <n v="25"/>
    <n v="0"/>
    <n v="49.57"/>
    <n v="10"/>
    <n v="8.5"/>
    <n v="0"/>
    <n v="0.99570000000000003"/>
    <n v="0.58526089295320061"/>
    <n v="0.93069999999999997"/>
    <m/>
    <m/>
    <m/>
    <m/>
    <m/>
    <m/>
    <m/>
    <n v="0"/>
    <n v="2"/>
  </r>
  <r>
    <x v="516"/>
    <x v="0"/>
    <m/>
    <x v="0"/>
    <n v="32"/>
    <n v="32"/>
    <n v="0"/>
    <m/>
    <n v="12699"/>
    <n v="12699"/>
    <n v="0"/>
    <x v="540"/>
    <m/>
    <n v="396.84375"/>
    <n v="396.84375"/>
    <n v="0"/>
    <n v="238.11250000000001"/>
    <n v="0"/>
    <n v="25"/>
    <n v="0"/>
    <n v="49.81"/>
    <n v="10"/>
    <n v="8.5"/>
    <n v="0"/>
    <n v="0.99809999999999999"/>
    <n v="0.60001574927159618"/>
    <n v="0.93310000000000004"/>
    <m/>
    <m/>
    <m/>
    <m/>
    <m/>
    <m/>
    <n v="4"/>
    <n v="0.125"/>
    <n v="1"/>
  </r>
  <r>
    <x v="517"/>
    <x v="1"/>
    <m/>
    <x v="1"/>
    <n v="40"/>
    <n v="40"/>
    <n v="0"/>
    <m/>
    <n v="1814"/>
    <n v="1814"/>
    <n v="0"/>
    <x v="541"/>
    <m/>
    <n v="45.35"/>
    <n v="45.35"/>
    <n v="0"/>
    <n v="26.0825"/>
    <n v="0"/>
    <n v="25"/>
    <n v="0"/>
    <n v="49.6"/>
    <n v="10"/>
    <n v="8.5"/>
    <n v="0"/>
    <n v="0.996"/>
    <n v="0.57513781697905175"/>
    <n v="0.93099999999999994"/>
    <m/>
    <m/>
    <m/>
    <m/>
    <m/>
    <m/>
    <m/>
    <n v="0"/>
    <n v="2"/>
  </r>
  <r>
    <x v="517"/>
    <x v="0"/>
    <m/>
    <x v="5"/>
    <n v="42"/>
    <n v="40"/>
    <n v="2"/>
    <s v="2 c. bovis in the hearts"/>
    <n v="17475"/>
    <n v="17475"/>
    <n v="0"/>
    <x v="542"/>
    <m/>
    <n v="436.875"/>
    <n v="436.875"/>
    <n v="0"/>
    <n v="275.18"/>
    <n v="0"/>
    <n v="25"/>
    <n v="0"/>
    <n v="50"/>
    <n v="10"/>
    <n v="8.5"/>
    <n v="0"/>
    <n v="1"/>
    <n v="0.62988268955650939"/>
    <n v="0.93500000000000005"/>
    <m/>
    <m/>
    <m/>
    <m/>
    <m/>
    <m/>
    <n v="9"/>
    <n v="0.21428571428571427"/>
    <n v="807"/>
  </r>
  <r>
    <x v="518"/>
    <x v="1"/>
    <m/>
    <x v="1"/>
    <n v="60"/>
    <n v="60"/>
    <n v="0"/>
    <m/>
    <n v="2919"/>
    <n v="2919"/>
    <n v="0"/>
    <x v="543"/>
    <m/>
    <n v="48.65"/>
    <n v="48.65"/>
    <n v="0"/>
    <n v="28.561666666666667"/>
    <n v="0"/>
    <n v="25"/>
    <n v="0"/>
    <n v="49.6"/>
    <n v="10"/>
    <n v="8.5"/>
    <n v="0"/>
    <n v="0.996"/>
    <n v="0.58708461801986989"/>
    <n v="0.93099999999999994"/>
    <m/>
    <m/>
    <m/>
    <m/>
    <m/>
    <m/>
    <m/>
    <n v="0"/>
    <n v="2"/>
  </r>
  <r>
    <x v="518"/>
    <x v="0"/>
    <m/>
    <x v="5"/>
    <n v="39"/>
    <n v="38"/>
    <n v="1"/>
    <s v="1 c. bovis in heart "/>
    <n v="17003"/>
    <n v="17003"/>
    <n v="0"/>
    <x v="544"/>
    <m/>
    <n v="447.44736842105266"/>
    <n v="447.44736842105266"/>
    <n v="0"/>
    <n v="278.99736842105261"/>
    <n v="0"/>
    <n v="25"/>
    <n v="0"/>
    <n v="50"/>
    <n v="10"/>
    <n v="8.5"/>
    <n v="0"/>
    <n v="1"/>
    <n v="0.62353114156325351"/>
    <n v="0.93500000000000005"/>
    <m/>
    <m/>
    <m/>
    <m/>
    <m/>
    <m/>
    <n v="4"/>
    <n v="0.10256410256410256"/>
    <n v="437"/>
  </r>
  <r>
    <x v="519"/>
    <x v="1"/>
    <m/>
    <x v="1"/>
    <n v="61"/>
    <n v="61"/>
    <n v="0"/>
    <m/>
    <n v="2876"/>
    <n v="2876"/>
    <n v="0"/>
    <x v="545"/>
    <m/>
    <n v="47.147540983606561"/>
    <n v="47.147540983606561"/>
    <n v="0"/>
    <n v="27.878688524590164"/>
    <n v="0"/>
    <n v="25"/>
    <n v="0"/>
    <n v="49.62"/>
    <n v="10"/>
    <n v="8.5"/>
    <n v="0"/>
    <n v="0.99619999999999997"/>
    <n v="0.59130737134909594"/>
    <n v="0.93120000000000003"/>
    <m/>
    <m/>
    <m/>
    <m/>
    <m/>
    <m/>
    <m/>
    <n v="0"/>
    <n v="3"/>
  </r>
  <r>
    <x v="519"/>
    <x v="0"/>
    <m/>
    <x v="0"/>
    <n v="52"/>
    <n v="50"/>
    <n v="2"/>
    <s v="1 c. bovis in the heart + 1 tb "/>
    <n v="22123"/>
    <n v="22123"/>
    <n v="0"/>
    <x v="546"/>
    <m/>
    <n v="442.46"/>
    <n v="442.46"/>
    <n v="0"/>
    <n v="265.48599999999999"/>
    <n v="0"/>
    <n v="24.2"/>
    <n v="0"/>
    <n v="49.6"/>
    <n v="10"/>
    <n v="8.5"/>
    <n v="0"/>
    <n v="0.98"/>
    <n v="0.60002260091307691"/>
    <n v="0.92299999999999993"/>
    <m/>
    <m/>
    <m/>
    <m/>
    <m/>
    <m/>
    <n v="10"/>
    <n v="0.19230769230769232"/>
    <n v="933"/>
  </r>
  <r>
    <x v="520"/>
    <x v="1"/>
    <m/>
    <x v="1"/>
    <n v="57"/>
    <n v="57"/>
    <n v="0"/>
    <m/>
    <n v="2592"/>
    <n v="2592"/>
    <n v="0"/>
    <x v="547"/>
    <m/>
    <n v="45.473684210526315"/>
    <n v="45.473684210526315"/>
    <n v="0"/>
    <n v="26.847368421052632"/>
    <n v="0"/>
    <n v="25"/>
    <n v="0"/>
    <n v="49.58"/>
    <n v="10"/>
    <n v="8.5"/>
    <n v="0"/>
    <n v="0.99580000000000002"/>
    <n v="0.59039351851851851"/>
    <n v="0.93079999999999996"/>
    <m/>
    <m/>
    <m/>
    <m/>
    <m/>
    <m/>
    <m/>
    <n v="0"/>
    <n v="2"/>
  </r>
  <r>
    <x v="520"/>
    <x v="0"/>
    <m/>
    <x v="14"/>
    <n v="31"/>
    <n v="30"/>
    <n v="1"/>
    <s v="1 c. bovis in heart "/>
    <n v="14296"/>
    <n v="14296"/>
    <n v="0"/>
    <x v="548"/>
    <m/>
    <n v="476.53333333333336"/>
    <n v="476.53333333333336"/>
    <n v="0"/>
    <n v="289.57666666666665"/>
    <n v="0"/>
    <n v="25"/>
    <n v="0"/>
    <n v="49.77"/>
    <n v="10"/>
    <n v="8.5"/>
    <n v="0"/>
    <n v="0.99770000000000003"/>
    <n v="0.60767347509792946"/>
    <n v="0.93270000000000008"/>
    <m/>
    <m/>
    <m/>
    <m/>
    <m/>
    <m/>
    <n v="3"/>
    <n v="9.6774193548387094E-2"/>
    <n v="415"/>
  </r>
  <r>
    <x v="521"/>
    <x v="1"/>
    <m/>
    <x v="1"/>
    <n v="70"/>
    <n v="70"/>
    <n v="0"/>
    <m/>
    <n v="3192"/>
    <n v="3192"/>
    <n v="0"/>
    <x v="549"/>
    <m/>
    <n v="45.6"/>
    <n v="45.6"/>
    <n v="0"/>
    <n v="26.814285714285713"/>
    <n v="0"/>
    <n v="24.9"/>
    <n v="0"/>
    <n v="49.53"/>
    <n v="10"/>
    <n v="8.5"/>
    <n v="0"/>
    <n v="0.99330000000000007"/>
    <n v="0.58803258145363413"/>
    <n v="0.92930000000000001"/>
    <m/>
    <m/>
    <m/>
    <m/>
    <m/>
    <m/>
    <n v="5"/>
    <n v="7.1428571428571425E-2"/>
    <n v="3"/>
  </r>
  <r>
    <x v="521"/>
    <x v="0"/>
    <m/>
    <x v="5"/>
    <n v="50"/>
    <n v="50"/>
    <n v="0"/>
    <m/>
    <n v="21786"/>
    <n v="21786"/>
    <n v="0"/>
    <x v="550"/>
    <m/>
    <n v="435.72"/>
    <n v="435.72"/>
    <n v="0"/>
    <n v="274.26599999999996"/>
    <n v="0"/>
    <n v="25"/>
    <n v="0"/>
    <n v="50"/>
    <n v="9.9"/>
    <n v="8.5"/>
    <n v="0"/>
    <n v="1"/>
    <n v="0.62945469567612222"/>
    <n v="0.93400000000000005"/>
    <m/>
    <m/>
    <m/>
    <m/>
    <m/>
    <m/>
    <n v="12"/>
    <n v="0.24"/>
    <m/>
  </r>
  <r>
    <x v="522"/>
    <x v="1"/>
    <m/>
    <x v="1"/>
    <n v="85"/>
    <n v="85"/>
    <n v="0"/>
    <m/>
    <n v="3800"/>
    <n v="3800"/>
    <n v="0"/>
    <x v="551"/>
    <m/>
    <n v="44.705882352941174"/>
    <n v="44.705882352941174"/>
    <n v="0"/>
    <n v="25.91411764705882"/>
    <n v="0"/>
    <n v="25"/>
    <n v="0"/>
    <n v="49.59"/>
    <n v="10"/>
    <n v="8.5"/>
    <n v="0"/>
    <n v="0.99590000000000001"/>
    <n v="0.57965789473684204"/>
    <n v="0.93090000000000006"/>
    <m/>
    <m/>
    <m/>
    <m/>
    <m/>
    <m/>
    <m/>
    <n v="0"/>
    <n v="4"/>
  </r>
  <r>
    <x v="522"/>
    <x v="0"/>
    <m/>
    <x v="0"/>
    <n v="50"/>
    <n v="50"/>
    <n v="0"/>
    <m/>
    <n v="20113"/>
    <n v="20113"/>
    <n v="0"/>
    <x v="552"/>
    <m/>
    <n v="402.26"/>
    <n v="402.26"/>
    <n v="0"/>
    <n v="241.37200000000001"/>
    <n v="0"/>
    <n v="24.1"/>
    <n v="0"/>
    <n v="49.5"/>
    <n v="10"/>
    <n v="8.5"/>
    <n v="0"/>
    <n v="0.97700000000000009"/>
    <n v="0.60003977526972607"/>
    <n v="0.92099999999999993"/>
    <m/>
    <m/>
    <m/>
    <m/>
    <m/>
    <m/>
    <n v="20"/>
    <n v="0.4"/>
    <m/>
  </r>
  <r>
    <x v="523"/>
    <x v="1"/>
    <m/>
    <x v="1"/>
    <n v="83"/>
    <n v="83"/>
    <n v="0"/>
    <m/>
    <n v="3738"/>
    <n v="3738"/>
    <n v="0"/>
    <x v="553"/>
    <m/>
    <n v="45.036144578313255"/>
    <n v="45.036144578313255"/>
    <n v="0"/>
    <n v="25.890361445783135"/>
    <n v="0"/>
    <n v="25"/>
    <n v="0"/>
    <n v="49.22"/>
    <n v="10"/>
    <n v="8.5"/>
    <n v="0"/>
    <n v="0.99219999999999997"/>
    <n v="0.57487961476725524"/>
    <n v="0.92720000000000002"/>
    <m/>
    <m/>
    <m/>
    <m/>
    <m/>
    <m/>
    <m/>
    <n v="0"/>
    <n v="13"/>
  </r>
  <r>
    <x v="523"/>
    <x v="0"/>
    <m/>
    <x v="5"/>
    <n v="40"/>
    <n v="40"/>
    <n v="0"/>
    <m/>
    <n v="16994"/>
    <n v="16994"/>
    <n v="0"/>
    <x v="554"/>
    <m/>
    <n v="424.85"/>
    <n v="424.85"/>
    <n v="0"/>
    <n v="260.40749999999997"/>
    <n v="0"/>
    <n v="25"/>
    <n v="0"/>
    <n v="49.83"/>
    <n v="10"/>
    <n v="8.5"/>
    <n v="0"/>
    <n v="0.99829999999999997"/>
    <n v="0.61293986112745669"/>
    <n v="0.93330000000000002"/>
    <m/>
    <m/>
    <m/>
    <m/>
    <m/>
    <m/>
    <n v="3"/>
    <n v="7.4999999999999997E-2"/>
    <n v="7"/>
  </r>
  <r>
    <x v="524"/>
    <x v="1"/>
    <m/>
    <x v="1"/>
    <n v="70"/>
    <n v="70"/>
    <n v="0"/>
    <m/>
    <n v="3227"/>
    <n v="3227"/>
    <n v="0"/>
    <x v="555"/>
    <m/>
    <n v="46.1"/>
    <n v="46.1"/>
    <n v="0"/>
    <n v="27.184285714285714"/>
    <n v="0"/>
    <n v="25"/>
    <n v="0"/>
    <n v="49.7"/>
    <n v="10"/>
    <n v="8.5"/>
    <n v="0"/>
    <n v="0.99700000000000011"/>
    <n v="0.58968081809730399"/>
    <n v="0.93200000000000005"/>
    <m/>
    <m/>
    <m/>
    <m/>
    <m/>
    <m/>
    <m/>
    <n v="0"/>
    <n v="2"/>
  </r>
  <r>
    <x v="524"/>
    <x v="0"/>
    <m/>
    <x v="0"/>
    <n v="44"/>
    <n v="43"/>
    <n v="1"/>
    <s v="1 c. bovis in heart "/>
    <n v="17770"/>
    <n v="17770"/>
    <n v="0"/>
    <x v="556"/>
    <m/>
    <n v="413.25581395348837"/>
    <n v="413.25581395348837"/>
    <n v="0"/>
    <n v="247.93953488372091"/>
    <n v="0"/>
    <n v="25"/>
    <n v="0"/>
    <n v="49.84"/>
    <n v="10"/>
    <n v="8.5"/>
    <n v="0"/>
    <n v="0.99839999999999995"/>
    <n v="0.59996623522791215"/>
    <n v="0.93340000000000001"/>
    <m/>
    <m/>
    <m/>
    <m/>
    <m/>
    <m/>
    <n v="9"/>
    <n v="0.20454545454545456"/>
    <n v="507"/>
  </r>
  <r>
    <x v="525"/>
    <x v="0"/>
    <m/>
    <x v="5"/>
    <n v="52"/>
    <n v="52"/>
    <n v="0"/>
    <m/>
    <n v="21819"/>
    <n v="21819"/>
    <n v="0"/>
    <x v="557"/>
    <m/>
    <n v="419.59615384615387"/>
    <n v="419.59615384615387"/>
    <n v="0"/>
    <n v="255.89423076923077"/>
    <n v="0"/>
    <n v="25"/>
    <n v="0"/>
    <n v="50"/>
    <n v="10"/>
    <n v="8"/>
    <n v="0"/>
    <n v="1"/>
    <n v="0.60985838031073836"/>
    <n v="0.93"/>
    <m/>
    <m/>
    <m/>
    <m/>
    <m/>
    <m/>
    <n v="9"/>
    <n v="0.17307692307692307"/>
    <m/>
  </r>
  <r>
    <x v="526"/>
    <x v="0"/>
    <m/>
    <x v="8"/>
    <n v="8"/>
    <n v="8"/>
    <n v="0"/>
    <m/>
    <n v="3380"/>
    <n v="3320"/>
    <n v="60"/>
    <x v="558"/>
    <m/>
    <n v="422.5"/>
    <n v="415"/>
    <n v="7.5"/>
    <n v="253.53749999999999"/>
    <n v="0"/>
    <n v="23.8"/>
    <n v="0"/>
    <n v="50"/>
    <n v="10"/>
    <n v="8.5"/>
    <n v="1.7751479289940829E-2"/>
    <n v="0.97599999999999998"/>
    <n v="0.60008875739644973"/>
    <n v="0.92299999999999993"/>
    <m/>
    <m/>
    <m/>
    <m/>
    <m/>
    <m/>
    <n v="1"/>
    <n v="0.125"/>
    <m/>
  </r>
  <r>
    <x v="527"/>
    <x v="0"/>
    <m/>
    <x v="0"/>
    <n v="32"/>
    <n v="31"/>
    <n v="1"/>
    <s v="1 c. bovis in heart "/>
    <n v="12285"/>
    <n v="11719"/>
    <n v="566"/>
    <x v="559"/>
    <m/>
    <n v="396.29032258064518"/>
    <n v="378.03225806451616"/>
    <n v="18.258064516129032"/>
    <n v="237.78064516129032"/>
    <n v="0"/>
    <n v="25"/>
    <n v="0"/>
    <n v="50"/>
    <n v="10"/>
    <n v="8.5"/>
    <n v="4.6072446072446073E-2"/>
    <n v="1"/>
    <n v="0.60001628001628005"/>
    <n v="0.93500000000000005"/>
    <m/>
    <m/>
    <m/>
    <m/>
    <m/>
    <m/>
    <n v="15"/>
    <n v="0.46875"/>
    <n v="371"/>
  </r>
  <r>
    <x v="528"/>
    <x v="0"/>
    <m/>
    <x v="14"/>
    <n v="39"/>
    <n v="39"/>
    <n v="0"/>
    <m/>
    <n v="15689"/>
    <n v="15689"/>
    <n v="0"/>
    <x v="560"/>
    <m/>
    <n v="402.28205128205127"/>
    <n v="402.28205128205127"/>
    <n v="0"/>
    <n v="241.35897435897436"/>
    <n v="0"/>
    <n v="21.8"/>
    <n v="0"/>
    <n v="47"/>
    <n v="10"/>
    <n v="8.5"/>
    <n v="0"/>
    <n v="0.90599999999999992"/>
    <n v="0.59997450442985534"/>
    <n v="0.873"/>
    <m/>
    <m/>
    <m/>
    <m/>
    <m/>
    <m/>
    <n v="25"/>
    <n v="0.64102564102564108"/>
    <m/>
  </r>
  <r>
    <x v="529"/>
    <x v="0"/>
    <m/>
    <x v="0"/>
    <n v="50"/>
    <n v="45"/>
    <n v="5"/>
    <s v="2 c. bovis in the heart + 1 antibiotic residues + 2 older than 3 years"/>
    <n v="16733"/>
    <n v="16615"/>
    <n v="118"/>
    <x v="561"/>
    <m/>
    <n v="371.84444444444443"/>
    <n v="369.22222222222223"/>
    <n v="2.6222222222222222"/>
    <n v="223.09333333333336"/>
    <n v="0"/>
    <n v="25"/>
    <n v="0"/>
    <n v="49.63"/>
    <n v="10"/>
    <n v="8.5"/>
    <n v="7.051933305444332E-3"/>
    <n v="0.99629999999999996"/>
    <n v="0.59996414271200627"/>
    <n v="0.93129999999999991"/>
    <m/>
    <m/>
    <m/>
    <m/>
    <m/>
    <m/>
    <n v="10"/>
    <n v="0.2"/>
    <n v="1780"/>
  </r>
  <r>
    <x v="530"/>
    <x v="0"/>
    <m/>
    <x v="14"/>
    <n v="40"/>
    <n v="40"/>
    <n v="0"/>
    <m/>
    <n v="17336"/>
    <n v="17336"/>
    <n v="0"/>
    <x v="562"/>
    <m/>
    <n v="433.4"/>
    <n v="433.4"/>
    <n v="0"/>
    <n v="260.04000000000002"/>
    <n v="0"/>
    <n v="20.5"/>
    <n v="0"/>
    <n v="47"/>
    <n v="10"/>
    <n v="8.5"/>
    <n v="0"/>
    <n v="0.87999999999999989"/>
    <n v="0.6"/>
    <n v="0.86"/>
    <m/>
    <m/>
    <m/>
    <m/>
    <m/>
    <m/>
    <n v="36"/>
    <n v="0.9"/>
    <m/>
  </r>
  <r>
    <x v="531"/>
    <x v="0"/>
    <m/>
    <x v="8"/>
    <n v="16"/>
    <n v="13"/>
    <n v="3"/>
    <s v="3 c. bovis in heart "/>
    <n v="5515"/>
    <n v="5365"/>
    <n v="150"/>
    <x v="563"/>
    <m/>
    <n v="424.23076923076923"/>
    <n v="412.69230769230768"/>
    <n v="11.538461538461538"/>
    <n v="254.52307692307693"/>
    <n v="0"/>
    <n v="24.7"/>
    <n v="0"/>
    <n v="49"/>
    <n v="10"/>
    <n v="7"/>
    <n v="2.7198549410698096E-2"/>
    <n v="0.98399999999999999"/>
    <n v="0.59996373526745239"/>
    <n v="0.90700000000000003"/>
    <m/>
    <m/>
    <m/>
    <m/>
    <m/>
    <m/>
    <n v="5"/>
    <n v="0.3125"/>
    <n v="1065"/>
  </r>
  <r>
    <x v="531"/>
    <x v="0"/>
    <m/>
    <x v="0"/>
    <n v="16"/>
    <n v="15"/>
    <n v="1"/>
    <s v="1 c. bovis in heart "/>
    <n v="5061"/>
    <n v="4979"/>
    <n v="82"/>
    <x v="564"/>
    <m/>
    <n v="337.4"/>
    <n v="331.93333333333334"/>
    <n v="5.4666666666666668"/>
    <n v="202.44666666666666"/>
    <n v="0"/>
    <n v="25"/>
    <n v="0"/>
    <n v="49.81"/>
    <n v="10"/>
    <n v="7"/>
    <n v="1.6202331555028652E-2"/>
    <n v="0.99809999999999999"/>
    <n v="0.60001975894092074"/>
    <n v="0.91810000000000003"/>
    <m/>
    <m/>
    <m/>
    <m/>
    <m/>
    <m/>
    <n v="1"/>
    <n v="6.25E-2"/>
    <n v="366"/>
  </r>
  <r>
    <x v="532"/>
    <x v="0"/>
    <m/>
    <x v="11"/>
    <n v="42"/>
    <n v="23"/>
    <n v="19"/>
    <s v="Antibiotic residues"/>
    <n v="10743.333329999999"/>
    <n v="10743.333329999999"/>
    <n v="0"/>
    <x v="565"/>
    <m/>
    <n v="467.10144913043479"/>
    <n v="467.10144913043479"/>
    <n v="0"/>
    <n v="280.26086956521738"/>
    <n v="0"/>
    <n v="25"/>
    <n v="0"/>
    <n v="47"/>
    <n v="10"/>
    <n v="8.5"/>
    <n v="0"/>
    <n v="0.97"/>
    <n v="0.60000000018616195"/>
    <n v="0.90500000000000003"/>
    <m/>
    <m/>
    <m/>
    <m/>
    <m/>
    <m/>
    <n v="23"/>
    <n v="0.54761904761904767"/>
    <n v="6446"/>
  </r>
  <r>
    <x v="533"/>
    <x v="0"/>
    <m/>
    <x v="14"/>
    <n v="22"/>
    <n v="15"/>
    <n v="7"/>
    <s v="Antibiotic residues"/>
    <n v="6900.6666670000004"/>
    <n v="6900.6666670000004"/>
    <n v="0"/>
    <x v="566"/>
    <m/>
    <n v="460.04444446666668"/>
    <n v="460.04444446666668"/>
    <n v="0"/>
    <n v="276.02666666666664"/>
    <n v="0"/>
    <n v="25"/>
    <n v="0"/>
    <n v="47"/>
    <n v="10"/>
    <n v="8.5"/>
    <n v="0"/>
    <n v="0.97"/>
    <n v="0.59999999997101716"/>
    <n v="0.90500000000000003"/>
    <m/>
    <m/>
    <m/>
    <m/>
    <m/>
    <m/>
    <n v="14"/>
    <n v="0.63636363636363635"/>
    <n v="6348.6133333333328"/>
  </r>
  <r>
    <x v="534"/>
    <x v="1"/>
    <m/>
    <x v="1"/>
    <n v="25"/>
    <n v="25"/>
    <n v="0"/>
    <m/>
    <n v="1254"/>
    <n v="1220"/>
    <n v="34"/>
    <x v="567"/>
    <m/>
    <n v="50.16"/>
    <n v="48.8"/>
    <n v="1.36"/>
    <n v="27.548000000000002"/>
    <n v="0"/>
    <n v="25"/>
    <n v="0"/>
    <n v="49.52"/>
    <n v="10"/>
    <n v="8.5"/>
    <n v="2.7113237639553433E-2"/>
    <n v="0.99520000000000008"/>
    <n v="0.5492025518341308"/>
    <n v="0.93020000000000014"/>
    <s v="1 omentum + 1 heart"/>
    <m/>
    <m/>
    <m/>
    <m/>
    <m/>
    <n v="0"/>
    <n v="0"/>
    <n v="0"/>
  </r>
  <r>
    <x v="534"/>
    <x v="0"/>
    <m/>
    <x v="0"/>
    <n v="49"/>
    <n v="49"/>
    <n v="0"/>
    <m/>
    <n v="17641"/>
    <n v="17485"/>
    <n v="156"/>
    <x v="568"/>
    <m/>
    <n v="360.0204081632653"/>
    <n v="356.83673469387753"/>
    <n v="3.1836734693877551"/>
    <n v="216.02448979591838"/>
    <n v="0"/>
    <n v="25"/>
    <n v="0"/>
    <n v="49.86"/>
    <n v="10"/>
    <n v="8.5"/>
    <n v="8.8430361090641122E-3"/>
    <n v="0.99859999999999993"/>
    <n v="0.6000340116773426"/>
    <n v="0.93359999999999999"/>
    <m/>
    <m/>
    <m/>
    <m/>
    <m/>
    <m/>
    <n v="0"/>
    <n v="0"/>
    <n v="0"/>
  </r>
  <r>
    <x v="534"/>
    <x v="0"/>
    <m/>
    <x v="18"/>
    <n v="9"/>
    <n v="8"/>
    <n v="1"/>
    <s v="1 c. bovis in heart "/>
    <n v="3538"/>
    <n v="3341"/>
    <n v="197"/>
    <x v="569"/>
    <m/>
    <n v="442.25"/>
    <n v="417.625"/>
    <n v="24.625"/>
    <n v="265.375"/>
    <n v="0"/>
    <n v="25"/>
    <n v="0"/>
    <n v="50"/>
    <n v="10"/>
    <n v="8.5"/>
    <n v="5.5681175805539856E-2"/>
    <n v="1"/>
    <n v="0.60005652911249296"/>
    <n v="0.93500000000000005"/>
    <m/>
    <m/>
    <m/>
    <m/>
    <m/>
    <m/>
    <n v="0"/>
    <n v="0"/>
    <n v="359"/>
  </r>
  <r>
    <x v="535"/>
    <x v="0"/>
    <m/>
    <x v="5"/>
    <n v="52"/>
    <n v="49"/>
    <n v="3"/>
    <s v="3 c. bovis in heart "/>
    <n v="20697"/>
    <n v="19438"/>
    <n v="1259"/>
    <x v="570"/>
    <m/>
    <n v="422.38775510204084"/>
    <n v="396.69387755102042"/>
    <n v="25.693877551020407"/>
    <n v="262.75306122448978"/>
    <n v="0"/>
    <n v="25"/>
    <m/>
    <n v="49.96"/>
    <n v="10"/>
    <n v="8.5"/>
    <n v="6.0830071991109819E-2"/>
    <n v="0.99960000000000004"/>
    <n v="0.62206599990336764"/>
    <n v="0.9346000000000001"/>
    <m/>
    <m/>
    <m/>
    <m/>
    <m/>
    <m/>
    <n v="0"/>
    <n v="0"/>
    <n v="1237"/>
  </r>
  <r>
    <x v="536"/>
    <x v="0"/>
    <m/>
    <x v="0"/>
    <n v="41"/>
    <n v="36"/>
    <n v="5"/>
    <s v="5 c. bovis in heart "/>
    <n v="14544"/>
    <n v="13955"/>
    <n v="589"/>
    <x v="571"/>
    <m/>
    <n v="404"/>
    <n v="387.63888888888891"/>
    <n v="16.361111111111111"/>
    <n v="242.40833333333336"/>
    <n v="0"/>
    <n v="25"/>
    <n v="0"/>
    <n v="49.94"/>
    <n v="10"/>
    <n v="8.5"/>
    <n v="4.0497799779978E-2"/>
    <n v="0.99939999999999996"/>
    <n v="0.60002062706270631"/>
    <n v="0.93440000000000001"/>
    <m/>
    <m/>
    <m/>
    <m/>
    <m/>
    <m/>
    <n v="10"/>
    <n v="0.24390243902439024"/>
    <n v="2195"/>
  </r>
  <r>
    <x v="536"/>
    <x v="0"/>
    <m/>
    <x v="7"/>
    <n v="8"/>
    <n v="8"/>
    <n v="0"/>
    <m/>
    <n v="3071"/>
    <n v="2940"/>
    <n v="131"/>
    <x v="572"/>
    <m/>
    <n v="383.875"/>
    <n v="367.5"/>
    <n v="16.375"/>
    <n v="230.36250000000001"/>
    <n v="0"/>
    <n v="25"/>
    <n v="0"/>
    <n v="50"/>
    <n v="10"/>
    <n v="8.5"/>
    <n v="4.2657114946271571E-2"/>
    <n v="1"/>
    <n v="0.60009768804949526"/>
    <n v="0.93500000000000005"/>
    <m/>
    <m/>
    <m/>
    <m/>
    <m/>
    <m/>
    <n v="0"/>
    <n v="0"/>
    <n v="0"/>
  </r>
  <r>
    <x v="537"/>
    <x v="1"/>
    <m/>
    <x v="1"/>
    <n v="30"/>
    <n v="30"/>
    <n v="0"/>
    <m/>
    <n v="1369"/>
    <n v="1330"/>
    <n v="39"/>
    <x v="573"/>
    <m/>
    <n v="45.633333333333333"/>
    <n v="44.333333333333336"/>
    <n v="1.3"/>
    <n v="26.776666666666664"/>
    <n v="0"/>
    <n v="25"/>
    <n v="0"/>
    <n v="49.8"/>
    <n v="10"/>
    <n v="8.5"/>
    <n v="2.8487947406866328E-2"/>
    <n v="0.998"/>
    <n v="0.58677867056245436"/>
    <n v="0.93299999999999994"/>
    <m/>
    <m/>
    <m/>
    <m/>
    <m/>
    <m/>
    <n v="0"/>
    <n v="0"/>
    <n v="0"/>
  </r>
  <r>
    <x v="537"/>
    <x v="0"/>
    <m/>
    <x v="0"/>
    <n v="52"/>
    <n v="51"/>
    <n v="1"/>
    <s v="1 c. bovis in heart "/>
    <n v="18457"/>
    <n v="18260"/>
    <n v="197"/>
    <x v="574"/>
    <m/>
    <n v="361.9019607843137"/>
    <n v="358.03921568627453"/>
    <n v="3.8627450980392157"/>
    <n v="217.12745098039215"/>
    <n v="0"/>
    <n v="25"/>
    <n v="0"/>
    <n v="49.73"/>
    <n v="10"/>
    <n v="8.5"/>
    <n v="1.0673457224901123E-2"/>
    <n v="0.99729999999999996"/>
    <n v="0.59996207400986079"/>
    <n v="0.93229999999999991"/>
    <m/>
    <m/>
    <m/>
    <m/>
    <m/>
    <m/>
    <n v="10"/>
    <n v="0.19230769230769232"/>
    <n v="489"/>
  </r>
  <r>
    <x v="537"/>
    <x v="0"/>
    <m/>
    <x v="18"/>
    <n v="9"/>
    <n v="8"/>
    <n v="1"/>
    <s v="1 c. bovis in heart "/>
    <n v="3190"/>
    <n v="3093"/>
    <n v="97"/>
    <x v="575"/>
    <m/>
    <n v="398.75"/>
    <n v="386.625"/>
    <n v="12.125"/>
    <n v="239.3"/>
    <n v="0"/>
    <n v="25"/>
    <n v="0"/>
    <n v="50"/>
    <n v="10"/>
    <n v="8.5"/>
    <n v="3.0407523510971788E-2"/>
    <n v="1"/>
    <n v="0.60012539184952984"/>
    <n v="0.93500000000000005"/>
    <m/>
    <m/>
    <m/>
    <m/>
    <m/>
    <m/>
    <n v="3"/>
    <n v="0.33333333333333331"/>
    <n v="417"/>
  </r>
  <r>
    <x v="538"/>
    <x v="0"/>
    <m/>
    <x v="5"/>
    <n v="25"/>
    <n v="25"/>
    <n v="0"/>
    <m/>
    <n v="10218"/>
    <n v="9590"/>
    <n v="628"/>
    <x v="576"/>
    <m/>
    <n v="408.72"/>
    <n v="383.6"/>
    <n v="25.12"/>
    <n v="247.648"/>
    <n v="0"/>
    <n v="25"/>
    <n v="0"/>
    <n v="50"/>
    <n v="10"/>
    <n v="8.5"/>
    <n v="6.1460168330397337E-2"/>
    <n v="1"/>
    <n v="0.60591113720884715"/>
    <n v="0.93500000000000005"/>
    <m/>
    <m/>
    <m/>
    <m/>
    <m/>
    <m/>
    <n v="3"/>
    <n v="0.12"/>
    <n v="0"/>
  </r>
  <r>
    <x v="539"/>
    <x v="0"/>
    <m/>
    <x v="14"/>
    <n v="40"/>
    <n v="40"/>
    <n v="0"/>
    <m/>
    <n v="17008"/>
    <n v="16720"/>
    <n v="288"/>
    <x v="577"/>
    <m/>
    <n v="425.2"/>
    <n v="418"/>
    <n v="7.2"/>
    <n v="255.11999999999998"/>
    <n v="0"/>
    <n v="25"/>
    <n v="0"/>
    <n v="49.53"/>
    <n v="10"/>
    <n v="8.5"/>
    <n v="1.693320790216369E-2"/>
    <n v="0.99530000000000007"/>
    <n v="0.6"/>
    <n v="0.93030000000000002"/>
    <m/>
    <m/>
    <m/>
    <m/>
    <m/>
    <m/>
    <n v="3"/>
    <n v="7.4999999999999997E-2"/>
    <n v="75"/>
  </r>
  <r>
    <x v="540"/>
    <x v="0"/>
    <m/>
    <x v="5"/>
    <n v="47"/>
    <n v="46"/>
    <n v="1"/>
    <s v="1 c. bovis in heart "/>
    <n v="18874"/>
    <n v="17720"/>
    <n v="1154"/>
    <x v="578"/>
    <m/>
    <n v="410.30434782608694"/>
    <n v="385.21739130434781"/>
    <n v="25.086956521739129"/>
    <n v="251.03043478260869"/>
    <n v="0"/>
    <n v="25"/>
    <n v="0"/>
    <n v="50"/>
    <n v="10"/>
    <n v="8.5"/>
    <n v="6.1142312175479496E-2"/>
    <n v="1"/>
    <n v="0.61181519550704666"/>
    <n v="0.93500000000000005"/>
    <m/>
    <m/>
    <m/>
    <m/>
    <m/>
    <m/>
    <n v="8"/>
    <n v="0.1702127659574468"/>
    <n v="475"/>
  </r>
  <r>
    <x v="541"/>
    <x v="1"/>
    <m/>
    <x v="1"/>
    <n v="30"/>
    <n v="30"/>
    <n v="0"/>
    <m/>
    <n v="1382"/>
    <n v="1310"/>
    <n v="72"/>
    <x v="422"/>
    <m/>
    <n v="46.06666666666667"/>
    <n v="43.666666666666664"/>
    <n v="2.4"/>
    <n v="25.753333333333334"/>
    <n v="0"/>
    <n v="25"/>
    <n v="0"/>
    <n v="49.73"/>
    <n v="10"/>
    <n v="8.5"/>
    <n v="5.209840810419681E-2"/>
    <n v="0.99729999999999996"/>
    <n v="0.55904486251808971"/>
    <n v="0.93229999999999991"/>
    <m/>
    <m/>
    <m/>
    <m/>
    <m/>
    <m/>
    <n v="0"/>
    <n v="0"/>
    <n v="0"/>
  </r>
  <r>
    <x v="541"/>
    <x v="0"/>
    <m/>
    <x v="18"/>
    <n v="8"/>
    <n v="8"/>
    <n v="0"/>
    <m/>
    <n v="4263"/>
    <n v="4070"/>
    <n v="193"/>
    <x v="579"/>
    <m/>
    <n v="532.875"/>
    <n v="508.75"/>
    <n v="24.125"/>
    <n v="319.73750000000001"/>
    <n v="0"/>
    <n v="25"/>
    <n v="0"/>
    <n v="49.38"/>
    <n v="10"/>
    <n v="8.5"/>
    <n v="4.5273281726483698E-2"/>
    <n v="0.99380000000000002"/>
    <n v="0.60002345765892562"/>
    <n v="0.92879999999999996"/>
    <m/>
    <m/>
    <m/>
    <m/>
    <m/>
    <m/>
    <n v="5"/>
    <n v="0.625"/>
    <n v="2"/>
  </r>
  <r>
    <x v="541"/>
    <x v="0"/>
    <m/>
    <x v="0"/>
    <n v="36"/>
    <n v="36"/>
    <n v="0"/>
    <m/>
    <n v="13819"/>
    <n v="13590"/>
    <n v="229"/>
    <x v="580"/>
    <m/>
    <n v="383.86111111111109"/>
    <n v="377.5"/>
    <n v="6.3611111111111107"/>
    <n v="230.33333333333334"/>
    <n v="0"/>
    <n v="24"/>
    <n v="0"/>
    <n v="49.94"/>
    <n v="10"/>
    <n v="8.5"/>
    <n v="1.6571387220493523E-2"/>
    <n v="0.97939999999999994"/>
    <n v="0.60004341848180043"/>
    <n v="0.9244"/>
    <m/>
    <m/>
    <m/>
    <m/>
    <m/>
    <m/>
    <n v="10"/>
    <n v="0.27777777777777779"/>
    <n v="2"/>
  </r>
  <r>
    <x v="542"/>
    <x v="0"/>
    <m/>
    <x v="14"/>
    <n v="29"/>
    <n v="29"/>
    <n v="0"/>
    <m/>
    <n v="11027"/>
    <n v="10715"/>
    <n v="312"/>
    <x v="581"/>
    <m/>
    <n v="380.24137931034483"/>
    <n v="369.48275862068965"/>
    <n v="10.758620689655173"/>
    <n v="228.1448275862069"/>
    <n v="0"/>
    <n v="25"/>
    <n v="0"/>
    <n v="50"/>
    <n v="9.8000000000000007"/>
    <n v="8.5"/>
    <n v="2.8294186995556362E-2"/>
    <n v="1"/>
    <n v="0.6"/>
    <n v="0.93299999999999994"/>
    <m/>
    <m/>
    <m/>
    <m/>
    <m/>
    <m/>
    <n v="1"/>
    <n v="3.4482758620689655E-2"/>
    <n v="0"/>
  </r>
  <r>
    <x v="543"/>
    <x v="0"/>
    <m/>
    <x v="7"/>
    <n v="8"/>
    <n v="8"/>
    <n v="0"/>
    <m/>
    <n v="3005"/>
    <n v="2950"/>
    <n v="55"/>
    <x v="582"/>
    <m/>
    <n v="375.625"/>
    <n v="368.75"/>
    <n v="6.875"/>
    <n v="225.4"/>
    <n v="0"/>
    <n v="25"/>
    <n v="0"/>
    <n v="50"/>
    <n v="10"/>
    <n v="8.5"/>
    <n v="1.8302828618968387E-2"/>
    <n v="1"/>
    <n v="0.60006655574043266"/>
    <n v="0.93500000000000005"/>
    <m/>
    <m/>
    <m/>
    <m/>
    <m/>
    <m/>
    <n v="2"/>
    <n v="0.25"/>
    <n v="0"/>
  </r>
  <r>
    <x v="543"/>
    <x v="0"/>
    <m/>
    <x v="14"/>
    <n v="36"/>
    <n v="36"/>
    <n v="0"/>
    <m/>
    <n v="15977"/>
    <n v="15655"/>
    <n v="322"/>
    <x v="583"/>
    <m/>
    <n v="443.80555555555554"/>
    <n v="434.86111111111109"/>
    <n v="8.9444444444444446"/>
    <n v="269.27777777777777"/>
    <n v="0"/>
    <n v="25"/>
    <n v="0"/>
    <n v="50"/>
    <n v="10"/>
    <n v="8.5"/>
    <n v="2.0153971333792327E-2"/>
    <n v="1"/>
    <n v="0.60674719909870434"/>
    <n v="0.93500000000000005"/>
    <m/>
    <m/>
    <m/>
    <m/>
    <m/>
    <m/>
    <n v="16"/>
    <n v="0.44444444444444442"/>
    <n v="0"/>
  </r>
  <r>
    <x v="544"/>
    <x v="1"/>
    <m/>
    <x v="1"/>
    <n v="30"/>
    <n v="30"/>
    <n v="0"/>
    <m/>
    <n v="1410"/>
    <n v="1395"/>
    <n v="15"/>
    <x v="584"/>
    <m/>
    <n v="47"/>
    <n v="46.5"/>
    <n v="0.5"/>
    <n v="26.983333333333334"/>
    <n v="0"/>
    <n v="25"/>
    <n v="0"/>
    <n v="49.53"/>
    <n v="10"/>
    <n v="8.5"/>
    <n v="1.0638297872340425E-2"/>
    <n v="0.99530000000000007"/>
    <n v="0.57411347517730493"/>
    <n v="0.93030000000000002"/>
    <m/>
    <m/>
    <m/>
    <m/>
    <m/>
    <m/>
    <n v="0"/>
    <n v="0"/>
    <n v="0"/>
  </r>
  <r>
    <x v="544"/>
    <x v="0"/>
    <m/>
    <x v="5"/>
    <n v="45"/>
    <n v="44"/>
    <n v="1"/>
    <s v="1 c. bovis in heart "/>
    <n v="19054"/>
    <n v="18395"/>
    <n v="659"/>
    <x v="585"/>
    <m/>
    <n v="433.04545454545456"/>
    <n v="418.06818181818181"/>
    <n v="14.977272727272727"/>
    <n v="271.54772727272729"/>
    <n v="0"/>
    <n v="25"/>
    <n v="0"/>
    <n v="49.91"/>
    <n v="10"/>
    <n v="8.5"/>
    <n v="3.4585913718904161E-2"/>
    <n v="0.99909999999999999"/>
    <n v="0.62706518316364024"/>
    <n v="0.93409999999999993"/>
    <m/>
    <m/>
    <m/>
    <m/>
    <m/>
    <m/>
    <n v="4"/>
    <n v="8.8888888888888892E-2"/>
    <n v="410"/>
  </r>
  <r>
    <x v="545"/>
    <x v="0"/>
    <m/>
    <x v="0"/>
    <n v="48"/>
    <n v="45"/>
    <n v="3"/>
    <s v="2 c. bovis in the heart + 1 miliary TB "/>
    <n v="16935"/>
    <n v="16498"/>
    <n v="437"/>
    <x v="586"/>
    <m/>
    <n v="376.33333333333331"/>
    <n v="366.62222222222221"/>
    <n v="9.7111111111111104"/>
    <n v="225.78888888888889"/>
    <n v="0"/>
    <n v="25"/>
    <n v="0"/>
    <n v="49.87"/>
    <n v="10"/>
    <n v="8.5"/>
    <n v="2.580454679657514E-2"/>
    <n v="0.99869999999999992"/>
    <n v="0.59997047534691472"/>
    <n v="0.93370000000000009"/>
    <m/>
    <m/>
    <m/>
    <m/>
    <m/>
    <m/>
    <n v="17"/>
    <n v="0.35416666666666669"/>
    <n v="1205"/>
  </r>
  <r>
    <x v="546"/>
    <x v="1"/>
    <m/>
    <x v="1"/>
    <n v="25"/>
    <n v="25"/>
    <n v="0"/>
    <m/>
    <n v="1098"/>
    <n v="1070"/>
    <n v="28"/>
    <x v="587"/>
    <m/>
    <n v="43.92"/>
    <n v="42.8"/>
    <n v="1.1200000000000001"/>
    <n v="25.088000000000001"/>
    <n v="0"/>
    <n v="25"/>
    <n v="0"/>
    <n v="50"/>
    <n v="10"/>
    <n v="8.5"/>
    <n v="2.5500910746812388E-2"/>
    <n v="1"/>
    <n v="0.57122040072859748"/>
    <n v="0.93500000000000005"/>
    <m/>
    <m/>
    <m/>
    <m/>
    <m/>
    <m/>
    <n v="0"/>
    <n v="0"/>
    <n v="0"/>
  </r>
  <r>
    <x v="546"/>
    <x v="0"/>
    <m/>
    <x v="14"/>
    <n v="30"/>
    <n v="30"/>
    <n v="0"/>
    <m/>
    <n v="11685"/>
    <n v="11305"/>
    <n v="380"/>
    <x v="588"/>
    <m/>
    <n v="389.5"/>
    <n v="376.83333333333331"/>
    <n v="12.666666666666666"/>
    <n v="233.7"/>
    <n v="0"/>
    <n v="25"/>
    <n v="0"/>
    <n v="50"/>
    <n v="10"/>
    <n v="8.5"/>
    <n v="3.2520325203252029E-2"/>
    <n v="1"/>
    <n v="0.6"/>
    <n v="0.93500000000000005"/>
    <m/>
    <m/>
    <m/>
    <m/>
    <m/>
    <m/>
    <n v="3"/>
    <n v="0.1"/>
    <n v="0"/>
  </r>
  <r>
    <x v="547"/>
    <x v="0"/>
    <m/>
    <x v="18"/>
    <n v="8"/>
    <n v="8"/>
    <n v="0"/>
    <m/>
    <n v="3393"/>
    <n v="3300"/>
    <n v="93"/>
    <x v="589"/>
    <m/>
    <n v="424.125"/>
    <n v="412.5"/>
    <n v="11.625"/>
    <n v="254.46250000000001"/>
    <n v="0"/>
    <n v="25"/>
    <n v="0"/>
    <n v="50"/>
    <n v="10"/>
    <n v="8.5"/>
    <n v="2.7409372236958444E-2"/>
    <n v="1"/>
    <n v="0.59997052755673441"/>
    <n v="0.93500000000000005"/>
    <m/>
    <m/>
    <m/>
    <m/>
    <m/>
    <m/>
    <n v="5"/>
    <n v="0.625"/>
    <n v="0"/>
  </r>
  <r>
    <x v="547"/>
    <x v="0"/>
    <m/>
    <x v="14"/>
    <n v="34"/>
    <n v="33"/>
    <n v="1"/>
    <s v="1 c. bovis in heart "/>
    <n v="13535"/>
    <n v="13190"/>
    <n v="345"/>
    <x v="590"/>
    <m/>
    <n v="410.15151515151513"/>
    <n v="399.69696969696969"/>
    <n v="10.454545454545455"/>
    <n v="246.08787878787876"/>
    <n v="0"/>
    <n v="25"/>
    <n v="0"/>
    <n v="49.787878787878789"/>
    <n v="9.8484848484848477"/>
    <n v="8.5"/>
    <n v="2.548947173993351E-2"/>
    <n v="0.99787878787878781"/>
    <n v="0.59999261174732177"/>
    <n v="0.93136363636363628"/>
    <m/>
    <m/>
    <m/>
    <m/>
    <m/>
    <m/>
    <n v="6"/>
    <n v="0.17647058823529413"/>
    <n v="420"/>
  </r>
  <r>
    <x v="548"/>
    <x v="0"/>
    <m/>
    <x v="5"/>
    <n v="40"/>
    <n v="39"/>
    <n v="1"/>
    <s v="1 c. bovis in heart "/>
    <n v="16069"/>
    <n v="15274"/>
    <n v="795"/>
    <x v="591"/>
    <m/>
    <n v="412.02564102564105"/>
    <n v="391.64102564102564"/>
    <n v="20.384615384615383"/>
    <n v="252.02564102564102"/>
    <n v="0"/>
    <n v="25"/>
    <n v="0"/>
    <n v="49.87"/>
    <n v="9.6999999999999993"/>
    <n v="8.5"/>
    <n v="4.9474142759350297E-2"/>
    <n v="0.99869999999999992"/>
    <n v="0.6116746530586844"/>
    <n v="0.93070000000000008"/>
    <m/>
    <m/>
    <m/>
    <m/>
    <m/>
    <m/>
    <n v="3"/>
    <n v="7.4999999999999997E-2"/>
    <n v="436"/>
  </r>
  <r>
    <x v="549"/>
    <x v="0"/>
    <m/>
    <x v="0"/>
    <n v="45"/>
    <n v="41"/>
    <n v="4"/>
    <s v="4 c. bovis in heart "/>
    <n v="16895"/>
    <n v="16334"/>
    <n v="561"/>
    <x v="592"/>
    <m/>
    <n v="412.07317073170731"/>
    <n v="398.39024390243901"/>
    <n v="13.682926829268293"/>
    <n v="247.55609756097559"/>
    <n v="0"/>
    <n v="25"/>
    <n v="0"/>
    <n v="50"/>
    <n v="10"/>
    <n v="8.5"/>
    <n v="3.3205090263391537E-2"/>
    <n v="1"/>
    <n v="0.6007576205978099"/>
    <n v="0.93500000000000005"/>
    <m/>
    <m/>
    <m/>
    <m/>
    <m/>
    <m/>
    <n v="4"/>
    <n v="8.8888888888888892E-2"/>
    <n v="1591"/>
  </r>
  <r>
    <x v="550"/>
    <x v="1"/>
    <m/>
    <x v="1"/>
    <n v="28"/>
    <n v="28"/>
    <n v="0"/>
    <m/>
    <n v="1302"/>
    <n v="1245"/>
    <n v="57"/>
    <x v="593"/>
    <m/>
    <n v="46.5"/>
    <n v="44.464285714285715"/>
    <n v="2.0357142857142856"/>
    <n v="26.635714285714283"/>
    <n v="0"/>
    <n v="25"/>
    <n v="0"/>
    <n v="50"/>
    <n v="10"/>
    <n v="8.5"/>
    <n v="4.377880184331797E-2"/>
    <n v="1"/>
    <n v="0.5728110599078341"/>
    <n v="0.93500000000000005"/>
    <m/>
    <m/>
    <m/>
    <m/>
    <m/>
    <m/>
    <m/>
    <n v="0"/>
    <m/>
  </r>
  <r>
    <x v="550"/>
    <x v="0"/>
    <m/>
    <x v="5"/>
    <n v="36"/>
    <n v="34"/>
    <n v="2"/>
    <s v="2 c. bovis in heart "/>
    <n v="14271"/>
    <n v="13397"/>
    <n v="874"/>
    <x v="594"/>
    <m/>
    <n v="419.73529411764707"/>
    <n v="394.02941176470586"/>
    <n v="25.705882352941178"/>
    <n v="255.59411764705885"/>
    <n v="0"/>
    <n v="25"/>
    <n v="0"/>
    <n v="49.88"/>
    <n v="10"/>
    <n v="8.5"/>
    <n v="6.1243080372783969E-2"/>
    <n v="0.99880000000000002"/>
    <n v="0.60894120944572916"/>
    <n v="0.93379999999999996"/>
    <m/>
    <m/>
    <m/>
    <m/>
    <m/>
    <m/>
    <n v="2"/>
    <n v="5.5555555555555552E-2"/>
    <n v="808"/>
  </r>
  <r>
    <x v="551"/>
    <x v="0"/>
    <m/>
    <x v="14"/>
    <n v="50"/>
    <n v="50"/>
    <n v="0"/>
    <m/>
    <n v="20674"/>
    <n v="19875"/>
    <n v="799"/>
    <x v="595"/>
    <m/>
    <n v="413.48"/>
    <n v="397.5"/>
    <n v="15.98"/>
    <n v="248.10400000000001"/>
    <n v="0"/>
    <n v="25"/>
    <n v="0"/>
    <n v="49.86"/>
    <n v="10"/>
    <n v="8.5"/>
    <n v="3.8647576666344198E-2"/>
    <n v="0.99859999999999993"/>
    <n v="0.60003869594659964"/>
    <n v="0.93359999999999999"/>
    <m/>
    <m/>
    <m/>
    <m/>
    <m/>
    <m/>
    <n v="19"/>
    <n v="0.38"/>
    <m/>
  </r>
  <r>
    <x v="552"/>
    <x v="0"/>
    <m/>
    <x v="18"/>
    <n v="9"/>
    <n v="9"/>
    <n v="0"/>
    <m/>
    <n v="4129"/>
    <n v="3925"/>
    <n v="204"/>
    <x v="596"/>
    <m/>
    <n v="458.77777777777777"/>
    <n v="436.11111111111109"/>
    <n v="22.666666666666668"/>
    <n v="275.27777777777777"/>
    <n v="0"/>
    <n v="25"/>
    <n v="0"/>
    <n v="50"/>
    <n v="10"/>
    <n v="8.5"/>
    <n v="4.9406635989343667E-2"/>
    <n v="1"/>
    <n v="0.60002421893921043"/>
    <n v="0.93500000000000005"/>
    <m/>
    <m/>
    <m/>
    <m/>
    <m/>
    <m/>
    <n v="7"/>
    <n v="0.77777777777777779"/>
    <m/>
  </r>
  <r>
    <x v="552"/>
    <x v="0"/>
    <m/>
    <x v="5"/>
    <n v="35"/>
    <n v="34"/>
    <n v="1"/>
    <s v="1 c. bovis in heart "/>
    <n v="14296"/>
    <n v="13554"/>
    <n v="742"/>
    <x v="597"/>
    <m/>
    <n v="420.47058823529414"/>
    <n v="398.64705882352939"/>
    <n v="21.823529411764707"/>
    <n v="256.05"/>
    <n v="0"/>
    <n v="25"/>
    <n v="0"/>
    <n v="49.59"/>
    <n v="10"/>
    <n v="8.5"/>
    <n v="5.1902630106323448E-2"/>
    <n v="0.99590000000000001"/>
    <n v="0.60896054840514835"/>
    <n v="0.93090000000000006"/>
    <m/>
    <m/>
    <m/>
    <m/>
    <m/>
    <m/>
    <n v="2"/>
    <n v="5.7142857142857141E-2"/>
    <n v="421"/>
  </r>
  <r>
    <x v="553"/>
    <x v="0"/>
    <m/>
    <x v="0"/>
    <n v="45"/>
    <n v="44"/>
    <n v="1"/>
    <s v="1 c. bovis in heart "/>
    <n v="19000"/>
    <n v="19000"/>
    <n v="0"/>
    <x v="598"/>
    <m/>
    <n v="431.81818181818181"/>
    <n v="431.81818181818181"/>
    <n v="0"/>
    <n v="259.10227272727275"/>
    <n v="0"/>
    <n v="25"/>
    <n v="0"/>
    <n v="49.95"/>
    <n v="10"/>
    <n v="8.5"/>
    <n v="0"/>
    <n v="0.99950000000000006"/>
    <n v="0.60002631578947363"/>
    <n v="0.9345"/>
    <m/>
    <m/>
    <m/>
    <m/>
    <m/>
    <m/>
    <n v="11"/>
    <n v="0.24444444444444444"/>
    <n v="459"/>
  </r>
  <r>
    <x v="554"/>
    <x v="1"/>
    <m/>
    <x v="1"/>
    <n v="25"/>
    <n v="25"/>
    <n v="0"/>
    <m/>
    <n v="1163"/>
    <n v="1115"/>
    <n v="48"/>
    <x v="599"/>
    <m/>
    <n v="46.52"/>
    <n v="44.6"/>
    <n v="1.92"/>
    <n v="26.12"/>
    <n v="0"/>
    <n v="25"/>
    <n v="0"/>
    <n v="50"/>
    <n v="10"/>
    <n v="8.5"/>
    <n v="4.1272570937231294E-2"/>
    <n v="1"/>
    <n v="0.56147893379191749"/>
    <n v="0.93500000000000005"/>
    <m/>
    <m/>
    <m/>
    <m/>
    <m/>
    <m/>
    <n v="0"/>
    <n v="0"/>
    <m/>
  </r>
  <r>
    <x v="554"/>
    <x v="0"/>
    <m/>
    <x v="5"/>
    <n v="22"/>
    <n v="21"/>
    <n v="1"/>
    <s v="1 c. bovis in heart "/>
    <n v="8641"/>
    <n v="8097"/>
    <n v="544"/>
    <x v="600"/>
    <m/>
    <n v="411.47619047619048"/>
    <n v="385.57142857142856"/>
    <n v="25.904761904761905"/>
    <n v="252.28571428571428"/>
    <n v="0"/>
    <n v="25"/>
    <n v="0"/>
    <n v="50"/>
    <n v="9"/>
    <n v="8.5"/>
    <n v="6.2955676426339549E-2"/>
    <n v="1"/>
    <n v="0.61312348107857884"/>
    <n v="0.92500000000000004"/>
    <m/>
    <m/>
    <m/>
    <m/>
    <m/>
    <m/>
    <n v="0"/>
    <n v="0"/>
    <n v="463"/>
  </r>
  <r>
    <x v="555"/>
    <x v="0"/>
    <m/>
    <x v="14"/>
    <n v="39"/>
    <n v="38"/>
    <n v="1"/>
    <s v="1 c. bovis in heart "/>
    <n v="14876"/>
    <n v="14625"/>
    <n v="251"/>
    <x v="601"/>
    <m/>
    <n v="391.4736842105263"/>
    <n v="384.86842105263156"/>
    <n v="6.6052631578947372"/>
    <n v="234.86842105263159"/>
    <n v="0"/>
    <n v="25"/>
    <n v="0"/>
    <n v="49.76"/>
    <n v="9.9"/>
    <n v="8.5"/>
    <n v="1.687281527292283E-2"/>
    <n v="0.99760000000000004"/>
    <n v="0.59995966657703681"/>
    <n v="0.93159999999999998"/>
    <m/>
    <m/>
    <m/>
    <m/>
    <m/>
    <m/>
    <n v="8"/>
    <n v="0.20512820512820512"/>
    <n v="420"/>
  </r>
  <r>
    <x v="556"/>
    <x v="0"/>
    <m/>
    <x v="18"/>
    <n v="9"/>
    <n v="9"/>
    <n v="0"/>
    <m/>
    <n v="3315"/>
    <n v="3315"/>
    <n v="0"/>
    <x v="602"/>
    <m/>
    <n v="368.33333333333331"/>
    <n v="368.33333333333331"/>
    <n v="0"/>
    <n v="221"/>
    <n v="0"/>
    <n v="25"/>
    <n v="0"/>
    <n v="47.78"/>
    <n v="10"/>
    <n v="8.5"/>
    <n v="0"/>
    <n v="0.9778"/>
    <n v="0.6"/>
    <n v="0.91280000000000006"/>
    <m/>
    <m/>
    <m/>
    <m/>
    <m/>
    <m/>
    <n v="3"/>
    <n v="0.33333333333333331"/>
    <n v="2"/>
  </r>
  <r>
    <x v="556"/>
    <x v="0"/>
    <m/>
    <x v="5"/>
    <n v="41"/>
    <n v="40"/>
    <n v="1"/>
    <s v="1 c. bovis in heart "/>
    <n v="16751"/>
    <n v="16254"/>
    <n v="497"/>
    <x v="603"/>
    <m/>
    <n v="418.77499999999998"/>
    <n v="406.35"/>
    <n v="12.425000000000001"/>
    <n v="258.92500000000001"/>
    <n v="0"/>
    <n v="25"/>
    <n v="0"/>
    <n v="49.63"/>
    <n v="10"/>
    <n v="8.5"/>
    <n v="2.9669870455495198E-2"/>
    <n v="0.99629999999999996"/>
    <n v="0.61829144528684854"/>
    <n v="0.93129999999999991"/>
    <m/>
    <m/>
    <m/>
    <m/>
    <m/>
    <m/>
    <n v="3"/>
    <n v="7.3170731707317069E-2"/>
    <n v="429"/>
  </r>
  <r>
    <x v="557"/>
    <x v="0"/>
    <m/>
    <x v="0"/>
    <n v="48"/>
    <n v="42"/>
    <n v="6"/>
    <s v="5 c. bovis in heart + 1 c. bovis in head"/>
    <n v="17784"/>
    <n v="17486"/>
    <n v="298"/>
    <x v="604"/>
    <m/>
    <n v="423.42857142857144"/>
    <n v="416.33333333333331"/>
    <n v="7.0952380952380949"/>
    <n v="254.0595238095238"/>
    <n v="0"/>
    <n v="22"/>
    <n v="0"/>
    <n v="49.4"/>
    <n v="9.9"/>
    <n v="8.5"/>
    <n v="1.6756635177687808E-2"/>
    <n v="0.93399999999999994"/>
    <n v="0.60000562303193883"/>
    <n v="0.89800000000000013"/>
    <m/>
    <m/>
    <m/>
    <m/>
    <m/>
    <m/>
    <n v="23"/>
    <n v="0.47916666666666669"/>
    <n v="2789"/>
  </r>
  <r>
    <x v="558"/>
    <x v="1"/>
    <m/>
    <x v="1"/>
    <n v="25"/>
    <n v="25"/>
    <n v="0"/>
    <m/>
    <n v="1237"/>
    <n v="1190"/>
    <n v="47"/>
    <x v="605"/>
    <m/>
    <n v="49.48"/>
    <n v="47.6"/>
    <n v="1.88"/>
    <n v="28.24"/>
    <n v="0"/>
    <n v="25"/>
    <n v="0"/>
    <n v="50"/>
    <n v="10"/>
    <n v="8.5"/>
    <n v="3.7995149555375911E-2"/>
    <n v="1"/>
    <n v="0.57073565076798705"/>
    <n v="0.93500000000000005"/>
    <m/>
    <m/>
    <m/>
    <m/>
    <m/>
    <m/>
    <n v="0"/>
    <n v="0"/>
    <m/>
  </r>
  <r>
    <x v="558"/>
    <x v="0"/>
    <m/>
    <x v="5"/>
    <n v="31"/>
    <n v="29"/>
    <n v="2"/>
    <s v="2 c. bovis in heart "/>
    <n v="12486"/>
    <n v="11743"/>
    <n v="743"/>
    <x v="606"/>
    <m/>
    <n v="430.55172413793105"/>
    <n v="404.93103448275861"/>
    <n v="25.620689655172413"/>
    <n v="263.75862068965517"/>
    <n v="0"/>
    <n v="25"/>
    <n v="0"/>
    <n v="49.66"/>
    <n v="10"/>
    <n v="8.5"/>
    <n v="5.9506647445138554E-2"/>
    <n v="0.99659999999999993"/>
    <n v="0.61260611885311544"/>
    <n v="0.93159999999999998"/>
    <m/>
    <m/>
    <m/>
    <m/>
    <m/>
    <m/>
    <n v="5"/>
    <n v="0.16129032258064516"/>
    <n v="887"/>
  </r>
  <r>
    <x v="559"/>
    <x v="0"/>
    <m/>
    <x v="14"/>
    <n v="36"/>
    <n v="36"/>
    <n v="0"/>
    <m/>
    <n v="13543"/>
    <n v="13310"/>
    <n v="233"/>
    <x v="607"/>
    <m/>
    <n v="376.19444444444446"/>
    <n v="369.72222222222223"/>
    <n v="6.4722222222222223"/>
    <n v="225.72500000000002"/>
    <n v="0"/>
    <n v="25"/>
    <n v="0"/>
    <n v="49.53"/>
    <n v="10"/>
    <n v="8.5"/>
    <n v="1.7204459868566786E-2"/>
    <n v="0.99530000000000007"/>
    <n v="0.60002215166506689"/>
    <n v="0.93030000000000002"/>
    <m/>
    <m/>
    <m/>
    <m/>
    <m/>
    <m/>
    <n v="6"/>
    <n v="0.16666666666666666"/>
    <m/>
  </r>
  <r>
    <x v="559"/>
    <x v="0"/>
    <m/>
    <x v="19"/>
    <n v="5"/>
    <n v="4"/>
    <n v="1"/>
    <s v="1 c. bovis in diaphragm"/>
    <n v="1246"/>
    <n v="1136"/>
    <n v="110"/>
    <x v="608"/>
    <m/>
    <n v="311.5"/>
    <n v="284"/>
    <n v="27.5"/>
    <n v="187"/>
    <n v="0"/>
    <n v="25"/>
    <n v="0"/>
    <n v="50"/>
    <n v="10"/>
    <n v="8.5"/>
    <n v="8.8282504012841087E-2"/>
    <n v="1"/>
    <n v="0.6003210272873194"/>
    <n v="0.93500000000000005"/>
    <m/>
    <m/>
    <m/>
    <m/>
    <m/>
    <m/>
    <n v="0"/>
    <n v="0"/>
    <n v="406"/>
  </r>
  <r>
    <x v="560"/>
    <x v="0"/>
    <m/>
    <x v="5"/>
    <n v="42"/>
    <n v="39"/>
    <n v="3"/>
    <s v="2 c. bovis in heart + 1 c. bovis in head"/>
    <n v="16298"/>
    <n v="15568"/>
    <n v="730"/>
    <x v="609"/>
    <m/>
    <n v="417.89743589743591"/>
    <n v="399.17948717948718"/>
    <n v="18.717948717948719"/>
    <n v="253.74358974358975"/>
    <n v="0"/>
    <n v="25"/>
    <n v="0"/>
    <n v="49.1"/>
    <n v="10"/>
    <n v="8.5"/>
    <n v="4.4790771873849555E-2"/>
    <n v="0.99099999999999999"/>
    <n v="0.60719106638851394"/>
    <n v="0.92599999999999993"/>
    <m/>
    <m/>
    <m/>
    <m/>
    <m/>
    <m/>
    <n v="5"/>
    <n v="0.11904761904761904"/>
    <n v="1357"/>
  </r>
  <r>
    <x v="561"/>
    <x v="0"/>
    <m/>
    <x v="0"/>
    <n v="48"/>
    <n v="48"/>
    <n v="0"/>
    <m/>
    <n v="18950"/>
    <n v="18480"/>
    <n v="470"/>
    <x v="610"/>
    <m/>
    <n v="394.79166666666669"/>
    <n v="385"/>
    <n v="9.7916666666666661"/>
    <n v="237.38124999999999"/>
    <n v="0"/>
    <n v="25"/>
    <n v="0"/>
    <n v="49.56"/>
    <n v="10"/>
    <n v="8.5"/>
    <n v="2.4802110817941949E-2"/>
    <n v="0.99560000000000004"/>
    <n v="0.60128232189973607"/>
    <n v="0.93059999999999998"/>
    <m/>
    <m/>
    <m/>
    <m/>
    <m/>
    <m/>
    <n v="5"/>
    <n v="0.10416666666666667"/>
    <m/>
  </r>
  <r>
    <x v="562"/>
    <x v="1"/>
    <m/>
    <x v="1"/>
    <n v="25"/>
    <n v="25"/>
    <n v="0"/>
    <m/>
    <n v="1210"/>
    <n v="1170"/>
    <n v="40"/>
    <x v="611"/>
    <m/>
    <n v="48.4"/>
    <n v="46.8"/>
    <n v="1.6"/>
    <n v="27.8"/>
    <n v="0"/>
    <n v="25"/>
    <n v="0"/>
    <n v="49.64"/>
    <n v="10"/>
    <n v="8.5"/>
    <n v="3.3057851239669422E-2"/>
    <n v="0.99639999999999995"/>
    <n v="0.57438016528925617"/>
    <n v="0.93140000000000001"/>
    <m/>
    <m/>
    <m/>
    <m/>
    <m/>
    <m/>
    <n v="0"/>
    <n v="0"/>
    <m/>
  </r>
  <r>
    <x v="562"/>
    <x v="0"/>
    <m/>
    <x v="5"/>
    <n v="32"/>
    <n v="31"/>
    <n v="1"/>
    <s v="2 c. bovis in heart "/>
    <n v="13593"/>
    <n v="12620"/>
    <n v="973"/>
    <x v="612"/>
    <m/>
    <n v="438.48387096774195"/>
    <n v="407.09677419354841"/>
    <n v="31.387096774193548"/>
    <n v="266.38709677419354"/>
    <n v="0"/>
    <n v="25"/>
    <n v="0"/>
    <n v="49.94"/>
    <n v="10"/>
    <n v="8.5"/>
    <n v="7.1580960788641207E-2"/>
    <n v="0.99939999999999996"/>
    <n v="0.607518575737512"/>
    <n v="0.93440000000000001"/>
    <m/>
    <m/>
    <m/>
    <m/>
    <m/>
    <m/>
    <n v="5"/>
    <n v="0.15625"/>
    <n v="420"/>
  </r>
  <r>
    <x v="563"/>
    <x v="0"/>
    <m/>
    <x v="18"/>
    <n v="8"/>
    <n v="8"/>
    <n v="0"/>
    <m/>
    <n v="3321"/>
    <n v="3260"/>
    <n v="61"/>
    <x v="613"/>
    <m/>
    <n v="415.125"/>
    <n v="407.5"/>
    <n v="7.625"/>
    <n v="249.07499999999999"/>
    <n v="0"/>
    <n v="25"/>
    <n v="0"/>
    <n v="50"/>
    <n v="10"/>
    <n v="8.5"/>
    <n v="1.8367961457392352E-2"/>
    <n v="1"/>
    <n v="0.6"/>
    <n v="0.93500000000000005"/>
    <m/>
    <m/>
    <m/>
    <m/>
    <m/>
    <m/>
    <n v="1"/>
    <n v="0.125"/>
    <m/>
  </r>
  <r>
    <x v="563"/>
    <x v="0"/>
    <m/>
    <x v="14"/>
    <n v="36"/>
    <n v="36"/>
    <n v="0"/>
    <m/>
    <n v="15757"/>
    <n v="15350"/>
    <n v="407"/>
    <x v="614"/>
    <m/>
    <n v="437.69444444444446"/>
    <n v="426.38888888888891"/>
    <n v="11.305555555555555"/>
    <n v="262.62222222222221"/>
    <n v="0"/>
    <n v="25"/>
    <n v="0"/>
    <n v="49.81"/>
    <n v="10"/>
    <n v="8.5"/>
    <n v="2.5829789934632225E-2"/>
    <n v="0.99809999999999999"/>
    <n v="0.60001269277146663"/>
    <n v="0.93310000000000004"/>
    <m/>
    <m/>
    <m/>
    <m/>
    <m/>
    <m/>
    <n v="8"/>
    <n v="0.22222222222222221"/>
    <m/>
  </r>
  <r>
    <x v="564"/>
    <x v="0"/>
    <m/>
    <x v="5"/>
    <n v="38"/>
    <n v="37"/>
    <n v="1"/>
    <s v="1 c. bovis in heart "/>
    <n v="16222"/>
    <n v="16145"/>
    <n v="77"/>
    <x v="615"/>
    <m/>
    <n v="438.43243243243245"/>
    <n v="436.35135135135135"/>
    <n v="2.0810810810810811"/>
    <n v="274.1783783783784"/>
    <n v="0"/>
    <n v="25"/>
    <n v="0"/>
    <n v="50"/>
    <n v="10"/>
    <n v="8.5"/>
    <n v="4.7466403649365062E-3"/>
    <n v="1"/>
    <n v="0.62536062137837511"/>
    <n v="0.93500000000000005"/>
    <m/>
    <m/>
    <m/>
    <m/>
    <m/>
    <m/>
    <n v="6"/>
    <n v="0.15789473684210525"/>
    <n v="368"/>
  </r>
  <r>
    <x v="565"/>
    <x v="0"/>
    <m/>
    <x v="0"/>
    <n v="43"/>
    <n v="40"/>
    <n v="3"/>
    <s v="1 c. bovis in heart + 2 miliary tb "/>
    <n v="15988"/>
    <n v="15406"/>
    <n v="582"/>
    <x v="616"/>
    <m/>
    <n v="399.7"/>
    <n v="385.15"/>
    <n v="14.55"/>
    <n v="242.99499999999998"/>
    <n v="0"/>
    <n v="25"/>
    <n v="0"/>
    <n v="49.774999999999999"/>
    <n v="10"/>
    <n v="8.5"/>
    <n v="3.6402301726294724E-2"/>
    <n v="0.99774999999999991"/>
    <n v="0.6079434575931949"/>
    <n v="0.93275000000000008"/>
    <m/>
    <m/>
    <m/>
    <m/>
    <m/>
    <m/>
    <n v="13"/>
    <n v="0.30232558139534882"/>
    <n v="1269"/>
  </r>
  <r>
    <x v="566"/>
    <x v="1"/>
    <m/>
    <x v="1"/>
    <n v="28"/>
    <n v="28"/>
    <n v="0"/>
    <m/>
    <n v="1359"/>
    <n v="1305"/>
    <n v="54"/>
    <x v="617"/>
    <m/>
    <n v="48.535714285714285"/>
    <n v="46.607142857142854"/>
    <n v="1.9285714285714286"/>
    <n v="27.939285714285713"/>
    <n v="0"/>
    <n v="25"/>
    <n v="0"/>
    <n v="49.571428571428569"/>
    <n v="10"/>
    <n v="8.5"/>
    <n v="3.9735099337748346E-2"/>
    <n v="0.99571428571428577"/>
    <n v="0.57564385577630606"/>
    <n v="0.93071428571428572"/>
    <m/>
    <m/>
    <m/>
    <m/>
    <m/>
    <m/>
    <m/>
    <n v="0"/>
    <m/>
  </r>
  <r>
    <x v="566"/>
    <x v="0"/>
    <m/>
    <x v="5"/>
    <n v="35"/>
    <n v="35"/>
    <n v="0"/>
    <m/>
    <n v="14456"/>
    <n v="13488"/>
    <n v="968"/>
    <x v="618"/>
    <n v="290"/>
    <n v="413.02857142857141"/>
    <n v="385.37142857142857"/>
    <n v="27.657142857142858"/>
    <n v="253.61714285714288"/>
    <n v="8.2857142857142865"/>
    <n v="25"/>
    <n v="0"/>
    <n v="49.714285714285715"/>
    <n v="9.4285714285714288"/>
    <n v="8.5"/>
    <n v="6.6961815163254015E-2"/>
    <n v="0.99714285714285711"/>
    <n v="0.61404261206419486"/>
    <n v="0.92642857142857149"/>
    <m/>
    <m/>
    <m/>
    <m/>
    <m/>
    <m/>
    <n v="5"/>
    <n v="0.14285714285714285"/>
    <n v="7"/>
  </r>
  <r>
    <x v="567"/>
    <x v="0"/>
    <m/>
    <x v="14"/>
    <n v="39"/>
    <n v="37"/>
    <n v="2"/>
    <s v="2 c. bovis in heart "/>
    <n v="15839"/>
    <n v="15597"/>
    <n v="242"/>
    <x v="619"/>
    <n v="295"/>
    <n v="428.08108108108109"/>
    <n v="421.54054054054052"/>
    <n v="6.5405405405405403"/>
    <n v="256.83783783783781"/>
    <n v="7.9729729729729728"/>
    <n v="25"/>
    <n v="0"/>
    <n v="49.810810810810807"/>
    <n v="10"/>
    <n v="8.5"/>
    <n v="1.5278742344845001E-2"/>
    <n v="0.99810810810810802"/>
    <n v="0.59997474588042177"/>
    <n v="0.93310810810810807"/>
    <m/>
    <m/>
    <m/>
    <m/>
    <m/>
    <m/>
    <n v="9"/>
    <n v="0.23076923076923078"/>
    <n v="950.5"/>
  </r>
  <r>
    <x v="567"/>
    <x v="0"/>
    <m/>
    <x v="7"/>
    <n v="8"/>
    <n v="8"/>
    <n v="0"/>
    <m/>
    <n v="3051"/>
    <n v="2890"/>
    <n v="161"/>
    <x v="620"/>
    <n v="50"/>
    <n v="381.375"/>
    <n v="361.25"/>
    <n v="20.125"/>
    <n v="228.875"/>
    <n v="6.25"/>
    <n v="25"/>
    <n v="0"/>
    <n v="50"/>
    <n v="10"/>
    <n v="8.5"/>
    <n v="5.2769583743035073E-2"/>
    <n v="1"/>
    <n v="0.60013110455588337"/>
    <n v="0.93500000000000005"/>
    <m/>
    <m/>
    <m/>
    <m/>
    <m/>
    <m/>
    <m/>
    <n v="0"/>
    <n v="0"/>
  </r>
  <r>
    <x v="568"/>
    <x v="0"/>
    <m/>
    <x v="18"/>
    <n v="9"/>
    <n v="8"/>
    <n v="1"/>
    <s v="1 c. bovis in heart "/>
    <n v="3203"/>
    <n v="3149"/>
    <n v="54"/>
    <x v="621"/>
    <n v="56"/>
    <n v="400.375"/>
    <n v="393.625"/>
    <n v="6.75"/>
    <n v="240.25"/>
    <n v="7"/>
    <n v="25"/>
    <n v="0"/>
    <n v="50"/>
    <n v="10"/>
    <n v="8.5"/>
    <n v="1.6859194505151422E-2"/>
    <n v="1"/>
    <n v="0.60006244146113019"/>
    <n v="0.93500000000000005"/>
    <m/>
    <m/>
    <m/>
    <m/>
    <m/>
    <m/>
    <n v="8"/>
    <n v="0.88888888888888884"/>
    <n v="416"/>
  </r>
  <r>
    <x v="568"/>
    <x v="0"/>
    <m/>
    <x v="5"/>
    <n v="39"/>
    <n v="38"/>
    <n v="1"/>
    <s v="1 c. bovis in heart "/>
    <n v="16492"/>
    <n v="15412"/>
    <n v="1080"/>
    <x v="622"/>
    <n v="336"/>
    <n v="434"/>
    <n v="405.57894736842104"/>
    <n v="28.421052631578949"/>
    <n v="267.92105263157896"/>
    <n v="8.8421052631578956"/>
    <n v="25"/>
    <n v="0"/>
    <n v="49.487179487179489"/>
    <n v="9.8717948717948723"/>
    <n v="8.5"/>
    <n v="6.5486296386126616E-2"/>
    <n v="0.99487179487179489"/>
    <n v="0.61732961435847689"/>
    <n v="0.92858974358974367"/>
    <m/>
    <m/>
    <m/>
    <m/>
    <m/>
    <m/>
    <n v="5"/>
    <n v="0.12820512820512819"/>
    <n v="493"/>
  </r>
  <r>
    <x v="569"/>
    <x v="0"/>
    <m/>
    <x v="0"/>
    <n v="54"/>
    <n v="53"/>
    <n v="1"/>
    <s v="1 c. bovis in heart "/>
    <n v="21328"/>
    <n v="20445"/>
    <n v="883"/>
    <x v="623"/>
    <n v="302"/>
    <n v="402.41509433962267"/>
    <n v="385.75471698113205"/>
    <n v="16.660377358490567"/>
    <n v="241.43773584905662"/>
    <n v="5.6981132075471699"/>
    <n v="25"/>
    <n v="0"/>
    <n v="49.867924528301884"/>
    <n v="9.9056603773584904"/>
    <n v="8.5"/>
    <n v="4.140097524381095E-2"/>
    <n v="0.99867924528301888"/>
    <n v="0.59997186796699176"/>
    <n v="0.93273584905660367"/>
    <m/>
    <m/>
    <m/>
    <m/>
    <m/>
    <m/>
    <n v="13"/>
    <n v="0.24074074074074073"/>
    <n v="412"/>
  </r>
  <r>
    <x v="570"/>
    <x v="1"/>
    <m/>
    <x v="19"/>
    <n v="10"/>
    <n v="10"/>
    <n v="0"/>
    <m/>
    <n v="272"/>
    <n v="255"/>
    <n v="17"/>
    <x v="624"/>
    <n v="0"/>
    <n v="27.2"/>
    <n v="25.5"/>
    <n v="1.7"/>
    <n v="13.26"/>
    <n v="0"/>
    <n v="25"/>
    <n v="0"/>
    <n v="48.515151515151516"/>
    <n v="10"/>
    <n v="8.5"/>
    <n v="6.25E-2"/>
    <n v="0.98515151515151511"/>
    <n v="0.48749999999999999"/>
    <n v="0.92015151515151516"/>
    <m/>
    <m/>
    <m/>
    <m/>
    <m/>
    <m/>
    <m/>
    <n v="0"/>
    <m/>
  </r>
  <r>
    <x v="570"/>
    <x v="1"/>
    <m/>
    <x v="19"/>
    <n v="23"/>
    <n v="23"/>
    <n v="0"/>
    <m/>
    <n v="1063"/>
    <n v="1015"/>
    <n v="48"/>
    <x v="625"/>
    <n v="0"/>
    <n v="46.217391304347828"/>
    <n v="44.130434782608695"/>
    <n v="2.0869565217391304"/>
    <n v="26.634782608695652"/>
    <n v="0"/>
    <n v="25"/>
    <n v="0"/>
    <n v="48.515151515151516"/>
    <n v="10"/>
    <n v="8.5"/>
    <n v="4.5155221072436497E-2"/>
    <n v="0.98515151515151511"/>
    <n v="0.57629350893697084"/>
    <n v="0.92015151515151516"/>
    <m/>
    <m/>
    <m/>
    <m/>
    <m/>
    <m/>
    <m/>
    <n v="0"/>
    <n v="2.5"/>
  </r>
  <r>
    <x v="570"/>
    <x v="0"/>
    <m/>
    <x v="5"/>
    <n v="44"/>
    <n v="39"/>
    <n v="5"/>
    <s v="4 c. bovis in heart + 1 C. bovis diaphragm"/>
    <n v="16959"/>
    <n v="15826"/>
    <n v="1133"/>
    <x v="626"/>
    <n v="361"/>
    <n v="434.84615384615387"/>
    <n v="405.79487179487177"/>
    <n v="29.051282051282051"/>
    <n v="264.94615384615383"/>
    <n v="9.2564102564102573"/>
    <n v="25"/>
    <n v="0"/>
    <n v="50"/>
    <n v="10"/>
    <n v="8.5"/>
    <n v="6.6808184444837548E-2"/>
    <n v="1"/>
    <n v="0.60928710419246412"/>
    <n v="0.93500000000000005"/>
    <m/>
    <m/>
    <m/>
    <m/>
    <m/>
    <m/>
    <n v="2"/>
    <n v="4.5454545454545456E-2"/>
    <n v="2229"/>
  </r>
  <r>
    <x v="571"/>
    <x v="0"/>
    <m/>
    <x v="9"/>
    <n v="16"/>
    <n v="16"/>
    <n v="0"/>
    <m/>
    <n v="8070"/>
    <n v="7625"/>
    <n v="445"/>
    <x v="627"/>
    <n v="159"/>
    <n v="504.375"/>
    <n v="476.5625"/>
    <n v="27.8125"/>
    <n v="302.9375"/>
    <n v="9.9375"/>
    <n v="25"/>
    <n v="0"/>
    <n v="50"/>
    <n v="10"/>
    <n v="8.5"/>
    <n v="5.5142503097893432E-2"/>
    <n v="1"/>
    <n v="0.60061957868649318"/>
    <n v="0.93500000000000005"/>
    <m/>
    <m/>
    <m/>
    <m/>
    <m/>
    <m/>
    <n v="11"/>
    <n v="0.6875"/>
    <n v="0"/>
  </r>
  <r>
    <x v="571"/>
    <x v="0"/>
    <m/>
    <x v="14"/>
    <n v="26"/>
    <n v="26"/>
    <n v="0"/>
    <m/>
    <n v="11695"/>
    <n v="11385"/>
    <n v="310"/>
    <x v="628"/>
    <n v="257"/>
    <n v="449.80769230769232"/>
    <n v="437.88461538461536"/>
    <n v="11.923076923076923"/>
    <n v="277.23076923076923"/>
    <n v="9.884615384615385"/>
    <n v="25"/>
    <n v="0"/>
    <n v="49.46153846153846"/>
    <n v="10"/>
    <n v="8.5"/>
    <n v="2.6507054296707994E-2"/>
    <n v="0.99461538461538468"/>
    <n v="0.61633176571184267"/>
    <n v="0.92961538461538451"/>
    <m/>
    <m/>
    <m/>
    <m/>
    <m/>
    <m/>
    <n v="5"/>
    <n v="0.19230769230769232"/>
    <n v="3"/>
  </r>
  <r>
    <x v="572"/>
    <x v="0"/>
    <m/>
    <x v="18"/>
    <n v="18"/>
    <n v="17"/>
    <n v="1"/>
    <s v="1 c. bovis in heart "/>
    <n v="6729"/>
    <n v="6602"/>
    <n v="127"/>
    <x v="629"/>
    <n v="109"/>
    <n v="395.8235294117647"/>
    <n v="388.35294117647061"/>
    <n v="7.4705882352941178"/>
    <n v="237.47647058823529"/>
    <n v="6.4117647058823533"/>
    <n v="25"/>
    <n v="0"/>
    <n v="49.705882352941174"/>
    <n v="10"/>
    <n v="8.5"/>
    <n v="1.8873532471392482E-2"/>
    <n v="0.99705882352941178"/>
    <n v="0.59995541685242981"/>
    <n v="0.93205882352941172"/>
    <m/>
    <m/>
    <m/>
    <m/>
    <m/>
    <m/>
    <n v="7"/>
    <n v="0.3888888888888889"/>
    <n v="603"/>
  </r>
  <r>
    <x v="572"/>
    <x v="0"/>
    <m/>
    <x v="7"/>
    <n v="8"/>
    <n v="8"/>
    <n v="0"/>
    <m/>
    <n v="3381"/>
    <n v="3335"/>
    <n v="46"/>
    <x v="630"/>
    <n v="67"/>
    <n v="422.625"/>
    <n v="416.875"/>
    <n v="5.75"/>
    <n v="253.5625"/>
    <n v="8.375"/>
    <n v="25"/>
    <n v="0"/>
    <n v="48.875"/>
    <n v="10"/>
    <n v="8.5"/>
    <n v="1.3605442176870748E-2"/>
    <n v="0.98875000000000002"/>
    <n v="0.59997042295178937"/>
    <n v="0.92374999999999996"/>
    <m/>
    <m/>
    <m/>
    <m/>
    <m/>
    <m/>
    <n v="1"/>
    <n v="0.125"/>
    <n v="1"/>
  </r>
  <r>
    <x v="572"/>
    <x v="0"/>
    <m/>
    <x v="5"/>
    <n v="18"/>
    <n v="17"/>
    <n v="1"/>
    <s v="1 c. bovis in heart "/>
    <n v="7267"/>
    <n v="6904"/>
    <n v="363"/>
    <x v="631"/>
    <n v="139"/>
    <n v="427.47058823529414"/>
    <n v="406.11764705882354"/>
    <n v="21.352941176470587"/>
    <n v="263.09999999999997"/>
    <n v="8.1764705882352935"/>
    <n v="25"/>
    <n v="0"/>
    <n v="49.366013071895424"/>
    <n v="10"/>
    <n v="8.5"/>
    <n v="4.9951837071693955E-2"/>
    <n v="0.99366013071895432"/>
    <n v="0.61548094124122743"/>
    <n v="0.92866013071895426"/>
    <m/>
    <m/>
    <m/>
    <m/>
    <m/>
    <m/>
    <n v="4"/>
    <n v="0.22222222222222221"/>
    <n v="406"/>
  </r>
  <r>
    <x v="573"/>
    <x v="0"/>
    <m/>
    <x v="0"/>
    <n v="43"/>
    <n v="42"/>
    <n v="1"/>
    <s v="1 c. bovis in heart "/>
    <n v="16731"/>
    <n v="16289"/>
    <n v="442"/>
    <x v="632"/>
    <n v="239"/>
    <n v="398.35714285714283"/>
    <n v="387.83333333333331"/>
    <n v="10.523809523809524"/>
    <n v="239.02142857142857"/>
    <n v="5.6904761904761907"/>
    <n v="25"/>
    <n v="0"/>
    <n v="49.785714285714285"/>
    <n v="10"/>
    <n v="8.5"/>
    <n v="2.641802641802642E-2"/>
    <n v="0.99785714285714278"/>
    <n v="0.60001793078716148"/>
    <n v="0.93285714285714283"/>
    <m/>
    <m/>
    <m/>
    <m/>
    <m/>
    <m/>
    <n v="3"/>
    <n v="6.9767441860465115E-2"/>
    <n v="409"/>
  </r>
  <r>
    <x v="574"/>
    <x v="0"/>
    <m/>
    <x v="14"/>
    <n v="30"/>
    <n v="30"/>
    <n v="0"/>
    <m/>
    <n v="14675"/>
    <n v="14190"/>
    <n v="485"/>
    <x v="633"/>
    <n v="299"/>
    <n v="489.16666666666669"/>
    <n v="473"/>
    <n v="16.166666666666668"/>
    <n v="294.18"/>
    <n v="9.9666666666666668"/>
    <n v="25"/>
    <n v="0"/>
    <n v="49.533333333333331"/>
    <n v="10"/>
    <n v="8.5"/>
    <n v="3.3049403747870527E-2"/>
    <n v="0.99533333333333329"/>
    <n v="0.60139011925042585"/>
    <n v="0.93033333333333335"/>
    <m/>
    <m/>
    <m/>
    <m/>
    <m/>
    <m/>
    <n v="11"/>
    <n v="0.36666666666666664"/>
    <n v="1"/>
  </r>
  <r>
    <x v="574"/>
    <x v="1"/>
    <m/>
    <x v="1"/>
    <n v="25"/>
    <n v="25"/>
    <n v="0"/>
    <m/>
    <n v="1206"/>
    <n v="1170"/>
    <n v="36"/>
    <x v="634"/>
    <n v="0"/>
    <n v="48.24"/>
    <n v="46.8"/>
    <n v="1.44"/>
    <n v="29.06"/>
    <n v="0"/>
    <n v="25"/>
    <n v="0"/>
    <n v="49.519999999999996"/>
    <n v="10"/>
    <n v="8.5"/>
    <n v="2.9850746268656712E-2"/>
    <n v="0.99519999999999997"/>
    <n v="0.60240464344941957"/>
    <n v="0.93019999999999992"/>
    <m/>
    <m/>
    <m/>
    <m/>
    <m/>
    <m/>
    <m/>
    <n v="0"/>
    <m/>
  </r>
  <r>
    <x v="575"/>
    <x v="0"/>
    <m/>
    <x v="5"/>
    <n v="45"/>
    <n v="44"/>
    <n v="1"/>
    <s v="1 c. bovis in heart "/>
    <n v="19542"/>
    <n v="18405"/>
    <n v="1137"/>
    <x v="635"/>
    <n v="457"/>
    <n v="444.13636363636363"/>
    <n v="418.29545454545456"/>
    <n v="25.84090909090909"/>
    <n v="273.12954545454545"/>
    <n v="10.386363636363637"/>
    <n v="25"/>
    <n v="0"/>
    <n v="49.954545454545453"/>
    <n v="10"/>
    <n v="8.5"/>
    <n v="5.8182376420018424E-2"/>
    <n v="0.99954545454545451"/>
    <n v="0.61496776174393619"/>
    <n v="0.93454545454545457"/>
    <m/>
    <m/>
    <m/>
    <m/>
    <m/>
    <m/>
    <n v="9"/>
    <n v="0.2"/>
    <n v="476"/>
  </r>
  <r>
    <x v="576"/>
    <x v="2"/>
    <m/>
    <x v="19"/>
    <n v="5"/>
    <n v="5"/>
    <n v="0"/>
    <m/>
    <n v="140"/>
    <n v="140"/>
    <n v="0"/>
    <x v="636"/>
    <n v="0"/>
    <n v="28"/>
    <n v="28"/>
    <n v="0"/>
    <n v="15.6"/>
    <n v="0"/>
    <n v="24.8"/>
    <n v="0"/>
    <n v="48.4"/>
    <n v="10"/>
    <n v="8.5"/>
    <n v="0"/>
    <n v="0.98"/>
    <n v="0.55714285714285716"/>
    <n v="0.91700000000000004"/>
    <m/>
    <m/>
    <m/>
    <m/>
    <m/>
    <m/>
    <m/>
    <n v="0"/>
    <m/>
  </r>
  <r>
    <x v="576"/>
    <x v="1"/>
    <m/>
    <x v="19"/>
    <n v="19"/>
    <n v="19"/>
    <n v="0"/>
    <m/>
    <n v="864"/>
    <n v="815"/>
    <n v="49"/>
    <x v="637"/>
    <n v="0"/>
    <n v="45.473684210526315"/>
    <n v="42.89473684210526"/>
    <n v="2.5789473684210527"/>
    <n v="26.05263157894737"/>
    <n v="0"/>
    <n v="24.8"/>
    <n v="0"/>
    <n v="48.4"/>
    <n v="10"/>
    <n v="8.5"/>
    <n v="5.6712962962962965E-2"/>
    <n v="0.98"/>
    <n v="0.57291666666666663"/>
    <n v="0.91700000000000004"/>
    <m/>
    <m/>
    <m/>
    <m/>
    <m/>
    <m/>
    <m/>
    <n v="0"/>
    <n v="2"/>
  </r>
  <r>
    <x v="576"/>
    <x v="0"/>
    <m/>
    <x v="5"/>
    <n v="34"/>
    <n v="29"/>
    <n v="5"/>
    <s v="3 c. bovis in heart + 2 miliary TB "/>
    <n v="12736"/>
    <n v="11808"/>
    <n v="928"/>
    <x v="638"/>
    <n v="0"/>
    <n v="439.17241379310343"/>
    <n v="407.17241379310343"/>
    <n v="32"/>
    <n v="270.41379310344826"/>
    <n v="0"/>
    <n v="25"/>
    <n v="0"/>
    <n v="49.689655172413794"/>
    <n v="10"/>
    <n v="8.5"/>
    <n v="7.2864321608040197E-2"/>
    <n v="0.99689655172413794"/>
    <n v="0.61573492462311563"/>
    <n v="0.93189655172413799"/>
    <m/>
    <m/>
    <m/>
    <m/>
    <m/>
    <m/>
    <n v="4"/>
    <n v="0.11764705882352941"/>
    <n v="2187"/>
  </r>
  <r>
    <x v="577"/>
    <x v="0"/>
    <m/>
    <x v="0"/>
    <n v="36"/>
    <n v="36"/>
    <n v="0"/>
    <m/>
    <n v="15580"/>
    <n v="15010"/>
    <n v="570"/>
    <x v="639"/>
    <n v="229"/>
    <n v="432.77777777777777"/>
    <n v="416.94444444444446"/>
    <n v="15.833333333333334"/>
    <n v="259.66944444444448"/>
    <n v="6.3611111111111107"/>
    <n v="25"/>
    <n v="0"/>
    <n v="49.774999999999999"/>
    <n v="10"/>
    <n v="8.5"/>
    <n v="3.6585365853658541E-2"/>
    <n v="0.99774999999999991"/>
    <n v="0.6000064184852375"/>
    <n v="0.93275000000000008"/>
    <m/>
    <m/>
    <m/>
    <m/>
    <m/>
    <m/>
    <n v="1"/>
    <n v="2.7777777777777776E-2"/>
    <n v="7"/>
  </r>
  <r>
    <x v="577"/>
    <x v="0"/>
    <m/>
    <x v="7"/>
    <n v="8"/>
    <n v="7"/>
    <n v="1"/>
    <s v="Antibiotic residues"/>
    <n v="3272"/>
    <n v="3194"/>
    <n v="78"/>
    <x v="640"/>
    <n v="73"/>
    <n v="467.42857142857144"/>
    <n v="456.28571428571428"/>
    <n v="11.142857142857142"/>
    <n v="280.54285714285714"/>
    <n v="10.428571428571429"/>
    <n v="24.875"/>
    <n v="0"/>
    <n v="48.5"/>
    <n v="10"/>
    <n v="8.5"/>
    <n v="2.3838630806845965E-2"/>
    <n v="0.98249999999999993"/>
    <n v="0.60018337408312961"/>
    <n v="0.91874999999999996"/>
    <m/>
    <m/>
    <m/>
    <m/>
    <m/>
    <m/>
    <n v="4"/>
    <n v="0.5"/>
    <n v="402"/>
  </r>
  <r>
    <x v="578"/>
    <x v="0"/>
    <m/>
    <x v="14"/>
    <n v="29"/>
    <n v="27"/>
    <n v="2"/>
    <s v="DEAD + 1 c. bovis in heart "/>
    <n v="12810"/>
    <n v="12325"/>
    <n v="485"/>
    <x v="641"/>
    <n v="268"/>
    <n v="474.44444444444446"/>
    <n v="456.48148148148147"/>
    <n v="17.962962962962962"/>
    <n v="284.65925925925927"/>
    <n v="9.9259259259259256"/>
    <n v="25"/>
    <n v="0"/>
    <n v="48.931034482758626"/>
    <n v="10"/>
    <n v="8.5"/>
    <n v="3.7861046057767363E-2"/>
    <n v="0.98931034482758629"/>
    <n v="0.59998438719750191"/>
    <n v="0.92431034482758634"/>
    <m/>
    <m/>
    <m/>
    <m/>
    <m/>
    <m/>
    <n v="12"/>
    <n v="0.41379310344827586"/>
    <n v="993"/>
  </r>
  <r>
    <x v="579"/>
    <x v="1"/>
    <m/>
    <x v="1"/>
    <n v="25"/>
    <n v="25"/>
    <n v="0"/>
    <m/>
    <n v="1202"/>
    <n v="1150"/>
    <n v="52"/>
    <x v="642"/>
    <n v="0"/>
    <n v="48.08"/>
    <n v="46"/>
    <n v="2.08"/>
    <n v="27.52"/>
    <n v="0"/>
    <n v="25"/>
    <n v="0"/>
    <n v="49.32"/>
    <n v="10"/>
    <n v="8.5"/>
    <n v="4.3261231281198007E-2"/>
    <n v="0.99320000000000008"/>
    <n v="0.57237936772046594"/>
    <n v="0.92819999999999991"/>
    <m/>
    <m/>
    <m/>
    <m/>
    <m/>
    <m/>
    <m/>
    <n v="0"/>
    <n v="8.5"/>
  </r>
  <r>
    <x v="579"/>
    <x v="0"/>
    <m/>
    <x v="5"/>
    <n v="40"/>
    <n v="40"/>
    <n v="0"/>
    <m/>
    <n v="16987"/>
    <n v="16180"/>
    <n v="807"/>
    <x v="643"/>
    <n v="397"/>
    <n v="424.67500000000001"/>
    <n v="404.5"/>
    <n v="20.175000000000001"/>
    <n v="262.19"/>
    <n v="9.9250000000000007"/>
    <n v="25"/>
    <n v="0"/>
    <n v="50"/>
    <n v="10"/>
    <n v="8.5"/>
    <n v="4.7506917054217931E-2"/>
    <n v="1"/>
    <n v="0.6173897686466121"/>
    <n v="0.93500000000000005"/>
    <m/>
    <m/>
    <m/>
    <m/>
    <m/>
    <m/>
    <n v="1"/>
    <n v="2.5000000000000001E-2"/>
    <m/>
  </r>
  <r>
    <x v="580"/>
    <x v="0"/>
    <m/>
    <x v="18"/>
    <n v="9"/>
    <n v="8"/>
    <n v="1"/>
    <s v="1 c. bovis in heart "/>
    <n v="3197"/>
    <n v="3039"/>
    <n v="158"/>
    <x v="644"/>
    <n v="57.8"/>
    <n v="399.625"/>
    <n v="379.875"/>
    <n v="19.75"/>
    <n v="239.76249999999999"/>
    <n v="7.2249999999999996"/>
    <n v="25"/>
    <n v="0"/>
    <n v="49.444444444444443"/>
    <n v="10"/>
    <n v="8.5"/>
    <n v="4.9421332499218019E-2"/>
    <n v="0.99444444444444446"/>
    <n v="0.59996872067563334"/>
    <n v="0.92944444444444441"/>
    <m/>
    <m/>
    <m/>
    <m/>
    <m/>
    <m/>
    <n v="2"/>
    <n v="0.22222222222222221"/>
    <n v="466"/>
  </r>
  <r>
    <x v="580"/>
    <x v="0"/>
    <m/>
    <x v="5"/>
    <n v="18"/>
    <n v="18"/>
    <n v="0"/>
    <m/>
    <n v="7965"/>
    <n v="7640"/>
    <n v="325"/>
    <x v="645"/>
    <n v="158.19999999999999"/>
    <n v="442.5"/>
    <n v="424.44444444444446"/>
    <n v="18.055555555555557"/>
    <n v="278.17222222222222"/>
    <n v="8.7888888888888879"/>
    <n v="25"/>
    <n v="0"/>
    <n v="49.722222222222221"/>
    <n v="10"/>
    <n v="8.5"/>
    <n v="4.0803515379786569E-2"/>
    <n v="0.99722222222222223"/>
    <n v="0.62863779033270561"/>
    <n v="0.93222222222222229"/>
    <m/>
    <m/>
    <m/>
    <m/>
    <m/>
    <m/>
    <n v="0"/>
    <n v="0"/>
    <m/>
  </r>
  <r>
    <x v="581"/>
    <x v="2"/>
    <m/>
    <x v="19"/>
    <n v="5"/>
    <n v="5"/>
    <n v="0"/>
    <m/>
    <n v="135"/>
    <n v="121"/>
    <n v="14"/>
    <x v="646"/>
    <n v="0"/>
    <n v="27"/>
    <n v="24.2"/>
    <n v="2.8"/>
    <n v="14.459999999999999"/>
    <n v="0"/>
    <n v="25"/>
    <n v="0"/>
    <n v="48.428571428571423"/>
    <n v="10"/>
    <n v="8.5"/>
    <n v="0.1037037037037037"/>
    <n v="0.98428571428571421"/>
    <n v="0.53555555555555556"/>
    <n v="0.91928571428571415"/>
    <m/>
    <m/>
    <m/>
    <m/>
    <m/>
    <m/>
    <m/>
    <n v="0"/>
    <m/>
  </r>
  <r>
    <x v="581"/>
    <x v="1"/>
    <m/>
    <x v="19"/>
    <n v="23"/>
    <n v="23"/>
    <n v="0"/>
    <m/>
    <n v="1078"/>
    <n v="1029"/>
    <n v="49"/>
    <x v="647"/>
    <n v="0"/>
    <n v="46.869565217391305"/>
    <n v="44.739130434782609"/>
    <n v="2.1304347826086958"/>
    <n v="26.839130434782607"/>
    <n v="0"/>
    <n v="25"/>
    <n v="0"/>
    <n v="48.428571428571423"/>
    <n v="10"/>
    <n v="8.5"/>
    <n v="4.5454545454545456E-2"/>
    <n v="0.98428571428571421"/>
    <n v="0.57263450834879404"/>
    <n v="0.91928571428571415"/>
    <m/>
    <m/>
    <m/>
    <m/>
    <m/>
    <m/>
    <m/>
    <n v="0"/>
    <n v="19.5"/>
  </r>
  <r>
    <x v="581"/>
    <x v="0"/>
    <m/>
    <x v="0"/>
    <n v="48"/>
    <n v="48"/>
    <n v="0"/>
    <m/>
    <n v="20632"/>
    <n v="20315"/>
    <n v="317"/>
    <x v="648"/>
    <n v="335"/>
    <n v="429.83333333333331"/>
    <n v="423.22916666666669"/>
    <n v="6.604166666666667"/>
    <n v="257.88541666666669"/>
    <n v="6.979166666666667"/>
    <n v="25"/>
    <n v="0"/>
    <n v="49.8125"/>
    <n v="10"/>
    <n v="8.5"/>
    <n v="1.536448235750291E-2"/>
    <n v="0.99812499999999993"/>
    <n v="0.59996607212097708"/>
    <n v="0.93312499999999998"/>
    <m/>
    <m/>
    <m/>
    <m/>
    <m/>
    <m/>
    <n v="6"/>
    <n v="0.125"/>
    <n v="0.5"/>
  </r>
  <r>
    <x v="582"/>
    <x v="1"/>
    <m/>
    <x v="1"/>
    <n v="20"/>
    <n v="20"/>
    <n v="0"/>
    <m/>
    <n v="1056"/>
    <n v="1025"/>
    <n v="31"/>
    <x v="649"/>
    <n v="0"/>
    <n v="52.8"/>
    <n v="51.25"/>
    <n v="1.55"/>
    <n v="31.055"/>
    <n v="0"/>
    <n v="25"/>
    <n v="0"/>
    <n v="49.75"/>
    <n v="10"/>
    <n v="8.5"/>
    <n v="2.9356060606060608E-2"/>
    <n v="0.99750000000000005"/>
    <n v="0.58816287878787876"/>
    <n v="0.9325"/>
    <m/>
    <m/>
    <m/>
    <m/>
    <m/>
    <m/>
    <m/>
    <n v="0"/>
    <m/>
  </r>
  <r>
    <x v="582"/>
    <x v="0"/>
    <m/>
    <x v="7"/>
    <n v="8"/>
    <n v="8"/>
    <n v="0"/>
    <m/>
    <n v="3435"/>
    <n v="3350"/>
    <n v="85"/>
    <x v="650"/>
    <n v="76"/>
    <n v="429.375"/>
    <n v="418.75"/>
    <n v="10.625"/>
    <n v="257.63749999999999"/>
    <n v="9.5"/>
    <n v="24"/>
    <n v="0"/>
    <n v="50"/>
    <n v="10"/>
    <n v="8.5"/>
    <n v="2.4745269286754003E-2"/>
    <n v="0.98"/>
    <n v="0.60002911208151377"/>
    <n v="0.92500000000000004"/>
    <m/>
    <m/>
    <m/>
    <m/>
    <m/>
    <m/>
    <n v="1"/>
    <n v="0.125"/>
    <m/>
  </r>
  <r>
    <x v="582"/>
    <x v="0"/>
    <m/>
    <x v="14"/>
    <n v="22"/>
    <n v="22"/>
    <n v="0"/>
    <m/>
    <n v="10656"/>
    <n v="10300"/>
    <n v="356"/>
    <x v="651"/>
    <n v="229"/>
    <n v="484.36363636363637"/>
    <n v="468.18181818181819"/>
    <n v="16.181818181818183"/>
    <n v="290.63636363636363"/>
    <n v="10.409090909090908"/>
    <n v="24.772727272727273"/>
    <n v="0"/>
    <n v="49"/>
    <n v="10"/>
    <n v="8.5"/>
    <n v="3.3408408408408412E-2"/>
    <n v="0.98545454545454547"/>
    <n v="0.60003753753753752"/>
    <n v="0.92272727272727284"/>
    <m/>
    <m/>
    <m/>
    <m/>
    <m/>
    <m/>
    <n v="13"/>
    <n v="0.59090909090909094"/>
    <n v="56"/>
  </r>
  <r>
    <x v="583"/>
    <x v="0"/>
    <m/>
    <x v="14"/>
    <n v="18"/>
    <n v="18"/>
    <n v="0"/>
    <m/>
    <n v="8783"/>
    <n v="8600"/>
    <n v="183"/>
    <x v="652"/>
    <n v="183"/>
    <n v="487.94444444444446"/>
    <n v="477.77777777777777"/>
    <n v="10.166666666666666"/>
    <n v="292.76111111111112"/>
    <n v="10.166666666666666"/>
    <n v="25"/>
    <n v="0"/>
    <n v="49.444444444444443"/>
    <n v="10"/>
    <n v="8.5"/>
    <n v="2.0835705339861094E-2"/>
    <n v="0.99444444444444446"/>
    <n v="0.59998861436866668"/>
    <n v="0.92944444444444441"/>
    <m/>
    <m/>
    <m/>
    <m/>
    <m/>
    <m/>
    <n v="6"/>
    <n v="0.33333333333333331"/>
    <n v="74"/>
  </r>
  <r>
    <x v="583"/>
    <x v="0"/>
    <m/>
    <x v="5"/>
    <n v="27"/>
    <n v="27"/>
    <n v="0"/>
    <m/>
    <n v="12306"/>
    <n v="11720"/>
    <n v="586"/>
    <x v="653"/>
    <n v="284"/>
    <n v="455.77777777777777"/>
    <n v="434.07407407407408"/>
    <n v="21.703703703703702"/>
    <n v="280.43333333333334"/>
    <n v="10.518518518518519"/>
    <n v="20"/>
    <n v="0"/>
    <n v="49.925925925925924"/>
    <n v="8.8888888888888893"/>
    <n v="8.5"/>
    <n v="4.7619047619047616E-2"/>
    <n v="0.8992592592592592"/>
    <n v="0.61528522671867381"/>
    <n v="0.87314814814814812"/>
    <m/>
    <m/>
    <m/>
    <m/>
    <m/>
    <m/>
    <n v="2"/>
    <n v="7.407407407407407E-2"/>
    <m/>
  </r>
  <r>
    <x v="584"/>
    <x v="0"/>
    <m/>
    <x v="5"/>
    <n v="40"/>
    <n v="40"/>
    <n v="0"/>
    <m/>
    <n v="16652"/>
    <n v="15648"/>
    <n v="1004"/>
    <x v="654"/>
    <n v="353"/>
    <n v="416.3"/>
    <n v="391.2"/>
    <n v="25.1"/>
    <n v="253.45"/>
    <n v="8.8249999999999993"/>
    <n v="25"/>
    <n v="0"/>
    <n v="49.725000000000001"/>
    <n v="10"/>
    <n v="8.5"/>
    <n v="6.0293057890944031E-2"/>
    <n v="0.99724999999999997"/>
    <n v="0.60881575786692288"/>
    <n v="0.93224999999999991"/>
    <m/>
    <m/>
    <m/>
    <m/>
    <m/>
    <m/>
    <n v="2"/>
    <n v="0.05"/>
    <n v="0"/>
  </r>
  <r>
    <x v="585"/>
    <x v="0"/>
    <m/>
    <x v="0"/>
    <n v="54"/>
    <n v="54"/>
    <n v="0"/>
    <m/>
    <n v="23680"/>
    <n v="22655"/>
    <n v="1025"/>
    <x v="655"/>
    <n v="464"/>
    <n v="438.51851851851853"/>
    <n v="419.53703703703701"/>
    <n v="18.981481481481481"/>
    <n v="263.09629629629632"/>
    <n v="8.5925925925925934"/>
    <n v="22.5"/>
    <n v="0"/>
    <n v="49.5"/>
    <n v="10"/>
    <n v="8.5"/>
    <n v="4.3285472972972971E-2"/>
    <n v="0.94500000000000006"/>
    <n v="0.59996621621621626"/>
    <n v="0.90500000000000003"/>
    <m/>
    <m/>
    <m/>
    <m/>
    <m/>
    <m/>
    <n v="25"/>
    <n v="0.46296296296296297"/>
    <n v="6"/>
  </r>
  <r>
    <x v="586"/>
    <x v="0"/>
    <m/>
    <x v="7"/>
    <n v="17"/>
    <n v="17"/>
    <n v="0"/>
    <m/>
    <n v="6022"/>
    <n v="5925"/>
    <n v="97"/>
    <x v="656"/>
    <n v="125"/>
    <n v="354.23529411764707"/>
    <n v="348.52941176470586"/>
    <n v="5.7058823529411766"/>
    <n v="212.54117647058823"/>
    <n v="7.3529411764705879"/>
    <n v="25"/>
    <n v="0"/>
    <n v="49.271493212669682"/>
    <n v="9.4117647058823533"/>
    <n v="8.5"/>
    <n v="1.6107605446695449E-2"/>
    <n v="0.99271493212669681"/>
    <n v="0.6"/>
    <n v="0.92183257918552031"/>
    <m/>
    <m/>
    <m/>
    <m/>
    <m/>
    <m/>
    <n v="0"/>
    <n v="0"/>
    <n v="3"/>
  </r>
  <r>
    <x v="586"/>
    <x v="0"/>
    <m/>
    <x v="9"/>
    <n v="14"/>
    <n v="13"/>
    <n v="1"/>
    <s v="1 c. bovis in heart "/>
    <n v="6161"/>
    <n v="5830"/>
    <n v="331"/>
    <x v="657"/>
    <n v="125"/>
    <n v="473.92307692307691"/>
    <n v="448.46153846153845"/>
    <n v="25.46153846153846"/>
    <n v="284.53846153846155"/>
    <n v="9.615384615384615"/>
    <n v="25"/>
    <n v="0"/>
    <n v="50"/>
    <n v="10"/>
    <n v="8.5"/>
    <n v="5.3725044635611098E-2"/>
    <n v="1"/>
    <n v="0.60038954715143644"/>
    <n v="0.93500000000000005"/>
    <m/>
    <m/>
    <m/>
    <m/>
    <m/>
    <m/>
    <n v="6"/>
    <n v="0.42857142857142855"/>
    <n v="470"/>
  </r>
  <r>
    <x v="586"/>
    <x v="1"/>
    <m/>
    <x v="1"/>
    <n v="27"/>
    <n v="27"/>
    <n v="0"/>
    <m/>
    <n v="1334"/>
    <n v="1305"/>
    <n v="29"/>
    <x v="658"/>
    <n v="0"/>
    <n v="49.407407407407405"/>
    <n v="48.333333333333336"/>
    <n v="1.0740740740740742"/>
    <n v="29.74074074074074"/>
    <n v="0"/>
    <n v="25"/>
    <n v="0"/>
    <n v="49.777777777777779"/>
    <n v="10"/>
    <n v="8.5"/>
    <n v="2.1739130434782612E-2"/>
    <n v="0.99777777777777776"/>
    <n v="0.60194902548725637"/>
    <n v="0.93277777777777771"/>
    <m/>
    <m/>
    <m/>
    <m/>
    <m/>
    <m/>
    <m/>
    <n v="0"/>
    <n v="1"/>
  </r>
  <r>
    <x v="587"/>
    <x v="0"/>
    <m/>
    <x v="14"/>
    <n v="51"/>
    <n v="51"/>
    <n v="0"/>
    <m/>
    <n v="22764"/>
    <n v="21975"/>
    <n v="789"/>
    <x v="659"/>
    <n v="436"/>
    <n v="446.35294117647061"/>
    <n v="430.88235294117646"/>
    <n v="15.470588235294118"/>
    <n v="268.20392156862744"/>
    <n v="8.5490196078431371"/>
    <n v="25"/>
    <n v="0"/>
    <n v="49.725490196078432"/>
    <n v="9.9019607843137258"/>
    <n v="8.5"/>
    <n v="3.4659989457037424E-2"/>
    <n v="0.99725490196078437"/>
    <n v="0.60087858021437357"/>
    <n v="0.93127450980392157"/>
    <m/>
    <m/>
    <m/>
    <m/>
    <m/>
    <m/>
    <n v="9"/>
    <n v="0.17647058823529413"/>
    <n v="1.5"/>
  </r>
  <r>
    <x v="588"/>
    <x v="0"/>
    <m/>
    <x v="18"/>
    <n v="18"/>
    <n v="17"/>
    <n v="1"/>
    <s v="1 c. bovis in heart "/>
    <n v="6479"/>
    <n v="5995"/>
    <n v="484"/>
    <x v="660"/>
    <n v="109"/>
    <n v="381.11764705882354"/>
    <n v="352.64705882352939"/>
    <n v="28.470588235294116"/>
    <n v="228.66470588235296"/>
    <n v="6.4117647058823533"/>
    <n v="25"/>
    <n v="0"/>
    <n v="49.705882352941174"/>
    <n v="10"/>
    <n v="8.5"/>
    <n v="7.4702886247877756E-2"/>
    <n v="0.99705882352941178"/>
    <n v="0.59998456551937029"/>
    <n v="0.93205882352941172"/>
    <m/>
    <m/>
    <m/>
    <m/>
    <m/>
    <m/>
    <n v="2"/>
    <n v="0.1111111111111111"/>
    <n v="388"/>
  </r>
  <r>
    <x v="588"/>
    <x v="0"/>
    <m/>
    <x v="5"/>
    <n v="24"/>
    <n v="23"/>
    <n v="1"/>
    <s v="1 c. bovis in heart "/>
    <n v="10069"/>
    <n v="9368"/>
    <n v="701"/>
    <x v="661"/>
    <n v="194"/>
    <n v="437.78260869565219"/>
    <n v="407.30434782608694"/>
    <n v="30.478260869565219"/>
    <n v="267.33043478260873"/>
    <n v="8.4347826086956523"/>
    <n v="25"/>
    <n v="0"/>
    <n v="50"/>
    <n v="9.7826086956521738"/>
    <n v="8.5"/>
    <n v="6.9619624590326751E-2"/>
    <n v="1"/>
    <n v="0.61064653888171616"/>
    <n v="0.93282608695652169"/>
    <m/>
    <m/>
    <m/>
    <m/>
    <m/>
    <m/>
    <n v="4"/>
    <n v="0.16666666666666666"/>
    <n v="417"/>
  </r>
  <r>
    <x v="589"/>
    <x v="2"/>
    <m/>
    <x v="19"/>
    <n v="6"/>
    <n v="6"/>
    <n v="0"/>
    <m/>
    <n v="152"/>
    <n v="142"/>
    <n v="10"/>
    <x v="662"/>
    <n v="0"/>
    <n v="25.333333333333332"/>
    <n v="23.666666666666668"/>
    <n v="1.6666666666666667"/>
    <n v="11.799999999999999"/>
    <n v="0"/>
    <n v="25"/>
    <n v="0"/>
    <n v="48.821428571428569"/>
    <n v="10"/>
    <n v="8.5"/>
    <n v="6.5789473684210537E-2"/>
    <n v="0.98821428571428571"/>
    <n v="0.46578947368421053"/>
    <n v="0.92321428571428565"/>
    <m/>
    <m/>
    <m/>
    <m/>
    <m/>
    <m/>
    <n v="0"/>
    <n v="0"/>
    <n v="1.8"/>
  </r>
  <r>
    <x v="589"/>
    <x v="1"/>
    <m/>
    <x v="19"/>
    <n v="22"/>
    <n v="22"/>
    <n v="0"/>
    <m/>
    <n v="1011"/>
    <n v="968"/>
    <n v="43"/>
    <x v="663"/>
    <n v="0"/>
    <n v="45.954545454545453"/>
    <n v="44"/>
    <n v="1.9545454545454546"/>
    <n v="26.072727272727274"/>
    <n v="0"/>
    <n v="25"/>
    <n v="0"/>
    <n v="48.821428571428569"/>
    <n v="10"/>
    <n v="8.5"/>
    <n v="4.2532146389713157E-2"/>
    <n v="0.98821428571428571"/>
    <n v="0.56735905044510393"/>
    <n v="0.92321428571428565"/>
    <m/>
    <m/>
    <m/>
    <m/>
    <m/>
    <m/>
    <n v="0"/>
    <n v="0"/>
    <n v="9.1999999999999993"/>
  </r>
  <r>
    <x v="589"/>
    <x v="0"/>
    <m/>
    <x v="0"/>
    <n v="45"/>
    <n v="45"/>
    <n v="0"/>
    <m/>
    <n v="18477"/>
    <n v="17850"/>
    <n v="627"/>
    <x v="664"/>
    <n v="308"/>
    <n v="410.6"/>
    <n v="396.66666666666669"/>
    <n v="13.933333333333334"/>
    <n v="246.36444444444444"/>
    <n v="6.8444444444444441"/>
    <n v="25"/>
    <n v="0"/>
    <n v="49.844444444444441"/>
    <n v="10"/>
    <n v="8.5"/>
    <n v="3.3934080207825942E-2"/>
    <n v="0.99844444444444447"/>
    <n v="0.60001082426800889"/>
    <n v="0.9334444444444443"/>
    <m/>
    <m/>
    <m/>
    <m/>
    <m/>
    <m/>
    <n v="10"/>
    <n v="0.22222222222222221"/>
    <n v="2.5"/>
  </r>
  <r>
    <x v="590"/>
    <x v="0"/>
    <m/>
    <x v="7"/>
    <n v="16"/>
    <n v="16"/>
    <n v="0"/>
    <m/>
    <n v="7695"/>
    <n v="7540"/>
    <n v="155"/>
    <x v="665"/>
    <n v="126"/>
    <n v="480.9375"/>
    <n v="471.25"/>
    <n v="9.6875"/>
    <n v="288.55"/>
    <n v="7.875"/>
    <n v="25"/>
    <n v="0"/>
    <n v="49.4375"/>
    <n v="10"/>
    <n v="8.5"/>
    <n v="2.014294996751137E-2"/>
    <n v="0.99437500000000001"/>
    <n v="0.59997400909681609"/>
    <n v="0.92937499999999995"/>
    <m/>
    <m/>
    <m/>
    <m/>
    <m/>
    <m/>
    <n v="12"/>
    <n v="0.75"/>
    <n v="10"/>
  </r>
  <r>
    <x v="590"/>
    <x v="0"/>
    <m/>
    <x v="9"/>
    <n v="16"/>
    <n v="15"/>
    <n v="1"/>
    <s v="1 multiple abscesses in both kidneys"/>
    <n v="7118"/>
    <n v="6901"/>
    <n v="217"/>
    <x v="666"/>
    <n v="155"/>
    <n v="474.53333333333336"/>
    <n v="460.06666666666666"/>
    <n v="14.466666666666667"/>
    <n v="284.74"/>
    <n v="10.333333333333334"/>
    <n v="25"/>
    <n v="0"/>
    <n v="50"/>
    <n v="10"/>
    <n v="8.5"/>
    <n v="3.0486091598763695E-2"/>
    <n v="1"/>
    <n v="0.60004214667041311"/>
    <n v="0.93500000000000005"/>
    <m/>
    <m/>
    <m/>
    <m/>
    <m/>
    <m/>
    <n v="10"/>
    <n v="0.625"/>
    <n v="439"/>
  </r>
  <r>
    <x v="591"/>
    <x v="0"/>
    <m/>
    <x v="14"/>
    <n v="40"/>
    <n v="39"/>
    <n v="1"/>
    <s v="1 icteric"/>
    <n v="18329"/>
    <n v="17614"/>
    <n v="715"/>
    <x v="667"/>
    <n v="356"/>
    <n v="469.97435897435895"/>
    <n v="451.64102564102564"/>
    <n v="18.333333333333332"/>
    <n v="281.9666666666667"/>
    <n v="9.1282051282051277"/>
    <n v="25"/>
    <n v="0"/>
    <n v="49.820512820512818"/>
    <n v="10"/>
    <n v="8.5"/>
    <n v="3.9009220361176281E-2"/>
    <n v="0.99820512820512819"/>
    <n v="0.59996180915489117"/>
    <n v="0.93320512820512813"/>
    <m/>
    <m/>
    <m/>
    <m/>
    <m/>
    <m/>
    <n v="15"/>
    <n v="0.375"/>
    <n v="437"/>
  </r>
  <r>
    <x v="591"/>
    <x v="0"/>
    <m/>
    <x v="7"/>
    <n v="8"/>
    <n v="8"/>
    <n v="0"/>
    <m/>
    <n v="3242"/>
    <n v="3121"/>
    <n v="121"/>
    <x v="668"/>
    <n v="56"/>
    <n v="405.25"/>
    <n v="390.125"/>
    <n v="15.125"/>
    <n v="243.13749999999999"/>
    <n v="7"/>
    <n v="25"/>
    <n v="0"/>
    <n v="50"/>
    <n v="10"/>
    <n v="8.5"/>
    <n v="3.7322640345465764E-2"/>
    <n v="1"/>
    <n v="0.59996915484268964"/>
    <n v="0.93500000000000005"/>
    <m/>
    <m/>
    <m/>
    <m/>
    <m/>
    <m/>
    <n v="6"/>
    <n v="0.75"/>
    <n v="0"/>
  </r>
  <r>
    <x v="592"/>
    <x v="0"/>
    <m/>
    <x v="18"/>
    <n v="9"/>
    <n v="9"/>
    <n v="0"/>
    <m/>
    <n v="3685"/>
    <n v="3590"/>
    <n v="95"/>
    <x v="669"/>
    <n v="66"/>
    <n v="409.44444444444446"/>
    <n v="398.88888888888891"/>
    <n v="10.555555555555555"/>
    <n v="245.67777777777778"/>
    <n v="7.333333333333333"/>
    <n v="25"/>
    <n v="0"/>
    <n v="49.444444444444443"/>
    <n v="10"/>
    <n v="8.5"/>
    <n v="2.5780189959294434E-2"/>
    <n v="0.99444444444444446"/>
    <n v="0.60002713704206234"/>
    <n v="0.92944444444444441"/>
    <m/>
    <m/>
    <m/>
    <m/>
    <m/>
    <m/>
    <n v="4"/>
    <n v="0.44444444444444442"/>
    <n v="3"/>
  </r>
  <r>
    <x v="592"/>
    <x v="0"/>
    <m/>
    <x v="5"/>
    <n v="25"/>
    <n v="24"/>
    <n v="1"/>
    <s v="1 c. bovis in heart "/>
    <n v="10465"/>
    <n v="9816"/>
    <n v="649"/>
    <x v="670"/>
    <n v="215"/>
    <n v="436.04166666666669"/>
    <n v="409"/>
    <n v="27.041666666666668"/>
    <n v="271.45833333333331"/>
    <n v="8.9583333333333339"/>
    <n v="25"/>
    <n v="0"/>
    <n v="49.535384615384615"/>
    <n v="10"/>
    <n v="8.5"/>
    <n v="6.2016244624940278E-2"/>
    <n v="0.99535384615384614"/>
    <n v="0.62255136168179648"/>
    <n v="0.9303538461538462"/>
    <m/>
    <m/>
    <m/>
    <m/>
    <m/>
    <m/>
    <n v="4"/>
    <n v="0.16"/>
    <n v="519"/>
  </r>
  <r>
    <x v="593"/>
    <x v="0"/>
    <m/>
    <x v="7"/>
    <n v="8"/>
    <n v="8"/>
    <n v="0"/>
    <m/>
    <n v="3456"/>
    <n v="3299"/>
    <n v="157"/>
    <x v="671"/>
    <n v="67"/>
    <n v="432"/>
    <n v="412.375"/>
    <n v="19.625"/>
    <n v="259.1875"/>
    <n v="8.375"/>
    <n v="25"/>
    <n v="0"/>
    <n v="50"/>
    <n v="10"/>
    <n v="8.5"/>
    <n v="4.5428240740740741E-2"/>
    <n v="1"/>
    <n v="0.59997106481481477"/>
    <n v="0.93500000000000005"/>
    <m/>
    <m/>
    <m/>
    <m/>
    <m/>
    <m/>
    <n v="2"/>
    <n v="0.25"/>
    <n v="0"/>
  </r>
  <r>
    <x v="593"/>
    <x v="0"/>
    <m/>
    <x v="0"/>
    <n v="33"/>
    <n v="32"/>
    <n v="1"/>
    <s v="1 c. bovis in heart "/>
    <n v="13461"/>
    <n v="12715"/>
    <n v="746"/>
    <x v="672"/>
    <n v="231"/>
    <n v="420.65625"/>
    <n v="397.34375"/>
    <n v="23.3125"/>
    <n v="252.390625"/>
    <n v="7.21875"/>
    <n v="25"/>
    <n v="0"/>
    <n v="49.9375"/>
    <n v="10"/>
    <n v="8.5"/>
    <n v="5.5419359631528116E-2"/>
    <n v="0.99937500000000001"/>
    <n v="0.59999257113141669"/>
    <n v="0.93437499999999996"/>
    <m/>
    <m/>
    <m/>
    <m/>
    <m/>
    <m/>
    <n v="6"/>
    <n v="0.18181818181818182"/>
    <n v="400.5"/>
  </r>
  <r>
    <x v="593"/>
    <x v="1"/>
    <m/>
    <x v="1"/>
    <n v="25"/>
    <n v="24"/>
    <n v="1"/>
    <s v="1 antibiotic residues"/>
    <n v="1286"/>
    <n v="1285"/>
    <n v="1"/>
    <x v="673"/>
    <n v="0"/>
    <n v="53.583333333333336"/>
    <n v="53.541666666666664"/>
    <n v="4.1666666666666664E-2"/>
    <n v="32.425000000000004"/>
    <n v="0"/>
    <n v="25"/>
    <n v="0"/>
    <n v="49.124999999999993"/>
    <n v="10"/>
    <n v="8.5"/>
    <n v="7.7760497667185059E-4"/>
    <n v="0.99124999999999996"/>
    <n v="0.60513219284603426"/>
    <n v="0.92625000000000002"/>
    <m/>
    <m/>
    <m/>
    <m/>
    <m/>
    <m/>
    <n v="0"/>
    <n v="0"/>
    <n v="1.8"/>
  </r>
  <r>
    <x v="594"/>
    <x v="0"/>
    <m/>
    <x v="9"/>
    <n v="31"/>
    <n v="31"/>
    <n v="0"/>
    <m/>
    <n v="14891"/>
    <n v="14445"/>
    <n v="446"/>
    <x v="674"/>
    <n v="293"/>
    <n v="480.35483870967744"/>
    <n v="465.96774193548384"/>
    <n v="14.387096774193548"/>
    <n v="289.23870967741937"/>
    <n v="9.4516129032258061"/>
    <n v="24.5"/>
    <n v="0"/>
    <n v="49.645161290322577"/>
    <n v="10"/>
    <n v="8.5"/>
    <n v="2.99509771002619E-2"/>
    <n v="0.98645161290322569"/>
    <n v="0.60213551809818011"/>
    <n v="0.92645161290322575"/>
    <m/>
    <m/>
    <m/>
    <m/>
    <m/>
    <m/>
    <n v="11"/>
    <n v="0.35483870967741937"/>
    <n v="0"/>
  </r>
  <r>
    <x v="595"/>
    <x v="0"/>
    <m/>
    <x v="5"/>
    <n v="38"/>
    <n v="38"/>
    <n v="0"/>
    <m/>
    <n v="17011"/>
    <n v="16225"/>
    <n v="786"/>
    <x v="675"/>
    <n v="385"/>
    <n v="447.65789473684208"/>
    <n v="426.9736842105263"/>
    <n v="20.684210526315791"/>
    <n v="279.41052631578947"/>
    <n v="10.131578947368421"/>
    <n v="25"/>
    <n v="0"/>
    <n v="49.368421052631575"/>
    <n v="10"/>
    <n v="8.5"/>
    <n v="4.6205396508141795E-2"/>
    <n v="0.99368421052631573"/>
    <n v="0.62416083710540238"/>
    <n v="0.92868421052631578"/>
    <m/>
    <m/>
    <m/>
    <m/>
    <m/>
    <m/>
    <n v="4"/>
    <n v="0.10526315789473684"/>
    <n v="20"/>
  </r>
  <r>
    <x v="596"/>
    <x v="1"/>
    <m/>
    <x v="14"/>
    <n v="2"/>
    <n v="2"/>
    <n v="0"/>
    <m/>
    <n v="82"/>
    <n v="82"/>
    <n v="0"/>
    <x v="676"/>
    <n v="0"/>
    <n v="41"/>
    <n v="41"/>
    <n v="0"/>
    <n v="23.25"/>
    <n v="0"/>
    <n v="25"/>
    <n v="0"/>
    <n v="43"/>
    <n v="10"/>
    <n v="8.5"/>
    <n v="0"/>
    <n v="0.92999999999999994"/>
    <n v="0.56707317073170727"/>
    <n v="0.86499999999999999"/>
    <m/>
    <m/>
    <m/>
    <m/>
    <m/>
    <m/>
    <m/>
    <n v="0"/>
    <n v="0"/>
  </r>
  <r>
    <x v="596"/>
    <x v="0"/>
    <m/>
    <x v="7"/>
    <n v="16"/>
    <n v="16"/>
    <n v="0"/>
    <m/>
    <n v="7002"/>
    <n v="6790"/>
    <n v="212"/>
    <x v="677"/>
    <n v="141"/>
    <n v="437.625"/>
    <n v="424.375"/>
    <n v="13.25"/>
    <n v="262.58749999999998"/>
    <n v="8.8125"/>
    <n v="25"/>
    <n v="0"/>
    <n v="50"/>
    <n v="10"/>
    <n v="8.5"/>
    <n v="3.0277063696086834E-2"/>
    <n v="1"/>
    <n v="0.60002856326763776"/>
    <n v="0.93500000000000005"/>
    <m/>
    <m/>
    <m/>
    <m/>
    <m/>
    <m/>
    <n v="3"/>
    <n v="0.1875"/>
    <n v="8"/>
  </r>
  <r>
    <x v="596"/>
    <x v="0"/>
    <m/>
    <x v="14"/>
    <n v="15"/>
    <n v="15"/>
    <n v="0"/>
    <m/>
    <n v="7220"/>
    <n v="7165"/>
    <n v="55"/>
    <x v="678"/>
    <n v="133"/>
    <n v="481.33333333333331"/>
    <n v="477.66666666666669"/>
    <n v="3.6666666666666665"/>
    <n v="293.45333333333332"/>
    <n v="8.8666666666666671"/>
    <n v="25"/>
    <n v="0"/>
    <n v="50"/>
    <n v="10"/>
    <n v="8.5"/>
    <n v="7.6177285318559558E-3"/>
    <n v="1"/>
    <n v="0.60966759002770088"/>
    <n v="0.93500000000000005"/>
    <m/>
    <m/>
    <m/>
    <m/>
    <m/>
    <m/>
    <n v="5"/>
    <n v="0.33333333333333331"/>
    <n v="0"/>
  </r>
  <r>
    <x v="597"/>
    <x v="1"/>
    <m/>
    <x v="1"/>
    <n v="25"/>
    <n v="25"/>
    <n v="0"/>
    <m/>
    <n v="1351"/>
    <n v="1351"/>
    <n v="0"/>
    <x v="679"/>
    <n v="0"/>
    <n v="54.04"/>
    <n v="54.04"/>
    <n v="0"/>
    <n v="32.128"/>
    <n v="0"/>
    <n v="25"/>
    <n v="0"/>
    <n v="49.2"/>
    <n v="10"/>
    <n v="8.5"/>
    <n v="0"/>
    <n v="0.99199999999999999"/>
    <n v="0.59452257586972612"/>
    <n v="0.92700000000000005"/>
    <m/>
    <m/>
    <m/>
    <m/>
    <m/>
    <m/>
    <n v="0"/>
    <n v="0"/>
    <n v="2.8"/>
  </r>
  <r>
    <x v="597"/>
    <x v="0"/>
    <m/>
    <x v="0"/>
    <n v="40"/>
    <n v="38"/>
    <n v="2"/>
    <s v="1 c. bovis in heart + 1 miliary TB "/>
    <n v="15744"/>
    <n v="15176"/>
    <n v="568"/>
    <x v="680"/>
    <n v="260"/>
    <n v="414.31578947368422"/>
    <n v="399.36842105263156"/>
    <n v="14.947368421052632"/>
    <n v="248.59473684210528"/>
    <n v="6.8421052631578947"/>
    <n v="25"/>
    <n v="0"/>
    <n v="49.94736842105263"/>
    <n v="10"/>
    <n v="8.5"/>
    <n v="3.6077235772357726E-2"/>
    <n v="0.99947368421052629"/>
    <n v="0.6000127032520326"/>
    <n v="0.93447368421052635"/>
    <m/>
    <m/>
    <m/>
    <m/>
    <m/>
    <m/>
    <n v="8"/>
    <n v="0.2"/>
    <n v="809.1"/>
  </r>
  <r>
    <x v="598"/>
    <x v="0"/>
    <m/>
    <x v="9"/>
    <n v="8"/>
    <n v="8"/>
    <n v="0"/>
    <m/>
    <n v="3562"/>
    <n v="3402"/>
    <n v="160"/>
    <x v="681"/>
    <n v="65"/>
    <n v="445.25"/>
    <n v="425.25"/>
    <n v="20"/>
    <n v="267.13749999999999"/>
    <n v="8.125"/>
    <n v="25"/>
    <n v="0"/>
    <n v="48.25"/>
    <n v="10"/>
    <n v="8.5"/>
    <n v="4.4918585064570464E-2"/>
    <n v="0.98249999999999993"/>
    <n v="0.59997192588433457"/>
    <n v="0.91749999999999998"/>
    <m/>
    <m/>
    <m/>
    <m/>
    <m/>
    <m/>
    <n v="7"/>
    <n v="0.875"/>
    <n v="7"/>
  </r>
  <r>
    <x v="598"/>
    <x v="0"/>
    <m/>
    <x v="14"/>
    <n v="24"/>
    <n v="24"/>
    <n v="0"/>
    <m/>
    <n v="11500"/>
    <n v="11220"/>
    <n v="280"/>
    <x v="682"/>
    <n v="260"/>
    <n v="479.16666666666669"/>
    <n v="467.5"/>
    <n v="11.666666666666666"/>
    <n v="291.88333333333333"/>
    <n v="10.833333333333334"/>
    <n v="25"/>
    <n v="0"/>
    <n v="50"/>
    <n v="10"/>
    <n v="8.5"/>
    <n v="2.4347826086956518E-2"/>
    <n v="1"/>
    <n v="0.6091478260869565"/>
    <n v="0.93500000000000005"/>
    <m/>
    <m/>
    <m/>
    <m/>
    <m/>
    <m/>
    <n v="14"/>
    <n v="0.58333333333333337"/>
    <n v="0"/>
  </r>
  <r>
    <x v="599"/>
    <x v="0"/>
    <m/>
    <x v="7"/>
    <n v="16"/>
    <n v="14"/>
    <n v="2"/>
    <s v="1 c. bovis in heart "/>
    <n v="6076"/>
    <n v="5778"/>
    <n v="298"/>
    <x v="683"/>
    <n v="92"/>
    <n v="434"/>
    <n v="412.71428571428572"/>
    <n v="21.285714285714285"/>
    <n v="260.39285714285717"/>
    <n v="6.5714285714285712"/>
    <n v="25"/>
    <n v="0"/>
    <n v="49.500000000000007"/>
    <n v="10"/>
    <n v="8.5"/>
    <n v="4.9045424621461484E-2"/>
    <n v="0.99500000000000011"/>
    <n v="0.5999835418038183"/>
    <n v="0.93"/>
    <m/>
    <m/>
    <m/>
    <m/>
    <m/>
    <m/>
    <n v="7"/>
    <n v="0.4375"/>
    <n v="818"/>
  </r>
  <r>
    <x v="599"/>
    <x v="0"/>
    <m/>
    <x v="5"/>
    <n v="28"/>
    <n v="28"/>
    <n v="0"/>
    <m/>
    <n v="12276"/>
    <n v="11685"/>
    <n v="591"/>
    <x v="684"/>
    <n v="327"/>
    <n v="438.42857142857144"/>
    <n v="417.32142857142856"/>
    <n v="21.107142857142858"/>
    <n v="273.6464285714286"/>
    <n v="11.678571428571429"/>
    <n v="25"/>
    <n v="0"/>
    <n v="49.821428571428569"/>
    <n v="9"/>
    <n v="8.5"/>
    <n v="4.8142717497556206E-2"/>
    <n v="0.99821428571428572"/>
    <n v="0.62415281850765725"/>
    <n v="0.92321428571428565"/>
    <m/>
    <m/>
    <m/>
    <m/>
    <m/>
    <m/>
    <n v="5"/>
    <n v="0.17857142857142858"/>
    <n v="1"/>
  </r>
  <r>
    <x v="600"/>
    <x v="0"/>
    <m/>
    <x v="5"/>
    <n v="32"/>
    <n v="31"/>
    <n v="1"/>
    <s v="1 c. bovis in heart "/>
    <n v="12725"/>
    <n v="11932"/>
    <n v="793"/>
    <x v="685"/>
    <n v="248"/>
    <n v="410.48387096774195"/>
    <n v="384.90322580645159"/>
    <n v="25.580645161290324"/>
    <n v="249.81612903225806"/>
    <n v="8"/>
    <n v="25"/>
    <n v="0"/>
    <n v="49.774193548387096"/>
    <n v="10"/>
    <n v="8.5"/>
    <n v="6.2318271119842832E-2"/>
    <n v="0.99774193548387102"/>
    <n v="0.60858939096267195"/>
    <n v="0.93274193548387108"/>
    <m/>
    <m/>
    <m/>
    <m/>
    <m/>
    <m/>
    <n v="4"/>
    <n v="0.125"/>
    <n v="354"/>
  </r>
  <r>
    <x v="600"/>
    <x v="0"/>
    <m/>
    <x v="14"/>
    <n v="8"/>
    <n v="8"/>
    <n v="0"/>
    <m/>
    <n v="3400"/>
    <n v="3305"/>
    <n v="95"/>
    <x v="686"/>
    <n v="68"/>
    <n v="425"/>
    <n v="413.125"/>
    <n v="11.875"/>
    <n v="259.66250000000002"/>
    <n v="8.5"/>
    <n v="25"/>
    <n v="0"/>
    <n v="50"/>
    <n v="10"/>
    <n v="8.5"/>
    <n v="2.7941176470588237E-2"/>
    <n v="1"/>
    <n v="0.61097058823529415"/>
    <n v="0.93500000000000005"/>
    <m/>
    <m/>
    <m/>
    <m/>
    <m/>
    <m/>
    <n v="2"/>
    <n v="0.25"/>
    <n v="0"/>
  </r>
  <r>
    <x v="601"/>
    <x v="0"/>
    <m/>
    <x v="0"/>
    <n v="45"/>
    <n v="45"/>
    <n v="0"/>
    <m/>
    <n v="18369"/>
    <n v="17650"/>
    <n v="719"/>
    <x v="687"/>
    <n v="265"/>
    <n v="408.2"/>
    <n v="392.22222222222223"/>
    <n v="15.977777777777778"/>
    <n v="244.90888888888887"/>
    <n v="5.8888888888888893"/>
    <n v="25"/>
    <n v="0"/>
    <n v="50"/>
    <n v="10"/>
    <n v="8.5"/>
    <n v="3.9142032772606021E-2"/>
    <n v="1"/>
    <n v="0.59997278022755729"/>
    <n v="0.93500000000000005"/>
    <m/>
    <m/>
    <m/>
    <m/>
    <m/>
    <m/>
    <n v="0"/>
    <n v="0"/>
    <n v="2"/>
  </r>
  <r>
    <x v="601"/>
    <x v="1"/>
    <m/>
    <x v="1"/>
    <n v="25"/>
    <n v="25"/>
    <n v="0"/>
    <m/>
    <n v="1308"/>
    <n v="1280"/>
    <n v="28"/>
    <x v="688"/>
    <n v="0"/>
    <n v="52.32"/>
    <n v="51.2"/>
    <n v="1.1200000000000001"/>
    <n v="32.003999999999998"/>
    <n v="0"/>
    <n v="22"/>
    <n v="0"/>
    <n v="46.5"/>
    <n v="10"/>
    <n v="8.5"/>
    <n v="2.140672782874618E-2"/>
    <n v="0.90500000000000003"/>
    <n v="0.61169724770642209"/>
    <n v="0.87"/>
    <s v="2 kidneys "/>
    <m/>
    <m/>
    <m/>
    <m/>
    <m/>
    <n v="0"/>
    <n v="0"/>
    <n v="0.5"/>
  </r>
  <r>
    <x v="602"/>
    <x v="0"/>
    <m/>
    <x v="7"/>
    <n v="16"/>
    <n v="16"/>
    <n v="0"/>
    <m/>
    <n v="6823"/>
    <n v="6560"/>
    <n v="263"/>
    <x v="689"/>
    <n v="127"/>
    <n v="426.4375"/>
    <n v="410"/>
    <n v="16.4375"/>
    <n v="255.85624999999999"/>
    <n v="7.9375"/>
    <n v="25"/>
    <n v="0"/>
    <n v="49.5625"/>
    <n v="10"/>
    <n v="8.5"/>
    <n v="3.8546094093507254E-2"/>
    <n v="0.99562499999999998"/>
    <n v="0.59998534369045875"/>
    <n v="0.93062500000000004"/>
    <s v="1 lung"/>
    <m/>
    <m/>
    <m/>
    <m/>
    <m/>
    <n v="5"/>
    <n v="0.3125"/>
    <n v="1"/>
  </r>
  <r>
    <x v="602"/>
    <x v="0"/>
    <m/>
    <x v="9"/>
    <n v="16"/>
    <n v="16"/>
    <n v="0"/>
    <m/>
    <n v="7708"/>
    <n v="7360"/>
    <n v="348"/>
    <x v="690"/>
    <n v="155"/>
    <n v="481.75"/>
    <n v="460"/>
    <n v="21.75"/>
    <n v="289.05624999999998"/>
    <n v="9.6875"/>
    <n v="25"/>
    <n v="0"/>
    <n v="50"/>
    <n v="10"/>
    <n v="8.5"/>
    <n v="4.5147898287493514E-2"/>
    <n v="1"/>
    <n v="0.60001297353399063"/>
    <n v="0.93500000000000005"/>
    <m/>
    <m/>
    <m/>
    <m/>
    <m/>
    <m/>
    <n v="3"/>
    <n v="0.1875"/>
    <n v="1"/>
  </r>
  <r>
    <x v="603"/>
    <x v="0"/>
    <m/>
    <x v="14"/>
    <n v="48"/>
    <n v="47"/>
    <n v="1"/>
    <s v="1 c. bovis in heart "/>
    <n v="21094"/>
    <n v="20624"/>
    <n v="470"/>
    <x v="691"/>
    <n v="438"/>
    <n v="448.80851063829789"/>
    <n v="438.80851063829789"/>
    <n v="10"/>
    <n v="275.48085106382979"/>
    <n v="9.3191489361702136"/>
    <n v="25"/>
    <n v="0"/>
    <n v="49.717391304347821"/>
    <n v="9.891304347826086"/>
    <n v="8.5"/>
    <n v="2.2281217407793683E-2"/>
    <n v="0.99717391304347824"/>
    <n v="0.61380487342372236"/>
    <n v="0.93108695652173912"/>
    <s v="1 liver "/>
    <m/>
    <s v="3 livers"/>
    <m/>
    <m/>
    <s v="blood splash 1 carcass "/>
    <n v="18"/>
    <n v="0.375"/>
    <n v="520"/>
  </r>
  <r>
    <x v="604"/>
    <x v="0"/>
    <m/>
    <x v="5"/>
    <n v="45"/>
    <n v="43"/>
    <n v="2"/>
    <s v="2 c. bovis in heart and head"/>
    <n v="19119"/>
    <n v="17764"/>
    <n v="1355"/>
    <x v="692"/>
    <n v="413"/>
    <n v="444.62790697674421"/>
    <n v="413.11627906976742"/>
    <n v="31.511627906976745"/>
    <n v="270.77209302325582"/>
    <n v="9.604651162790697"/>
    <n v="25"/>
    <n v="0"/>
    <n v="49.837209302325576"/>
    <n v="10"/>
    <n v="8.5"/>
    <n v="7.0871907526544278E-2"/>
    <n v="0.9983720930232558"/>
    <n v="0.60898582561849468"/>
    <n v="0.93337209302325574"/>
    <s v=" 1 liver "/>
    <m/>
    <m/>
    <m/>
    <m/>
    <m/>
    <n v="3"/>
    <n v="6.6666666666666666E-2"/>
    <n v="783"/>
  </r>
  <r>
    <x v="605"/>
    <x v="0"/>
    <m/>
    <x v="0"/>
    <n v="32"/>
    <n v="32"/>
    <n v="0"/>
    <m/>
    <n v="12709"/>
    <n v="12295"/>
    <n v="414"/>
    <x v="693"/>
    <n v="193"/>
    <n v="397.15625"/>
    <n v="384.21875"/>
    <n v="12.9375"/>
    <n v="238.27812499999999"/>
    <n v="6.03125"/>
    <n v="25"/>
    <n v="0"/>
    <n v="50"/>
    <n v="10"/>
    <n v="8.5"/>
    <n v="3.2575340310016521E-2"/>
    <n v="1"/>
    <n v="0.59996065780155794"/>
    <n v="0.93500000000000005"/>
    <m/>
    <m/>
    <m/>
    <m/>
    <m/>
    <m/>
    <n v="10"/>
    <n v="0.3125"/>
    <m/>
  </r>
  <r>
    <x v="605"/>
    <x v="1"/>
    <m/>
    <x v="1"/>
    <n v="27"/>
    <n v="27"/>
    <n v="0"/>
    <m/>
    <n v="1321"/>
    <n v="1270"/>
    <n v="51"/>
    <x v="694"/>
    <n v="0"/>
    <n v="48.925925925925924"/>
    <n v="47.037037037037038"/>
    <n v="1.8888888888888888"/>
    <n v="29.674074074074074"/>
    <n v="0"/>
    <n v="25"/>
    <n v="0"/>
    <n v="49.777777777777779"/>
    <n v="10"/>
    <n v="8.5"/>
    <n v="3.8607115821347467E-2"/>
    <n v="0.99777777777777776"/>
    <n v="0.60651021953065865"/>
    <n v="0.93277777777777771"/>
    <m/>
    <m/>
    <s v="3 liver "/>
    <m/>
    <m/>
    <m/>
    <n v="0"/>
    <n v="0"/>
    <m/>
  </r>
  <r>
    <x v="605"/>
    <x v="0"/>
    <m/>
    <x v="5"/>
    <n v="16"/>
    <n v="16"/>
    <n v="0"/>
    <m/>
    <n v="7314"/>
    <n v="6915"/>
    <n v="399"/>
    <x v="695"/>
    <n v="164"/>
    <n v="457.125"/>
    <n v="432.1875"/>
    <n v="24.9375"/>
    <n v="283.7"/>
    <n v="10.25"/>
    <n v="25"/>
    <n v="0"/>
    <n v="49.84375"/>
    <n v="10"/>
    <n v="8.5"/>
    <n v="5.4552912223133715E-2"/>
    <n v="0.99843749999999998"/>
    <n v="0.62061799289034725"/>
    <n v="0.93343750000000003"/>
    <s v="1 single testicle"/>
    <m/>
    <m/>
    <m/>
    <m/>
    <m/>
    <n v="0"/>
    <n v="0"/>
    <m/>
  </r>
  <r>
    <x v="606"/>
    <x v="0"/>
    <m/>
    <x v="20"/>
    <n v="16"/>
    <n v="16"/>
    <n v="0"/>
    <m/>
    <n v="6816"/>
    <n v="6535"/>
    <n v="281"/>
    <x v="696"/>
    <n v="143"/>
    <n v="426"/>
    <n v="408.4375"/>
    <n v="17.5625"/>
    <n v="256.97500000000002"/>
    <n v="8.9375"/>
    <n v="25"/>
    <n v="0"/>
    <n v="49.125"/>
    <n v="10"/>
    <n v="8.5"/>
    <n v="4.1226525821596242E-2"/>
    <n v="0.99124999999999996"/>
    <n v="0.60322769953051647"/>
    <n v="0.92625000000000002"/>
    <s v="2 kidneys + 1 liver "/>
    <m/>
    <m/>
    <m/>
    <m/>
    <m/>
    <n v="2"/>
    <n v="0.125"/>
    <n v="7.5"/>
  </r>
  <r>
    <x v="606"/>
    <x v="0"/>
    <m/>
    <x v="5"/>
    <n v="14"/>
    <n v="13"/>
    <n v="1"/>
    <s v="1 c. bovis in heart "/>
    <n v="5814"/>
    <n v="5527"/>
    <n v="287"/>
    <x v="697"/>
    <n v="139"/>
    <n v="447.23076923076923"/>
    <n v="425.15384615384613"/>
    <n v="22.076923076923077"/>
    <n v="276.88461538461536"/>
    <n v="10.692307692307692"/>
    <n v="25"/>
    <n v="0"/>
    <n v="49.5"/>
    <n v="10"/>
    <n v="8.5"/>
    <n v="4.9363605091159272E-2"/>
    <n v="0.995"/>
    <n v="0.61910904712762294"/>
    <n v="0.93"/>
    <s v="2 kidneys"/>
    <m/>
    <m/>
    <m/>
    <m/>
    <m/>
    <n v="0"/>
    <n v="0"/>
    <n v="414"/>
  </r>
  <r>
    <x v="607"/>
    <x v="0"/>
    <m/>
    <x v="14"/>
    <n v="30"/>
    <n v="30"/>
    <n v="0"/>
    <m/>
    <n v="14200"/>
    <n v="13780"/>
    <n v="420"/>
    <x v="698"/>
    <n v="286"/>
    <n v="473.33333333333331"/>
    <n v="459.33333333333331"/>
    <n v="14"/>
    <n v="290.52000000000004"/>
    <n v="9.5333333333333332"/>
    <n v="25"/>
    <n v="0"/>
    <n v="49.766666666666673"/>
    <n v="10"/>
    <n v="8.5"/>
    <n v="2.9577464788732397E-2"/>
    <n v="0.9976666666666667"/>
    <n v="0.61377464788732394"/>
    <n v="0.93266666666666675"/>
    <s v="1 liver "/>
    <m/>
    <m/>
    <m/>
    <m/>
    <m/>
    <n v="15"/>
    <n v="0.5"/>
    <n v="7"/>
  </r>
  <r>
    <x v="607"/>
    <x v="0"/>
    <m/>
    <x v="5"/>
    <n v="16"/>
    <n v="14"/>
    <n v="2"/>
    <s v="2 c. bovis in heart"/>
    <n v="6374"/>
    <n v="6004"/>
    <n v="370"/>
    <x v="699"/>
    <n v="144"/>
    <n v="455.28571428571428"/>
    <n v="428.85714285714283"/>
    <n v="26.428571428571427"/>
    <n v="280.87857142857143"/>
    <n v="10.285714285714286"/>
    <n v="25"/>
    <n v="0"/>
    <n v="50"/>
    <n v="10"/>
    <n v="8.5"/>
    <n v="5.804832130530279E-2"/>
    <n v="1"/>
    <n v="0.61692814559146536"/>
    <n v="0.93500000000000005"/>
    <m/>
    <m/>
    <m/>
    <m/>
    <m/>
    <m/>
    <n v="2"/>
    <n v="0.125"/>
    <n v="836"/>
  </r>
  <r>
    <x v="608"/>
    <x v="0"/>
    <m/>
    <x v="5"/>
    <n v="32"/>
    <n v="30"/>
    <n v="2"/>
    <s v="2 c. bovis in heart and head"/>
    <n v="12560"/>
    <n v="11871"/>
    <n v="689"/>
    <x v="700"/>
    <n v="296"/>
    <n v="418.66666666666669"/>
    <n v="395.7"/>
    <n v="22.966666666666665"/>
    <n v="261.14666666666665"/>
    <n v="9.8666666666666671"/>
    <n v="25"/>
    <n v="0"/>
    <n v="50"/>
    <n v="10"/>
    <n v="8.5"/>
    <n v="5.4856687898089167E-2"/>
    <n v="1"/>
    <n v="0.62375796178343945"/>
    <n v="0.93500000000000005"/>
    <m/>
    <m/>
    <m/>
    <m/>
    <m/>
    <m/>
    <n v="3"/>
    <n v="9.375E-2"/>
    <n v="922"/>
  </r>
  <r>
    <x v="609"/>
    <x v="1"/>
    <m/>
    <x v="21"/>
    <n v="30"/>
    <n v="30"/>
    <n v="0"/>
    <m/>
    <n v="1322"/>
    <n v="1250"/>
    <n v="72"/>
    <x v="701"/>
    <n v="0"/>
    <n v="44.06666666666667"/>
    <n v="41.666666666666664"/>
    <n v="2.4"/>
    <n v="24.34"/>
    <n v="0"/>
    <n v="25"/>
    <n v="0"/>
    <n v="47.766666666666666"/>
    <n v="10"/>
    <n v="8.5"/>
    <n v="5.4462934947049915E-2"/>
    <n v="0.97766666666666668"/>
    <n v="0.55234493192133138"/>
    <n v="0.91266666666666663"/>
    <s v="1 forequarter + 3 livers + 2 omentums"/>
    <m/>
    <m/>
    <m/>
    <m/>
    <m/>
    <n v="0"/>
    <n v="0"/>
    <n v="8"/>
  </r>
  <r>
    <x v="609"/>
    <x v="0"/>
    <m/>
    <x v="0"/>
    <n v="40"/>
    <n v="39"/>
    <n v="1"/>
    <s v="1 c. bovis in heart "/>
    <n v="16253"/>
    <n v="15270"/>
    <n v="983"/>
    <x v="702"/>
    <n v="255"/>
    <n v="416.74358974358972"/>
    <n v="391.53846153846155"/>
    <n v="25.205128205128204"/>
    <n v="251.77179487179487"/>
    <n v="6.5384615384615383"/>
    <n v="25"/>
    <n v="0"/>
    <n v="50"/>
    <n v="10"/>
    <n v="8.5"/>
    <n v="6.0481141943025903E-2"/>
    <n v="1"/>
    <n v="0.6041407740109519"/>
    <n v="0.93500000000000005"/>
    <m/>
    <m/>
    <m/>
    <m/>
    <m/>
    <m/>
    <n v="6"/>
    <n v="0.15"/>
    <n v="400"/>
  </r>
  <r>
    <x v="610"/>
    <x v="0"/>
    <m/>
    <x v="20"/>
    <n v="16"/>
    <n v="16"/>
    <n v="0"/>
    <m/>
    <n v="6612"/>
    <n v="6460"/>
    <n v="152"/>
    <x v="703"/>
    <n v="123"/>
    <n v="413.25"/>
    <n v="403.75"/>
    <n v="9.5"/>
    <n v="247.9375"/>
    <n v="7.6875"/>
    <n v="25"/>
    <n v="0"/>
    <n v="49.875"/>
    <n v="10"/>
    <n v="8.5"/>
    <n v="2.2988505747126436E-2"/>
    <n v="0.99875000000000003"/>
    <n v="0.59996975196612223"/>
    <n v="0.93374999999999997"/>
    <m/>
    <m/>
    <s v="1 liver cirrhosis"/>
    <m/>
    <m/>
    <m/>
    <n v="0"/>
    <n v="0"/>
    <n v="1.5"/>
  </r>
  <r>
    <x v="610"/>
    <x v="0"/>
    <m/>
    <x v="5"/>
    <n v="18"/>
    <n v="17"/>
    <n v="1"/>
    <s v="1 c. bovis in heart "/>
    <n v="7586"/>
    <n v="7280"/>
    <n v="306"/>
    <x v="704"/>
    <n v="171"/>
    <n v="446.23529411764707"/>
    <n v="428.23529411764707"/>
    <n v="18"/>
    <n v="281.80588235294118"/>
    <n v="10.058823529411764"/>
    <n v="25"/>
    <n v="0"/>
    <n v="49.882352941176471"/>
    <n v="10"/>
    <n v="8.5"/>
    <n v="4.0337463749011336E-2"/>
    <n v="0.99882352941176467"/>
    <n v="0.63151858687055096"/>
    <n v="0.93382352941176461"/>
    <m/>
    <m/>
    <s v="1 liver abscess"/>
    <m/>
    <m/>
    <m/>
    <n v="0"/>
    <n v="0"/>
    <n v="451.5"/>
  </r>
  <r>
    <x v="611"/>
    <x v="0"/>
    <m/>
    <x v="14"/>
    <n v="40"/>
    <n v="40"/>
    <n v="0"/>
    <m/>
    <n v="18294"/>
    <n v="17735"/>
    <n v="559"/>
    <x v="705"/>
    <n v="394"/>
    <n v="457.35"/>
    <n v="443.375"/>
    <n v="13.975"/>
    <n v="275.82249999999999"/>
    <n v="9.85"/>
    <n v="25"/>
    <n v="0"/>
    <n v="49.825000000000003"/>
    <n v="10"/>
    <n v="8.5"/>
    <n v="3.0556466601071388E-2"/>
    <n v="0.99825000000000008"/>
    <n v="0.60308844429867714"/>
    <n v="0.93325000000000002"/>
    <s v="2 kidneys"/>
    <m/>
    <m/>
    <m/>
    <m/>
    <m/>
    <n v="18"/>
    <n v="0.45"/>
    <m/>
  </r>
  <r>
    <x v="612"/>
    <x v="0"/>
    <m/>
    <x v="5"/>
    <n v="40"/>
    <n v="40"/>
    <n v="0"/>
    <m/>
    <n v="16744"/>
    <n v="16115"/>
    <n v="629"/>
    <x v="706"/>
    <n v="359"/>
    <n v="418.6"/>
    <n v="402.875"/>
    <n v="15.725"/>
    <n v="266.08249999999998"/>
    <n v="8.9749999999999996"/>
    <n v="25"/>
    <n v="0"/>
    <n v="49.9"/>
    <n v="10"/>
    <n v="8.5"/>
    <n v="3.7565695174390824E-2"/>
    <n v="0.999"/>
    <n v="0.63564859053989486"/>
    <n v="0.93400000000000005"/>
    <m/>
    <m/>
    <s v="2 small liver abscesses"/>
    <m/>
    <m/>
    <m/>
    <n v="2"/>
    <n v="0.05"/>
    <n v="1"/>
  </r>
  <r>
    <x v="613"/>
    <x v="0"/>
    <m/>
    <x v="0"/>
    <n v="40"/>
    <n v="39"/>
    <n v="1"/>
    <s v="1 emaciated bull"/>
    <n v="17317"/>
    <n v="16594"/>
    <n v="723"/>
    <x v="707"/>
    <n v="357"/>
    <n v="444.02564102564105"/>
    <n v="425.4871794871795"/>
    <n v="18.53846153846154"/>
    <n v="266.42051282051278"/>
    <n v="9.1538461538461533"/>
    <n v="25"/>
    <n v="0"/>
    <n v="49.410256410256409"/>
    <n v="10"/>
    <n v="8.5"/>
    <n v="4.1750880637523823E-2"/>
    <n v="0.99410256410256403"/>
    <n v="0.60001154934457468"/>
    <n v="0.92910256410256409"/>
    <s v="3 kidneys + 1 lung"/>
    <m/>
    <s v="1 liver cirrhosis"/>
    <m/>
    <m/>
    <m/>
    <n v="13"/>
    <n v="0.32500000000000001"/>
    <n v="434"/>
  </r>
  <r>
    <x v="613"/>
    <x v="1"/>
    <m/>
    <x v="1"/>
    <n v="25"/>
    <n v="25"/>
    <n v="0"/>
    <m/>
    <n v="1315"/>
    <n v="1320"/>
    <n v="-5"/>
    <x v="708"/>
    <m/>
    <n v="52.6"/>
    <n v="52.8"/>
    <n v="-0.2"/>
    <n v="32.979999999999997"/>
    <n v="0"/>
    <n v="25"/>
    <n v="0"/>
    <n v="49.72"/>
    <n v="10"/>
    <n v="8.5"/>
    <n v="-3.8022813688212928E-3"/>
    <n v="0.99719999999999998"/>
    <n v="0.62699619771863113"/>
    <n v="0.93220000000000003"/>
    <s v="1 liver "/>
    <m/>
    <m/>
    <m/>
    <m/>
    <m/>
    <n v="0"/>
    <n v="0"/>
    <n v="0.5"/>
  </r>
  <r>
    <x v="614"/>
    <x v="0"/>
    <m/>
    <x v="5"/>
    <n v="32"/>
    <n v="31"/>
    <n v="1"/>
    <s v="1 c. bovis in heart "/>
    <n v="14353"/>
    <n v="13557"/>
    <n v="796"/>
    <x v="709"/>
    <n v="345"/>
    <n v="463"/>
    <n v="437.32258064516128"/>
    <n v="25.677419354838708"/>
    <n v="288.47096774193551"/>
    <n v="11.129032258064516"/>
    <n v="25"/>
    <n v="0"/>
    <n v="49.032258064516128"/>
    <n v="10"/>
    <n v="8.5"/>
    <n v="5.5458789103323344E-2"/>
    <n v="0.99032258064516121"/>
    <n v="0.62304744652685851"/>
    <n v="0.92532258064516126"/>
    <s v="half tail"/>
    <m/>
    <s v="several bruises "/>
    <m/>
    <m/>
    <m/>
    <n v="3"/>
    <n v="9.375E-2"/>
    <n v="441"/>
  </r>
  <r>
    <x v="615"/>
    <x v="0"/>
    <m/>
    <x v="20"/>
    <n v="16"/>
    <n v="15"/>
    <n v="1"/>
    <s v="1 c. bovis in heart "/>
    <n v="6673"/>
    <n v="6374"/>
    <n v="299"/>
    <x v="710"/>
    <n v="126"/>
    <n v="444.86666666666667"/>
    <n v="424.93333333333334"/>
    <n v="19.933333333333334"/>
    <n v="270.16000000000003"/>
    <n v="8.4"/>
    <n v="25"/>
    <n v="0"/>
    <n v="49.666666666666664"/>
    <n v="10"/>
    <n v="8.5"/>
    <n v="4.480743293870823E-2"/>
    <n v="0.99666666666666659"/>
    <n v="0.60728308107298068"/>
    <n v="0.93166666666666653"/>
    <s v="1 single testicle "/>
    <m/>
    <m/>
    <m/>
    <m/>
    <m/>
    <n v="1"/>
    <n v="6.25E-2"/>
    <n v="376"/>
  </r>
  <r>
    <x v="615"/>
    <x v="0"/>
    <m/>
    <x v="14"/>
    <n v="30"/>
    <n v="30"/>
    <n v="0"/>
    <m/>
    <n v="14345"/>
    <n v="13920"/>
    <n v="425"/>
    <x v="711"/>
    <n v="314"/>
    <n v="478.16666666666669"/>
    <n v="464"/>
    <n v="14.166666666666666"/>
    <n v="291.9133333333333"/>
    <n v="10.466666666666667"/>
    <n v="25"/>
    <n v="0"/>
    <n v="49.533333333333331"/>
    <n v="10"/>
    <n v="8.5"/>
    <n v="2.9627047751829904E-2"/>
    <n v="0.99533333333333329"/>
    <n v="0.61048448936911814"/>
    <n v="0.93033333333333335"/>
    <s v="1 liver + 2 kidneys "/>
    <m/>
    <m/>
    <m/>
    <m/>
    <m/>
    <n v="13"/>
    <n v="0.43333333333333335"/>
    <n v="12"/>
  </r>
  <r>
    <x v="616"/>
    <x v="0"/>
    <m/>
    <x v="5"/>
    <n v="32"/>
    <n v="29"/>
    <n v="3"/>
    <s v="3 c. bovis in heart "/>
    <n v="13323"/>
    <n v="12624"/>
    <n v="699"/>
    <x v="712"/>
    <n v="316"/>
    <n v="459.41379310344826"/>
    <n v="435.31034482758622"/>
    <n v="24.103448275862068"/>
    <n v="286.62413793103451"/>
    <n v="10.896551724137931"/>
    <n v="25"/>
    <n v="0"/>
    <n v="49.517241379310342"/>
    <n v="10"/>
    <n v="8.5"/>
    <n v="5.2465660887187571E-2"/>
    <n v="0.99517241379310339"/>
    <n v="0.62389101553704118"/>
    <n v="0.93017241379310345"/>
    <s v="2 hearts"/>
    <m/>
    <s v="2 bruises"/>
    <m/>
    <m/>
    <m/>
    <n v="4"/>
    <n v="0.125"/>
    <n v="1411"/>
  </r>
  <r>
    <x v="617"/>
    <x v="0"/>
    <m/>
    <x v="0"/>
    <n v="45"/>
    <n v="43"/>
    <n v="2"/>
    <s v="2 c. bovis in heart "/>
    <n v="20075"/>
    <n v="19058"/>
    <n v="1017"/>
    <x v="713"/>
    <n v="415"/>
    <n v="466.86046511627904"/>
    <n v="443.2093023255814"/>
    <n v="23.651162790697676"/>
    <n v="280.13023255813954"/>
    <n v="9.6511627906976738"/>
    <n v="25"/>
    <n v="0"/>
    <n v="49.651162790697676"/>
    <n v="10"/>
    <n v="8.5"/>
    <n v="5.0660024906600251E-2"/>
    <n v="0.99651162790697678"/>
    <n v="0.60002988792029888"/>
    <n v="0.93151162790697672"/>
    <s v="1 head + lung + liver "/>
    <m/>
    <m/>
    <m/>
    <m/>
    <m/>
    <n v="24"/>
    <n v="0.53333333333333333"/>
    <n v="939"/>
  </r>
  <r>
    <x v="617"/>
    <x v="1"/>
    <m/>
    <x v="1"/>
    <n v="27"/>
    <n v="27"/>
    <n v="0"/>
    <m/>
    <n v="1356"/>
    <n v="1325"/>
    <n v="31"/>
    <x v="714"/>
    <m/>
    <n v="50.222222222222221"/>
    <n v="49.074074074074076"/>
    <n v="1.1481481481481481"/>
    <n v="30.355555555555558"/>
    <n v="0"/>
    <n v="25"/>
    <n v="0"/>
    <n v="49.555555555555557"/>
    <n v="10"/>
    <n v="8.5"/>
    <n v="2.2861356932153392E-2"/>
    <n v="0.99555555555555553"/>
    <n v="0.60442477876106193"/>
    <n v="0.93055555555555558"/>
    <m/>
    <m/>
    <s v="abscesses in 6 livers"/>
    <m/>
    <m/>
    <m/>
    <n v="0"/>
    <n v="0"/>
    <n v="4"/>
  </r>
  <r>
    <x v="618"/>
    <x v="0"/>
    <s v="بلدي"/>
    <x v="5"/>
    <n v="32"/>
    <n v="32"/>
    <n v="0"/>
    <m/>
    <n v="14867"/>
    <n v="14145"/>
    <n v="722"/>
    <x v="715"/>
    <n v="353"/>
    <n v="464.59375"/>
    <n v="442.03125"/>
    <n v="22.5625"/>
    <n v="290.96875"/>
    <n v="11.03125"/>
    <n v="25"/>
    <n v="0"/>
    <n v="49.28125"/>
    <n v="10"/>
    <n v="8.5"/>
    <n v="4.8563933544090943E-2"/>
    <n v="0.99281249999999999"/>
    <n v="0.62628640613439157"/>
    <n v="0.92781250000000004"/>
    <s v="2 lung + 1 kidney"/>
    <m/>
    <s v="1 liver abscess"/>
    <m/>
    <m/>
    <m/>
    <n v="3"/>
    <n v="9.375E-2"/>
    <n v="4"/>
  </r>
  <r>
    <x v="619"/>
    <x v="0"/>
    <m/>
    <x v="20"/>
    <n v="16"/>
    <n v="15"/>
    <n v="1"/>
    <s v="1 c. bovis in heart "/>
    <n v="6583"/>
    <n v="6271"/>
    <n v="312"/>
    <x v="716"/>
    <n v="145"/>
    <n v="438.86666666666667"/>
    <n v="418.06666666666666"/>
    <n v="20.8"/>
    <n v="263.33999999999997"/>
    <n v="9.6666666666666661"/>
    <n v="25"/>
    <n v="0"/>
    <n v="49.533333333333331"/>
    <n v="10"/>
    <n v="8.5"/>
    <n v="4.7394804800243051E-2"/>
    <n v="0.99533333333333329"/>
    <n v="0.60004557192769248"/>
    <n v="0.93033333333333335"/>
    <s v="2 kidneys "/>
    <m/>
    <m/>
    <m/>
    <m/>
    <m/>
    <n v="10"/>
    <n v="0.625"/>
    <n v="456"/>
  </r>
  <r>
    <x v="619"/>
    <x v="0"/>
    <m/>
    <x v="14"/>
    <n v="29"/>
    <n v="29"/>
    <n v="0"/>
    <m/>
    <n v="13449"/>
    <n v="12955"/>
    <n v="494"/>
    <x v="717"/>
    <n v="310"/>
    <n v="463.75862068965517"/>
    <n v="446.72413793103448"/>
    <n v="17.03448275862069"/>
    <n v="284.73793103448276"/>
    <n v="10.689655172413794"/>
    <n v="25"/>
    <n v="0"/>
    <n v="49.275862068965509"/>
    <n v="9.7931034482758612"/>
    <n v="8.5"/>
    <n v="3.673135549111458E-2"/>
    <n v="0.99275862068965504"/>
    <n v="0.6139787344783999"/>
    <n v="0.92568965517241364"/>
    <s v="1 liver + 1 lung + 2 kidneys "/>
    <m/>
    <s v="several bruises "/>
    <m/>
    <m/>
    <m/>
    <n v="16"/>
    <n v="0.55172413793103448"/>
    <n v="9"/>
  </r>
  <r>
    <x v="620"/>
    <x v="0"/>
    <m/>
    <x v="14"/>
    <n v="8"/>
    <n v="8"/>
    <n v="0"/>
    <m/>
    <n v="3870"/>
    <n v="3760"/>
    <n v="110"/>
    <x v="718"/>
    <n v="89"/>
    <n v="483.75"/>
    <n v="470"/>
    <n v="13.75"/>
    <n v="292.8"/>
    <n v="11.125"/>
    <n v="25"/>
    <n v="0"/>
    <n v="49.125"/>
    <n v="10"/>
    <n v="8.5"/>
    <n v="2.8423772609819122E-2"/>
    <n v="0.99124999999999996"/>
    <n v="0.60527131782945742"/>
    <n v="0.92625000000000002"/>
    <m/>
    <m/>
    <m/>
    <m/>
    <m/>
    <m/>
    <n v="2"/>
    <n v="0.25"/>
    <n v="0"/>
  </r>
  <r>
    <x v="620"/>
    <x v="1"/>
    <m/>
    <x v="1"/>
    <n v="25"/>
    <n v="25"/>
    <n v="0"/>
    <m/>
    <n v="1173"/>
    <n v="1165"/>
    <n v="8"/>
    <x v="719"/>
    <m/>
    <n v="46.92"/>
    <n v="46.6"/>
    <n v="0.32"/>
    <n v="28.751999999999999"/>
    <n v="0"/>
    <n v="25"/>
    <n v="0"/>
    <n v="49.72"/>
    <n v="10"/>
    <n v="8.5"/>
    <n v="6.8201193520886615E-3"/>
    <n v="0.99719999999999998"/>
    <n v="0.61278772378516622"/>
    <n v="0.93220000000000003"/>
    <s v="1 liver "/>
    <m/>
    <m/>
    <m/>
    <m/>
    <m/>
    <n v="0"/>
    <n v="0"/>
    <n v="1"/>
  </r>
  <r>
    <x v="620"/>
    <x v="0"/>
    <s v="بلدي"/>
    <x v="5"/>
    <n v="32"/>
    <n v="32"/>
    <n v="0"/>
    <m/>
    <n v="14765"/>
    <n v="14025"/>
    <n v="740"/>
    <x v="720"/>
    <n v="317"/>
    <n v="461.40625"/>
    <n v="438.28125"/>
    <n v="23.125"/>
    <n v="286.14687500000002"/>
    <n v="9.90625"/>
    <n v="25"/>
    <n v="0"/>
    <n v="50"/>
    <n v="9.6875"/>
    <n v="8.5"/>
    <n v="5.0118523535387739E-2"/>
    <n v="1"/>
    <n v="0.62016254656281755"/>
    <n v="0.93187500000000001"/>
    <m/>
    <m/>
    <m/>
    <m/>
    <m/>
    <m/>
    <n v="4"/>
    <n v="0.125"/>
    <n v="3"/>
  </r>
  <r>
    <x v="621"/>
    <x v="0"/>
    <m/>
    <x v="0"/>
    <n v="48"/>
    <n v="27"/>
    <n v="21"/>
    <s v="13 bulls + 8 carcasses Antibiotic residues"/>
    <n v="11822"/>
    <n v="11822"/>
    <n v="0"/>
    <x v="721"/>
    <n v="215"/>
    <n v="437.85185185185185"/>
    <n v="437.85185185185185"/>
    <n v="0"/>
    <n v="262.71481481481482"/>
    <n v="7.9629629629629628"/>
    <n v="25"/>
    <n v="0"/>
    <n v="49.629629629629633"/>
    <n v="10"/>
    <n v="8.5"/>
    <n v="0"/>
    <n v="0.99629629629629635"/>
    <n v="0.60000845880561671"/>
    <n v="0.93129629629629629"/>
    <s v="1 lung + 1 head "/>
    <m/>
    <s v="1 liver "/>
    <m/>
    <m/>
    <m/>
    <n v="18"/>
    <n v="0.375"/>
    <n v="9726"/>
  </r>
  <r>
    <x v="622"/>
    <x v="0"/>
    <m/>
    <x v="20"/>
    <n v="32"/>
    <n v="32"/>
    <n v="0"/>
    <m/>
    <n v="13265"/>
    <n v="12770"/>
    <n v="495"/>
    <x v="722"/>
    <n v="225"/>
    <n v="414.53125"/>
    <n v="399.0625"/>
    <n v="15.46875"/>
    <n v="248.7"/>
    <n v="7.03125"/>
    <n v="25"/>
    <n v="0"/>
    <n v="50"/>
    <n v="10"/>
    <n v="8.5"/>
    <n v="3.731624575951753E-2"/>
    <n v="1"/>
    <n v="0.59995476818695814"/>
    <n v="0.93500000000000005"/>
    <m/>
    <m/>
    <m/>
    <m/>
    <m/>
    <m/>
    <n v="10"/>
    <n v="0.3125"/>
    <n v="0"/>
  </r>
  <r>
    <x v="622"/>
    <x v="0"/>
    <s v="بلدي"/>
    <x v="5"/>
    <n v="18"/>
    <n v="18"/>
    <n v="0"/>
    <m/>
    <n v="8026"/>
    <n v="7735"/>
    <n v="291"/>
    <x v="723"/>
    <n v="179"/>
    <n v="445.88888888888891"/>
    <n v="429.72222222222223"/>
    <n v="16.166666666666668"/>
    <n v="283.67777777777775"/>
    <n v="9.9444444444444446"/>
    <n v="25"/>
    <n v="0"/>
    <n v="49.5"/>
    <n v="10"/>
    <n v="8.5"/>
    <n v="3.6257164216297037E-2"/>
    <n v="0.995"/>
    <n v="0.63620732618988285"/>
    <n v="0.93"/>
    <s v="2 kidneys "/>
    <m/>
    <s v="1 liver "/>
    <m/>
    <m/>
    <m/>
    <n v="3"/>
    <n v="0.16666666666666666"/>
    <n v="0"/>
  </r>
  <r>
    <x v="623"/>
    <x v="0"/>
    <m/>
    <x v="9"/>
    <n v="8"/>
    <n v="8"/>
    <n v="0"/>
    <m/>
    <n v="4105"/>
    <n v="3975"/>
    <n v="130"/>
    <x v="724"/>
    <n v="83"/>
    <n v="513.125"/>
    <n v="496.875"/>
    <n v="16.25"/>
    <n v="307.875"/>
    <n v="10.375"/>
    <n v="25"/>
    <n v="0"/>
    <n v="50"/>
    <n v="10"/>
    <n v="8.5"/>
    <n v="3.1668696711327646E-2"/>
    <n v="1"/>
    <n v="0.6"/>
    <n v="0.93500000000000005"/>
    <m/>
    <m/>
    <m/>
    <m/>
    <m/>
    <m/>
    <n v="3"/>
    <n v="0.375"/>
    <n v="0"/>
  </r>
  <r>
    <x v="623"/>
    <x v="1"/>
    <m/>
    <x v="1"/>
    <n v="25"/>
    <n v="25"/>
    <n v="0"/>
    <m/>
    <n v="1112"/>
    <n v="1110"/>
    <n v="2"/>
    <x v="725"/>
    <n v="0"/>
    <n v="44.48"/>
    <n v="44.4"/>
    <n v="0.08"/>
    <n v="26.971999999999998"/>
    <n v="0"/>
    <n v="25"/>
    <n v="0"/>
    <n v="49.12"/>
    <n v="10"/>
    <n v="8.5"/>
    <n v="1.7985611510791368E-3"/>
    <n v="0.99119999999999997"/>
    <n v="0.60638489208633084"/>
    <n v="0.92620000000000002"/>
    <m/>
    <m/>
    <m/>
    <m/>
    <m/>
    <m/>
    <n v="0"/>
    <n v="0"/>
    <n v="3"/>
  </r>
  <r>
    <x v="623"/>
    <x v="0"/>
    <m/>
    <x v="14"/>
    <n v="30"/>
    <n v="29"/>
    <n v="1"/>
    <s v="1 c. bovis in heart "/>
    <n v="13068"/>
    <n v="12685"/>
    <n v="383"/>
    <x v="726"/>
    <n v="276"/>
    <n v="450.62068965517244"/>
    <n v="437.41379310344826"/>
    <n v="13.206896551724139"/>
    <n v="273.56206896551726"/>
    <n v="9.5172413793103452"/>
    <n v="25"/>
    <n v="0"/>
    <n v="49.931034482758619"/>
    <n v="10"/>
    <n v="8.5"/>
    <n v="2.9308233853688401E-2"/>
    <n v="0.99931034482758618"/>
    <n v="0.60707835935108667"/>
    <n v="0.93431034482758624"/>
    <m/>
    <m/>
    <s v="1 liver "/>
    <m/>
    <m/>
    <m/>
    <n v="8"/>
    <n v="0.26666666666666666"/>
    <n v="486"/>
  </r>
  <r>
    <x v="624"/>
    <x v="0"/>
    <s v="بلدي"/>
    <x v="5"/>
    <n v="44"/>
    <n v="42"/>
    <n v="2"/>
    <s v="2 c. bovis in heart "/>
    <n v="19782"/>
    <n v="18710"/>
    <n v="1072"/>
    <x v="727"/>
    <n v="456"/>
    <n v="471"/>
    <n v="445.47619047619048"/>
    <n v="25.523809523809526"/>
    <n v="290.59047619047618"/>
    <n v="10.857142857142858"/>
    <n v="25"/>
    <n v="0"/>
    <n v="49.5"/>
    <n v="10"/>
    <n v="8.5"/>
    <n v="5.4190678394500057E-2"/>
    <n v="0.995"/>
    <n v="0.61696491760186023"/>
    <n v="0.93"/>
    <s v="1 liver + 3 kidneys "/>
    <m/>
    <m/>
    <m/>
    <m/>
    <m/>
    <n v="3"/>
    <n v="6.8181818181818177E-2"/>
    <n v="1007"/>
  </r>
  <r>
    <x v="625"/>
    <x v="0"/>
    <m/>
    <x v="0"/>
    <n v="40"/>
    <n v="39"/>
    <n v="1"/>
    <s v="1 antibiotic residues"/>
    <n v="17627"/>
    <n v="16839"/>
    <n v="788"/>
    <x v="728"/>
    <n v="310"/>
    <n v="451.97435897435895"/>
    <n v="431.76923076923077"/>
    <n v="20.205128205128204"/>
    <n v="271.19230769230768"/>
    <n v="7.9487179487179489"/>
    <n v="25"/>
    <n v="0"/>
    <n v="49.769230769230766"/>
    <n v="10"/>
    <n v="8.5"/>
    <n v="4.4704147047143587E-2"/>
    <n v="0.99769230769230766"/>
    <n v="0.60001701934532248"/>
    <n v="0.93269230769230771"/>
    <s v="1 liver "/>
    <m/>
    <m/>
    <m/>
    <m/>
    <m/>
    <n v="16"/>
    <n v="0.4"/>
    <n v="359"/>
  </r>
  <r>
    <x v="626"/>
    <x v="1"/>
    <m/>
    <x v="1"/>
    <n v="26"/>
    <n v="26"/>
    <n v="0"/>
    <m/>
    <n v="1338"/>
    <n v="1310"/>
    <n v="28"/>
    <x v="729"/>
    <m/>
    <n v="51.46153846153846"/>
    <n v="50.384615384615387"/>
    <n v="1.0769230769230769"/>
    <n v="30.4"/>
    <n v="0"/>
    <n v="25"/>
    <n v="0"/>
    <n v="48.923076923076927"/>
    <n v="10"/>
    <n v="8.5"/>
    <n v="2.0926756352765322E-2"/>
    <n v="0.98923076923076925"/>
    <n v="0.59073243647234674"/>
    <n v="0.9242307692307693"/>
    <s v="1 liver + omentums "/>
    <m/>
    <m/>
    <m/>
    <m/>
    <m/>
    <n v="0"/>
    <n v="0"/>
    <n v="7.5"/>
  </r>
  <r>
    <x v="626"/>
    <x v="0"/>
    <m/>
    <x v="9"/>
    <n v="8"/>
    <n v="8"/>
    <n v="0"/>
    <m/>
    <n v="3695"/>
    <n v="3675"/>
    <n v="20"/>
    <x v="730"/>
    <n v="66"/>
    <n v="461.875"/>
    <n v="459.375"/>
    <n v="2.5"/>
    <n v="277.16250000000002"/>
    <n v="8.25"/>
    <n v="25"/>
    <n v="0"/>
    <n v="48.75"/>
    <n v="10"/>
    <n v="8.5"/>
    <n v="5.4127198917456026E-3"/>
    <n v="0.98750000000000004"/>
    <n v="0.60008119079837619"/>
    <n v="0.92249999999999999"/>
    <s v="2 testicle TB "/>
    <m/>
    <m/>
    <m/>
    <m/>
    <m/>
    <n v="2"/>
    <n v="0.25"/>
    <n v="8"/>
  </r>
  <r>
    <x v="626"/>
    <x v="0"/>
    <s v="بلدي"/>
    <x v="5"/>
    <n v="22"/>
    <n v="20"/>
    <n v="2"/>
    <s v="2 c. bovis in heart "/>
    <n v="9241"/>
    <n v="8834"/>
    <n v="407"/>
    <x v="731"/>
    <n v="203"/>
    <n v="462.05"/>
    <n v="441.7"/>
    <n v="20.350000000000001"/>
    <n v="287.98500000000001"/>
    <n v="10.15"/>
    <n v="25"/>
    <n v="0"/>
    <n v="49.25"/>
    <n v="10"/>
    <n v="8.5"/>
    <n v="4.4042852505140138E-2"/>
    <n v="0.99249999999999994"/>
    <n v="0.62327670165566496"/>
    <n v="0.92749999999999999"/>
    <s v="1 liver + 1 head"/>
    <m/>
    <m/>
    <m/>
    <m/>
    <m/>
    <n v="4"/>
    <n v="0.18181818181818182"/>
    <n v="1002"/>
  </r>
  <r>
    <x v="627"/>
    <x v="0"/>
    <m/>
    <x v="20"/>
    <n v="8"/>
    <n v="8"/>
    <n v="0"/>
    <m/>
    <n v="3280"/>
    <n v="3235"/>
    <n v="45"/>
    <x v="732"/>
    <n v="61"/>
    <n v="410"/>
    <n v="404.375"/>
    <n v="5.625"/>
    <n v="246"/>
    <n v="7.625"/>
    <n v="25"/>
    <n v="0"/>
    <n v="50"/>
    <n v="10"/>
    <n v="8.5"/>
    <n v="1.3719512195121951E-2"/>
    <n v="1"/>
    <n v="0.6"/>
    <n v="0.93500000000000005"/>
    <m/>
    <m/>
    <m/>
    <m/>
    <m/>
    <m/>
    <n v="4"/>
    <n v="0.5"/>
    <n v="1"/>
  </r>
  <r>
    <x v="627"/>
    <x v="0"/>
    <m/>
    <x v="14"/>
    <n v="35"/>
    <n v="35"/>
    <n v="0"/>
    <m/>
    <n v="16773"/>
    <n v="16340"/>
    <n v="433"/>
    <x v="733"/>
    <n v="332"/>
    <n v="479.22857142857146"/>
    <n v="466.85714285714283"/>
    <n v="12.371428571428572"/>
    <n v="292.30857142857138"/>
    <n v="9.4857142857142858"/>
    <n v="25"/>
    <n v="0"/>
    <n v="49"/>
    <n v="9.8571428571428577"/>
    <n v="8.5"/>
    <n v="2.5815298396232041E-2"/>
    <n v="0.99"/>
    <n v="0.60995647767244976"/>
    <n v="0.9235714285714286"/>
    <s v="1 liver + 4 kidneys +  1 heart"/>
    <m/>
    <m/>
    <m/>
    <m/>
    <m/>
    <n v="12"/>
    <n v="0.34285714285714286"/>
    <n v="8.5"/>
  </r>
  <r>
    <x v="628"/>
    <x v="0"/>
    <m/>
    <x v="20"/>
    <n v="8"/>
    <n v="7"/>
    <n v="1"/>
    <s v="1 emaciated bull"/>
    <n v="2910"/>
    <n v="2829"/>
    <n v="81"/>
    <x v="734"/>
    <n v="54"/>
    <n v="415.71428571428572"/>
    <n v="404.14285714285717"/>
    <n v="11.571428571428571"/>
    <n v="249.45714285714286"/>
    <n v="7.7142857142857144"/>
    <n v="20"/>
    <n v="0"/>
    <n v="50"/>
    <n v="10"/>
    <n v="8.5"/>
    <n v="2.7835051546391751E-2"/>
    <n v="0.9"/>
    <n v="0.60006872852233684"/>
    <n v="0.88500000000000001"/>
    <m/>
    <m/>
    <m/>
    <m/>
    <m/>
    <m/>
    <n v="2"/>
    <n v="0.25"/>
    <n v="361"/>
  </r>
  <r>
    <x v="628"/>
    <x v="0"/>
    <s v="بلدي"/>
    <x v="5"/>
    <n v="32"/>
    <n v="30"/>
    <n v="2"/>
    <s v="2 c. bovis in the heart"/>
    <n v="13723"/>
    <n v="13031"/>
    <n v="692"/>
    <x v="735"/>
    <n v="297"/>
    <n v="457.43333333333334"/>
    <n v="434.36666666666667"/>
    <n v="23.066666666666666"/>
    <n v="285.31333333333333"/>
    <n v="9.9"/>
    <n v="25"/>
    <n v="0"/>
    <n v="50"/>
    <n v="10"/>
    <n v="8.5"/>
    <n v="5.0426291627195217E-2"/>
    <n v="1"/>
    <n v="0.62372659039568601"/>
    <n v="0.93500000000000005"/>
    <m/>
    <m/>
    <m/>
    <m/>
    <m/>
    <m/>
    <n v="0"/>
    <n v="0"/>
    <n v="1024"/>
  </r>
  <r>
    <x v="629"/>
    <x v="0"/>
    <m/>
    <x v="0"/>
    <n v="40"/>
    <n v="40"/>
    <n v="0"/>
    <m/>
    <n v="17582"/>
    <n v="16725"/>
    <n v="857"/>
    <x v="736"/>
    <n v="325"/>
    <n v="439.55"/>
    <n v="418.125"/>
    <n v="21.425000000000001"/>
    <n v="263.72500000000002"/>
    <n v="8.125"/>
    <n v="23.75"/>
    <n v="0"/>
    <n v="49.074999999999996"/>
    <n v="10"/>
    <n v="8.5"/>
    <n v="4.8743032647025369E-2"/>
    <n v="0.96574999999999989"/>
    <n v="0.59998862472983738"/>
    <n v="0.9132499999999999"/>
    <s v="6 kidneys + 1 liver +1 lung "/>
    <m/>
    <m/>
    <m/>
    <m/>
    <m/>
    <n v="33"/>
    <n v="0.82499999999999996"/>
    <n v="20"/>
  </r>
  <r>
    <x v="630"/>
    <x v="1"/>
    <m/>
    <x v="1"/>
    <n v="28"/>
    <n v="28"/>
    <n v="0"/>
    <m/>
    <n v="1406"/>
    <n v="1380"/>
    <n v="26"/>
    <x v="737"/>
    <m/>
    <n v="50.214285714285715"/>
    <n v="49.285714285714285"/>
    <n v="0.9285714285714286"/>
    <n v="29.896428571428572"/>
    <n v="0"/>
    <n v="25"/>
    <n v="0"/>
    <n v="49.25"/>
    <n v="10"/>
    <n v="8.5"/>
    <n v="1.849217638691323E-2"/>
    <n v="0.99249999999999994"/>
    <n v="0.59537695590327167"/>
    <n v="0.92749999999999999"/>
    <s v="1 liver &amp;  2 omentums"/>
    <m/>
    <m/>
    <m/>
    <m/>
    <m/>
    <n v="0"/>
    <n v="0"/>
    <n v="5"/>
  </r>
  <r>
    <x v="630"/>
    <x v="0"/>
    <s v="بلدي"/>
    <x v="5"/>
    <n v="29"/>
    <n v="28"/>
    <n v="1"/>
    <s v="1 antibiotic residues"/>
    <n v="12978"/>
    <n v="12366"/>
    <n v="612"/>
    <x v="738"/>
    <n v="268"/>
    <n v="463.5"/>
    <n v="441.64285714285717"/>
    <n v="21.857142857142858"/>
    <n v="286.67857142857144"/>
    <n v="9.5714285714285712"/>
    <n v="25"/>
    <n v="0"/>
    <n v="47.892857142857139"/>
    <n v="9"/>
    <n v="8.5"/>
    <n v="4.7156726768377254E-2"/>
    <n v="0.97892857142857137"/>
    <n v="0.61850824472183696"/>
    <n v="0.90392857142857141"/>
    <s v="1 liver, 2 kidneys &amp; 1 single testicle"/>
    <m/>
    <m/>
    <m/>
    <m/>
    <m/>
    <n v="0"/>
    <n v="0"/>
    <n v="409"/>
  </r>
  <r>
    <x v="631"/>
    <x v="0"/>
    <m/>
    <x v="14"/>
    <n v="31"/>
    <n v="28"/>
    <n v="3"/>
    <s v="3 c. bovis in heart"/>
    <n v="13060"/>
    <n v="12510"/>
    <n v="550"/>
    <x v="739"/>
    <n v="267"/>
    <n v="466.42857142857144"/>
    <n v="446.78571428571428"/>
    <n v="19.642857142857142"/>
    <n v="279.875"/>
    <n v="9.5357142857142865"/>
    <n v="25"/>
    <n v="0"/>
    <n v="49.642857142857139"/>
    <n v="10"/>
    <n v="8.5"/>
    <n v="4.2113323124042874E-2"/>
    <n v="0.99642857142857144"/>
    <n v="0.60003828483920363"/>
    <n v="0.93142857142857138"/>
    <m/>
    <m/>
    <m/>
    <m/>
    <m/>
    <m/>
    <n v="5"/>
    <n v="0.16129032258064516"/>
    <n v="1437"/>
  </r>
  <r>
    <x v="631"/>
    <x v="0"/>
    <m/>
    <x v="20"/>
    <n v="9"/>
    <n v="9"/>
    <n v="0"/>
    <m/>
    <n v="4144"/>
    <n v="4080"/>
    <n v="64"/>
    <x v="740"/>
    <n v="94"/>
    <n v="460.44444444444446"/>
    <n v="453.33333333333331"/>
    <n v="7.1111111111111107"/>
    <n v="284.64444444444445"/>
    <n v="10.444444444444445"/>
    <n v="25"/>
    <n v="0"/>
    <n v="50"/>
    <n v="10"/>
    <n v="8.5"/>
    <n v="1.5444015444015443E-2"/>
    <n v="1"/>
    <n v="0.61819498069498069"/>
    <n v="0.93500000000000005"/>
    <m/>
    <m/>
    <m/>
    <m/>
    <m/>
    <m/>
    <n v="1"/>
    <n v="0.1111111111111111"/>
    <n v="0"/>
  </r>
  <r>
    <x v="632"/>
    <x v="0"/>
    <m/>
    <x v="20"/>
    <n v="9"/>
    <n v="7"/>
    <n v="2"/>
    <s v="1 c. bovis in the heart + 1 antibiotic residues"/>
    <n v="3019"/>
    <n v="2972"/>
    <n v="47"/>
    <x v="741"/>
    <n v="53"/>
    <n v="431.28571428571428"/>
    <n v="424.57142857142856"/>
    <n v="6.7142857142857144"/>
    <n v="258.75714285714287"/>
    <n v="7.5714285714285712"/>
    <n v="25"/>
    <n v="0"/>
    <n v="47.142857142857139"/>
    <n v="10"/>
    <n v="8.5"/>
    <n v="1.5568068896985757E-2"/>
    <n v="0.97142857142857131"/>
    <n v="0.59996687644915536"/>
    <n v="0.90642857142857136"/>
    <m/>
    <m/>
    <m/>
    <m/>
    <m/>
    <m/>
    <n v="1"/>
    <n v="0.1111111111111111"/>
    <n v="994.5"/>
  </r>
  <r>
    <x v="632"/>
    <x v="0"/>
    <s v="بلدي"/>
    <x v="5"/>
    <n v="29"/>
    <n v="26"/>
    <n v="3"/>
    <s v="2 c. bovis in their hearts + 1 c. bovis in the head"/>
    <n v="12580"/>
    <n v="11745"/>
    <n v="835"/>
    <x v="742"/>
    <n v="288"/>
    <n v="483.84615384615387"/>
    <n v="451.73076923076923"/>
    <n v="32.115384615384613"/>
    <n v="296.63846153846157"/>
    <n v="11.076923076923077"/>
    <n v="25"/>
    <n v="0"/>
    <n v="49.730769230769226"/>
    <n v="9.6153846153846168"/>
    <n v="8.5"/>
    <n v="6.6375198728139892E-2"/>
    <n v="0.99730769230769223"/>
    <n v="0.61308426073131961"/>
    <n v="0.92846153846153845"/>
    <s v="1 heart"/>
    <m/>
    <m/>
    <m/>
    <m/>
    <m/>
    <n v="0"/>
    <n v="0"/>
    <n v="1501.5"/>
  </r>
  <r>
    <x v="633"/>
    <x v="0"/>
    <m/>
    <x v="0"/>
    <n v="40"/>
    <n v="40"/>
    <n v="0"/>
    <m/>
    <n v="20611"/>
    <n v="19635"/>
    <n v="976"/>
    <x v="743"/>
    <n v="445"/>
    <n v="515.27499999999998"/>
    <n v="490.875"/>
    <n v="24.4"/>
    <n v="309.15250000000003"/>
    <n v="11.125"/>
    <n v="25"/>
    <n v="0"/>
    <n v="48.274999999999999"/>
    <n v="10"/>
    <n v="8.5"/>
    <n v="4.7353355004609188E-2"/>
    <n v="0.98275000000000001"/>
    <n v="0.59997574110911656"/>
    <n v="0.91775000000000007"/>
    <s v="1 liver, 2 kidneys , 1 single testicle "/>
    <m/>
    <m/>
    <m/>
    <m/>
    <m/>
    <n v="24"/>
    <n v="0.6"/>
    <n v="11"/>
  </r>
  <r>
    <x v="634"/>
    <x v="0"/>
    <m/>
    <x v="14"/>
    <n v="36"/>
    <n v="36"/>
    <n v="0"/>
    <m/>
    <n v="15370"/>
    <n v="14915"/>
    <n v="455"/>
    <x v="744"/>
    <n v="313"/>
    <n v="426.94444444444446"/>
    <n v="414.30555555555554"/>
    <n v="12.638888888888889"/>
    <n v="256.17777777777775"/>
    <n v="8.6944444444444446"/>
    <n v="25"/>
    <n v="0"/>
    <n v="49.416666666666671"/>
    <n v="10"/>
    <n v="8.5"/>
    <n v="2.9603122966818479E-2"/>
    <n v="0.99416666666666664"/>
    <n v="0.60002602472348732"/>
    <n v="0.9291666666666667"/>
    <s v="6 kidneys "/>
    <m/>
    <m/>
    <m/>
    <m/>
    <m/>
    <n v="3"/>
    <n v="8.3333333333333329E-2"/>
    <n v="4"/>
  </r>
  <r>
    <x v="634"/>
    <x v="1"/>
    <m/>
    <x v="1"/>
    <n v="30"/>
    <n v="30"/>
    <n v="0"/>
    <m/>
    <n v="1532"/>
    <n v="1510"/>
    <n v="22"/>
    <x v="745"/>
    <n v="0"/>
    <n v="51.06666666666667"/>
    <n v="50.333333333333336"/>
    <n v="0.73333333333333328"/>
    <n v="31.426666666666666"/>
    <n v="0"/>
    <n v="25"/>
    <n v="0"/>
    <n v="48.966666666666669"/>
    <n v="10"/>
    <n v="8.5"/>
    <n v="1.4360313315926892E-2"/>
    <n v="0.98966666666666669"/>
    <n v="0.61540469973890333"/>
    <n v="0.92466666666666664"/>
    <s v="1 forequarter, 2 livers , 1 omentums"/>
    <m/>
    <m/>
    <m/>
    <m/>
    <m/>
    <n v="0"/>
    <n v="0"/>
    <n v="9"/>
  </r>
  <r>
    <x v="635"/>
    <x v="0"/>
    <s v="بلدي"/>
    <x v="5"/>
    <n v="45"/>
    <n v="43"/>
    <n v="2"/>
    <s v="2 c. bovis in the heart"/>
    <n v="19340"/>
    <n v="18525"/>
    <n v="815"/>
    <x v="746"/>
    <n v="422"/>
    <n v="449.76744186046511"/>
    <n v="430.81395348837208"/>
    <n v="18.953488372093023"/>
    <n v="280.19767441860466"/>
    <n v="9.8139534883720927"/>
    <n v="25"/>
    <n v="0"/>
    <n v="49.837209302325576"/>
    <n v="10"/>
    <n v="8.5"/>
    <n v="4.2140641158221304E-2"/>
    <n v="0.9983720930232558"/>
    <n v="0.62298345398138577"/>
    <n v="0.93337209302325574"/>
    <s v="1 single kidney"/>
    <m/>
    <m/>
    <m/>
    <m/>
    <m/>
    <n v="1"/>
    <n v="2.2222222222222223E-2"/>
    <n v="845.5"/>
  </r>
  <r>
    <x v="636"/>
    <x v="0"/>
    <s v="بلدي"/>
    <x v="5"/>
    <n v="34"/>
    <n v="31"/>
    <n v="3"/>
    <s v="Rejection of 3 carcasses due to presence of c. bovis in their hearts"/>
    <n v="14512"/>
    <n v="13797"/>
    <n v="715"/>
    <x v="747"/>
    <n v="333"/>
    <n v="468.12903225806451"/>
    <n v="445.06451612903226"/>
    <n v="23.06451612903226"/>
    <n v="292.22580645161293"/>
    <n v="10.741935483870968"/>
    <n v="25"/>
    <n v="0"/>
    <n v="49.322580645161288"/>
    <n v="9.6774193548387082"/>
    <n v="8.5"/>
    <n v="4.926957001102536E-2"/>
    <n v="0.99322580645161285"/>
    <n v="0.62424200661521501"/>
    <n v="0.92499999999999982"/>
    <s v="3 Kidneys &amp; 1 heart"/>
    <m/>
    <m/>
    <m/>
    <m/>
    <m/>
    <n v="3"/>
    <n v="8.8235294117647065E-2"/>
    <n v="1249"/>
  </r>
  <r>
    <x v="637"/>
    <x v="0"/>
    <m/>
    <x v="0"/>
    <n v="48"/>
    <n v="47"/>
    <n v="1"/>
    <s v="Rejection of 1 carcass due to presence of c. bovis in thei heart"/>
    <n v="22208"/>
    <n v="20765"/>
    <n v="1443"/>
    <x v="748"/>
    <n v="390"/>
    <n v="472.51063829787233"/>
    <n v="441.80851063829789"/>
    <n v="30.702127659574469"/>
    <n v="283.4851063829787"/>
    <n v="8.2978723404255312"/>
    <n v="25"/>
    <n v="0"/>
    <n v="50"/>
    <n v="10"/>
    <n v="8.5"/>
    <n v="6.4976585014409227E-2"/>
    <n v="1"/>
    <n v="0.59995497118155616"/>
    <n v="0.93500000000000005"/>
    <m/>
    <m/>
    <m/>
    <m/>
    <m/>
    <m/>
    <n v="11"/>
    <n v="0.22916666666666666"/>
    <n v="490"/>
  </r>
  <r>
    <x v="638"/>
    <x v="1"/>
    <m/>
    <x v="1"/>
    <n v="27"/>
    <n v="26"/>
    <n v="1"/>
    <s v="Rejection of 1 carcass due to presence of heavy infestation of c. Ovis in heart and diaphragm."/>
    <n v="1435"/>
    <n v="1365"/>
    <n v="70"/>
    <x v="749"/>
    <m/>
    <n v="55.192307692307693"/>
    <n v="52.5"/>
    <n v="2.6923076923076925"/>
    <n v="28.607692307692307"/>
    <n v="0"/>
    <n v="25"/>
    <n v="0"/>
    <n v="46.828912466843505"/>
    <n v="10"/>
    <n v="8.5"/>
    <n v="4.878048780487805E-2"/>
    <n v="0.96828912466843509"/>
    <n v="0.51832752613240418"/>
    <n v="0.90328912466843503"/>
    <s v="3 forequarters + 3 omentums + 2 kidneys +2 hearts + 1 liver "/>
    <m/>
    <m/>
    <m/>
    <m/>
    <m/>
    <n v="0"/>
    <n v="0"/>
    <n v="55.9"/>
  </r>
  <r>
    <x v="638"/>
    <x v="0"/>
    <s v="Native "/>
    <x v="9"/>
    <n v="30"/>
    <n v="29"/>
    <n v="1"/>
    <s v="Rejection of 1 carcass due to presence of c. bovis in the heart"/>
    <n v="13557"/>
    <n v="13127"/>
    <n v="430"/>
    <x v="750"/>
    <n v="309"/>
    <n v="467.48275862068965"/>
    <n v="452.65517241379308"/>
    <n v="14.827586206896552"/>
    <n v="280.5"/>
    <n v="10.655172413793103"/>
    <n v="24.310344827586206"/>
    <n v="0"/>
    <n v="49.517241379310349"/>
    <n v="10"/>
    <n v="8.5"/>
    <n v="3.1717931695802906E-2"/>
    <n v="0.98137931034482762"/>
    <n v="0.60002212878955519"/>
    <n v="0.9232758620689655"/>
    <s v="2 kidneys "/>
    <m/>
    <m/>
    <m/>
    <m/>
    <m/>
    <n v="11"/>
    <n v="0.36666666666666664"/>
    <n v="465.5"/>
  </r>
  <r>
    <x v="639"/>
    <x v="0"/>
    <m/>
    <x v="14"/>
    <n v="48"/>
    <n v="48"/>
    <n v="0"/>
    <m/>
    <n v="21466"/>
    <n v="20670"/>
    <n v="796"/>
    <x v="751"/>
    <n v="433"/>
    <n v="447.20833333333331"/>
    <n v="430.625"/>
    <n v="16.583333333333332"/>
    <n v="270.93333333333334"/>
    <n v="9.0208333333333339"/>
    <n v="25"/>
    <n v="0"/>
    <n v="49.479166666666664"/>
    <n v="10"/>
    <n v="8.5"/>
    <n v="3.7081896953321529E-2"/>
    <n v="0.99479166666666663"/>
    <n v="0.60583247926954253"/>
    <n v="0.92979166666666657"/>
    <s v="1 forequarter"/>
    <m/>
    <m/>
    <m/>
    <m/>
    <m/>
    <n v="11"/>
    <n v="0.22916666666666666"/>
    <n v="45"/>
  </r>
  <r>
    <x v="640"/>
    <x v="0"/>
    <s v="بلدي"/>
    <x v="5"/>
    <n v="38"/>
    <n v="38"/>
    <n v="0"/>
    <m/>
    <n v="16574"/>
    <n v="15635"/>
    <n v="939"/>
    <x v="752"/>
    <n v="349"/>
    <n v="436.15789473684208"/>
    <n v="411.44736842105266"/>
    <n v="24.710526315789473"/>
    <n v="266.93421052631578"/>
    <n v="9.1842105263157894"/>
    <n v="25"/>
    <n v="0"/>
    <n v="49.94736842105263"/>
    <n v="10"/>
    <n v="8.5"/>
    <n v="5.6655001810063957E-2"/>
    <n v="0.99947368421052629"/>
    <n v="0.6120127911186195"/>
    <n v="0.93447368421052635"/>
    <m/>
    <m/>
    <m/>
    <m/>
    <m/>
    <m/>
    <n v="0"/>
    <n v="0"/>
    <n v="0"/>
  </r>
  <r>
    <x v="641"/>
    <x v="0"/>
    <m/>
    <x v="0"/>
    <n v="48"/>
    <n v="48"/>
    <n v="0"/>
    <m/>
    <n v="21895"/>
    <n v="20580"/>
    <n v="1315"/>
    <x v="753"/>
    <n v="510"/>
    <n v="456.14583333333331"/>
    <n v="428.75"/>
    <n v="27.395833333333332"/>
    <n v="273.6875"/>
    <n v="10.625"/>
    <n v="25"/>
    <n v="0"/>
    <n v="49.916666666666671"/>
    <n v="10"/>
    <n v="8.5"/>
    <n v="6.0059374286366748E-2"/>
    <n v="0.99916666666666676"/>
    <n v="0.6"/>
    <n v="0.9341666666666667"/>
    <m/>
    <m/>
    <m/>
    <m/>
    <m/>
    <m/>
    <n v="13"/>
    <n v="0.27083333333333331"/>
    <n v="2"/>
  </r>
  <r>
    <x v="642"/>
    <x v="1"/>
    <m/>
    <x v="1"/>
    <n v="28"/>
    <n v="28"/>
    <n v="0"/>
    <m/>
    <n v="1486"/>
    <n v="1430"/>
    <n v="56"/>
    <x v="754"/>
    <m/>
    <n v="53.071428571428569"/>
    <n v="51.071428571428569"/>
    <n v="2"/>
    <n v="30.24285714285714"/>
    <n v="0"/>
    <n v="25"/>
    <n v="0"/>
    <n v="47.892857142857139"/>
    <n v="10"/>
    <n v="8.5"/>
    <n v="3.7685060565275909E-2"/>
    <n v="0.97892857142857137"/>
    <n v="0.56985195154777923"/>
    <n v="0.91392857142857142"/>
    <s v="1 forequarter + 6 livers + 1 omentums"/>
    <m/>
    <m/>
    <m/>
    <m/>
    <m/>
    <n v="0"/>
    <n v="0"/>
    <n v="13.6"/>
  </r>
  <r>
    <x v="642"/>
    <x v="0"/>
    <s v="Native "/>
    <x v="9"/>
    <n v="30"/>
    <n v="28"/>
    <n v="2"/>
    <s v="1 c. bovis in heart + 1 feverish carcass"/>
    <n v="12694"/>
    <n v="12513"/>
    <n v="181"/>
    <x v="755"/>
    <n v="257"/>
    <n v="453.35714285714283"/>
    <n v="446.89285714285717"/>
    <n v="6.4642857142857144"/>
    <n v="272.02499999999998"/>
    <n v="9.1785714285714288"/>
    <n v="24.642857142857142"/>
    <n v="0"/>
    <n v="49.291871921182263"/>
    <n v="10"/>
    <n v="8.5"/>
    <n v="1.4258704899952734E-2"/>
    <n v="0.98577586206896539"/>
    <n v="0.60002363321254137"/>
    <n v="0.924347290640394"/>
    <s v="1 liver + 8 kidneys "/>
    <m/>
    <m/>
    <m/>
    <m/>
    <m/>
    <n v="9"/>
    <n v="0.3"/>
    <n v="1089"/>
  </r>
  <r>
    <x v="643"/>
    <x v="0"/>
    <m/>
    <x v="14"/>
    <n v="45"/>
    <n v="44"/>
    <n v="1"/>
    <s v="Rejection of 1 carcass due to presence of pyelonephritis in both kidneys and odor of urine."/>
    <n v="18790"/>
    <n v="18570"/>
    <n v="220"/>
    <x v="756"/>
    <n v="364"/>
    <n v="427.04545454545456"/>
    <n v="422.04545454545456"/>
    <n v="5"/>
    <n v="256.24772727272727"/>
    <n v="8.2727272727272734"/>
    <n v="25"/>
    <n v="0"/>
    <n v="48.977272727272727"/>
    <n v="10"/>
    <n v="8.5"/>
    <n v="1.1708355508249068E-2"/>
    <n v="0.98977272727272725"/>
    <n v="0.60004789781798828"/>
    <n v="0.92477272727272719"/>
    <s v="9 kidneys"/>
    <m/>
    <m/>
    <m/>
    <m/>
    <m/>
    <n v="7"/>
    <n v="0.15555555555555556"/>
    <n v="445"/>
  </r>
  <r>
    <x v="644"/>
    <x v="0"/>
    <s v="بلدي"/>
    <x v="5"/>
    <n v="32"/>
    <n v="32"/>
    <n v="0"/>
    <m/>
    <n v="15212"/>
    <n v="14395"/>
    <n v="817"/>
    <x v="757"/>
    <n v="368"/>
    <n v="475.375"/>
    <n v="449.84375"/>
    <n v="25.53125"/>
    <n v="295.45937500000002"/>
    <n v="11.5"/>
    <n v="25"/>
    <n v="0"/>
    <n v="49.5625"/>
    <n v="10"/>
    <n v="8.5"/>
    <n v="5.370759926373915E-2"/>
    <n v="0.99562499999999998"/>
    <n v="0.62152905600841446"/>
    <n v="0.93062500000000004"/>
    <s v="1 heart + 2 kidneys "/>
    <m/>
    <m/>
    <m/>
    <m/>
    <m/>
    <n v="4"/>
    <n v="0.125"/>
    <n v="5.5"/>
  </r>
  <r>
    <x v="645"/>
    <x v="0"/>
    <m/>
    <x v="0"/>
    <n v="40"/>
    <n v="39"/>
    <n v="1"/>
    <s v="Rejection of 1 carcass due to presence of c. bovis in the muscle."/>
    <n v="17606"/>
    <n v="17030"/>
    <n v="576"/>
    <x v="758"/>
    <n v="355"/>
    <n v="451.43589743589746"/>
    <n v="436.66666666666669"/>
    <n v="14.76923076923077"/>
    <n v="270.84358974358975"/>
    <n v="9.1025641025641022"/>
    <n v="25"/>
    <n v="0"/>
    <n v="50"/>
    <n v="10"/>
    <n v="8.5"/>
    <n v="3.27161195047143E-2"/>
    <n v="1"/>
    <n v="0.59996024082699073"/>
    <n v="0.93500000000000005"/>
    <m/>
    <m/>
    <m/>
    <m/>
    <m/>
    <m/>
    <n v="0"/>
    <n v="0"/>
    <n v="461"/>
  </r>
  <r>
    <x v="646"/>
    <x v="1"/>
    <m/>
    <x v="1"/>
    <n v="26"/>
    <n v="26"/>
    <n v="0"/>
    <m/>
    <n v="1177"/>
    <n v="1160"/>
    <n v="17"/>
    <x v="759"/>
    <m/>
    <n v="45.269230769230766"/>
    <n v="44.615384615384613"/>
    <n v="0.65384615384615385"/>
    <n v="26.173076923076923"/>
    <n v="0"/>
    <n v="25"/>
    <n v="0"/>
    <n v="48.807692307692314"/>
    <n v="10"/>
    <n v="8.5"/>
    <n v="1.4443500424808837E-2"/>
    <n v="0.98807692307692307"/>
    <n v="0.57816482582837725"/>
    <n v="0.92307692307692324"/>
    <s v="1 forequarter +3 omentums"/>
    <m/>
    <m/>
    <m/>
    <m/>
    <m/>
    <n v="0"/>
    <n v="0"/>
    <n v="10"/>
  </r>
  <r>
    <x v="646"/>
    <x v="0"/>
    <s v="بلدي"/>
    <x v="5"/>
    <n v="29"/>
    <n v="29"/>
    <n v="0"/>
    <m/>
    <n v="13349"/>
    <n v="12600"/>
    <n v="749"/>
    <x v="760"/>
    <n v="283.5"/>
    <n v="460.31034482758622"/>
    <n v="434.48275862068965"/>
    <n v="25.827586206896552"/>
    <n v="288.14482758620693"/>
    <n v="9.7758620689655178"/>
    <n v="25"/>
    <n v="0"/>
    <n v="50"/>
    <n v="10"/>
    <n v="8.5"/>
    <n v="5.6109071840587305E-2"/>
    <n v="1"/>
    <n v="0.62597947411791155"/>
    <n v="0.93500000000000005"/>
    <m/>
    <m/>
    <m/>
    <m/>
    <m/>
    <m/>
    <n v="1"/>
    <n v="3.4482758620689655E-2"/>
    <n v="0"/>
  </r>
  <r>
    <x v="647"/>
    <x v="0"/>
    <m/>
    <x v="14"/>
    <n v="46"/>
    <n v="45"/>
    <n v="1"/>
    <s v="Rejection of 1 carcass due to presence of c. bovis in the heart."/>
    <n v="21036"/>
    <n v="20165"/>
    <n v="871"/>
    <x v="761"/>
    <n v="444"/>
    <n v="467.46666666666664"/>
    <n v="448.11111111111109"/>
    <n v="19.355555555555554"/>
    <n v="282.78666666666663"/>
    <n v="9.8666666666666671"/>
    <n v="25"/>
    <n v="0"/>
    <n v="49.533333333333331"/>
    <n v="10"/>
    <n v="8.5"/>
    <n v="4.1405210115991631E-2"/>
    <n v="0.99533333333333329"/>
    <n v="0.60493439817455785"/>
    <n v="0.93033333333333335"/>
    <s v="6 kidneys "/>
    <m/>
    <m/>
    <m/>
    <m/>
    <m/>
    <n v="15"/>
    <n v="0.32608695652173914"/>
    <n v="498"/>
  </r>
  <r>
    <x v="648"/>
    <x v="0"/>
    <s v="بلدي"/>
    <x v="5"/>
    <n v="29"/>
    <n v="27"/>
    <n v="2"/>
    <s v="Rejection of 2 carcasses due to presence of c. bovis in their hearts "/>
    <n v="12872"/>
    <n v="12329"/>
    <n v="543"/>
    <x v="762"/>
    <n v="331"/>
    <n v="476.74074074074076"/>
    <n v="456.62962962962962"/>
    <n v="20.111111111111111"/>
    <n v="297.78888888888889"/>
    <n v="12.25925925925926"/>
    <n v="25"/>
    <n v="0"/>
    <n v="49.666666666666664"/>
    <n v="10"/>
    <n v="8.5"/>
    <n v="4.2184586699813544E-2"/>
    <n v="0.99666666666666659"/>
    <n v="0.62463486637663146"/>
    <n v="0.93166666666666653"/>
    <s v="1 liver "/>
    <m/>
    <m/>
    <m/>
    <m/>
    <m/>
    <n v="0"/>
    <n v="0"/>
    <n v="1022"/>
  </r>
  <r>
    <x v="649"/>
    <x v="0"/>
    <m/>
    <x v="0"/>
    <n v="37"/>
    <n v="37"/>
    <n v="0"/>
    <m/>
    <n v="15952"/>
    <n v="15220"/>
    <n v="732"/>
    <x v="763"/>
    <n v="296"/>
    <n v="431.13513513513516"/>
    <n v="411.35135135135135"/>
    <n v="19.783783783783782"/>
    <n v="258.69189189189188"/>
    <n v="8"/>
    <n v="25"/>
    <n v="0"/>
    <n v="49.621621621621628"/>
    <n v="10"/>
    <n v="8.5"/>
    <n v="4.5887662988966897E-2"/>
    <n v="0.99621621621621625"/>
    <n v="0.60002507522567705"/>
    <n v="0.93121621621621631"/>
    <s v="1 liver + 2 kidneys "/>
    <m/>
    <m/>
    <m/>
    <m/>
    <m/>
    <n v="2"/>
    <n v="5.4054054054054057E-2"/>
    <n v="8"/>
  </r>
  <r>
    <x v="650"/>
    <x v="0"/>
    <m/>
    <x v="9"/>
    <n v="29"/>
    <n v="29"/>
    <n v="0"/>
    <m/>
    <n v="14200"/>
    <n v="13855"/>
    <n v="345"/>
    <x v="764"/>
    <n v="276"/>
    <n v="489.65517241379308"/>
    <n v="477.75862068965517"/>
    <n v="11.896551724137931"/>
    <n v="293.78620689655168"/>
    <n v="9.5172413793103452"/>
    <n v="24.310344827586206"/>
    <n v="0"/>
    <n v="49.517241379310342"/>
    <n v="10"/>
    <n v="8.5"/>
    <n v="2.4295774647887323E-2"/>
    <n v="0.9813793103448275"/>
    <n v="0.59998591549295766"/>
    <n v="0.92327586206896539"/>
    <s v="2 lungs"/>
    <m/>
    <m/>
    <m/>
    <m/>
    <m/>
    <n v="16"/>
    <n v="0.55172413793103448"/>
    <n v="0"/>
  </r>
  <r>
    <x v="651"/>
    <x v="0"/>
    <m/>
    <x v="14"/>
    <n v="42"/>
    <n v="42"/>
    <n v="0"/>
    <m/>
    <n v="19480"/>
    <n v="18885"/>
    <n v="595"/>
    <x v="765"/>
    <n v="429"/>
    <n v="463.8095238095238"/>
    <n v="449.64285714285717"/>
    <n v="14.166666666666666"/>
    <n v="281.35000000000002"/>
    <n v="10.214285714285714"/>
    <n v="25"/>
    <n v="0"/>
    <n v="49.285714285714285"/>
    <n v="10"/>
    <n v="8.5"/>
    <n v="3.0544147843942503E-2"/>
    <n v="0.99285714285714288"/>
    <n v="0.60660677618069814"/>
    <n v="0.92785714285714282"/>
    <s v="2 kidneys"/>
    <m/>
    <m/>
    <m/>
    <m/>
    <m/>
    <n v="13"/>
    <n v="0.30952380952380953"/>
    <n v="10"/>
  </r>
  <r>
    <x v="652"/>
    <x v="0"/>
    <m/>
    <x v="9"/>
    <n v="19"/>
    <n v="19"/>
    <n v="0"/>
    <m/>
    <n v="10075"/>
    <n v="9800"/>
    <n v="275"/>
    <x v="766"/>
    <n v="235"/>
    <n v="530.26315789473688"/>
    <n v="515.78947368421052"/>
    <n v="14.473684210526315"/>
    <n v="318.14210526315787"/>
    <n v="12.368421052631579"/>
    <n v="23.684210526315788"/>
    <n v="0"/>
    <n v="49.263157894736842"/>
    <n v="10"/>
    <n v="8.5"/>
    <n v="2.7295285359801486E-2"/>
    <n v="0.96631578947368424"/>
    <n v="0.599970223325062"/>
    <n v="0.91447368421052633"/>
    <s v="2 livers"/>
    <m/>
    <m/>
    <m/>
    <m/>
    <m/>
    <n v="18"/>
    <n v="0.94736842105263153"/>
    <n v="20"/>
  </r>
  <r>
    <x v="652"/>
    <x v="0"/>
    <s v="بلدي"/>
    <x v="5"/>
    <n v="18"/>
    <n v="17"/>
    <n v="1"/>
    <s v="Rejection of 1 carcass due to presence of c. bovis in the heart."/>
    <n v="7827"/>
    <n v="7377"/>
    <n v="450"/>
    <x v="767"/>
    <n v="183"/>
    <n v="460.41176470588238"/>
    <n v="433.94117647058823"/>
    <n v="26.470588235294116"/>
    <n v="284.46470588235292"/>
    <n v="10.764705882352942"/>
    <n v="25"/>
    <n v="0"/>
    <n v="49.705882352941174"/>
    <n v="10"/>
    <n v="8.5"/>
    <n v="5.7493292449214251E-2"/>
    <n v="0.99705882352941178"/>
    <n v="0.6178484732336782"/>
    <n v="0.93205882352941172"/>
    <m/>
    <m/>
    <m/>
    <m/>
    <m/>
    <m/>
    <n v="5"/>
    <n v="0.27777777777777779"/>
    <n v="514"/>
  </r>
  <r>
    <x v="653"/>
    <x v="0"/>
    <m/>
    <x v="0"/>
    <n v="48"/>
    <n v="47"/>
    <n v="1"/>
    <s v="Rejection of 1 carcass due to presence of c. bovis in the heart."/>
    <n v="21594"/>
    <n v="21155"/>
    <n v="439"/>
    <x v="768"/>
    <n v="368"/>
    <n v="459.44680851063828"/>
    <n v="450.10638297872339"/>
    <n v="9.3404255319148941"/>
    <n v="275.65531914893614"/>
    <n v="7.8297872340425529"/>
    <n v="24.787234042553191"/>
    <n v="0"/>
    <n v="49.851063829787236"/>
    <n v="10"/>
    <n v="8.5"/>
    <n v="2.0329721218857091E-2"/>
    <n v="0.99425531914893617"/>
    <n v="0.59997221450402882"/>
    <n v="0.93138297872340425"/>
    <s v="1 lung"/>
    <m/>
    <m/>
    <m/>
    <m/>
    <m/>
    <n v="14"/>
    <n v="0.29166666666666669"/>
    <n v="489"/>
  </r>
  <r>
    <x v="654"/>
    <x v="1"/>
    <m/>
    <x v="1"/>
    <n v="27"/>
    <n v="27"/>
    <n v="0"/>
    <m/>
    <n v="1323"/>
    <n v="1285"/>
    <n v="38"/>
    <x v="769"/>
    <n v="0"/>
    <n v="49"/>
    <n v="47.592592592592595"/>
    <n v="1.4074074074074074"/>
    <n v="28.937037037037037"/>
    <n v="0"/>
    <n v="25"/>
    <n v="0"/>
    <n v="50"/>
    <n v="10"/>
    <n v="8.5"/>
    <n v="2.872260015117158E-2"/>
    <n v="1"/>
    <n v="0.59055177626606192"/>
    <n v="0.93500000000000005"/>
    <m/>
    <m/>
    <m/>
    <m/>
    <m/>
    <m/>
    <n v="0"/>
    <n v="0"/>
    <m/>
  </r>
  <r>
    <x v="654"/>
    <x v="0"/>
    <m/>
    <x v="9"/>
    <n v="41"/>
    <n v="41"/>
    <n v="0"/>
    <m/>
    <n v="20000"/>
    <n v="19555"/>
    <n v="445"/>
    <x v="770"/>
    <n v="422"/>
    <n v="487.80487804878049"/>
    <n v="476.95121951219511"/>
    <n v="10.853658536585366"/>
    <n v="292.68780487804878"/>
    <n v="10.292682926829269"/>
    <n v="24.512195121951219"/>
    <n v="0"/>
    <n v="49.487804878048784"/>
    <n v="9.7560975609756095"/>
    <n v="8.5"/>
    <n v="2.2249999999999999E-2"/>
    <n v="0.98512195121951218"/>
    <n v="0.60001000000000004"/>
    <n v="0.92256097560975603"/>
    <s v="4 kidneys + 1 heart"/>
    <m/>
    <m/>
    <m/>
    <m/>
    <m/>
    <n v="15"/>
    <n v="0.36585365853658536"/>
    <n v="5"/>
  </r>
  <r>
    <x v="655"/>
    <x v="0"/>
    <m/>
    <x v="14"/>
    <n v="49"/>
    <n v="49"/>
    <n v="0"/>
    <m/>
    <n v="24211"/>
    <n v="23715"/>
    <n v="496"/>
    <x v="771"/>
    <n v="570"/>
    <n v="494.10204081632651"/>
    <n v="483.9795918367347"/>
    <n v="10.122448979591837"/>
    <n v="300.28571428571428"/>
    <n v="11.63265306122449"/>
    <n v="25"/>
    <n v="0"/>
    <n v="49.877551020408163"/>
    <n v="10"/>
    <n v="8.5"/>
    <n v="2.0486555697823306E-2"/>
    <n v="0.99877551020408162"/>
    <n v="0.60774028334228247"/>
    <n v="0.93377551020408167"/>
    <s v="3 kidneys + 1 heart"/>
    <m/>
    <m/>
    <m/>
    <m/>
    <m/>
    <n v="11"/>
    <n v="0.22448979591836735"/>
    <n v="3.5"/>
  </r>
  <r>
    <x v="656"/>
    <x v="0"/>
    <s v="بلدي"/>
    <x v="5"/>
    <n v="34"/>
    <n v="31"/>
    <n v="3"/>
    <s v="Rejection of 3 carcasses due to presence of c. bovis in their hearts."/>
    <n v="14048"/>
    <n v="13322"/>
    <n v="726"/>
    <x v="772"/>
    <n v="332"/>
    <n v="453.16129032258067"/>
    <n v="429.74193548387098"/>
    <n v="23.419354838709676"/>
    <n v="280.60000000000002"/>
    <n v="10.709677419354838"/>
    <n v="25"/>
    <n v="0"/>
    <n v="49.548387096774192"/>
    <n v="7.5"/>
    <n v="8.5"/>
    <n v="5.1679954441913437E-2"/>
    <n v="0.99548387096774194"/>
    <n v="0.61920558086560362"/>
    <n v="0.90548387096774197"/>
    <s v="2 hearts"/>
    <m/>
    <m/>
    <m/>
    <m/>
    <m/>
    <n v="0"/>
    <n v="0"/>
    <n v="1490"/>
  </r>
  <r>
    <x v="657"/>
    <x v="0"/>
    <m/>
    <x v="0"/>
    <n v="52"/>
    <n v="52"/>
    <n v="0"/>
    <m/>
    <n v="23370"/>
    <n v="21740"/>
    <n v="1630"/>
    <x v="773"/>
    <n v="468"/>
    <n v="449.42307692307691"/>
    <n v="418.07692307692309"/>
    <n v="31.346153846153847"/>
    <n v="269.66923076923075"/>
    <n v="9"/>
    <n v="25"/>
    <n v="0"/>
    <n v="49.788461538461533"/>
    <n v="10"/>
    <n v="8.5"/>
    <n v="6.9747539580658963E-2"/>
    <n v="0.99788461538461526"/>
    <n v="0.60003423192126659"/>
    <n v="0.93288461538461531"/>
    <s v="1 lung"/>
    <m/>
    <m/>
    <m/>
    <m/>
    <m/>
    <n v="4"/>
    <n v="7.6923076923076927E-2"/>
    <n v="0"/>
  </r>
  <r>
    <x v="658"/>
    <x v="1"/>
    <m/>
    <x v="1"/>
    <n v="26"/>
    <n v="26"/>
    <n v="0"/>
    <m/>
    <n v="1246"/>
    <n v="1205"/>
    <n v="41"/>
    <x v="774"/>
    <n v="0"/>
    <n v="47.92307692307692"/>
    <n v="46.346153846153847"/>
    <n v="1.5769230769230769"/>
    <n v="28.442307692307693"/>
    <n v="0"/>
    <n v="25"/>
    <n v="0"/>
    <n v="49.230769230769226"/>
    <n v="10"/>
    <n v="8.5"/>
    <n v="3.2905296950240769E-2"/>
    <n v="0.99230769230769234"/>
    <n v="0.5934991974317817"/>
    <n v="0.92730769230769228"/>
    <s v="1 liver + 1 heart"/>
    <m/>
    <m/>
    <m/>
    <m/>
    <m/>
    <n v="0"/>
    <n v="0"/>
    <n v="1.5"/>
  </r>
  <r>
    <x v="658"/>
    <x v="0"/>
    <s v="Native "/>
    <x v="9"/>
    <n v="37"/>
    <n v="35"/>
    <n v="2"/>
    <s v="Rejection of 2 carcasses due to presence of c. bovis in their hearts."/>
    <n v="17533"/>
    <n v="16838"/>
    <n v="695"/>
    <x v="775"/>
    <n v="403"/>
    <n v="500.94285714285712"/>
    <n v="481.08571428571429"/>
    <n v="19.857142857142858"/>
    <n v="300.56857142857143"/>
    <n v="11.514285714285714"/>
    <n v="24.285714285714285"/>
    <n v="0"/>
    <n v="49.514285714285712"/>
    <n v="10"/>
    <n v="8.5"/>
    <n v="3.9639536873324589E-2"/>
    <n v="0.98085714285714287"/>
    <n v="0.60000570353048532"/>
    <n v="0.92299999999999993"/>
    <s v="1 forequarter + 2 kidneys "/>
    <m/>
    <m/>
    <m/>
    <m/>
    <m/>
    <n v="17"/>
    <n v="0.45945945945945948"/>
    <n v="1122"/>
  </r>
  <r>
    <x v="659"/>
    <x v="0"/>
    <m/>
    <x v="9"/>
    <n v="7"/>
    <n v="7"/>
    <n v="0"/>
    <m/>
    <n v="3310"/>
    <n v="3215"/>
    <n v="95"/>
    <x v="776"/>
    <n v="80"/>
    <n v="472.85714285714283"/>
    <n v="459.28571428571428"/>
    <n v="13.571428571428571"/>
    <n v="284.75714285714287"/>
    <n v="11.428571428571429"/>
    <n v="25"/>
    <n v="0"/>
    <n v="50"/>
    <n v="10"/>
    <n v="8.5"/>
    <n v="2.8700906344410877E-2"/>
    <n v="1"/>
    <n v="0.6022054380664652"/>
    <n v="0.93500000000000005"/>
    <m/>
    <m/>
    <m/>
    <m/>
    <m/>
    <m/>
    <n v="6"/>
    <n v="0.8571428571428571"/>
    <n v="0"/>
  </r>
  <r>
    <x v="659"/>
    <x v="0"/>
    <m/>
    <x v="14"/>
    <n v="36"/>
    <n v="35"/>
    <n v="1"/>
    <s v="Rejection of 1 carcass due to presnece of c. bovis in the heart"/>
    <n v="15750"/>
    <n v="15155"/>
    <n v="595"/>
    <x v="777"/>
    <n v="338"/>
    <n v="450"/>
    <n v="433"/>
    <n v="17"/>
    <n v="271.36285714285714"/>
    <n v="9.6571428571428566"/>
    <n v="25"/>
    <n v="0"/>
    <n v="49.685714285714283"/>
    <n v="10"/>
    <n v="8.5"/>
    <n v="3.7777777777777778E-2"/>
    <n v="0.99685714285714289"/>
    <n v="0.60302857142857147"/>
    <n v="0.93185714285714283"/>
    <s v="1 liver "/>
    <m/>
    <m/>
    <m/>
    <m/>
    <m/>
    <n v="12"/>
    <n v="0.33333333333333331"/>
    <n v="414"/>
  </r>
  <r>
    <x v="660"/>
    <x v="0"/>
    <m/>
    <x v="14"/>
    <n v="8"/>
    <n v="8"/>
    <n v="0"/>
    <m/>
    <n v="3475"/>
    <n v="3360"/>
    <n v="115"/>
    <x v="778"/>
    <n v="64"/>
    <n v="434.375"/>
    <n v="420"/>
    <n v="14.375"/>
    <n v="261.76249999999999"/>
    <n v="8"/>
    <n v="25"/>
    <n v="0"/>
    <n v="50"/>
    <n v="10"/>
    <n v="8.5"/>
    <n v="3.3093525179856115E-2"/>
    <n v="1"/>
    <n v="0.60261870503597115"/>
    <n v="0.93500000000000005"/>
    <m/>
    <m/>
    <m/>
    <m/>
    <m/>
    <m/>
    <n v="1"/>
    <n v="0.125"/>
    <n v="0"/>
  </r>
  <r>
    <x v="660"/>
    <x v="0"/>
    <s v="بلدي"/>
    <x v="5"/>
    <n v="36"/>
    <n v="36"/>
    <n v="0"/>
    <m/>
    <n v="16745"/>
    <n v="16105"/>
    <n v="640"/>
    <x v="779"/>
    <n v="434"/>
    <n v="465.13888888888891"/>
    <n v="447.36111111111109"/>
    <n v="17.777777777777779"/>
    <n v="289.90833333333336"/>
    <n v="12.055555555555555"/>
    <n v="25"/>
    <n v="0"/>
    <n v="49.75"/>
    <n v="10"/>
    <n v="8.5"/>
    <n v="3.8220364287847121E-2"/>
    <n v="0.99750000000000005"/>
    <n v="0.62327261869214701"/>
    <n v="0.9325"/>
    <s v="1 lung"/>
    <m/>
    <m/>
    <m/>
    <m/>
    <m/>
    <n v="5"/>
    <n v="0.1388888888888889"/>
    <n v="1.5"/>
  </r>
  <r>
    <x v="661"/>
    <x v="1"/>
    <m/>
    <x v="0"/>
    <n v="26"/>
    <n v="26"/>
    <n v="0"/>
    <m/>
    <n v="1599"/>
    <n v="1550"/>
    <n v="49"/>
    <x v="780"/>
    <n v="0"/>
    <n v="61.5"/>
    <n v="59.615384615384613"/>
    <n v="1.8846153846153846"/>
    <n v="35.246153846153845"/>
    <n v="0"/>
    <n v="25"/>
    <n v="0"/>
    <n v="48.653846153846146"/>
    <n v="10"/>
    <n v="8.5"/>
    <n v="3.0644152595372107E-2"/>
    <n v="0.98653846153846148"/>
    <n v="0.5731081926203877"/>
    <n v="0.92153846153846142"/>
    <s v="2 omentums, 1 heart, 1 liver "/>
    <m/>
    <m/>
    <m/>
    <m/>
    <m/>
    <n v="0"/>
    <n v="0"/>
    <n v="6"/>
  </r>
  <r>
    <x v="661"/>
    <x v="0"/>
    <m/>
    <x v="0"/>
    <n v="45"/>
    <n v="43"/>
    <n v="2"/>
    <s v="Rejection of 2 carcasses purulent nephritis + Miliary TB"/>
    <n v="18957"/>
    <n v="18082"/>
    <n v="875"/>
    <x v="781"/>
    <n v="373"/>
    <n v="440.86046511627904"/>
    <n v="420.51162790697674"/>
    <n v="20.348837209302324"/>
    <n v="264.49767441860462"/>
    <n v="8.6744186046511622"/>
    <n v="25"/>
    <n v="0"/>
    <n v="49.302325581395351"/>
    <n v="10"/>
    <n v="8.5"/>
    <n v="4.6157092366935694E-2"/>
    <n v="0.99302325581395356"/>
    <n v="0.59995779922983594"/>
    <n v="0.92802325581395351"/>
    <s v="7 kidneys"/>
    <m/>
    <m/>
    <m/>
    <m/>
    <m/>
    <n v="6"/>
    <n v="0.13333333333333333"/>
    <n v="871"/>
  </r>
  <r>
    <x v="662"/>
    <x v="0"/>
    <m/>
    <x v="9"/>
    <n v="32"/>
    <n v="32"/>
    <n v="0"/>
    <m/>
    <n v="15845"/>
    <n v="15165"/>
    <n v="680"/>
    <x v="782"/>
    <n v="337"/>
    <n v="495.15625"/>
    <n v="473.90625"/>
    <n v="21.25"/>
    <n v="297.21249999999998"/>
    <n v="10.53125"/>
    <n v="24.21875"/>
    <n v="0"/>
    <n v="49.1875"/>
    <n v="10"/>
    <n v="8.5"/>
    <n v="4.2915746292205743E-2"/>
    <n v="0.97625000000000006"/>
    <n v="0.60023982328810344"/>
    <n v="0.9190625"/>
    <s v="1 head + 5 kidneys "/>
    <m/>
    <m/>
    <m/>
    <m/>
    <m/>
    <n v="17"/>
    <n v="0.53125"/>
    <n v="8"/>
  </r>
  <r>
    <x v="663"/>
    <x v="0"/>
    <m/>
    <x v="14"/>
    <n v="44"/>
    <n v="44"/>
    <n v="0"/>
    <m/>
    <n v="20445"/>
    <n v="19755"/>
    <n v="690"/>
    <x v="783"/>
    <n v="425"/>
    <n v="464.65909090909093"/>
    <n v="448.97727272727275"/>
    <n v="15.681818181818182"/>
    <n v="281.67500000000001"/>
    <n v="9.6590909090909083"/>
    <n v="25"/>
    <n v="0"/>
    <n v="49.494714587737846"/>
    <n v="10"/>
    <n v="8.5"/>
    <n v="3.3749082905355832E-2"/>
    <n v="0.99494714587737842"/>
    <n v="0.60619711420885303"/>
    <n v="0.92994714587737848"/>
    <s v="2 kidneys"/>
    <m/>
    <m/>
    <m/>
    <m/>
    <m/>
    <n v="7"/>
    <n v="0.15909090909090909"/>
    <n v="4"/>
  </r>
  <r>
    <x v="664"/>
    <x v="1"/>
    <m/>
    <x v="0"/>
    <n v="26"/>
    <n v="26"/>
    <n v="0"/>
    <m/>
    <n v="1520"/>
    <n v="1410"/>
    <n v="110"/>
    <x v="784"/>
    <n v="0"/>
    <n v="58.46153846153846"/>
    <n v="54.230769230769234"/>
    <n v="4.2307692307692308"/>
    <n v="31.696153846153848"/>
    <n v="0"/>
    <n v="25"/>
    <n v="0"/>
    <n v="49.769230769230774"/>
    <n v="10"/>
    <n v="8.5"/>
    <n v="7.2368421052631582E-2"/>
    <n v="0.99769230769230766"/>
    <n v="0.54217105263157894"/>
    <n v="0.93269230769230771"/>
    <m/>
    <m/>
    <m/>
    <m/>
    <m/>
    <m/>
    <n v="0"/>
    <n v="0"/>
    <m/>
  </r>
  <r>
    <x v="664"/>
    <x v="0"/>
    <s v="بلدي"/>
    <x v="5"/>
    <n v="32"/>
    <n v="31"/>
    <n v="1"/>
    <s v="Rejection of 1 carcass due to presence of C. Bovis in the heart."/>
    <n v="13647"/>
    <n v="13419"/>
    <n v="228"/>
    <x v="785"/>
    <n v="357"/>
    <n v="440.22580645161293"/>
    <n v="432.87096774193549"/>
    <n v="7.354838709677419"/>
    <n v="285.27741935483874"/>
    <n v="11.516129032258064"/>
    <n v="25"/>
    <n v="0"/>
    <n v="50"/>
    <n v="10"/>
    <n v="8.5"/>
    <n v="1.6706968564519673E-2"/>
    <n v="1"/>
    <n v="0.64802520700520261"/>
    <n v="0.93500000000000005"/>
    <m/>
    <m/>
    <m/>
    <m/>
    <m/>
    <m/>
    <n v="0"/>
    <n v="0"/>
    <n v="425"/>
  </r>
  <r>
    <x v="665"/>
    <x v="0"/>
    <m/>
    <x v="0"/>
    <n v="47"/>
    <n v="46"/>
    <n v="1"/>
    <s v="Rejection of 1 carcass due to presence of c. bovis in the heart"/>
    <n v="21275"/>
    <n v="20915"/>
    <n v="360"/>
    <x v="786"/>
    <n v="405"/>
    <n v="462.5"/>
    <n v="454.67391304347825"/>
    <n v="7.8260869565217392"/>
    <n v="277.51956521739129"/>
    <n v="8.804347826086957"/>
    <n v="25"/>
    <n v="0"/>
    <n v="49.347826086956516"/>
    <n v="10"/>
    <n v="8.5"/>
    <n v="1.6921269095182139E-2"/>
    <n v="0.99347826086956514"/>
    <n v="0.60004230317273799"/>
    <n v="0.9284782608695652"/>
    <s v="2 livers + 3 kidneys "/>
    <m/>
    <m/>
    <m/>
    <m/>
    <m/>
    <n v="3"/>
    <n v="6.3829787234042548E-2"/>
    <n v="498"/>
  </r>
  <r>
    <x v="666"/>
    <x v="0"/>
    <s v="بلدي"/>
    <x v="5"/>
    <n v="43"/>
    <n v="43"/>
    <n v="0"/>
    <m/>
    <n v="20478"/>
    <n v="19365"/>
    <n v="1113"/>
    <x v="787"/>
    <n v="445"/>
    <n v="476.23255813953489"/>
    <n v="450.3488372093023"/>
    <n v="25.88372093023256"/>
    <n v="294.17906976744189"/>
    <n v="10.348837209302326"/>
    <n v="25"/>
    <n v="0"/>
    <n v="49.488372093023258"/>
    <n v="10"/>
    <n v="8.5"/>
    <n v="5.4351010840902436E-2"/>
    <n v="0.99488372093023258"/>
    <n v="0.61772145717355209"/>
    <n v="0.92988372093023264"/>
    <s v="1 kidney + 1 testicle"/>
    <m/>
    <m/>
    <m/>
    <m/>
    <m/>
    <n v="4"/>
    <n v="9.3023255813953487E-2"/>
    <n v="2.5"/>
  </r>
  <r>
    <x v="667"/>
    <x v="1"/>
    <m/>
    <x v="1"/>
    <n v="31"/>
    <n v="31"/>
    <n v="0"/>
    <m/>
    <n v="1387"/>
    <n v="1387"/>
    <n v="0"/>
    <x v="788"/>
    <n v="0"/>
    <n v="44.741935483870968"/>
    <n v="44.741935483870968"/>
    <n v="0"/>
    <n v="24.945161290322581"/>
    <n v="0"/>
    <n v="25"/>
    <n v="0"/>
    <n v="49.225806451612904"/>
    <n v="10"/>
    <n v="8.5"/>
    <n v="0"/>
    <n v="0.99225806451612897"/>
    <n v="0.55753424657534245"/>
    <n v="0.92725806451612902"/>
    <s v="2 livers "/>
    <m/>
    <m/>
    <m/>
    <m/>
    <m/>
    <n v="0"/>
    <n v="0"/>
    <n v="1.5"/>
  </r>
  <r>
    <x v="667"/>
    <x v="0"/>
    <m/>
    <x v="14"/>
    <n v="64"/>
    <n v="62"/>
    <n v="2"/>
    <s v="Rejection of 2 carcasses due to presence of c. bovis in their hearts."/>
    <n v="29036"/>
    <n v="29036"/>
    <n v="0"/>
    <x v="789"/>
    <n v="590"/>
    <n v="468.32258064516128"/>
    <n v="468.32258064516128"/>
    <n v="0"/>
    <n v="284.29032258064518"/>
    <n v="9.5161290322580641"/>
    <n v="25"/>
    <n v="0"/>
    <n v="49.532258064516128"/>
    <n v="10"/>
    <n v="8.5"/>
    <n v="0"/>
    <n v="0.99532258064516133"/>
    <n v="0.60703953712632597"/>
    <n v="0.93032258064516127"/>
    <s v="2 kidneys "/>
    <m/>
    <m/>
    <m/>
    <m/>
    <m/>
    <n v="21"/>
    <n v="0.328125"/>
    <n v="857"/>
  </r>
  <r>
    <x v="668"/>
    <x v="0"/>
    <s v="بلدي"/>
    <x v="5"/>
    <n v="65"/>
    <n v="64"/>
    <n v="1"/>
    <s v="Rejection of 1 carcass due to presence of c. bovis in the heart."/>
    <n v="29016"/>
    <n v="29016"/>
    <n v="0"/>
    <x v="790"/>
    <n v="667"/>
    <n v="453.375"/>
    <n v="453.375"/>
    <n v="0"/>
    <n v="280.03125"/>
    <n v="10.421875"/>
    <n v="25"/>
    <n v="0"/>
    <n v="49.938461538461539"/>
    <n v="10"/>
    <n v="8.5"/>
    <n v="0"/>
    <n v="0.99938461538461532"/>
    <n v="0.61765922249793215"/>
    <n v="0.93438461538461537"/>
    <m/>
    <m/>
    <m/>
    <m/>
    <m/>
    <m/>
    <n v="6"/>
    <n v="9.2307692307692313E-2"/>
    <n v="453"/>
  </r>
  <r>
    <x v="669"/>
    <x v="1"/>
    <m/>
    <x v="0"/>
    <n v="35"/>
    <n v="35"/>
    <n v="0"/>
    <m/>
    <n v="1950"/>
    <n v="1950"/>
    <n v="0"/>
    <x v="791"/>
    <n v="0"/>
    <n v="55.714285714285715"/>
    <n v="55.714285714285715"/>
    <n v="0"/>
    <n v="31.862857142857145"/>
    <n v="0"/>
    <n v="25"/>
    <n v="0"/>
    <n v="46.2"/>
    <n v="10"/>
    <n v="8.5"/>
    <n v="0"/>
    <n v="0.96199999999999997"/>
    <n v="0.57189743589743591"/>
    <n v="0.89700000000000002"/>
    <s v="4 forequarters +6 omentums + 3 hearts "/>
    <m/>
    <m/>
    <m/>
    <m/>
    <m/>
    <n v="0"/>
    <n v="0"/>
    <n v="33"/>
  </r>
  <r>
    <x v="669"/>
    <x v="0"/>
    <m/>
    <x v="0"/>
    <n v="53"/>
    <n v="52"/>
    <n v="1"/>
    <s v="Rejection of 1 carcass due to presence of c. bovis in the heart (450 kg)"/>
    <n v="23465"/>
    <n v="23465"/>
    <n v="0"/>
    <x v="792"/>
    <n v="507"/>
    <n v="451.25"/>
    <n v="451.25"/>
    <n v="0"/>
    <n v="270.75961538461536"/>
    <n v="9.75"/>
    <n v="25"/>
    <n v="0"/>
    <n v="49.653846153846153"/>
    <n v="10"/>
    <n v="8.5"/>
    <n v="0"/>
    <n v="0.9965384615384616"/>
    <n v="0.60002130833155765"/>
    <n v="0.93153846153846165"/>
    <s v="1 head "/>
    <m/>
    <m/>
    <m/>
    <m/>
    <m/>
    <n v="0"/>
    <n v="0"/>
    <n v="469"/>
  </r>
  <r>
    <x v="670"/>
    <x v="0"/>
    <m/>
    <x v="0"/>
    <n v="53"/>
    <n v="50"/>
    <n v="3"/>
    <s v="c. bovis + AB residues + pyelonephritis "/>
    <n v="24140"/>
    <n v="24140"/>
    <n v="0"/>
    <x v="793"/>
    <n v="513"/>
    <n v="482.8"/>
    <n v="482.8"/>
    <n v="0"/>
    <n v="289.67"/>
    <n v="10.26"/>
    <n v="25"/>
    <n v="0"/>
    <n v="48.519230769230774"/>
    <n v="9.9038461538461533"/>
    <n v="8.5"/>
    <n v="0"/>
    <n v="0.9851923076923077"/>
    <n v="0.5999792874896438"/>
    <n v="0.9192307692307693"/>
    <s v="11 kidneys"/>
    <m/>
    <m/>
    <m/>
    <m/>
    <m/>
    <n v="0"/>
    <m/>
    <n v="1447"/>
  </r>
  <r>
    <x v="671"/>
    <x v="0"/>
    <m/>
    <x v="14"/>
    <n v="48"/>
    <n v="47"/>
    <n v="1"/>
    <s v="miliary tb"/>
    <n v="22016"/>
    <n v="21245"/>
    <n v="771"/>
    <x v="794"/>
    <n v="463"/>
    <n v="468.42553191489361"/>
    <n v="452.02127659574467"/>
    <n v="16.404255319148938"/>
    <n v="283.63404255319148"/>
    <n v="9.8510638297872344"/>
    <n v="25"/>
    <n v="0"/>
    <n v="49.851063829787236"/>
    <n v="10"/>
    <n v="8.5"/>
    <n v="3.5019985465116282E-2"/>
    <n v="0.99851063829787234"/>
    <n v="0.6055050872093023"/>
    <n v="0.9335106382978724"/>
    <s v="2 kidneys"/>
    <m/>
    <m/>
    <m/>
    <m/>
    <m/>
    <n v="13"/>
    <m/>
    <n v="360"/>
  </r>
  <r>
    <x v="672"/>
    <x v="0"/>
    <m/>
    <x v="14"/>
    <n v="16"/>
    <n v="16"/>
    <n v="0"/>
    <m/>
    <n v="7780"/>
    <n v="7365"/>
    <n v="415"/>
    <x v="795"/>
    <n v="159"/>
    <n v="486.25"/>
    <n v="460.3125"/>
    <n v="25.9375"/>
    <n v="291.76249999999999"/>
    <n v="9.9375"/>
    <n v="25"/>
    <n v="0"/>
    <n v="49.375"/>
    <n v="10"/>
    <n v="8.5"/>
    <n v="5.3341902313624678E-2"/>
    <n v="0.99375000000000002"/>
    <n v="0.60002570694087398"/>
    <n v="0.92874999999999996"/>
    <s v="2 testicles "/>
    <m/>
    <m/>
    <m/>
    <m/>
    <m/>
    <n v="0"/>
    <m/>
    <n v="5"/>
  </r>
  <r>
    <x v="672"/>
    <x v="0"/>
    <s v="بلدي"/>
    <x v="5"/>
    <n v="27"/>
    <n v="22"/>
    <n v="5"/>
    <s v="1 emaciated bull + 2 c bovis + 2 imported "/>
    <n v="10388"/>
    <n v="9688"/>
    <n v="700"/>
    <x v="796"/>
    <n v="192"/>
    <n v="472.18181818181819"/>
    <n v="440.36363636363637"/>
    <n v="31.818181818181817"/>
    <n v="284.11363636363637"/>
    <n v="8.7272727272727266"/>
    <n v="25"/>
    <n v="0"/>
    <n v="49.909090909090907"/>
    <n v="10"/>
    <n v="8.5"/>
    <n v="6.7385444743935305E-2"/>
    <n v="0.99909090909090903"/>
    <n v="0.60170388910281092"/>
    <n v="0.93409090909090908"/>
    <m/>
    <m/>
    <m/>
    <m/>
    <m/>
    <m/>
    <n v="6"/>
    <m/>
    <n v="2321"/>
  </r>
  <r>
    <x v="673"/>
    <x v="1"/>
    <m/>
    <x v="1"/>
    <n v="30"/>
    <n v="30"/>
    <n v="0"/>
    <m/>
    <n v="1392"/>
    <n v="1315"/>
    <n v="77"/>
    <x v="797"/>
    <m/>
    <n v="46.4"/>
    <n v="43.833333333333336"/>
    <n v="2.5666666666666669"/>
    <n v="26.263333333333332"/>
    <n v="0"/>
    <n v="25"/>
    <n v="0"/>
    <n v="49.566666666666663"/>
    <n v="10"/>
    <n v="8.5"/>
    <n v="5.5316091954022997E-2"/>
    <n v="0.9956666666666667"/>
    <n v="0.56602011494252868"/>
    <n v="0.93066666666666664"/>
    <s v="1 heart"/>
    <m/>
    <m/>
    <m/>
    <m/>
    <m/>
    <n v="0"/>
    <m/>
    <n v="0"/>
  </r>
  <r>
    <x v="673"/>
    <x v="0"/>
    <m/>
    <x v="0"/>
    <n v="43"/>
    <n v="42"/>
    <n v="1"/>
    <s v="miliary tb"/>
    <n v="19619"/>
    <n v="18890"/>
    <n v="729"/>
    <x v="798"/>
    <n v="423"/>
    <n v="467.11904761904759"/>
    <n v="449.76190476190476"/>
    <n v="17.357142857142858"/>
    <n v="280.26666666666671"/>
    <n v="10.071428571428571"/>
    <n v="25"/>
    <n v="0"/>
    <n v="49.5"/>
    <n v="10"/>
    <n v="8.5"/>
    <n v="3.7157857179265001E-2"/>
    <n v="0.995"/>
    <n v="0.59998980580049954"/>
    <n v="0.93"/>
    <s v="4 kidneys + 1 liver "/>
    <m/>
    <m/>
    <m/>
    <m/>
    <m/>
    <n v="6"/>
    <m/>
    <n v="426.5"/>
  </r>
  <r>
    <x v="674"/>
    <x v="0"/>
    <s v="بلدي"/>
    <x v="5"/>
    <n v="31"/>
    <n v="29"/>
    <n v="2"/>
    <s v="2 c. bovis "/>
    <n v="13570"/>
    <n v="12726"/>
    <n v="844"/>
    <x v="799"/>
    <n v="307"/>
    <n v="467.93103448275861"/>
    <n v="438.82758620689657"/>
    <n v="29.103448275862068"/>
    <n v="285.50344827586207"/>
    <n v="10.586206896551724"/>
    <n v="25"/>
    <n v="0"/>
    <n v="49.758620689655174"/>
    <n v="9.8275862068965516"/>
    <n v="8.5"/>
    <n v="6.2196020633750917E-2"/>
    <n v="0.99758620689655175"/>
    <n v="0.61014001473839352"/>
    <n v="0.93086206896551726"/>
    <s v="2 kidneys "/>
    <m/>
    <m/>
    <m/>
    <m/>
    <m/>
    <n v="3"/>
    <m/>
    <n v="965"/>
  </r>
  <r>
    <x v="675"/>
    <x v="0"/>
    <m/>
    <x v="14"/>
    <n v="45"/>
    <n v="45"/>
    <n v="0"/>
    <m/>
    <n v="21200"/>
    <n v="20635"/>
    <n v="565"/>
    <x v="800"/>
    <n v="483"/>
    <n v="471.11111111111109"/>
    <n v="458.55555555555554"/>
    <n v="12.555555555555555"/>
    <n v="285.14222222222219"/>
    <n v="10.733333333333333"/>
    <n v="25"/>
    <n v="0"/>
    <n v="49.466666666666661"/>
    <n v="10"/>
    <n v="8.5"/>
    <n v="2.6650943396226416E-2"/>
    <n v="0.99466666666666659"/>
    <n v="0.60525471698113209"/>
    <n v="0.92966666666666664"/>
    <s v="2 kidneys + 1 liver + 1 head"/>
    <m/>
    <m/>
    <m/>
    <m/>
    <m/>
    <n v="4"/>
    <m/>
    <n v="11"/>
  </r>
  <r>
    <x v="676"/>
    <x v="0"/>
    <s v="بلدي"/>
    <x v="5"/>
    <n v="27"/>
    <n v="26"/>
    <n v="1"/>
    <s v="c. bovis"/>
    <n v="12202"/>
    <n v="11300"/>
    <n v="902"/>
    <x v="801"/>
    <n v="278"/>
    <n v="469.30769230769232"/>
    <n v="434.61538461538464"/>
    <n v="34.692307692307693"/>
    <n v="289.19230769230768"/>
    <n v="10.692307692307692"/>
    <n v="25"/>
    <n v="0"/>
    <n v="49.615384615384613"/>
    <n v="10"/>
    <n v="8.5"/>
    <n v="7.3922307818390431E-2"/>
    <n v="0.99615384615384617"/>
    <n v="0.61621045730208157"/>
    <n v="0.93115384615384611"/>
    <s v="1 liver "/>
    <m/>
    <m/>
    <m/>
    <m/>
    <m/>
    <n v="0"/>
    <m/>
    <n v="464"/>
  </r>
  <r>
    <x v="677"/>
    <x v="1"/>
    <m/>
    <x v="1"/>
    <n v="30"/>
    <n v="30"/>
    <n v="0"/>
    <m/>
    <n v="1486"/>
    <n v="1415"/>
    <n v="71"/>
    <x v="802"/>
    <m/>
    <n v="49.533333333333331"/>
    <n v="47.166666666666664"/>
    <n v="2.3666666666666667"/>
    <n v="27.92"/>
    <n v="0"/>
    <n v="25"/>
    <n v="0"/>
    <n v="49.8"/>
    <n v="10"/>
    <n v="8.5"/>
    <n v="4.7779273216689101E-2"/>
    <n v="0.998"/>
    <n v="0.56366083445491255"/>
    <n v="0.93299999999999994"/>
    <m/>
    <m/>
    <m/>
    <m/>
    <m/>
    <m/>
    <n v="0"/>
    <m/>
    <n v="0"/>
  </r>
  <r>
    <x v="677"/>
    <x v="0"/>
    <m/>
    <x v="0"/>
    <n v="43"/>
    <n v="43"/>
    <n v="0"/>
    <m/>
    <n v="21600"/>
    <n v="20380"/>
    <n v="1220"/>
    <x v="803"/>
    <n v="352"/>
    <n v="502.32558139534882"/>
    <n v="473.95348837209303"/>
    <n v="28.372093023255815"/>
    <n v="301.89302325581394"/>
    <n v="8.1860465116279073"/>
    <n v="24.767441860465116"/>
    <n v="0"/>
    <n v="49.813953488372093"/>
    <n v="10"/>
    <n v="8.5"/>
    <n v="5.6481481481481487E-2"/>
    <n v="0.99348837209302321"/>
    <n v="0.60099074074074077"/>
    <n v="0.93081395348837204"/>
    <s v="1 head "/>
    <m/>
    <m/>
    <m/>
    <m/>
    <m/>
    <n v="0"/>
    <m/>
    <n v="1"/>
  </r>
  <r>
    <x v="678"/>
    <x v="0"/>
    <m/>
    <x v="0"/>
    <n v="27"/>
    <n v="27"/>
    <n v="0"/>
    <m/>
    <n v="11003"/>
    <n v="10570"/>
    <n v="433"/>
    <x v="804"/>
    <n v="187"/>
    <n v="407.51851851851853"/>
    <n v="391.48148148148147"/>
    <n v="16.037037037037038"/>
    <n v="244.50370370370371"/>
    <n v="6.9259259259259256"/>
    <n v="25"/>
    <n v="0"/>
    <n v="48.592592592592595"/>
    <n v="10"/>
    <n v="8.5"/>
    <n v="3.9352903753521767E-2"/>
    <n v="0.98592592592592587"/>
    <n v="0.59998182313914394"/>
    <n v="0.92092592592592593"/>
    <s v="1 forequarter + 8 kidneys "/>
    <m/>
    <m/>
    <m/>
    <m/>
    <m/>
    <n v="0"/>
    <m/>
    <n v="49.5"/>
  </r>
  <r>
    <x v="678"/>
    <x v="0"/>
    <s v="Native "/>
    <x v="9"/>
    <n v="8"/>
    <n v="7"/>
    <n v="1"/>
    <s v="AB resideus "/>
    <n v="3322"/>
    <n v="3225"/>
    <n v="97"/>
    <x v="805"/>
    <n v="60"/>
    <n v="474.57142857142856"/>
    <n v="460.71428571428572"/>
    <n v="13.857142857142858"/>
    <n v="284.74285714285713"/>
    <n v="8.5714285714285712"/>
    <n v="25"/>
    <n v="0"/>
    <n v="48"/>
    <n v="10"/>
    <n v="8.5"/>
    <n v="2.9199277543648407E-2"/>
    <n v="0.98"/>
    <n v="0.6"/>
    <n v="0.91500000000000004"/>
    <s v="4 kidneys"/>
    <m/>
    <m/>
    <m/>
    <m/>
    <m/>
    <n v="0"/>
    <m/>
    <n v="452"/>
  </r>
  <r>
    <x v="679"/>
    <x v="0"/>
    <m/>
    <x v="14"/>
    <n v="40"/>
    <n v="39"/>
    <n v="1"/>
    <s v="c. bovis"/>
    <n v="18302"/>
    <n v="17785"/>
    <n v="517"/>
    <x v="806"/>
    <n v="371"/>
    <n v="469.28205128205127"/>
    <n v="456.02564102564105"/>
    <n v="13.256410256410257"/>
    <n v="286.32820512820513"/>
    <n v="9.5128205128205128"/>
    <n v="25"/>
    <n v="0"/>
    <n v="49.820512820512818"/>
    <n v="10"/>
    <n v="8.5"/>
    <n v="2.8248278876625506E-2"/>
    <n v="0.99820512820512819"/>
    <n v="0.6101409682001967"/>
    <n v="0.93320512820512813"/>
    <s v="2 kidneys"/>
    <m/>
    <m/>
    <m/>
    <m/>
    <m/>
    <n v="9"/>
    <m/>
    <n v="441"/>
  </r>
  <r>
    <x v="680"/>
    <x v="0"/>
    <s v="بلدي"/>
    <x v="5"/>
    <n v="32"/>
    <n v="31"/>
    <n v="1"/>
    <s v="c. bovis"/>
    <n v="14024"/>
    <n v="13370"/>
    <n v="654"/>
    <x v="807"/>
    <n v="297"/>
    <n v="452.38709677419354"/>
    <n v="431.29032258064518"/>
    <n v="21.096774193548388"/>
    <n v="281.74193548387098"/>
    <n v="9.5806451612903221"/>
    <n v="25"/>
    <n v="0"/>
    <n v="49.838709677419352"/>
    <n v="10"/>
    <n v="8.5"/>
    <n v="4.6634341129492302E-2"/>
    <n v="0.99838709677419346"/>
    <n v="0.62278950370792929"/>
    <n v="0.93338709677419363"/>
    <s v="1 testicle"/>
    <m/>
    <m/>
    <m/>
    <m/>
    <m/>
    <n v="2"/>
    <m/>
    <n v="436"/>
  </r>
  <r>
    <x v="681"/>
    <x v="0"/>
    <m/>
    <x v="0"/>
    <n v="46"/>
    <n v="46"/>
    <n v="0"/>
    <m/>
    <n v="21827"/>
    <n v="20815"/>
    <n v="1012"/>
    <x v="808"/>
    <n v="417"/>
    <n v="474.5"/>
    <n v="452.5"/>
    <n v="22"/>
    <n v="284.70652173913044"/>
    <n v="9.0652173913043477"/>
    <n v="25"/>
    <n v="0"/>
    <n v="49.586956521739125"/>
    <n v="10"/>
    <n v="8.5"/>
    <n v="4.6364594309799792E-2"/>
    <n v="0.99586956521739123"/>
    <n v="0.60001374444495348"/>
    <n v="0.93086956521739128"/>
    <s v="1 liver + 2 kidneys "/>
    <m/>
    <m/>
    <m/>
    <m/>
    <m/>
    <n v="12"/>
    <m/>
    <n v="8"/>
  </r>
  <r>
    <x v="682"/>
    <x v="1"/>
    <m/>
    <x v="0"/>
    <n v="25"/>
    <n v="25"/>
    <n v="0"/>
    <m/>
    <n v="1630"/>
    <n v="1505"/>
    <n v="125"/>
    <x v="809"/>
    <m/>
    <n v="65.2"/>
    <n v="60.2"/>
    <n v="5"/>
    <n v="36.771999999999998"/>
    <n v="0"/>
    <n v="25"/>
    <n v="0"/>
    <n v="49.04"/>
    <n v="10"/>
    <n v="8.5"/>
    <n v="7.6687116564417179E-2"/>
    <n v="0.99039999999999995"/>
    <n v="0.56398773006134961"/>
    <n v="0.92539999999999989"/>
    <s v="1 forequarter+ 1 liver + 1 omentum"/>
    <m/>
    <m/>
    <m/>
    <m/>
    <m/>
    <n v="0"/>
    <m/>
    <n v="5.5"/>
  </r>
  <r>
    <x v="682"/>
    <x v="0"/>
    <s v="بلدي"/>
    <x v="5"/>
    <n v="37"/>
    <n v="37"/>
    <n v="0"/>
    <m/>
    <n v="17552"/>
    <n v="16901"/>
    <n v="651"/>
    <x v="810"/>
    <n v="400"/>
    <n v="474.37837837837839"/>
    <n v="456.7837837837838"/>
    <n v="17.594594594594593"/>
    <n v="294"/>
    <n v="10.810810810810811"/>
    <n v="25"/>
    <n v="0"/>
    <n v="50"/>
    <n v="9.8648648648648649"/>
    <n v="8.5"/>
    <n v="3.7089790337283497E-2"/>
    <n v="1"/>
    <n v="0.61975843208751136"/>
    <n v="0.93364864864864872"/>
    <m/>
    <m/>
    <m/>
    <m/>
    <m/>
    <m/>
    <n v="9"/>
    <m/>
    <n v="0"/>
  </r>
  <r>
    <x v="683"/>
    <x v="0"/>
    <m/>
    <x v="22"/>
    <n v="8"/>
    <n v="8"/>
    <n v="0"/>
    <m/>
    <n v="3006"/>
    <n v="2935"/>
    <n v="71"/>
    <x v="811"/>
    <n v="63"/>
    <n v="375.75"/>
    <n v="366.875"/>
    <n v="8.875"/>
    <n v="225.46250000000001"/>
    <n v="7.875"/>
    <n v="25"/>
    <n v="0"/>
    <n v="49.125"/>
    <n v="10"/>
    <n v="8.5"/>
    <n v="2.3619427811044577E-2"/>
    <n v="0.99124999999999996"/>
    <n v="0.6000332667997339"/>
    <n v="0.92625000000000002"/>
    <s v="1 liver "/>
    <m/>
    <m/>
    <m/>
    <m/>
    <m/>
    <n v="1"/>
    <m/>
    <n v="5"/>
  </r>
  <r>
    <x v="683"/>
    <x v="0"/>
    <m/>
    <x v="14"/>
    <n v="40"/>
    <n v="40"/>
    <n v="0"/>
    <m/>
    <n v="18300"/>
    <n v="17720"/>
    <n v="580"/>
    <x v="812"/>
    <n v="338"/>
    <n v="457.5"/>
    <n v="443"/>
    <n v="14.5"/>
    <n v="274.52249999999998"/>
    <n v="8.4499999999999993"/>
    <n v="25"/>
    <n v="0"/>
    <n v="49.35"/>
    <n v="9.875"/>
    <n v="8.5"/>
    <n v="3.169398907103825E-2"/>
    <n v="0.99350000000000005"/>
    <n v="0.6000491803278688"/>
    <n v="0.92724999999999991"/>
    <s v="1 liver + 2 kidneys "/>
    <m/>
    <m/>
    <m/>
    <m/>
    <m/>
    <n v="5"/>
    <m/>
    <n v="11"/>
  </r>
  <r>
    <x v="684"/>
    <x v="0"/>
    <m/>
    <x v="0"/>
    <n v="3"/>
    <n v="3"/>
    <n v="0"/>
    <m/>
    <n v="1555"/>
    <n v="1405"/>
    <n v="150"/>
    <x v="813"/>
    <m/>
    <n v="518.33333333333337"/>
    <n v="468.33333333333331"/>
    <n v="50"/>
    <n v="285.23333333333335"/>
    <n v="0"/>
    <n v="25"/>
    <n v="0"/>
    <n v="50"/>
    <n v="10"/>
    <n v="8.5"/>
    <n v="9.6463022508038579E-2"/>
    <n v="1"/>
    <n v="0.55028938906752412"/>
    <n v="0.93500000000000005"/>
    <m/>
    <m/>
    <m/>
    <m/>
    <m/>
    <m/>
    <n v="0"/>
    <m/>
    <n v="0"/>
  </r>
  <r>
    <x v="684"/>
    <x v="0"/>
    <s v="بلدي"/>
    <x v="5"/>
    <n v="34"/>
    <n v="34"/>
    <n v="0"/>
    <m/>
    <n v="16277"/>
    <n v="15365"/>
    <n v="912"/>
    <x v="814"/>
    <n v="376"/>
    <n v="478.73529411764707"/>
    <n v="451.91176470588238"/>
    <n v="26.823529411764707"/>
    <n v="298.65000000000003"/>
    <n v="11.058823529411764"/>
    <n v="25"/>
    <n v="0"/>
    <n v="49.5"/>
    <n v="10"/>
    <n v="8.5"/>
    <n v="5.6029980954721385E-2"/>
    <n v="0.995"/>
    <n v="0.62383117282054434"/>
    <n v="0.93"/>
    <m/>
    <m/>
    <m/>
    <m/>
    <m/>
    <m/>
    <n v="0"/>
    <m/>
    <n v="1"/>
  </r>
  <r>
    <x v="685"/>
    <x v="0"/>
    <m/>
    <x v="0"/>
    <n v="44"/>
    <n v="44"/>
    <n v="0"/>
    <m/>
    <n v="23470"/>
    <n v="21755"/>
    <n v="1715"/>
    <x v="815"/>
    <n v="407"/>
    <n v="533.40909090909088"/>
    <n v="494.43181818181819"/>
    <n v="38.977272727272727"/>
    <n v="320.04772727272729"/>
    <n v="9.25"/>
    <n v="20.272727272727273"/>
    <n v="0"/>
    <n v="49.659090909090907"/>
    <n v="10"/>
    <n v="8.5"/>
    <n v="7.3072006817213472E-2"/>
    <n v="0.90204545454545459"/>
    <n v="0.60000426075841506"/>
    <n v="0.88431818181818189"/>
    <m/>
    <m/>
    <m/>
    <m/>
    <m/>
    <m/>
    <n v="44"/>
    <m/>
    <n v="5"/>
  </r>
  <r>
    <x v="686"/>
    <x v="1"/>
    <m/>
    <x v="1"/>
    <n v="30"/>
    <n v="30"/>
    <n v="0"/>
    <m/>
    <n v="1834"/>
    <n v="1815"/>
    <n v="19"/>
    <x v="816"/>
    <m/>
    <n v="61.133333333333333"/>
    <n v="60.5"/>
    <n v="0.6333333333333333"/>
    <n v="36.743333333333332"/>
    <n v="0"/>
    <n v="25"/>
    <n v="0"/>
    <n v="47.4"/>
    <n v="10"/>
    <n v="8.5"/>
    <n v="1.0359869138495093E-2"/>
    <n v="0.97399999999999998"/>
    <n v="0.60103598691384952"/>
    <n v="0.90900000000000003"/>
    <s v="3 forequarters + 3 omentums + 2 livers + 1 heart"/>
    <m/>
    <m/>
    <m/>
    <m/>
    <m/>
    <n v="0"/>
    <m/>
    <n v="21"/>
  </r>
  <r>
    <x v="686"/>
    <x v="0"/>
    <s v="بلدي"/>
    <x v="5"/>
    <n v="32"/>
    <n v="30"/>
    <n v="2"/>
    <s v="2 c. bovis"/>
    <n v="14077"/>
    <n v="13286"/>
    <n v="791"/>
    <x v="817"/>
    <n v="303"/>
    <n v="469.23333333333335"/>
    <n v="442.86666666666667"/>
    <n v="26.366666666666667"/>
    <n v="290.62333333333333"/>
    <n v="10.1"/>
    <n v="25"/>
    <n v="0"/>
    <n v="50"/>
    <n v="10"/>
    <n v="8.5"/>
    <n v="5.6190949776230729E-2"/>
    <n v="1"/>
    <n v="0.61935781771684317"/>
    <n v="0.93500000000000005"/>
    <m/>
    <m/>
    <m/>
    <m/>
    <m/>
    <m/>
    <n v="0"/>
    <m/>
    <n v="979"/>
  </r>
  <r>
    <x v="687"/>
    <x v="0"/>
    <m/>
    <x v="14"/>
    <n v="42"/>
    <n v="39"/>
    <n v="3"/>
    <s v="1 FMD + 2 c bovis"/>
    <n v="18735"/>
    <n v="18735"/>
    <n v="0"/>
    <x v="818"/>
    <n v="431"/>
    <n v="480.38461538461536"/>
    <n v="480.38461538461536"/>
    <n v="0"/>
    <n v="293.70256410256411"/>
    <n v="11.051282051282051"/>
    <n v="25"/>
    <n v="0"/>
    <n v="49.717948717948715"/>
    <n v="10"/>
    <n v="8.5"/>
    <n v="0"/>
    <n v="0.99717948717948723"/>
    <n v="0.61139044568988521"/>
    <n v="0.93217948717948718"/>
    <s v="1 heart + 1 lung "/>
    <m/>
    <m/>
    <m/>
    <m/>
    <m/>
    <n v="15"/>
    <m/>
    <n v="1300"/>
  </r>
  <r>
    <x v="688"/>
    <x v="0"/>
    <m/>
    <x v="0"/>
    <n v="30"/>
    <n v="30"/>
    <n v="0"/>
    <m/>
    <n v="16342"/>
    <n v="16342"/>
    <n v="0"/>
    <x v="819"/>
    <n v="339"/>
    <n v="544.73333333333335"/>
    <n v="544.73333333333335"/>
    <n v="0"/>
    <n v="326.84666666666664"/>
    <n v="11.3"/>
    <n v="25"/>
    <n v="0"/>
    <n v="49.73"/>
    <n v="9.8333333333333321"/>
    <n v="8.5"/>
    <n v="0"/>
    <n v="0.99729999999999996"/>
    <n v="0.60001223840411211"/>
    <n v="0.9306333333333332"/>
    <s v="1 lung + 1 head"/>
    <m/>
    <m/>
    <m/>
    <m/>
    <m/>
    <n v="7"/>
    <m/>
    <m/>
  </r>
  <r>
    <x v="689"/>
    <x v="1"/>
    <m/>
    <x v="1"/>
    <n v="27"/>
    <n v="27"/>
    <n v="0"/>
    <m/>
    <n v="1718"/>
    <n v="1670"/>
    <n v="48"/>
    <x v="820"/>
    <m/>
    <n v="63.629629629629626"/>
    <n v="61.851851851851855"/>
    <n v="1.7777777777777777"/>
    <n v="37.233333333333334"/>
    <n v="0"/>
    <n v="25"/>
    <n v="0"/>
    <n v="48.592592592592595"/>
    <n v="10"/>
    <n v="8.5"/>
    <n v="2.7939464493597205E-2"/>
    <n v="0.98592592592592587"/>
    <n v="0.58515715948777647"/>
    <n v="0.92092592592592593"/>
    <s v="1 heart + 1 forequarter +3 omentum"/>
    <m/>
    <m/>
    <m/>
    <m/>
    <m/>
    <n v="0"/>
    <m/>
    <n v="11.5"/>
  </r>
  <r>
    <x v="689"/>
    <x v="0"/>
    <m/>
    <x v="0"/>
    <n v="36"/>
    <n v="36"/>
    <n v="0"/>
    <m/>
    <n v="19522"/>
    <n v="17825"/>
    <n v="1697"/>
    <x v="821"/>
    <n v="428"/>
    <n v="542.27777777777783"/>
    <n v="495.13888888888891"/>
    <n v="47.138888888888886"/>
    <n v="325.38333333333333"/>
    <n v="11.888888888888889"/>
    <n v="25"/>
    <n v="0"/>
    <n v="49.805555555555557"/>
    <n v="10"/>
    <n v="8.5"/>
    <n v="8.6927568896629434E-2"/>
    <n v="0.99805555555555558"/>
    <n v="0.60003073455588563"/>
    <n v="0.93305555555555553"/>
    <m/>
    <m/>
    <m/>
    <m/>
    <m/>
    <m/>
    <n v="7"/>
    <m/>
    <m/>
  </r>
  <r>
    <x v="690"/>
    <x v="0"/>
    <m/>
    <x v="14"/>
    <n v="48"/>
    <n v="48"/>
    <n v="0"/>
    <m/>
    <n v="22940"/>
    <n v="22110"/>
    <n v="830"/>
    <x v="822"/>
    <n v="477"/>
    <n v="477.91666666666669"/>
    <n v="460.625"/>
    <n v="17.291666666666668"/>
    <n v="287.13541666666669"/>
    <n v="9.9375"/>
    <n v="24.791666666666668"/>
    <n v="0"/>
    <n v="49.791666666666664"/>
    <n v="10"/>
    <n v="8.5"/>
    <n v="3.618134263295554E-2"/>
    <n v="0.99374999999999991"/>
    <n v="0.60080645161290325"/>
    <n v="0.93083333333333329"/>
    <s v="2 spleens"/>
    <m/>
    <m/>
    <m/>
    <m/>
    <m/>
    <n v="12"/>
    <m/>
    <m/>
  </r>
  <r>
    <x v="690"/>
    <x v="0"/>
    <s v="بلدي"/>
    <x v="5"/>
    <n v="8"/>
    <n v="8"/>
    <n v="0"/>
    <m/>
    <n v="3831"/>
    <n v="3625"/>
    <n v="206"/>
    <x v="823"/>
    <n v="88"/>
    <n v="478.875"/>
    <n v="453.125"/>
    <n v="25.75"/>
    <n v="299"/>
    <n v="11"/>
    <n v="25"/>
    <n v="0"/>
    <n v="49.75"/>
    <n v="10"/>
    <n v="8.5"/>
    <n v="5.3771861132863481E-2"/>
    <n v="0.99750000000000005"/>
    <n v="0.62438005742625946"/>
    <n v="0.9325"/>
    <m/>
    <m/>
    <m/>
    <m/>
    <m/>
    <m/>
    <n v="0"/>
    <m/>
    <n v="1"/>
  </r>
  <r>
    <x v="691"/>
    <x v="0"/>
    <s v="بلدي"/>
    <x v="5"/>
    <n v="40"/>
    <n v="37"/>
    <n v="3"/>
    <s v="3 c. bovis hearts"/>
    <n v="17123"/>
    <n v="16153"/>
    <n v="970"/>
    <x v="824"/>
    <n v="370"/>
    <n v="462.7837837837838"/>
    <n v="436.56756756756755"/>
    <n v="26.216216216216218"/>
    <n v="280.85945945945946"/>
    <n v="10"/>
    <n v="25"/>
    <n v="0"/>
    <n v="49.65"/>
    <n v="10"/>
    <n v="8.5"/>
    <n v="5.6648951702388602E-2"/>
    <n v="0.99649999999999994"/>
    <n v="0.60689131577410493"/>
    <n v="0.93150000000000011"/>
    <s v="1 forequarter"/>
    <m/>
    <m/>
    <m/>
    <m/>
    <m/>
    <n v="3"/>
    <m/>
    <n v="1405"/>
  </r>
  <r>
    <x v="692"/>
    <x v="1"/>
    <m/>
    <x v="1"/>
    <n v="27"/>
    <n v="27"/>
    <n v="0"/>
    <m/>
    <n v="1771"/>
    <n v="1750"/>
    <n v="21"/>
    <x v="825"/>
    <m/>
    <n v="65.592592592592595"/>
    <n v="64.81481481481481"/>
    <n v="0.77777777777777779"/>
    <n v="39.277777777777779"/>
    <n v="0"/>
    <n v="25"/>
    <n v="0"/>
    <n v="48.296296296296298"/>
    <n v="10"/>
    <n v="8.5"/>
    <n v="1.1857707509881422E-2"/>
    <n v="0.98296296296296304"/>
    <n v="0.59881422924901184"/>
    <n v="0.91796296296296309"/>
    <s v="1 heart + 3 forequarters +1 omentum"/>
    <m/>
    <m/>
    <m/>
    <m/>
    <m/>
    <n v="0"/>
    <m/>
    <n v="23"/>
  </r>
  <r>
    <x v="692"/>
    <x v="0"/>
    <m/>
    <x v="0"/>
    <n v="42"/>
    <n v="42"/>
    <n v="0"/>
    <m/>
    <n v="20225"/>
    <n v="19535"/>
    <n v="690"/>
    <x v="826"/>
    <n v="469"/>
    <n v="481.54761904761904"/>
    <n v="465.11904761904759"/>
    <n v="16.428571428571427"/>
    <n v="288.90714285714284"/>
    <n v="11.166666666666666"/>
    <n v="24.761904761904763"/>
    <n v="0"/>
    <n v="49.523809523809518"/>
    <n v="9.7619047619047628"/>
    <n v="8.5"/>
    <n v="3.4116192830655125E-2"/>
    <n v="0.99047619047619051"/>
    <n v="0.59995550061804703"/>
    <n v="0.92547619047619034"/>
    <s v="2 forequarters "/>
    <m/>
    <m/>
    <m/>
    <m/>
    <m/>
    <n v="9"/>
    <m/>
    <n v="118"/>
  </r>
  <r>
    <x v="693"/>
    <x v="0"/>
    <s v="بلدي"/>
    <x v="5"/>
    <n v="27"/>
    <n v="25"/>
    <n v="2"/>
    <s v="2 c. bovis hearts"/>
    <n v="11705"/>
    <n v="10994"/>
    <n v="711"/>
    <x v="827"/>
    <n v="238"/>
    <n v="468.2"/>
    <n v="439.76"/>
    <n v="28.44"/>
    <n v="289.14400000000001"/>
    <n v="9.52"/>
    <n v="24.92"/>
    <n v="0"/>
    <n v="49.92"/>
    <n v="9.8000000000000007"/>
    <n v="8.5"/>
    <n v="6.0743272105937635E-2"/>
    <n v="0.99760000000000004"/>
    <n v="0.61756514310123878"/>
    <n v="0.93140000000000001"/>
    <m/>
    <m/>
    <m/>
    <m/>
    <m/>
    <m/>
    <n v="1"/>
    <m/>
    <n v="951"/>
  </r>
  <r>
    <x v="694"/>
    <x v="0"/>
    <m/>
    <x v="14"/>
    <n v="42"/>
    <n v="40"/>
    <n v="2"/>
    <s v="1 c. bovis heart + 1 tb "/>
    <n v="18745"/>
    <n v="18250"/>
    <n v="495"/>
    <x v="828"/>
    <n v="363"/>
    <n v="468.625"/>
    <n v="456.25"/>
    <n v="12.375"/>
    <n v="281.15250000000003"/>
    <n v="9.0749999999999993"/>
    <n v="25"/>
    <n v="0"/>
    <n v="49.75"/>
    <n v="10"/>
    <n v="8.5"/>
    <n v="2.6407041877834089E-2"/>
    <n v="0.99750000000000005"/>
    <n v="0.59995198719658582"/>
    <n v="0.9325"/>
    <m/>
    <m/>
    <m/>
    <m/>
    <m/>
    <m/>
    <n v="12"/>
    <m/>
    <n v="995"/>
  </r>
  <r>
    <x v="695"/>
    <x v="0"/>
    <s v="بلدي"/>
    <x v="5"/>
    <n v="27"/>
    <n v="25"/>
    <n v="2"/>
    <s v="2 c. bovis hearts"/>
    <n v="11148"/>
    <n v="10569"/>
    <n v="579"/>
    <x v="829"/>
    <n v="246"/>
    <n v="445.92"/>
    <n v="422.76"/>
    <n v="23.16"/>
    <n v="276.512"/>
    <n v="9.84"/>
    <n v="25"/>
    <n v="0"/>
    <n v="50"/>
    <n v="9.8000000000000007"/>
    <n v="8.5"/>
    <n v="5.1937567276641547E-2"/>
    <n v="1"/>
    <n v="0.62009329027628279"/>
    <n v="0.93299999999999994"/>
    <m/>
    <m/>
    <m/>
    <m/>
    <m/>
    <m/>
    <n v="2"/>
    <m/>
    <n v="851"/>
  </r>
  <r>
    <x v="696"/>
    <x v="0"/>
    <m/>
    <x v="0"/>
    <n v="26"/>
    <n v="26"/>
    <n v="0"/>
    <m/>
    <n v="12605"/>
    <n v="11700"/>
    <n v="905"/>
    <x v="830"/>
    <n v="273"/>
    <n v="484.80769230769232"/>
    <n v="450"/>
    <n v="34.807692307692307"/>
    <n v="290.86153846153843"/>
    <n v="10.5"/>
    <n v="24.615384615384617"/>
    <n v="0"/>
    <n v="49.730769230769226"/>
    <n v="10"/>
    <n v="8.5"/>
    <n v="7.1796905989686632E-2"/>
    <n v="0.98961538461538456"/>
    <n v="0.59995239984133275"/>
    <n v="0.92846153846153845"/>
    <s v="1 kidney"/>
    <m/>
    <m/>
    <m/>
    <m/>
    <m/>
    <n v="9"/>
    <m/>
    <n v="5"/>
  </r>
  <r>
    <x v="696"/>
    <x v="0"/>
    <m/>
    <x v="22"/>
    <n v="8"/>
    <n v="6"/>
    <n v="2"/>
    <s v="2 AB residues"/>
    <n v="2673"/>
    <n v="2495"/>
    <n v="178"/>
    <x v="831"/>
    <n v="45"/>
    <n v="445.5"/>
    <n v="415.83333333333331"/>
    <n v="29.666666666666668"/>
    <n v="267.3"/>
    <n v="7.5"/>
    <n v="25"/>
    <n v="0"/>
    <n v="46.333333333333336"/>
    <n v="10"/>
    <n v="8.5"/>
    <n v="6.659184436962215E-2"/>
    <n v="0.96333333333333337"/>
    <n v="0.6"/>
    <n v="0.89833333333333343"/>
    <s v="1 liver "/>
    <m/>
    <m/>
    <m/>
    <m/>
    <m/>
    <n v="2"/>
    <m/>
    <n v="915"/>
  </r>
  <r>
    <x v="696"/>
    <x v="1"/>
    <m/>
    <x v="0"/>
    <n v="25"/>
    <n v="25"/>
    <n v="0"/>
    <m/>
    <n v="1462"/>
    <n v="1415"/>
    <n v="47"/>
    <x v="832"/>
    <m/>
    <n v="58.48"/>
    <n v="56.6"/>
    <n v="1.88"/>
    <n v="35.46"/>
    <n v="0"/>
    <n v="25"/>
    <n v="0"/>
    <n v="48.92"/>
    <n v="10"/>
    <n v="8.5"/>
    <n v="3.2147742818057455E-2"/>
    <n v="0.98920000000000008"/>
    <n v="0.60636114911080707"/>
    <n v="0.92420000000000002"/>
    <m/>
    <m/>
    <m/>
    <m/>
    <m/>
    <m/>
    <n v="0"/>
    <m/>
    <n v="5"/>
  </r>
  <r>
    <x v="697"/>
    <x v="0"/>
    <m/>
    <x v="0"/>
    <n v="21"/>
    <n v="21"/>
    <n v="0"/>
    <m/>
    <n v="10540"/>
    <n v="9720"/>
    <n v="820"/>
    <x v="833"/>
    <n v="210"/>
    <n v="501.90476190476193"/>
    <n v="462.85714285714283"/>
    <n v="39.047619047619051"/>
    <n v="301.14761904761906"/>
    <n v="10"/>
    <n v="24.523809523809526"/>
    <n v="0"/>
    <n v="49.761904761904759"/>
    <n v="10"/>
    <n v="8.5"/>
    <n v="7.7798861480075907E-2"/>
    <n v="0.98809523809523814"/>
    <n v="0.60000948766603424"/>
    <n v="0.92785714285714282"/>
    <s v="2 testicles "/>
    <m/>
    <m/>
    <m/>
    <m/>
    <m/>
    <n v="5"/>
    <m/>
    <n v="1"/>
  </r>
  <r>
    <x v="698"/>
    <x v="0"/>
    <m/>
    <x v="14"/>
    <n v="38"/>
    <n v="35"/>
    <n v="3"/>
    <s v="3 c. bovis hearts"/>
    <n v="17581"/>
    <n v="16785"/>
    <n v="796"/>
    <x v="834"/>
    <n v="379"/>
    <n v="502.31428571428569"/>
    <n v="479.57142857142856"/>
    <n v="22.742857142857144"/>
    <n v="301.41142857142859"/>
    <n v="10.828571428571429"/>
    <n v="24"/>
    <n v="0"/>
    <n v="49.571428571428569"/>
    <n v="9.8571428571428577"/>
    <n v="8.5"/>
    <n v="4.5276150389625167E-2"/>
    <n v="0.97571428571428576"/>
    <n v="0.60004550366873322"/>
    <n v="0.91928571428571426"/>
    <m/>
    <m/>
    <m/>
    <m/>
    <m/>
    <m/>
    <n v="6"/>
    <m/>
    <n v="1305"/>
  </r>
  <r>
    <x v="699"/>
    <x v="0"/>
    <s v="بلدي"/>
    <x v="5"/>
    <n v="30"/>
    <n v="30"/>
    <n v="0"/>
    <m/>
    <n v="14355"/>
    <n v="13445"/>
    <n v="910"/>
    <x v="835"/>
    <n v="293"/>
    <n v="478.5"/>
    <n v="448.16666666666669"/>
    <n v="30.333333333333332"/>
    <n v="297.92"/>
    <n v="9.7666666666666675"/>
    <n v="25"/>
    <n v="0"/>
    <n v="49.933333333333337"/>
    <n v="10"/>
    <n v="8.5"/>
    <n v="6.3392546151166837E-2"/>
    <n v="0.99933333333333341"/>
    <n v="0.62261233019853712"/>
    <n v="0.93433333333333335"/>
    <m/>
    <m/>
    <m/>
    <m/>
    <m/>
    <m/>
    <n v="3"/>
    <m/>
    <m/>
  </r>
  <r>
    <x v="700"/>
    <x v="0"/>
    <m/>
    <x v="0"/>
    <n v="38"/>
    <n v="37"/>
    <n v="1"/>
    <s v="miliary tb"/>
    <n v="16650"/>
    <n v="15942"/>
    <n v="708"/>
    <x v="836"/>
    <n v="283"/>
    <n v="450"/>
    <n v="430.86486486486484"/>
    <n v="19.135135135135137"/>
    <n v="269.98378378378379"/>
    <n v="7.6486486486486482"/>
    <n v="24"/>
    <n v="0"/>
    <n v="47.918918918918919"/>
    <n v="10"/>
    <n v="8.5"/>
    <n v="4.2522522522522525E-2"/>
    <n v="0.95918918918918916"/>
    <n v="0.5999639639639639"/>
    <n v="0.90418918918918922"/>
    <s v="3 livers + 16 kidneys"/>
    <m/>
    <m/>
    <s v="heterogenous selection "/>
    <m/>
    <m/>
    <n v="7"/>
    <m/>
    <n v="406"/>
  </r>
  <r>
    <x v="701"/>
    <x v="0"/>
    <s v="بلدي"/>
    <x v="5"/>
    <n v="28"/>
    <n v="26"/>
    <n v="2"/>
    <s v="2 c. bovis hearts"/>
    <n v="12125"/>
    <n v="11493"/>
    <n v="632"/>
    <x v="837"/>
    <n v="278"/>
    <n v="466.34615384615387"/>
    <n v="442.03846153846155"/>
    <n v="24.307692307692307"/>
    <n v="291.34230769230766"/>
    <n v="10.692307692307692"/>
    <n v="25"/>
    <n v="0"/>
    <n v="50"/>
    <n v="9.8076923076923066"/>
    <n v="8.5"/>
    <n v="5.2123711340206179E-2"/>
    <n v="1"/>
    <n v="0.62473402061855665"/>
    <n v="0.93307692307692303"/>
    <m/>
    <m/>
    <m/>
    <m/>
    <m/>
    <s v="blood splash 1 carcass "/>
    <n v="2"/>
    <m/>
    <n v="883"/>
  </r>
  <r>
    <x v="702"/>
    <x v="0"/>
    <m/>
    <x v="9"/>
    <n v="8"/>
    <n v="8"/>
    <n v="0"/>
    <m/>
    <n v="4340"/>
    <n v="4225"/>
    <n v="115"/>
    <x v="838"/>
    <n v="99"/>
    <n v="542.5"/>
    <n v="528.125"/>
    <n v="14.375"/>
    <n v="325.51249999999999"/>
    <n v="12.375"/>
    <n v="25"/>
    <n v="0"/>
    <n v="50"/>
    <n v="10"/>
    <n v="8.5"/>
    <n v="2.6497695852534562E-2"/>
    <n v="1"/>
    <n v="0.60002304147465435"/>
    <n v="0.93500000000000005"/>
    <m/>
    <m/>
    <m/>
    <m/>
    <m/>
    <m/>
    <n v="1"/>
    <m/>
    <m/>
  </r>
  <r>
    <x v="702"/>
    <x v="0"/>
    <m/>
    <x v="14"/>
    <n v="33"/>
    <n v="33"/>
    <n v="0"/>
    <m/>
    <n v="16020"/>
    <n v="15585"/>
    <n v="435"/>
    <x v="839"/>
    <n v="331"/>
    <n v="485.45454545454544"/>
    <n v="472.27272727272725"/>
    <n v="13.181818181818182"/>
    <n v="295.36666666666667"/>
    <n v="10.030303030303031"/>
    <n v="24.696969696969695"/>
    <n v="0"/>
    <n v="49.787878787878789"/>
    <n v="10"/>
    <n v="8.5"/>
    <n v="2.7153558052434457E-2"/>
    <n v="0.99181818181818171"/>
    <n v="0.60843320848938831"/>
    <n v="0.92984848484848481"/>
    <s v="1 liver "/>
    <m/>
    <m/>
    <m/>
    <m/>
    <m/>
    <n v="6"/>
    <m/>
    <n v="6"/>
  </r>
  <r>
    <x v="703"/>
    <x v="0"/>
    <s v="بلدي"/>
    <x v="5"/>
    <n v="35"/>
    <n v="33"/>
    <n v="2"/>
    <s v="2 c. bovis hearts"/>
    <n v="15136"/>
    <n v="14369"/>
    <n v="767"/>
    <x v="840"/>
    <n v="299"/>
    <n v="458.66666666666669"/>
    <n v="435.42424242424244"/>
    <n v="23.242424242424242"/>
    <n v="283.94848484848484"/>
    <n v="9.0606060606060606"/>
    <n v="25"/>
    <n v="0"/>
    <n v="49.939393939393938"/>
    <n v="10"/>
    <n v="8.5"/>
    <n v="5.0673890063424945E-2"/>
    <n v="0.99939393939393939"/>
    <n v="0.61907373150105705"/>
    <n v="0.93439393939393933"/>
    <m/>
    <m/>
    <m/>
    <m/>
    <m/>
    <m/>
    <n v="2"/>
    <m/>
    <n v="976"/>
  </r>
  <r>
    <x v="704"/>
    <x v="0"/>
    <m/>
    <x v="0"/>
    <n v="41"/>
    <n v="41"/>
    <n v="0"/>
    <m/>
    <n v="19360"/>
    <n v="18235"/>
    <n v="1125"/>
    <x v="841"/>
    <n v="383"/>
    <n v="472.19512195121951"/>
    <n v="444.7560975609756"/>
    <n v="27.439024390243901"/>
    <n v="283.30975609756098"/>
    <n v="9.3414634146341466"/>
    <n v="24.878048780487806"/>
    <n v="0"/>
    <n v="48.682926829268297"/>
    <n v="10"/>
    <n v="8.5"/>
    <n v="5.8109504132231406E-2"/>
    <n v="0.98439024390243901"/>
    <n v="0.59998450413223148"/>
    <n v="0.92060975609756102"/>
    <s v="3 Livers + 7 kidneys "/>
    <m/>
    <m/>
    <m/>
    <m/>
    <m/>
    <n v="8"/>
    <m/>
    <n v="26"/>
  </r>
  <r>
    <x v="705"/>
    <x v="0"/>
    <m/>
    <x v="0"/>
    <n v="33"/>
    <n v="31"/>
    <n v="2"/>
    <s v="1 emaciated + 1 generalized tb"/>
    <n v="13370"/>
    <n v="12770"/>
    <n v="600"/>
    <x v="842"/>
    <n v="252"/>
    <n v="431.29032258064518"/>
    <n v="411.93548387096774"/>
    <n v="19.35483870967742"/>
    <n v="262.48709677419356"/>
    <n v="8.129032258064516"/>
    <n v="25"/>
    <n v="0"/>
    <n v="49.483870967741936"/>
    <n v="10"/>
    <n v="8.5"/>
    <n v="4.4876589379207181E-2"/>
    <n v="0.99483870967741939"/>
    <n v="0.60860882572924457"/>
    <n v="0.92983870967741933"/>
    <s v="1 liver + 2 kidneys"/>
    <m/>
    <m/>
    <m/>
    <m/>
    <m/>
    <n v="2"/>
    <m/>
    <n v="757"/>
  </r>
  <r>
    <x v="706"/>
    <x v="0"/>
    <m/>
    <x v="14"/>
    <n v="42"/>
    <n v="41"/>
    <n v="1"/>
    <s v="AB resideus "/>
    <n v="20034"/>
    <n v="19504"/>
    <n v="530"/>
    <x v="843"/>
    <n v="353"/>
    <n v="488.63414634146341"/>
    <n v="475.70731707317071"/>
    <n v="12.926829268292684"/>
    <n v="295.28292682926826"/>
    <n v="8.6097560975609753"/>
    <n v="25"/>
    <n v="0"/>
    <n v="48.634146341463421"/>
    <n v="10"/>
    <n v="8.5"/>
    <n v="2.6455026455026457E-2"/>
    <n v="0.98634146341463413"/>
    <n v="0.60430268543476084"/>
    <n v="0.92134146341463419"/>
    <s v="1 liver + 2 kidneys"/>
    <m/>
    <m/>
    <m/>
    <m/>
    <m/>
    <n v="7"/>
    <m/>
    <n v="419.5"/>
  </r>
  <r>
    <x v="707"/>
    <x v="0"/>
    <s v="بلدي"/>
    <x v="5"/>
    <n v="35"/>
    <n v="31"/>
    <n v="4"/>
    <s v="c.bovis hearts"/>
    <n v="13960"/>
    <n v="13108"/>
    <n v="852"/>
    <x v="844"/>
    <n v="257"/>
    <n v="450.32258064516128"/>
    <n v="422.83870967741933"/>
    <n v="27.483870967741936"/>
    <n v="275.39032258064515"/>
    <n v="8.2903225806451619"/>
    <n v="25"/>
    <n v="0"/>
    <n v="49.483870967741936"/>
    <n v="10"/>
    <n v="8.5"/>
    <n v="6.1031518624641838E-2"/>
    <n v="0.99483870967741939"/>
    <n v="0.61154011461318059"/>
    <n v="0.92983870967741933"/>
    <s v="2 livers"/>
    <m/>
    <m/>
    <m/>
    <m/>
    <m/>
    <n v="2"/>
    <m/>
    <n v="1817"/>
  </r>
  <r>
    <x v="708"/>
    <x v="0"/>
    <m/>
    <x v="0"/>
    <n v="44"/>
    <n v="44"/>
    <n v="0"/>
    <m/>
    <n v="20535"/>
    <n v="19055"/>
    <n v="1480"/>
    <x v="845"/>
    <n v="434"/>
    <n v="466.70454545454544"/>
    <n v="433.06818181818181"/>
    <n v="33.636363636363633"/>
    <n v="280.03409090909093"/>
    <n v="9.8636363636363633"/>
    <n v="25"/>
    <n v="0"/>
    <n v="49.954545454545453"/>
    <n v="10"/>
    <n v="8.5"/>
    <n v="7.2072072072072071E-2"/>
    <n v="0.99954545454545451"/>
    <n v="0.60002434867299737"/>
    <n v="0.93454545454545457"/>
    <m/>
    <m/>
    <m/>
    <m/>
    <m/>
    <m/>
    <n v="2"/>
    <m/>
    <n v="0"/>
  </r>
  <r>
    <x v="709"/>
    <x v="0"/>
    <s v="Native "/>
    <x v="9"/>
    <n v="24"/>
    <n v="23"/>
    <n v="1"/>
    <s v="c. bovis heart"/>
    <n v="9670"/>
    <n v="9227"/>
    <n v="443"/>
    <x v="846"/>
    <n v="168"/>
    <n v="420.43478260869563"/>
    <n v="401.17391304347825"/>
    <n v="19.260869565217391"/>
    <n v="252.24782608695651"/>
    <n v="7.3043478260869561"/>
    <n v="25"/>
    <n v="0"/>
    <n v="49.173913043478265"/>
    <n v="10"/>
    <n v="8.5"/>
    <n v="4.5811789038262669E-2"/>
    <n v="0.99173913043478268"/>
    <n v="0.59996897621509826"/>
    <n v="0.92673913043478262"/>
    <s v="1 liver + 2 kidneys "/>
    <m/>
    <m/>
    <m/>
    <m/>
    <m/>
    <n v="2"/>
    <m/>
    <n v="427"/>
  </r>
  <r>
    <x v="710"/>
    <x v="0"/>
    <m/>
    <x v="14"/>
    <n v="42"/>
    <n v="42"/>
    <n v="0"/>
    <m/>
    <n v="19644"/>
    <n v="19644"/>
    <n v="0"/>
    <x v="847"/>
    <n v="273"/>
    <n v="467.71428571428572"/>
    <n v="467.71428571428572"/>
    <n v="0"/>
    <n v="288.26666666666671"/>
    <n v="6.5"/>
    <n v="25"/>
    <n v="0"/>
    <n v="48.761904761904759"/>
    <n v="10"/>
    <n v="8.5"/>
    <n v="0"/>
    <n v="0.98761904761904762"/>
    <n v="0.61633068621462028"/>
    <n v="0.92261904761904756"/>
    <s v="2 kidneys + 1 single testicle"/>
    <m/>
    <m/>
    <m/>
    <m/>
    <m/>
    <n v="9"/>
    <m/>
    <n v="6"/>
  </r>
  <r>
    <x v="711"/>
    <x v="0"/>
    <s v="بلدي"/>
    <x v="5"/>
    <n v="16"/>
    <n v="15"/>
    <n v="1"/>
    <s v="c. bovis heart "/>
    <n v="6519"/>
    <n v="6519"/>
    <n v="0"/>
    <x v="848"/>
    <n v="108"/>
    <n v="434.6"/>
    <n v="434.6"/>
    <n v="0"/>
    <n v="261.09333333333336"/>
    <n v="7.2"/>
    <n v="25"/>
    <n v="0"/>
    <n v="50"/>
    <n v="10"/>
    <n v="8.5"/>
    <n v="0"/>
    <n v="1"/>
    <n v="0.60076698880196355"/>
    <n v="0.93500000000000005"/>
    <m/>
    <m/>
    <m/>
    <m/>
    <m/>
    <m/>
    <n v="0"/>
    <m/>
    <n v="452"/>
  </r>
  <r>
    <x v="711"/>
    <x v="0"/>
    <s v="مستورد"/>
    <x v="5"/>
    <n v="16"/>
    <n v="16"/>
    <n v="0"/>
    <m/>
    <n v="8836"/>
    <n v="8836"/>
    <n v="0"/>
    <x v="849"/>
    <n v="101"/>
    <n v="552.25"/>
    <n v="552.25"/>
    <n v="0"/>
    <n v="355.21875"/>
    <n v="6.3125"/>
    <n v="25"/>
    <n v="0"/>
    <n v="49.5625"/>
    <n v="10"/>
    <n v="8.5"/>
    <n v="0"/>
    <n v="0.99562499999999998"/>
    <n v="0.64322091444092344"/>
    <n v="0.93062500000000004"/>
    <s v="2 kidneys "/>
    <m/>
    <m/>
    <m/>
    <m/>
    <m/>
    <n v="0"/>
    <m/>
    <n v="0"/>
  </r>
  <r>
    <x v="712"/>
    <x v="0"/>
    <m/>
    <x v="0"/>
    <n v="36"/>
    <n v="36"/>
    <n v="0"/>
    <m/>
    <n v="17300"/>
    <n v="16345"/>
    <n v="955"/>
    <x v="850"/>
    <n v="364"/>
    <n v="480.55555555555554"/>
    <n v="454.02777777777777"/>
    <n v="26.527777777777779"/>
    <n v="288.35555555555555"/>
    <n v="10.111111111111111"/>
    <n v="25"/>
    <n v="0"/>
    <n v="49.805555555555557"/>
    <n v="10"/>
    <n v="8.5"/>
    <n v="5.5202312138728324E-2"/>
    <n v="0.99805555555555558"/>
    <n v="0.60004624277456642"/>
    <n v="0.93305555555555553"/>
    <s v="2 kidneys "/>
    <m/>
    <m/>
    <m/>
    <m/>
    <m/>
    <n v="4"/>
    <m/>
    <n v="1"/>
  </r>
  <r>
    <x v="713"/>
    <x v="0"/>
    <m/>
    <x v="0"/>
    <n v="21"/>
    <n v="21"/>
    <n v="0"/>
    <m/>
    <n v="8992"/>
    <n v="8740"/>
    <n v="252"/>
    <x v="851"/>
    <n v="145"/>
    <n v="428.1904761904762"/>
    <n v="416.1904761904762"/>
    <n v="12"/>
    <n v="256.9238095238095"/>
    <n v="6.9047619047619051"/>
    <n v="25"/>
    <n v="0"/>
    <n v="50"/>
    <n v="10"/>
    <n v="8.5"/>
    <n v="2.802491103202847E-2"/>
    <n v="1"/>
    <n v="0.60002224199288257"/>
    <n v="0.93500000000000005"/>
    <m/>
    <m/>
    <m/>
    <m/>
    <m/>
    <m/>
    <n v="4"/>
    <m/>
    <n v="0"/>
  </r>
  <r>
    <x v="714"/>
    <x v="0"/>
    <m/>
    <x v="14"/>
    <n v="20"/>
    <n v="20"/>
    <n v="0"/>
    <m/>
    <n v="9367"/>
    <n v="8980"/>
    <n v="387"/>
    <x v="852"/>
    <n v="180"/>
    <n v="468.35"/>
    <n v="449"/>
    <n v="19.350000000000001"/>
    <n v="286.935"/>
    <n v="9"/>
    <n v="25"/>
    <n v="0"/>
    <n v="49.9"/>
    <n v="10"/>
    <n v="8.5"/>
    <n v="4.1315255684851074E-2"/>
    <n v="0.999"/>
    <n v="0.61265079534536138"/>
    <n v="0.93400000000000005"/>
    <m/>
    <m/>
    <m/>
    <m/>
    <m/>
    <m/>
    <n v="1"/>
    <m/>
    <n v="1"/>
  </r>
  <r>
    <x v="714"/>
    <x v="0"/>
    <m/>
    <x v="14"/>
    <n v="16"/>
    <n v="16"/>
    <n v="0"/>
    <m/>
    <n v="7700"/>
    <n v="7525"/>
    <n v="175"/>
    <x v="853"/>
    <n v="81"/>
    <n v="481.25"/>
    <n v="470.3125"/>
    <n v="10.9375"/>
    <n v="298"/>
    <n v="5.0625"/>
    <n v="25"/>
    <n v="0"/>
    <n v="46.875"/>
    <n v="10"/>
    <n v="8.5"/>
    <n v="2.2727272727272728E-2"/>
    <n v="0.96875"/>
    <n v="0.61922077922077923"/>
    <n v="0.90375000000000005"/>
    <m/>
    <m/>
    <m/>
    <m/>
    <m/>
    <m/>
    <n v="1"/>
    <m/>
    <n v="0"/>
  </r>
  <r>
    <x v="715"/>
    <x v="0"/>
    <s v="بلدي"/>
    <x v="5"/>
    <n v="20"/>
    <n v="19"/>
    <n v="1"/>
    <s v="c. bovis heart "/>
    <n v="8910"/>
    <n v="8432"/>
    <n v="478"/>
    <x v="854"/>
    <n v="170"/>
    <n v="468.94736842105266"/>
    <n v="443.78947368421052"/>
    <n v="25.157894736842106"/>
    <n v="287.08947368421053"/>
    <n v="8.9473684210526319"/>
    <n v="25"/>
    <n v="0"/>
    <n v="47.631578947368425"/>
    <n v="10"/>
    <n v="8.5"/>
    <n v="5.3647586980920314E-2"/>
    <n v="0.97631578947368425"/>
    <n v="0.61219977553310889"/>
    <n v="0.9113157894736843"/>
    <m/>
    <m/>
    <m/>
    <m/>
    <m/>
    <m/>
    <n v="3"/>
    <m/>
    <n v="382"/>
  </r>
  <r>
    <x v="715"/>
    <x v="0"/>
    <s v="مستورد"/>
    <x v="5"/>
    <n v="6"/>
    <n v="6"/>
    <n v="0"/>
    <m/>
    <n v="3267"/>
    <n v="3061"/>
    <n v="206"/>
    <x v="855"/>
    <n v="37"/>
    <n v="544.5"/>
    <n v="510.16666666666669"/>
    <n v="34.333333333333336"/>
    <n v="343.5"/>
    <n v="6.166666666666667"/>
    <n v="25"/>
    <n v="0"/>
    <n v="49.166666666666671"/>
    <n v="10"/>
    <n v="8.5"/>
    <n v="6.305479032751761E-2"/>
    <n v="0.9916666666666667"/>
    <n v="0.63085399449035817"/>
    <n v="0.92666666666666675"/>
    <m/>
    <m/>
    <m/>
    <m/>
    <m/>
    <m/>
    <n v="0"/>
    <m/>
    <n v="0"/>
  </r>
  <r>
    <x v="716"/>
    <x v="0"/>
    <m/>
    <x v="0"/>
    <n v="36"/>
    <n v="35"/>
    <n v="1"/>
    <s v="c. bovis head"/>
    <n v="15382"/>
    <n v="15056"/>
    <n v="326"/>
    <x v="856"/>
    <n v="294"/>
    <n v="439.48571428571427"/>
    <n v="430.17142857142858"/>
    <n v="9.3142857142857149"/>
    <n v="263.70857142857142"/>
    <n v="8.4"/>
    <n v="25"/>
    <n v="0"/>
    <n v="49.542857142857144"/>
    <n v="10"/>
    <n v="8.5"/>
    <n v="2.1193602912495127E-2"/>
    <n v="0.99542857142857144"/>
    <n v="0.60003900663112719"/>
    <n v="0.93042857142857149"/>
    <s v="1 liver + 2 kidneys "/>
    <m/>
    <m/>
    <m/>
    <m/>
    <m/>
    <n v="4"/>
    <m/>
    <n v="435"/>
  </r>
  <r>
    <x v="717"/>
    <x v="0"/>
    <s v="مستورد"/>
    <x v="5"/>
    <n v="31"/>
    <n v="31"/>
    <n v="0"/>
    <m/>
    <n v="17309"/>
    <n v="16550"/>
    <n v="759"/>
    <x v="857"/>
    <n v="215"/>
    <n v="558.35483870967744"/>
    <n v="533.87096774193549"/>
    <n v="24.483870967741936"/>
    <n v="347.74516129032259"/>
    <n v="6.935483870967742"/>
    <n v="25"/>
    <n v="0"/>
    <n v="49.258064516129032"/>
    <n v="10"/>
    <n v="8.5"/>
    <n v="4.3850020220694438E-2"/>
    <n v="0.9925806451612903"/>
    <n v="0.62280316598301466"/>
    <n v="0.92758064516129024"/>
    <s v="3 kidneys "/>
    <m/>
    <m/>
    <m/>
    <m/>
    <m/>
    <n v="0"/>
    <m/>
    <n v="4.5"/>
  </r>
  <r>
    <x v="718"/>
    <x v="0"/>
    <m/>
    <x v="14"/>
    <n v="24"/>
    <n v="24"/>
    <n v="0"/>
    <m/>
    <n v="11773"/>
    <n v="11410"/>
    <n v="363"/>
    <x v="858"/>
    <n v="242"/>
    <n v="490.54166666666669"/>
    <n v="475.41666666666669"/>
    <n v="15.125"/>
    <n v="294.3125"/>
    <n v="10.083333333333334"/>
    <n v="25"/>
    <n v="0"/>
    <n v="50"/>
    <n v="10"/>
    <n v="8.5"/>
    <n v="3.0833262549902318E-2"/>
    <n v="1"/>
    <n v="0.59997451796483481"/>
    <n v="0.93500000000000005"/>
    <m/>
    <m/>
    <m/>
    <m/>
    <m/>
    <m/>
    <n v="3"/>
    <m/>
    <n v="0"/>
  </r>
  <r>
    <x v="718"/>
    <x v="0"/>
    <m/>
    <x v="14"/>
    <n v="16"/>
    <n v="15"/>
    <n v="1"/>
    <s v="AB resideus "/>
    <n v="7662"/>
    <n v="7332"/>
    <n v="330"/>
    <x v="859"/>
    <n v="93"/>
    <n v="510.8"/>
    <n v="488.8"/>
    <n v="22"/>
    <n v="311.32"/>
    <n v="6.2"/>
    <n v="25"/>
    <n v="0"/>
    <n v="45"/>
    <n v="10"/>
    <n v="8.5"/>
    <n v="4.306969459671104E-2"/>
    <n v="0.95"/>
    <n v="0.60947533281127642"/>
    <n v="0.88500000000000001"/>
    <m/>
    <m/>
    <m/>
    <m/>
    <m/>
    <m/>
    <n v="0"/>
    <m/>
    <n v="591"/>
  </r>
  <r>
    <x v="719"/>
    <x v="0"/>
    <s v="مستورد"/>
    <x v="5"/>
    <n v="22"/>
    <n v="22"/>
    <n v="0"/>
    <m/>
    <n v="11884"/>
    <n v="11308"/>
    <n v="576"/>
    <x v="860"/>
    <n v="127"/>
    <n v="540.18181818181813"/>
    <n v="514"/>
    <n v="26.181818181818183"/>
    <n v="338.81818181818181"/>
    <n v="5.7727272727272725"/>
    <n v="25"/>
    <n v="0"/>
    <n v="49.68181818181818"/>
    <n v="10"/>
    <n v="8.5"/>
    <n v="4.8468529114776178E-2"/>
    <n v="0.99681818181818183"/>
    <n v="0.62722988892628739"/>
    <n v="0.93181818181818188"/>
    <s v="2 kidneys"/>
    <m/>
    <m/>
    <m/>
    <m/>
    <m/>
    <n v="0"/>
    <m/>
    <n v="0"/>
  </r>
  <r>
    <x v="720"/>
    <x v="1"/>
    <m/>
    <x v="0"/>
    <n v="37"/>
    <n v="37"/>
    <n v="0"/>
    <m/>
    <n v="1925"/>
    <n v="1810"/>
    <n v="115"/>
    <x v="861"/>
    <m/>
    <n v="52.027027027027025"/>
    <n v="48.918918918918919"/>
    <n v="3.1081081081081079"/>
    <n v="30.162162162162161"/>
    <n v="0"/>
    <n v="25"/>
    <n v="0"/>
    <n v="49.621621621621614"/>
    <n v="10"/>
    <n v="8.5"/>
    <n v="5.9740259740259739E-2"/>
    <n v="0.99621621621621614"/>
    <n v="0.57974025974025978"/>
    <n v="0.93121621621621609"/>
    <s v="2 livers"/>
    <m/>
    <m/>
    <m/>
    <m/>
    <m/>
    <n v="0"/>
    <m/>
    <n v="4"/>
  </r>
  <r>
    <x v="720"/>
    <x v="0"/>
    <m/>
    <x v="0"/>
    <n v="37"/>
    <n v="37"/>
    <n v="0"/>
    <m/>
    <n v="16433"/>
    <n v="15845"/>
    <n v="588"/>
    <x v="862"/>
    <n v="311"/>
    <n v="444.13513513513516"/>
    <n v="428.24324324324323"/>
    <n v="15.891891891891891"/>
    <n v="266.47837837837841"/>
    <n v="8.4054054054054053"/>
    <n v="25"/>
    <n v="0"/>
    <n v="49.216216216216218"/>
    <n v="9.8648648648648649"/>
    <n v="8.5"/>
    <n v="3.5781658857177628E-2"/>
    <n v="0.99216216216216213"/>
    <n v="0.59999391468386787"/>
    <n v="0.92581081081081096"/>
    <s v="1 liver "/>
    <m/>
    <m/>
    <m/>
    <m/>
    <m/>
    <n v="3"/>
    <m/>
    <n v="12"/>
  </r>
  <r>
    <x v="721"/>
    <x v="1"/>
    <m/>
    <x v="1"/>
    <n v="40"/>
    <n v="40"/>
    <n v="0"/>
    <m/>
    <n v="2098"/>
    <n v="2098"/>
    <n v="0"/>
    <x v="863"/>
    <n v="0"/>
    <n v="52.45"/>
    <n v="52.45"/>
    <n v="0"/>
    <n v="30.572500000000002"/>
    <n v="0"/>
    <n v="25"/>
    <n v="0"/>
    <n v="48.9"/>
    <n v="10"/>
    <n v="8.5"/>
    <n v="0"/>
    <n v="0.98899999999999999"/>
    <n v="0.58288846520495718"/>
    <n v="0.92400000000000004"/>
    <s v="2 forequarters "/>
    <m/>
    <m/>
    <m/>
    <m/>
    <m/>
    <n v="0"/>
    <m/>
    <n v="11"/>
  </r>
  <r>
    <x v="721"/>
    <x v="0"/>
    <s v="مستورد"/>
    <x v="5"/>
    <n v="41"/>
    <n v="41"/>
    <n v="0"/>
    <m/>
    <n v="23022"/>
    <n v="23022"/>
    <n v="0"/>
    <x v="864"/>
    <n v="259"/>
    <n v="561.51219512195121"/>
    <n v="561.51219512195121"/>
    <n v="0"/>
    <n v="353.29268292682929"/>
    <n v="6.3170731707317076"/>
    <n v="25"/>
    <n v="0"/>
    <n v="49.609756097560975"/>
    <n v="10"/>
    <n v="8.5"/>
    <n v="0"/>
    <n v="0.99609756097560975"/>
    <n v="0.62918078359829732"/>
    <n v="0.93109756097560981"/>
    <s v="1 head + 2 kidneys"/>
    <m/>
    <m/>
    <m/>
    <m/>
    <m/>
    <n v="0"/>
    <m/>
    <n v="2.5"/>
  </r>
  <r>
    <x v="722"/>
    <x v="1"/>
    <m/>
    <x v="1"/>
    <n v="60"/>
    <n v="60"/>
    <n v="0"/>
    <m/>
    <n v="2980"/>
    <n v="2980"/>
    <n v="0"/>
    <x v="865"/>
    <n v="0"/>
    <n v="49.666666666666664"/>
    <n v="49.666666666666664"/>
    <n v="0"/>
    <n v="29.816666666666666"/>
    <n v="0"/>
    <n v="25"/>
    <n v="0"/>
    <n v="49.033333333333331"/>
    <n v="10"/>
    <n v="8.5"/>
    <n v="0"/>
    <n v="0.99033333333333329"/>
    <n v="0.60033557046979868"/>
    <n v="0.92533333333333334"/>
    <s v="3 forequarters+ 3 livers + 1 heart"/>
    <m/>
    <m/>
    <m/>
    <m/>
    <m/>
    <n v="0"/>
    <m/>
    <n v="19.5"/>
  </r>
  <r>
    <x v="722"/>
    <x v="0"/>
    <s v="مستورد"/>
    <x v="5"/>
    <n v="43"/>
    <n v="41"/>
    <n v="2"/>
    <s v="miliary tb"/>
    <n v="24437"/>
    <n v="24437"/>
    <n v="0"/>
    <x v="866"/>
    <n v="269"/>
    <n v="596.02439024390242"/>
    <n v="596.02439024390242"/>
    <n v="0"/>
    <n v="367.22926829268295"/>
    <n v="6.5609756097560972"/>
    <n v="25"/>
    <n v="0"/>
    <n v="49.833333333333329"/>
    <n v="10"/>
    <n v="8.5"/>
    <n v="0"/>
    <n v="0.99833333333333329"/>
    <n v="0.61613127634324993"/>
    <n v="0.93333333333333324"/>
    <s v="2 kidneys"/>
    <m/>
    <m/>
    <m/>
    <m/>
    <m/>
    <n v="0"/>
    <m/>
    <n v="1140"/>
  </r>
  <r>
    <x v="723"/>
    <x v="1"/>
    <m/>
    <x v="1"/>
    <n v="71"/>
    <n v="71"/>
    <n v="0"/>
    <m/>
    <n v="3529"/>
    <n v="3529"/>
    <n v="0"/>
    <x v="867"/>
    <n v="0"/>
    <n v="49.70422535211268"/>
    <n v="49.70422535211268"/>
    <n v="0"/>
    <n v="28.866197183098592"/>
    <n v="0"/>
    <n v="25"/>
    <n v="0"/>
    <n v="49.056338028169016"/>
    <n v="10"/>
    <n v="8.5"/>
    <n v="0"/>
    <n v="0.99056338028169022"/>
    <n v="0.58075942193255881"/>
    <n v="0.92556338028169027"/>
    <s v="2 forequarters + 1 liver "/>
    <m/>
    <m/>
    <m/>
    <m/>
    <m/>
    <n v="0"/>
    <m/>
    <n v="19"/>
  </r>
  <r>
    <x v="723"/>
    <x v="0"/>
    <m/>
    <x v="14"/>
    <n v="24"/>
    <n v="24"/>
    <n v="0"/>
    <m/>
    <n v="9930"/>
    <n v="9930"/>
    <n v="0"/>
    <x v="868"/>
    <n v="184"/>
    <n v="413.75"/>
    <n v="413.75"/>
    <n v="0"/>
    <n v="248.24166666666667"/>
    <n v="7.666666666666667"/>
    <n v="25"/>
    <n v="0"/>
    <n v="49.708333333333336"/>
    <n v="10"/>
    <n v="8.5"/>
    <n v="0"/>
    <n v="0.99708333333333332"/>
    <n v="0.5999798590130917"/>
    <n v="0.93208333333333337"/>
    <s v="1 liver "/>
    <m/>
    <m/>
    <m/>
    <m/>
    <m/>
    <n v="0"/>
    <m/>
    <n v="0"/>
  </r>
  <r>
    <x v="723"/>
    <x v="0"/>
    <m/>
    <x v="14"/>
    <n v="16"/>
    <n v="16"/>
    <n v="0"/>
    <m/>
    <n v="8480"/>
    <n v="8480"/>
    <n v="0"/>
    <x v="869"/>
    <n v="101"/>
    <n v="530"/>
    <n v="530"/>
    <n v="0"/>
    <n v="326.4375"/>
    <n v="6.3125"/>
    <n v="25"/>
    <n v="0"/>
    <n v="48.3125"/>
    <n v="10"/>
    <n v="8.5"/>
    <n v="0"/>
    <n v="0.98312500000000003"/>
    <n v="0.61591981132075468"/>
    <n v="0.91812499999999997"/>
    <s v="2 kidneys"/>
    <m/>
    <m/>
    <m/>
    <m/>
    <m/>
    <n v="0"/>
    <m/>
    <n v="0"/>
  </r>
  <r>
    <x v="724"/>
    <x v="3"/>
    <m/>
    <x v="0"/>
    <n v="3"/>
    <n v="3"/>
    <n v="0"/>
    <m/>
    <n v="1567"/>
    <n v="1567"/>
    <n v="0"/>
    <x v="870"/>
    <n v="20"/>
    <n v="522.33333333333337"/>
    <n v="522.33333333333337"/>
    <n v="0"/>
    <n v="301.63333333333333"/>
    <n v="6.666666666666667"/>
    <n v="25"/>
    <n v="0"/>
    <n v="50"/>
    <n v="10"/>
    <n v="8.5"/>
    <n v="0"/>
    <n v="1"/>
    <n v="0.5774728781110402"/>
    <n v="0.93500000000000005"/>
    <m/>
    <m/>
    <m/>
    <m/>
    <m/>
    <m/>
    <n v="0"/>
    <m/>
    <n v="0"/>
  </r>
  <r>
    <x v="724"/>
    <x v="1"/>
    <m/>
    <x v="1"/>
    <n v="69"/>
    <n v="69"/>
    <n v="0"/>
    <m/>
    <n v="3483"/>
    <n v="3483"/>
    <n v="0"/>
    <x v="871"/>
    <n v="0"/>
    <n v="50.478260869565219"/>
    <n v="50.478260869565219"/>
    <n v="0"/>
    <n v="30.095652173913042"/>
    <n v="0"/>
    <n v="25"/>
    <n v="0"/>
    <n v="49.636363636363633"/>
    <n v="10"/>
    <n v="8.5"/>
    <n v="0"/>
    <n v="0.99636363636363634"/>
    <n v="0.59621016365202406"/>
    <n v="0.93136363636363628"/>
    <s v="1 forequarter + 2 livers"/>
    <m/>
    <m/>
    <m/>
    <m/>
    <m/>
    <n v="0"/>
    <m/>
    <n v="10"/>
  </r>
  <r>
    <x v="724"/>
    <x v="0"/>
    <m/>
    <x v="14"/>
    <n v="22"/>
    <n v="22"/>
    <n v="0"/>
    <m/>
    <n v="8973"/>
    <n v="8973"/>
    <n v="0"/>
    <x v="872"/>
    <n v="143"/>
    <n v="407.86363636363637"/>
    <n v="407.86363636363637"/>
    <n v="0"/>
    <n v="244.71363636363637"/>
    <n v="6.5"/>
    <n v="24.545454545454547"/>
    <n v="0"/>
    <n v="49.545454545454547"/>
    <n v="10"/>
    <n v="8.5"/>
    <n v="0"/>
    <n v="0.98636363636363644"/>
    <n v="0.5999888554552546"/>
    <n v="0.9259090909090909"/>
    <m/>
    <m/>
    <m/>
    <m/>
    <m/>
    <m/>
    <n v="6"/>
    <m/>
    <n v="0"/>
  </r>
  <r>
    <x v="724"/>
    <x v="0"/>
    <m/>
    <x v="14"/>
    <n v="16"/>
    <n v="15"/>
    <n v="1"/>
    <s v="AB resideus "/>
    <n v="7945"/>
    <n v="7945"/>
    <n v="0"/>
    <x v="873"/>
    <n v="109"/>
    <n v="529.66666666666663"/>
    <n v="529.66666666666663"/>
    <n v="0"/>
    <n v="325.13333333333333"/>
    <n v="7.2666666666666666"/>
    <n v="25"/>
    <n v="0"/>
    <n v="46.666666666666664"/>
    <n v="10"/>
    <n v="8.5"/>
    <n v="0"/>
    <n v="0.96666666666666656"/>
    <n v="0.61384518565135304"/>
    <n v="0.90166666666666662"/>
    <m/>
    <m/>
    <m/>
    <m/>
    <m/>
    <m/>
    <n v="3"/>
    <m/>
    <n v="465"/>
  </r>
  <r>
    <x v="725"/>
    <x v="1"/>
    <m/>
    <x v="1"/>
    <n v="60"/>
    <n v="60"/>
    <n v="0"/>
    <m/>
    <n v="3075"/>
    <n v="3075"/>
    <n v="0"/>
    <x v="874"/>
    <n v="0"/>
    <n v="51.25"/>
    <n v="51.25"/>
    <n v="0"/>
    <n v="28.96833333333333"/>
    <n v="0"/>
    <n v="25"/>
    <n v="0"/>
    <n v="48.1"/>
    <n v="10"/>
    <n v="8.5"/>
    <n v="0"/>
    <n v="0.98100000000000009"/>
    <n v="0.5652357723577236"/>
    <n v="0.91599999999999993"/>
    <s v="8 forequarters + 1 hindquarter + 2 livers + 2 omentums"/>
    <m/>
    <m/>
    <m/>
    <m/>
    <m/>
    <n v="0"/>
    <m/>
    <n v="43.5"/>
  </r>
  <r>
    <x v="725"/>
    <x v="0"/>
    <m/>
    <x v="0"/>
    <n v="26"/>
    <n v="26"/>
    <n v="0"/>
    <m/>
    <n v="14150"/>
    <n v="14150"/>
    <n v="0"/>
    <x v="875"/>
    <n v="390"/>
    <n v="544.23076923076928"/>
    <n v="544.23076923076928"/>
    <n v="0"/>
    <n v="328.39230769230772"/>
    <n v="15"/>
    <n v="25"/>
    <n v="0"/>
    <n v="50"/>
    <n v="10"/>
    <n v="8.5"/>
    <n v="0"/>
    <n v="1"/>
    <n v="0.60340636042402829"/>
    <n v="0.93500000000000005"/>
    <m/>
    <m/>
    <m/>
    <m/>
    <m/>
    <m/>
    <n v="3"/>
    <m/>
    <n v="0"/>
  </r>
  <r>
    <x v="726"/>
    <x v="1"/>
    <m/>
    <x v="1"/>
    <n v="80"/>
    <n v="80"/>
    <n v="0"/>
    <m/>
    <n v="4007"/>
    <n v="4007"/>
    <n v="0"/>
    <x v="876"/>
    <n v="0"/>
    <n v="50.087499999999999"/>
    <n v="50.087499999999999"/>
    <n v="0"/>
    <n v="29.28125"/>
    <n v="0"/>
    <n v="25"/>
    <n v="0"/>
    <n v="49.462499999999999"/>
    <n v="10"/>
    <n v="8.5"/>
    <n v="0"/>
    <n v="0.99462499999999998"/>
    <n v="0.58460194659346143"/>
    <n v="0.92962500000000003"/>
    <s v="2 livers +  1 omentum+ 1 heart"/>
    <m/>
    <m/>
    <m/>
    <m/>
    <m/>
    <n v="0"/>
    <m/>
    <n v="4"/>
  </r>
  <r>
    <x v="726"/>
    <x v="0"/>
    <m/>
    <x v="0"/>
    <n v="54"/>
    <n v="54"/>
    <n v="0"/>
    <m/>
    <n v="22897"/>
    <n v="22897"/>
    <n v="0"/>
    <x v="877"/>
    <n v="390"/>
    <n v="424.01851851851853"/>
    <n v="424.01851851851853"/>
    <n v="0"/>
    <n v="254.41666666666666"/>
    <n v="7.2222222222222223"/>
    <n v="24"/>
    <n v="0"/>
    <n v="49.833333333333329"/>
    <n v="10"/>
    <n v="8.5"/>
    <n v="0"/>
    <n v="0.97833333333333328"/>
    <n v="0.60001310215312054"/>
    <n v="0.92333333333333334"/>
    <s v="1 liver "/>
    <m/>
    <m/>
    <m/>
    <m/>
    <m/>
    <n v="2"/>
    <m/>
    <n v="9"/>
  </r>
  <r>
    <x v="727"/>
    <x v="1"/>
    <m/>
    <x v="1"/>
    <n v="93"/>
    <n v="93"/>
    <n v="0"/>
    <m/>
    <n v="4966"/>
    <n v="4966"/>
    <n v="0"/>
    <x v="878"/>
    <n v="0"/>
    <n v="53.397849462365592"/>
    <n v="53.397849462365592"/>
    <n v="0"/>
    <n v="31.231182795698924"/>
    <n v="0"/>
    <n v="25"/>
    <n v="0"/>
    <n v="49.849462365591393"/>
    <n v="10"/>
    <n v="7"/>
    <n v="0"/>
    <n v="0.9984946236559139"/>
    <n v="0.58487716472009665"/>
    <n v="0.91849462365591394"/>
    <s v="2 Livers "/>
    <m/>
    <m/>
    <m/>
    <m/>
    <m/>
    <n v="0"/>
    <m/>
    <n v="0"/>
  </r>
  <r>
    <x v="727"/>
    <x v="0"/>
    <m/>
    <x v="0"/>
    <n v="60"/>
    <n v="59"/>
    <n v="1"/>
    <s v="c. bovis in heart"/>
    <n v="28582"/>
    <n v="28582"/>
    <n v="0"/>
    <x v="879"/>
    <n v="536"/>
    <n v="484.4406779661017"/>
    <n v="484.4406779661017"/>
    <n v="0"/>
    <n v="290.65254237288133"/>
    <n v="9.0847457627118651"/>
    <n v="24.237288135593218"/>
    <n v="0"/>
    <n v="48.796610169491522"/>
    <n v="10"/>
    <n v="8.5"/>
    <n v="0"/>
    <n v="0.97271186440677959"/>
    <n v="0.59997550906164721"/>
    <n v="0.91533898305084738"/>
    <s v="3 Livers"/>
    <m/>
    <m/>
    <m/>
    <m/>
    <m/>
    <n v="19"/>
    <m/>
    <n v="420"/>
  </r>
  <r>
    <x v="728"/>
    <x v="0"/>
    <s v="مستورد"/>
    <x v="5"/>
    <n v="41"/>
    <n v="41"/>
    <n v="0"/>
    <m/>
    <n v="23573"/>
    <n v="23573"/>
    <n v="0"/>
    <x v="880"/>
    <n v="254"/>
    <n v="574.95121951219517"/>
    <n v="574.95121951219517"/>
    <n v="0"/>
    <n v="363.21951219512198"/>
    <n v="6.1951219512195124"/>
    <n v="22.5"/>
    <n v="0"/>
    <n v="49.146341463414636"/>
    <n v="10"/>
    <n v="8.5"/>
    <n v="0"/>
    <n v="0.94146341463414629"/>
    <n v="0.63173970220167142"/>
    <n v="0.90146341463414648"/>
    <s v="6 kidneys + 1 liver + 1 heart"/>
    <m/>
    <m/>
    <m/>
    <m/>
    <m/>
    <n v="0"/>
    <m/>
    <n v="10"/>
  </r>
  <r>
    <x v="729"/>
    <x v="0"/>
    <s v="مستورد"/>
    <x v="5"/>
    <n v="58"/>
    <n v="58"/>
    <n v="0"/>
    <m/>
    <n v="30721"/>
    <n v="30721"/>
    <n v="0"/>
    <x v="881"/>
    <n v="344"/>
    <n v="529.67241379310349"/>
    <n v="529.67241379310349"/>
    <n v="0"/>
    <n v="329.61206896551727"/>
    <n v="5.931034482758621"/>
    <n v="22.5"/>
    <n v="0"/>
    <n v="47.948275862068968"/>
    <n v="10"/>
    <n v="8.5"/>
    <n v="0"/>
    <n v="0.92948275862068974"/>
    <n v="0.62229419615246895"/>
    <n v="0.88948275862068971"/>
    <s v="32 kidneys + 1 liver"/>
    <m/>
    <m/>
    <m/>
    <m/>
    <m/>
    <n v="0"/>
    <m/>
    <n v="34"/>
  </r>
  <r>
    <x v="730"/>
    <x v="0"/>
    <s v="مستورد"/>
    <x v="5"/>
    <n v="24"/>
    <n v="24"/>
    <n v="0"/>
    <m/>
    <n v="13372"/>
    <n v="12775"/>
    <n v="597"/>
    <x v="882"/>
    <n v="150"/>
    <n v="557.16666666666663"/>
    <n v="532.29166666666663"/>
    <n v="24.875"/>
    <n v="352.9375"/>
    <n v="6.25"/>
    <n v="25"/>
    <n v="0"/>
    <n v="49.541666666666664"/>
    <n v="10"/>
    <n v="8.5"/>
    <n v="4.4645527968890222E-2"/>
    <n v="0.99541666666666662"/>
    <n v="0.63345049356865091"/>
    <n v="0.93041666666666656"/>
    <s v="1 liver "/>
    <m/>
    <m/>
    <m/>
    <m/>
    <m/>
    <n v="0"/>
    <m/>
    <n v="10"/>
  </r>
  <r>
    <x v="731"/>
    <x v="0"/>
    <s v="مستورد"/>
    <x v="5"/>
    <n v="26"/>
    <n v="25"/>
    <n v="1"/>
    <s v="c. bovis in heart "/>
    <n v="14041"/>
    <n v="13367"/>
    <n v="674"/>
    <x v="883"/>
    <n v="138"/>
    <n v="561.64"/>
    <n v="534.67999999999995"/>
    <n v="26.96"/>
    <n v="351.28"/>
    <n v="5.52"/>
    <n v="25"/>
    <n v="0"/>
    <n v="48.72"/>
    <n v="10"/>
    <n v="8.5"/>
    <n v="4.8002279039954424E-2"/>
    <n v="0.98719999999999997"/>
    <n v="0.6254540274909195"/>
    <n v="0.92220000000000002"/>
    <s v="6 kidneys "/>
    <m/>
    <m/>
    <m/>
    <m/>
    <m/>
    <n v="0"/>
    <m/>
    <n v="489"/>
  </r>
  <r>
    <x v="732"/>
    <x v="1"/>
    <m/>
    <x v="0"/>
    <n v="30"/>
    <n v="29"/>
    <n v="1"/>
    <s v="1 emaciated sheep"/>
    <n v="1853"/>
    <n v="1853"/>
    <n v="0"/>
    <x v="884"/>
    <n v="0"/>
    <n v="63.896551724137929"/>
    <n v="63.896551724137929"/>
    <n v="0"/>
    <n v="36.431034482758619"/>
    <n v="0"/>
    <n v="25"/>
    <n v="0"/>
    <n v="41"/>
    <n v="10"/>
    <n v="7"/>
    <n v="0"/>
    <n v="0.90999999999999992"/>
    <n v="0.57015650296815978"/>
    <n v="0.83"/>
    <s v="13 livers "/>
    <m/>
    <m/>
    <m/>
    <m/>
    <m/>
    <n v="0"/>
    <m/>
    <n v="25"/>
  </r>
  <r>
    <x v="732"/>
    <x v="0"/>
    <s v="بلدي"/>
    <x v="5"/>
    <n v="50"/>
    <n v="48"/>
    <n v="2"/>
    <s v="2 c. bovis in hearts"/>
    <n v="24841"/>
    <n v="23824"/>
    <n v="1017"/>
    <x v="885"/>
    <n v="358"/>
    <n v="517.52083333333337"/>
    <n v="496.33333333333331"/>
    <n v="21.1875"/>
    <n v="324.1875"/>
    <n v="7.458333333333333"/>
    <n v="25"/>
    <n v="0"/>
    <n v="48.687499999999993"/>
    <n v="9.8958333333333321"/>
    <n v="8.5"/>
    <n v="4.0940380822028097E-2"/>
    <n v="0.98687499999999995"/>
    <n v="0.62642405700253612"/>
    <n v="0.92083333333333328"/>
    <s v="8 kidneys "/>
    <m/>
    <m/>
    <m/>
    <m/>
    <m/>
    <n v="0"/>
    <m/>
    <n v="880"/>
  </r>
  <r>
    <x v="733"/>
    <x v="0"/>
    <s v="مستورد"/>
    <x v="5"/>
    <n v="43"/>
    <n v="43"/>
    <n v="0"/>
    <m/>
    <n v="24019"/>
    <n v="23085"/>
    <n v="934"/>
    <x v="886"/>
    <n v="342"/>
    <n v="558.58139534883719"/>
    <n v="536.8604651162791"/>
    <n v="21.720930232558139"/>
    <n v="347.61162790697676"/>
    <n v="7.9534883720930232"/>
    <n v="25"/>
    <n v="0"/>
    <n v="49.883720930232556"/>
    <n v="9.7674418604651159"/>
    <n v="8.5"/>
    <n v="3.8885882010075361E-2"/>
    <n v="0.99883720930232556"/>
    <n v="0.62231150339314711"/>
    <n v="0.93151162790697672"/>
    <s v="2 testicles"/>
    <m/>
    <m/>
    <m/>
    <m/>
    <m/>
    <n v="0"/>
    <m/>
    <n v="0"/>
  </r>
  <r>
    <x v="734"/>
    <x v="0"/>
    <s v="بلدي"/>
    <x v="5"/>
    <n v="38"/>
    <n v="36"/>
    <n v="2"/>
    <s v="1 miliary TB + 1 c. bovis in heart"/>
    <n v="19331"/>
    <n v="18316"/>
    <n v="1015"/>
    <x v="887"/>
    <n v="270"/>
    <n v="536.97222222222217"/>
    <n v="508.77777777777777"/>
    <n v="28.194444444444443"/>
    <n v="337.63888888888891"/>
    <n v="7.5"/>
    <n v="25"/>
    <n v="0"/>
    <n v="50"/>
    <n v="10"/>
    <n v="8.5"/>
    <n v="5.2506336971703482E-2"/>
    <n v="1"/>
    <n v="0.62878278412911903"/>
    <n v="0.93500000000000005"/>
    <m/>
    <m/>
    <m/>
    <m/>
    <m/>
    <m/>
    <n v="1"/>
    <m/>
    <n v="1039"/>
  </r>
  <r>
    <x v="735"/>
    <x v="1"/>
    <m/>
    <x v="1"/>
    <n v="29"/>
    <n v="29"/>
    <n v="0"/>
    <m/>
    <n v="1423"/>
    <n v="1355"/>
    <n v="68"/>
    <x v="888"/>
    <n v="0"/>
    <n v="49.068965517241381"/>
    <n v="46.724137931034484"/>
    <n v="2.3448275862068964"/>
    <n v="27.775862068965516"/>
    <n v="0"/>
    <n v="25"/>
    <n v="0"/>
    <n v="48.137931034482754"/>
    <n v="10"/>
    <n v="8.5"/>
    <n v="4.7786366830639491E-2"/>
    <n v="0.98137931034482762"/>
    <n v="0.56605762473647225"/>
    <n v="0.91637931034482767"/>
    <s v="2 livers + 4 prescapular lns"/>
    <m/>
    <m/>
    <m/>
    <m/>
    <m/>
    <n v="0"/>
    <m/>
    <n v="4"/>
  </r>
  <r>
    <x v="735"/>
    <x v="0"/>
    <m/>
    <x v="0"/>
    <n v="40"/>
    <n v="36"/>
    <n v="4"/>
    <s v="4 emaciated bulls"/>
    <n v="14685"/>
    <n v="13786"/>
    <n v="899"/>
    <x v="889"/>
    <n v="215"/>
    <n v="407.91666666666669"/>
    <n v="382.94444444444446"/>
    <n v="24.972222222222221"/>
    <n v="244.76388888888889"/>
    <n v="5.9722222222222223"/>
    <n v="21.368421052631579"/>
    <n v="0"/>
    <n v="49.28947368421052"/>
    <n v="10"/>
    <n v="8.5"/>
    <n v="6.1218930881852228E-2"/>
    <n v="0.92026315789473678"/>
    <n v="0.60003404834865504"/>
    <n v="0.89157894736842092"/>
    <m/>
    <m/>
    <m/>
    <m/>
    <m/>
    <m/>
    <n v="6"/>
    <m/>
    <n v="1471"/>
  </r>
  <r>
    <x v="736"/>
    <x v="0"/>
    <m/>
    <x v="14"/>
    <n v="30"/>
    <n v="28"/>
    <n v="2"/>
    <s v="2 AB residues"/>
    <n v="12998"/>
    <n v="12583"/>
    <n v="415"/>
    <x v="890"/>
    <n v="194"/>
    <n v="464.21428571428572"/>
    <n v="449.39285714285717"/>
    <n v="14.821428571428571"/>
    <n v="285.91785714285714"/>
    <n v="6.9285714285714288"/>
    <n v="24.821428571428569"/>
    <n v="0"/>
    <n v="48.565934065934066"/>
    <n v="10"/>
    <n v="8.5"/>
    <n v="3.1927988921372517E-2"/>
    <n v="0.98208791208791202"/>
    <n v="0.61591783351284812"/>
    <n v="0.91887362637362624"/>
    <s v="4 kidneys "/>
    <m/>
    <m/>
    <m/>
    <m/>
    <m/>
    <n v="1"/>
    <m/>
    <n v="615"/>
  </r>
  <r>
    <x v="737"/>
    <x v="0"/>
    <m/>
    <x v="14"/>
    <n v="44"/>
    <n v="40"/>
    <n v="4"/>
    <s v="2 C. BOVIS + 2 AB residues"/>
    <n v="18615"/>
    <n v="17785"/>
    <n v="830"/>
    <x v="891"/>
    <n v="322"/>
    <n v="465.375"/>
    <n v="444.625"/>
    <n v="20.75"/>
    <n v="285.45"/>
    <n v="8.0500000000000007"/>
    <n v="24.875"/>
    <n v="0"/>
    <n v="48.150000000000006"/>
    <n v="10"/>
    <n v="8.5"/>
    <n v="4.4587698092935807E-2"/>
    <n v="0.97900000000000009"/>
    <n v="0.61337630942788079"/>
    <n v="0.91525000000000001"/>
    <s v="1 heart + 1 liver "/>
    <m/>
    <m/>
    <m/>
    <m/>
    <m/>
    <n v="15"/>
    <m/>
    <n v="1931"/>
  </r>
  <r>
    <x v="738"/>
    <x v="0"/>
    <s v="مستورد"/>
    <x v="5"/>
    <n v="49"/>
    <n v="49"/>
    <n v="0"/>
    <m/>
    <n v="25613"/>
    <n v="24023"/>
    <n v="1590"/>
    <x v="892"/>
    <n v="344"/>
    <n v="522.71428571428567"/>
    <n v="490.26530612244898"/>
    <n v="32.448979591836732"/>
    <n v="321.63673469387754"/>
    <n v="7.0204081632653059"/>
    <n v="25"/>
    <n v="0"/>
    <n v="49.82"/>
    <n v="10"/>
    <n v="8.5"/>
    <n v="6.2077851091242732E-2"/>
    <n v="0.99819999999999998"/>
    <n v="0.61532034513723499"/>
    <n v="0.93319999999999992"/>
    <s v="1 liver "/>
    <m/>
    <m/>
    <m/>
    <m/>
    <m/>
    <n v="3"/>
    <m/>
    <n v="10"/>
  </r>
  <r>
    <x v="739"/>
    <x v="1"/>
    <m/>
    <x v="1"/>
    <n v="31"/>
    <n v="31"/>
    <n v="0"/>
    <m/>
    <n v="1487"/>
    <n v="1420"/>
    <n v="67"/>
    <x v="893"/>
    <n v="0"/>
    <n v="47.967741935483872"/>
    <n v="45.806451612903224"/>
    <n v="2.161290322580645"/>
    <n v="26.483870967741936"/>
    <n v="0"/>
    <n v="25"/>
    <n v="0"/>
    <n v="49.645161290322584"/>
    <n v="10"/>
    <n v="8.5"/>
    <n v="4.5057162071284462E-2"/>
    <n v="0.99645161290322581"/>
    <n v="0.55211835911230667"/>
    <n v="0.93145161290322587"/>
    <s v="1 heart "/>
    <m/>
    <m/>
    <m/>
    <m/>
    <m/>
    <n v="0"/>
    <m/>
    <m/>
  </r>
  <r>
    <x v="739"/>
    <x v="0"/>
    <m/>
    <x v="0"/>
    <n v="44"/>
    <n v="44"/>
    <n v="0"/>
    <m/>
    <n v="21213"/>
    <n v="20200"/>
    <n v="1013"/>
    <x v="894"/>
    <n v="415"/>
    <n v="482.11363636363637"/>
    <n v="459.09090909090907"/>
    <n v="23.022727272727273"/>
    <n v="289.28409090909093"/>
    <n v="9.4318181818181817"/>
    <n v="25"/>
    <n v="0"/>
    <n v="48.72727272727272"/>
    <n v="10"/>
    <n v="8.5"/>
    <n v="4.7753735916654882E-2"/>
    <n v="0.98727272727272719"/>
    <n v="0.60003299863291382"/>
    <n v="0.92227272727272724"/>
    <s v="1 liver + 4 kidneys "/>
    <m/>
    <m/>
    <m/>
    <m/>
    <m/>
    <n v="0"/>
    <m/>
    <n v="13"/>
  </r>
  <r>
    <x v="740"/>
    <x v="0"/>
    <m/>
    <x v="0"/>
    <n v="29"/>
    <n v="29"/>
    <n v="0"/>
    <m/>
    <n v="13300"/>
    <n v="12815"/>
    <n v="485"/>
    <x v="895"/>
    <n v="248"/>
    <n v="458.62068965517244"/>
    <n v="441.89655172413791"/>
    <n v="16.724137931034484"/>
    <n v="276.58620689655174"/>
    <n v="8.5517241379310338"/>
    <n v="25"/>
    <n v="0"/>
    <n v="48.896551724137936"/>
    <n v="10"/>
    <n v="8.5"/>
    <n v="3.6466165413533834E-2"/>
    <n v="0.98896551724137938"/>
    <n v="0.60308270676691733"/>
    <n v="0.92396551724137932"/>
    <s v="2 kidneys"/>
    <m/>
    <m/>
    <m/>
    <m/>
    <m/>
    <n v="1"/>
    <m/>
    <n v="2"/>
  </r>
  <r>
    <x v="741"/>
    <x v="0"/>
    <m/>
    <x v="14"/>
    <n v="40"/>
    <n v="39"/>
    <n v="1"/>
    <s v="1 c. bovis in the heart"/>
    <n v="17284"/>
    <n v="16845"/>
    <n v="439"/>
    <x v="896"/>
    <n v="357"/>
    <n v="443.17948717948718"/>
    <n v="431.92307692307691"/>
    <n v="11.256410256410257"/>
    <n v="265.90000000000003"/>
    <n v="9.1538461538461533"/>
    <n v="25"/>
    <n v="0"/>
    <n v="49.743589743589745"/>
    <n v="10"/>
    <n v="8.5"/>
    <n v="2.5399213145105303E-2"/>
    <n v="0.99743589743589745"/>
    <n v="0.59998264290673453"/>
    <n v="0.9324358974358975"/>
    <m/>
    <m/>
    <m/>
    <m/>
    <m/>
    <m/>
    <n v="2"/>
    <m/>
    <n v="452"/>
  </r>
  <r>
    <x v="742"/>
    <x v="0"/>
    <s v="بلدي"/>
    <x v="5"/>
    <n v="37"/>
    <n v="36"/>
    <n v="1"/>
    <s v="1 c. bovis in the heart"/>
    <n v="18934"/>
    <n v="17931"/>
    <n v="1003"/>
    <x v="897"/>
    <n v="251"/>
    <n v="525.94444444444446"/>
    <n v="498.08333333333331"/>
    <n v="27.861111111111111"/>
    <n v="321.70000000000005"/>
    <n v="6.9722222222222223"/>
    <n v="25"/>
    <n v="0"/>
    <n v="49.5"/>
    <n v="10"/>
    <n v="8.5"/>
    <n v="5.2973486849054612E-2"/>
    <n v="0.995"/>
    <n v="0.61166156121263338"/>
    <n v="0.93"/>
    <s v="1 liver + 2 kidneys"/>
    <m/>
    <m/>
    <m/>
    <m/>
    <m/>
    <n v="0"/>
    <m/>
    <n v="426"/>
  </r>
  <r>
    <x v="743"/>
    <x v="0"/>
    <m/>
    <x v="0"/>
    <n v="36"/>
    <n v="36"/>
    <n v="0"/>
    <m/>
    <n v="16085"/>
    <n v="15485"/>
    <n v="600"/>
    <x v="898"/>
    <n v="233"/>
    <n v="446.80555555555554"/>
    <n v="430.13888888888891"/>
    <n v="16.666666666666668"/>
    <n v="268.09722222222223"/>
    <n v="6.4722222222222223"/>
    <n v="25"/>
    <n v="0"/>
    <n v="49.694444444444443"/>
    <n v="10"/>
    <n v="8.5"/>
    <n v="3.7301834006838674E-2"/>
    <n v="0.99694444444444441"/>
    <n v="0.60003108486167234"/>
    <n v="0.93194444444444446"/>
    <s v="1 liver "/>
    <m/>
    <m/>
    <m/>
    <m/>
    <m/>
    <n v="3"/>
    <m/>
    <n v="11"/>
  </r>
  <r>
    <x v="744"/>
    <x v="0"/>
    <m/>
    <x v="14"/>
    <n v="21"/>
    <n v="21"/>
    <n v="0"/>
    <m/>
    <n v="10040"/>
    <n v="9810"/>
    <n v="230"/>
    <x v="899"/>
    <n v="221"/>
    <n v="478.09523809523807"/>
    <n v="467.14285714285717"/>
    <n v="10.952380952380953"/>
    <n v="286.88095238095241"/>
    <n v="10.523809523809524"/>
    <n v="25"/>
    <n v="0"/>
    <n v="49.428571428571431"/>
    <n v="10"/>
    <n v="8.5"/>
    <n v="2.2908366533864542E-2"/>
    <n v="0.99428571428571433"/>
    <n v="0.6000498007968128"/>
    <n v="0.92928571428571427"/>
    <s v="1 Kidney + 1 single testicle"/>
    <m/>
    <m/>
    <m/>
    <m/>
    <m/>
    <n v="4"/>
    <m/>
    <n v="1"/>
  </r>
  <r>
    <x v="745"/>
    <x v="0"/>
    <s v="بلدي"/>
    <x v="5"/>
    <n v="19"/>
    <n v="18"/>
    <n v="1"/>
    <s v="1 c. bovis in the heart"/>
    <n v="7862"/>
    <n v="7513"/>
    <n v="349"/>
    <x v="900"/>
    <n v="152"/>
    <n v="436.77777777777777"/>
    <n v="417.38888888888891"/>
    <n v="19.388888888888889"/>
    <n v="270.37777777777779"/>
    <n v="8.4444444444444446"/>
    <n v="25"/>
    <n v="0"/>
    <n v="48.444444444444436"/>
    <n v="10"/>
    <n v="8.5"/>
    <n v="4.4390740269651487E-2"/>
    <n v="0.98444444444444434"/>
    <n v="0.61902823708979904"/>
    <n v="0.91944444444444429"/>
    <s v="3 kidneys +  1 heart "/>
    <m/>
    <m/>
    <m/>
    <m/>
    <m/>
    <n v="0"/>
    <m/>
    <n v="431.5"/>
  </r>
  <r>
    <x v="745"/>
    <x v="0"/>
    <m/>
    <x v="23"/>
    <n v="40"/>
    <n v="40"/>
    <n v="0"/>
    <m/>
    <n v="24084"/>
    <n v="24084"/>
    <n v="0"/>
    <x v="901"/>
    <m/>
    <n v="602.1"/>
    <n v="602.1"/>
    <n v="0"/>
    <n v="396.73"/>
    <n v="0"/>
    <n v="22.5"/>
    <n v="5"/>
    <n v="46.55"/>
    <n v="10"/>
    <n v="8.5"/>
    <n v="0"/>
    <n v="0.91549999999999998"/>
    <n v="0.65891047998671315"/>
    <n v="0.92549999999999999"/>
    <s v="2 livers + 1 lung + 1 single testicle "/>
    <m/>
    <m/>
    <m/>
    <m/>
    <m/>
    <n v="0"/>
    <m/>
    <m/>
  </r>
  <r>
    <x v="746"/>
    <x v="0"/>
    <s v="مستورد"/>
    <x v="5"/>
    <n v="34"/>
    <n v="34"/>
    <n v="0"/>
    <m/>
    <n v="20455"/>
    <n v="19305"/>
    <n v="1150"/>
    <x v="902"/>
    <n v="188"/>
    <n v="601.61764705882354"/>
    <n v="567.79411764705878"/>
    <n v="33.823529411764703"/>
    <n v="377.35294117647061"/>
    <n v="5.5294117647058822"/>
    <n v="25"/>
    <n v="0"/>
    <n v="49.794117647058819"/>
    <n v="9.852941176470587"/>
    <n v="8.5"/>
    <n v="5.6220972867269611E-2"/>
    <n v="0.99794117647058811"/>
    <n v="0.62723050598875585"/>
    <n v="0.93147058823529394"/>
    <s v="1 liver"/>
    <m/>
    <m/>
    <m/>
    <m/>
    <m/>
    <n v="0"/>
    <m/>
    <n v="9"/>
  </r>
  <r>
    <x v="747"/>
    <x v="0"/>
    <m/>
    <x v="14"/>
    <n v="28"/>
    <n v="27"/>
    <n v="1"/>
    <s v="1 c. bovis in the heart"/>
    <n v="12702"/>
    <n v="12545"/>
    <n v="157"/>
    <x v="903"/>
    <n v="263"/>
    <n v="470.44444444444446"/>
    <n v="464.62962962962962"/>
    <n v="5.8148148148148149"/>
    <n v="282.27407407407406"/>
    <n v="9.7407407407407405"/>
    <n v="25"/>
    <n v="0"/>
    <n v="48.96153846153846"/>
    <n v="10"/>
    <n v="8.5"/>
    <n v="1.2360258227050858E-2"/>
    <n v="0.98961538461538456"/>
    <n v="0.60001574555188153"/>
    <n v="0.92461538461538451"/>
    <s v="1 liver "/>
    <m/>
    <m/>
    <m/>
    <m/>
    <m/>
    <n v="7"/>
    <m/>
    <n v="500"/>
  </r>
  <r>
    <x v="748"/>
    <x v="0"/>
    <s v="مستورد"/>
    <x v="5"/>
    <n v="35"/>
    <n v="35"/>
    <n v="0"/>
    <m/>
    <n v="21828"/>
    <n v="20755"/>
    <n v="1073"/>
    <x v="904"/>
    <n v="220"/>
    <n v="623.65714285714284"/>
    <n v="593"/>
    <n v="30.657142857142858"/>
    <n v="387.3857142857143"/>
    <n v="6.2857142857142856"/>
    <n v="25"/>
    <n v="0"/>
    <n v="50"/>
    <n v="9.1428571428571423"/>
    <n v="8.5"/>
    <n v="4.9157045995968485E-2"/>
    <n v="1"/>
    <n v="0.62115173172072569"/>
    <n v="0.92642857142857138"/>
    <m/>
    <m/>
    <m/>
    <m/>
    <m/>
    <m/>
    <n v="0"/>
    <m/>
    <m/>
  </r>
  <r>
    <x v="749"/>
    <x v="0"/>
    <m/>
    <x v="0"/>
    <n v="16"/>
    <n v="15"/>
    <n v="1"/>
    <s v="1 c. bovis in the heart"/>
    <n v="6917"/>
    <n v="6665"/>
    <n v="252"/>
    <x v="905"/>
    <n v="145"/>
    <n v="461.13333333333333"/>
    <n v="444.33333333333331"/>
    <n v="16.8"/>
    <n v="276.69333333333333"/>
    <n v="9.6666666666666661"/>
    <n v="25"/>
    <n v="0"/>
    <n v="49.06666666666667"/>
    <n v="10"/>
    <n v="8.5"/>
    <n v="3.6431979181726186E-2"/>
    <n v="0.9906666666666667"/>
    <n v="0.6000289142691918"/>
    <n v="0.92566666666666664"/>
    <s v="1 Liver + 1 kidney"/>
    <m/>
    <m/>
    <m/>
    <m/>
    <m/>
    <n v="0"/>
    <m/>
    <n v="408"/>
  </r>
  <r>
    <x v="749"/>
    <x v="0"/>
    <m/>
    <x v="23"/>
    <n v="20"/>
    <n v="20"/>
    <n v="0"/>
    <m/>
    <n v="12910"/>
    <n v="12910"/>
    <n v="0"/>
    <x v="906"/>
    <m/>
    <n v="645.5"/>
    <n v="645.5"/>
    <n v="0"/>
    <n v="418.26000000000005"/>
    <n v="0"/>
    <n v="25"/>
    <n v="5"/>
    <n v="48.45"/>
    <n v="10"/>
    <n v="8.5"/>
    <n v="0"/>
    <n v="0.98450000000000004"/>
    <n v="0.64796281951975221"/>
    <n v="0.96950000000000003"/>
    <s v="3 livers "/>
    <m/>
    <m/>
    <m/>
    <m/>
    <m/>
    <n v="0"/>
    <m/>
    <m/>
  </r>
  <r>
    <x v="750"/>
    <x v="0"/>
    <m/>
    <x v="14"/>
    <n v="16"/>
    <n v="16"/>
    <n v="0"/>
    <m/>
    <n v="7550"/>
    <n v="7315"/>
    <n v="235"/>
    <x v="907"/>
    <n v="146"/>
    <n v="471.875"/>
    <n v="457.1875"/>
    <n v="14.6875"/>
    <n v="284.34375"/>
    <n v="9.125"/>
    <n v="25"/>
    <n v="0"/>
    <n v="50"/>
    <n v="10"/>
    <n v="8.5"/>
    <n v="3.1125827814569535E-2"/>
    <n v="1"/>
    <n v="0.60258278145695365"/>
    <n v="0.93500000000000005"/>
    <m/>
    <m/>
    <m/>
    <m/>
    <m/>
    <m/>
    <n v="0"/>
    <m/>
    <m/>
  </r>
  <r>
    <x v="751"/>
    <x v="0"/>
    <s v="مستورد"/>
    <x v="5"/>
    <n v="32"/>
    <n v="32"/>
    <n v="0"/>
    <m/>
    <n v="18268"/>
    <n v="17455"/>
    <n v="813"/>
    <x v="908"/>
    <n v="196"/>
    <n v="570.875"/>
    <n v="545.46875"/>
    <n v="25.40625"/>
    <n v="362.046875"/>
    <n v="6.125"/>
    <n v="25"/>
    <n v="0"/>
    <n v="49.78125"/>
    <n v="10"/>
    <n v="8.5"/>
    <n v="4.4504050799211735E-2"/>
    <n v="0.99781249999999999"/>
    <n v="0.6341964090212393"/>
    <n v="0.93281250000000004"/>
    <s v="1 liver"/>
    <m/>
    <m/>
    <m/>
    <m/>
    <m/>
    <n v="0"/>
    <m/>
    <n v="9"/>
  </r>
  <r>
    <x v="752"/>
    <x v="0"/>
    <s v="مستورد"/>
    <x v="5"/>
    <n v="25"/>
    <n v="25"/>
    <n v="0"/>
    <m/>
    <n v="14740"/>
    <n v="14180"/>
    <n v="560"/>
    <x v="909"/>
    <n v="147"/>
    <n v="589.6"/>
    <n v="567.20000000000005"/>
    <n v="22.4"/>
    <n v="372.66"/>
    <n v="5.88"/>
    <n v="25"/>
    <n v="0"/>
    <n v="50"/>
    <n v="10"/>
    <n v="8.5"/>
    <n v="3.7991858887381269E-2"/>
    <n v="1"/>
    <n v="0.63205563093622796"/>
    <n v="0.93500000000000005"/>
    <m/>
    <m/>
    <m/>
    <m/>
    <m/>
    <m/>
    <n v="0"/>
    <m/>
    <m/>
  </r>
  <r>
    <x v="753"/>
    <x v="0"/>
    <m/>
    <x v="23"/>
    <n v="41"/>
    <n v="41"/>
    <n v="0"/>
    <m/>
    <n v="24634.5"/>
    <n v="24634.5"/>
    <n v="0"/>
    <x v="910"/>
    <m/>
    <n v="600.84146341463418"/>
    <n v="600.84146341463418"/>
    <n v="0"/>
    <n v="392.08536585365852"/>
    <n v="0"/>
    <n v="25"/>
    <n v="5"/>
    <n v="49.85"/>
    <n v="10"/>
    <n v="8.5"/>
    <n v="0"/>
    <n v="0.99849999999999994"/>
    <n v="0.65256043353833038"/>
    <n v="0.98349999999999993"/>
    <s v="3 livers"/>
    <m/>
    <m/>
    <m/>
    <m/>
    <m/>
    <n v="0"/>
    <m/>
    <m/>
  </r>
  <r>
    <x v="754"/>
    <x v="0"/>
    <m/>
    <x v="0"/>
    <n v="46"/>
    <n v="46"/>
    <n v="0"/>
    <m/>
    <n v="20540"/>
    <n v="19810"/>
    <n v="730"/>
    <x v="911"/>
    <n v="348"/>
    <n v="446.52173913043481"/>
    <n v="430.6521739130435"/>
    <n v="15.869565217391305"/>
    <n v="267.9021739130435"/>
    <n v="7.5652173913043477"/>
    <n v="25"/>
    <n v="0"/>
    <n v="49.630434782608688"/>
    <n v="10"/>
    <n v="8.5"/>
    <n v="3.5540408958130473E-2"/>
    <n v="0.9963043478260869"/>
    <n v="0.59997565725413826"/>
    <n v="0.93130434782608684"/>
    <s v="1 liver + 1 head "/>
    <m/>
    <m/>
    <m/>
    <m/>
    <m/>
    <n v="5"/>
    <m/>
    <n v="9"/>
  </r>
  <r>
    <x v="755"/>
    <x v="0"/>
    <s v="بلدي"/>
    <x v="5"/>
    <n v="44"/>
    <n v="44"/>
    <n v="0"/>
    <m/>
    <n v="18458"/>
    <n v="17480"/>
    <n v="978"/>
    <x v="912"/>
    <n v="355"/>
    <n v="419.5"/>
    <n v="397.27272727272725"/>
    <n v="22.227272727272727"/>
    <n v="251.68181818181819"/>
    <n v="8.0681818181818183"/>
    <n v="25"/>
    <n v="0"/>
    <n v="49.204545454545453"/>
    <n v="10"/>
    <n v="8.5"/>
    <n v="5.2985155488135226E-2"/>
    <n v="0.99204545454545445"/>
    <n v="0.59995665835951895"/>
    <n v="0.92704545454545451"/>
    <s v="2 livers + 5 kidneys"/>
    <m/>
    <m/>
    <m/>
    <m/>
    <m/>
    <n v="0"/>
    <m/>
    <n v="18"/>
  </r>
  <r>
    <x v="756"/>
    <x v="0"/>
    <m/>
    <x v="23"/>
    <n v="40"/>
    <n v="40"/>
    <n v="0"/>
    <m/>
    <n v="22187"/>
    <n v="22187"/>
    <n v="0"/>
    <x v="913"/>
    <m/>
    <n v="554.67499999999995"/>
    <n v="554.67499999999995"/>
    <n v="0"/>
    <n v="356.11750000000001"/>
    <n v="0"/>
    <n v="25"/>
    <n v="5"/>
    <n v="49.95"/>
    <n v="9.75"/>
    <n v="8.5"/>
    <n v="0"/>
    <n v="0.99950000000000006"/>
    <n v="0.6420291161490963"/>
    <n v="0.98199999999999998"/>
    <s v="1 liver "/>
    <m/>
    <m/>
    <m/>
    <m/>
    <m/>
    <m/>
    <m/>
    <m/>
  </r>
  <r>
    <x v="757"/>
    <x v="0"/>
    <m/>
    <x v="14"/>
    <n v="47"/>
    <n v="46"/>
    <n v="1"/>
    <s v="1 miliary TB"/>
    <n v="22205"/>
    <n v="21435"/>
    <n v="770"/>
    <x v="914"/>
    <n v="451"/>
    <n v="482.71739130434781"/>
    <n v="465.97826086956519"/>
    <n v="16.739130434782609"/>
    <n v="289.60869565217394"/>
    <n v="9.804347826086957"/>
    <n v="24.891304347826086"/>
    <n v="0"/>
    <n v="49.695652173913039"/>
    <n v="10"/>
    <n v="8.5"/>
    <n v="3.4676874577797792E-2"/>
    <n v="0.99478260869565216"/>
    <n v="0.59995496509795088"/>
    <n v="0.93086956521739128"/>
    <s v="1 liver + 1 kidney"/>
    <m/>
    <m/>
    <m/>
    <m/>
    <m/>
    <n v="8"/>
    <m/>
    <n v="420"/>
  </r>
  <r>
    <x v="758"/>
    <x v="0"/>
    <s v="بلدي"/>
    <x v="5"/>
    <n v="35"/>
    <n v="34"/>
    <n v="1"/>
    <s v="1 miliary TB"/>
    <n v="14675"/>
    <n v="14012"/>
    <n v="663"/>
    <x v="915"/>
    <n v="278"/>
    <n v="431.61764705882354"/>
    <n v="412.11764705882354"/>
    <n v="19.5"/>
    <n v="262.6764705882353"/>
    <n v="8.1764705882352935"/>
    <n v="25"/>
    <n v="0"/>
    <n v="49.5"/>
    <n v="10"/>
    <n v="8.5"/>
    <n v="4.5178875638841563E-2"/>
    <n v="0.995"/>
    <n v="0.60858603066439521"/>
    <n v="0.93"/>
    <s v="1 kidney"/>
    <m/>
    <m/>
    <m/>
    <m/>
    <m/>
    <n v="4"/>
    <m/>
    <n v="400"/>
  </r>
  <r>
    <x v="759"/>
    <x v="1"/>
    <m/>
    <x v="1"/>
    <n v="25"/>
    <n v="25"/>
    <n v="0"/>
    <m/>
    <n v="1294"/>
    <n v="1245"/>
    <n v="49"/>
    <x v="916"/>
    <m/>
    <n v="51.76"/>
    <n v="49.8"/>
    <n v="1.96"/>
    <n v="30.42"/>
    <n v="0"/>
    <n v="25"/>
    <n v="0"/>
    <n v="49.8"/>
    <n v="10"/>
    <n v="8.5"/>
    <n v="3.7867078825347761E-2"/>
    <n v="0.998"/>
    <n v="0.58771251931993818"/>
    <n v="0.93299999999999994"/>
    <m/>
    <m/>
    <m/>
    <m/>
    <m/>
    <m/>
    <m/>
    <m/>
    <m/>
  </r>
  <r>
    <x v="759"/>
    <x v="0"/>
    <s v="مستورد"/>
    <x v="5"/>
    <n v="39"/>
    <n v="39"/>
    <n v="0"/>
    <m/>
    <n v="22117"/>
    <n v="21193"/>
    <n v="924"/>
    <x v="917"/>
    <n v="278"/>
    <n v="567.10256410256409"/>
    <n v="543.41025641025647"/>
    <n v="23.692307692307693"/>
    <n v="353.66666666666669"/>
    <n v="7.1282051282051286"/>
    <n v="25"/>
    <n v="0"/>
    <n v="50"/>
    <n v="10"/>
    <n v="8.5"/>
    <n v="4.1777817968078855E-2"/>
    <n v="1"/>
    <n v="0.62363792557761"/>
    <n v="0.93500000000000005"/>
    <m/>
    <m/>
    <m/>
    <m/>
    <m/>
    <m/>
    <n v="0"/>
    <m/>
    <m/>
  </r>
  <r>
    <x v="760"/>
    <x v="0"/>
    <s v="بلدي"/>
    <x v="5"/>
    <n v="16"/>
    <n v="16"/>
    <n v="0"/>
    <m/>
    <n v="6879"/>
    <n v="6570"/>
    <n v="309"/>
    <x v="918"/>
    <n v="130"/>
    <n v="429.9375"/>
    <n v="410.625"/>
    <n v="19.3125"/>
    <n v="263.84375"/>
    <n v="8.125"/>
    <n v="25"/>
    <n v="0"/>
    <n v="50"/>
    <n v="10"/>
    <n v="8.5"/>
    <n v="4.4919319668556473E-2"/>
    <n v="1"/>
    <n v="0.61367931385375785"/>
    <n v="0.93500000000000005"/>
    <m/>
    <m/>
    <m/>
    <m/>
    <m/>
    <m/>
    <n v="2"/>
    <m/>
    <m/>
  </r>
  <r>
    <x v="761"/>
    <x v="0"/>
    <m/>
    <x v="0"/>
    <n v="36"/>
    <n v="36"/>
    <n v="0"/>
    <m/>
    <n v="16600"/>
    <n v="15940"/>
    <n v="660"/>
    <x v="919"/>
    <n v="340"/>
    <n v="461.11111111111109"/>
    <n v="442.77777777777777"/>
    <n v="18.333333333333332"/>
    <n v="278.93055555555554"/>
    <n v="9.4444444444444446"/>
    <n v="25"/>
    <n v="0"/>
    <n v="50"/>
    <n v="10"/>
    <n v="8.5"/>
    <n v="3.9759036144578312E-2"/>
    <n v="1"/>
    <n v="0.60490963855421687"/>
    <n v="0.93500000000000005"/>
    <m/>
    <m/>
    <m/>
    <m/>
    <m/>
    <m/>
    <n v="0"/>
    <m/>
    <m/>
  </r>
  <r>
    <x v="762"/>
    <x v="0"/>
    <m/>
    <x v="14"/>
    <n v="33"/>
    <n v="33"/>
    <n v="0"/>
    <m/>
    <n v="15080"/>
    <n v="14585"/>
    <n v="495"/>
    <x v="920"/>
    <n v="272"/>
    <n v="456.969696969697"/>
    <n v="441.969696969697"/>
    <n v="15"/>
    <n v="274.16666666666669"/>
    <n v="8.2424242424242422"/>
    <n v="24.848484848484848"/>
    <n v="0"/>
    <n v="50"/>
    <n v="10"/>
    <n v="8.5"/>
    <n v="3.282493368700265E-2"/>
    <n v="0.99696969696969695"/>
    <n v="0.59996684350132623"/>
    <n v="0.93348484848484847"/>
    <m/>
    <m/>
    <m/>
    <m/>
    <m/>
    <m/>
    <n v="16"/>
    <m/>
    <m/>
  </r>
  <r>
    <x v="763"/>
    <x v="0"/>
    <s v="مستورد"/>
    <x v="5"/>
    <n v="34"/>
    <n v="34"/>
    <n v="0"/>
    <m/>
    <n v="19908"/>
    <n v="19420"/>
    <n v="488"/>
    <x v="921"/>
    <n v="205"/>
    <n v="585.52941176470586"/>
    <n v="571.17647058823525"/>
    <n v="14.352941176470589"/>
    <n v="365.26470588235293"/>
    <n v="6.0294117647058822"/>
    <n v="25"/>
    <n v="0"/>
    <n v="48.5"/>
    <n v="10"/>
    <n v="8.5"/>
    <n v="2.4512758689973883E-2"/>
    <n v="0.98499999999999999"/>
    <n v="0.62381957002210164"/>
    <n v="0.92"/>
    <m/>
    <m/>
    <m/>
    <m/>
    <m/>
    <m/>
    <n v="1"/>
    <m/>
    <m/>
  </r>
  <r>
    <x v="764"/>
    <x v="0"/>
    <m/>
    <x v="14"/>
    <n v="26"/>
    <n v="25"/>
    <n v="1"/>
    <s v="1 bull older than 3 years"/>
    <n v="11225"/>
    <n v="10980"/>
    <n v="245"/>
    <x v="922"/>
    <n v="211"/>
    <n v="449"/>
    <n v="439.2"/>
    <n v="9.8000000000000007"/>
    <n v="269.8"/>
    <n v="8.44"/>
    <n v="25"/>
    <n v="0"/>
    <n v="49.92"/>
    <n v="10"/>
    <n v="8.5"/>
    <n v="2.1826280623608019E-2"/>
    <n v="0.99920000000000009"/>
    <n v="0.60089086859688201"/>
    <n v="0.93420000000000003"/>
    <s v="1 lung"/>
    <m/>
    <m/>
    <m/>
    <m/>
    <m/>
    <n v="10"/>
    <m/>
    <n v="475"/>
  </r>
  <r>
    <x v="765"/>
    <x v="1"/>
    <m/>
    <x v="1"/>
    <n v="25"/>
    <n v="25"/>
    <n v="0"/>
    <m/>
    <n v="1275"/>
    <n v="1235"/>
    <n v="40"/>
    <x v="923"/>
    <m/>
    <n v="51"/>
    <n v="49.4"/>
    <n v="1.6"/>
    <n v="29.88"/>
    <n v="0"/>
    <n v="25"/>
    <n v="0"/>
    <n v="49.8"/>
    <n v="10"/>
    <n v="8.5"/>
    <n v="3.1372549019607843E-2"/>
    <n v="0.998"/>
    <n v="0.58588235294117652"/>
    <n v="0.93299999999999994"/>
    <m/>
    <m/>
    <m/>
    <m/>
    <m/>
    <m/>
    <m/>
    <m/>
    <m/>
  </r>
  <r>
    <x v="765"/>
    <x v="0"/>
    <s v="مستورد"/>
    <x v="5"/>
    <n v="27"/>
    <n v="26"/>
    <n v="1"/>
    <s v="1 ab residue"/>
    <n v="14871"/>
    <n v="14197"/>
    <n v="674"/>
    <x v="924"/>
    <n v="149"/>
    <n v="571.96153846153845"/>
    <n v="546.03846153846155"/>
    <n v="25.923076923076923"/>
    <n v="353.44230769230768"/>
    <n v="5.7307692307692308"/>
    <n v="25"/>
    <n v="0"/>
    <n v="49.92"/>
    <n v="10"/>
    <n v="8.5"/>
    <n v="4.5323112097370721E-2"/>
    <n v="0.99920000000000009"/>
    <n v="0.61794768341066508"/>
    <n v="0.93420000000000003"/>
    <m/>
    <m/>
    <m/>
    <m/>
    <m/>
    <m/>
    <n v="0"/>
    <m/>
    <n v="508"/>
  </r>
  <r>
    <x v="766"/>
    <x v="0"/>
    <s v="مستورد"/>
    <x v="5"/>
    <n v="35"/>
    <n v="35"/>
    <n v="0"/>
    <m/>
    <n v="21127"/>
    <n v="20270"/>
    <n v="857"/>
    <x v="925"/>
    <n v="218"/>
    <n v="603.62857142857138"/>
    <n v="579.14285714285711"/>
    <n v="24.485714285714284"/>
    <n v="378.30571428571432"/>
    <n v="6.2285714285714286"/>
    <n v="25"/>
    <n v="0"/>
    <n v="49.31428571428571"/>
    <n v="9.1428571428571423"/>
    <n v="8.5"/>
    <n v="4.0564206938988025E-2"/>
    <n v="0.99314285714285711"/>
    <n v="0.62671936384720972"/>
    <n v="0.9195714285714286"/>
    <s v="1 forequarter +  1 liver + 1 kidney "/>
    <m/>
    <m/>
    <m/>
    <m/>
    <m/>
    <n v="0"/>
    <m/>
    <n v="79"/>
  </r>
  <r>
    <x v="767"/>
    <x v="0"/>
    <m/>
    <x v="0"/>
    <n v="41"/>
    <n v="39"/>
    <n v="2"/>
    <s v="2 bulls emaciated"/>
    <n v="16353"/>
    <n v="15650"/>
    <n v="703"/>
    <x v="926"/>
    <n v="263"/>
    <n v="419.30769230769232"/>
    <n v="401.28205128205127"/>
    <n v="18.025641025641026"/>
    <n v="251.58974358974359"/>
    <n v="6.7435897435897436"/>
    <n v="25"/>
    <n v="0"/>
    <n v="49.641025641025642"/>
    <n v="10"/>
    <n v="8.5"/>
    <n v="4.2989053996208643E-2"/>
    <n v="0.99641025641025638"/>
    <n v="0.60001223017183392"/>
    <n v="0.93141025641025632"/>
    <s v="2 livers"/>
    <m/>
    <m/>
    <m/>
    <m/>
    <m/>
    <n v="0"/>
    <m/>
    <n v="679"/>
  </r>
  <r>
    <x v="768"/>
    <x v="0"/>
    <s v="بلدي"/>
    <x v="5"/>
    <n v="24"/>
    <n v="22"/>
    <n v="2"/>
    <s v="2 c. bovis in heart "/>
    <n v="9721"/>
    <n v="9109"/>
    <n v="612"/>
    <x v="927"/>
    <n v="220"/>
    <n v="441.86363636363637"/>
    <n v="414.04545454545456"/>
    <n v="27.818181818181817"/>
    <n v="269.38636363636363"/>
    <n v="10"/>
    <n v="25"/>
    <n v="0"/>
    <n v="49.909090909090907"/>
    <n v="10"/>
    <n v="8.5"/>
    <n v="6.2956485958234748E-2"/>
    <n v="0.99909090909090903"/>
    <n v="0.60965950005143499"/>
    <n v="0.93409090909090908"/>
    <m/>
    <m/>
    <m/>
    <m/>
    <m/>
    <m/>
    <n v="1"/>
    <m/>
    <n v="846"/>
  </r>
  <r>
    <x v="769"/>
    <x v="0"/>
    <m/>
    <x v="14"/>
    <n v="46"/>
    <n v="44"/>
    <n v="2"/>
    <s v="2 bulls oler than 3 years"/>
    <n v="20269"/>
    <n v="19715"/>
    <n v="554"/>
    <x v="928"/>
    <n v="385"/>
    <n v="460.65909090909093"/>
    <n v="448.06818181818181"/>
    <n v="12.590909090909092"/>
    <n v="276.375"/>
    <n v="8.75"/>
    <n v="25"/>
    <n v="0"/>
    <n v="49.681818181818187"/>
    <n v="10"/>
    <n v="8.5"/>
    <n v="2.7332379495781736E-2"/>
    <n v="0.99681818181818183"/>
    <n v="0.59995559721742564"/>
    <n v="0.93181818181818188"/>
    <m/>
    <m/>
    <m/>
    <m/>
    <m/>
    <m/>
    <n v="16"/>
    <m/>
    <n v="913"/>
  </r>
  <r>
    <x v="770"/>
    <x v="0"/>
    <s v="مستورد"/>
    <x v="5"/>
    <n v="42"/>
    <n v="42"/>
    <n v="0"/>
    <m/>
    <n v="24531"/>
    <n v="23265"/>
    <n v="1266"/>
    <x v="929"/>
    <n v="239"/>
    <n v="584.07142857142856"/>
    <n v="553.92857142857144"/>
    <n v="30.142857142857142"/>
    <n v="361.78571428571428"/>
    <n v="5.6904761904761907"/>
    <n v="25"/>
    <n v="0"/>
    <n v="50"/>
    <n v="10"/>
    <n v="8.5"/>
    <n v="5.1608169255228077E-2"/>
    <n v="1"/>
    <n v="0.61942032530267821"/>
    <n v="0.93500000000000005"/>
    <m/>
    <m/>
    <m/>
    <m/>
    <m/>
    <m/>
    <m/>
    <m/>
    <m/>
  </r>
  <r>
    <x v="771"/>
    <x v="0"/>
    <s v="بلدي"/>
    <x v="5"/>
    <n v="16"/>
    <n v="16"/>
    <n v="0"/>
    <m/>
    <n v="6977"/>
    <n v="6665"/>
    <n v="312"/>
    <x v="930"/>
    <n v="240"/>
    <n v="436.0625"/>
    <n v="416.5625"/>
    <n v="19.5"/>
    <n v="271.13749999999999"/>
    <n v="15"/>
    <n v="25"/>
    <n v="0"/>
    <n v="50"/>
    <n v="10"/>
    <n v="8.5"/>
    <n v="4.4718360326788019E-2"/>
    <n v="1"/>
    <n v="0.62178586785151213"/>
    <n v="0.93500000000000005"/>
    <m/>
    <m/>
    <m/>
    <m/>
    <m/>
    <m/>
    <m/>
    <m/>
    <m/>
  </r>
  <r>
    <x v="772"/>
    <x v="1"/>
    <m/>
    <x v="1"/>
    <n v="25"/>
    <n v="25"/>
    <n v="0"/>
    <m/>
    <n v="1245"/>
    <n v="1215"/>
    <n v="30"/>
    <x v="931"/>
    <n v="242"/>
    <n v="49.8"/>
    <n v="48.6"/>
    <n v="1.2"/>
    <n v="28.535999999999998"/>
    <n v="9.68"/>
    <n v="25"/>
    <n v="0"/>
    <n v="49.440000000000005"/>
    <n v="10"/>
    <n v="8.5"/>
    <n v="2.4096385542168676E-2"/>
    <n v="0.99440000000000006"/>
    <n v="0.57301204819277107"/>
    <n v="0.9294"/>
    <s v="1 omentum + 1 heart "/>
    <m/>
    <m/>
    <m/>
    <m/>
    <m/>
    <m/>
    <m/>
    <n v="1.5"/>
  </r>
  <r>
    <x v="772"/>
    <x v="0"/>
    <m/>
    <x v="0"/>
    <n v="51"/>
    <n v="51"/>
    <n v="0"/>
    <m/>
    <n v="20050"/>
    <n v="18985"/>
    <n v="1065"/>
    <x v="932"/>
    <n v="241"/>
    <n v="393.13725490196077"/>
    <n v="372.25490196078431"/>
    <n v="20.882352941176471"/>
    <n v="235.86274509803923"/>
    <n v="4.7254901960784315"/>
    <n v="24.803921568627452"/>
    <n v="0"/>
    <n v="49.352941176470587"/>
    <n v="10"/>
    <n v="8.5"/>
    <n v="5.3117206982543644E-2"/>
    <n v="0.98960784313725492"/>
    <n v="0.59995012468827935"/>
    <n v="0.92656862745098034"/>
    <s v="1 liver + 3 kidneys + 1 testicle"/>
    <m/>
    <m/>
    <m/>
    <m/>
    <m/>
    <n v="10"/>
    <m/>
    <n v="11"/>
  </r>
  <r>
    <x v="773"/>
    <x v="0"/>
    <s v="بلدي"/>
    <x v="5"/>
    <n v="28"/>
    <n v="27"/>
    <n v="1"/>
    <s v="1 c. bovis in heart "/>
    <n v="11688"/>
    <n v="11056"/>
    <n v="632"/>
    <x v="933"/>
    <n v="237"/>
    <n v="432.88888888888891"/>
    <n v="409.48148148148147"/>
    <n v="23.407407407407408"/>
    <n v="265.97407407407405"/>
    <n v="8.7777777777777786"/>
    <n v="25"/>
    <n v="0"/>
    <n v="49.464387464387464"/>
    <n v="10"/>
    <n v="8.5"/>
    <n v="5.4072553045859E-2"/>
    <n v="0.9946438746438746"/>
    <n v="0.61441649555099254"/>
    <n v="0.92964387464387466"/>
    <s v="4 Kidneys + 2 hearts"/>
    <m/>
    <m/>
    <m/>
    <m/>
    <m/>
    <m/>
    <m/>
    <n v="428"/>
  </r>
  <r>
    <x v="774"/>
    <x v="0"/>
    <m/>
    <x v="14"/>
    <n v="50"/>
    <n v="50"/>
    <n v="0"/>
    <m/>
    <n v="24035"/>
    <n v="23350"/>
    <n v="685"/>
    <x v="934"/>
    <n v="547"/>
    <n v="480.7"/>
    <n v="467"/>
    <n v="13.7"/>
    <n v="288.43"/>
    <n v="10.94"/>
    <n v="25"/>
    <n v="0"/>
    <n v="49.86"/>
    <n v="10"/>
    <n v="8.5"/>
    <n v="2.8500104014978156E-2"/>
    <n v="0.99859999999999993"/>
    <n v="0.60002080299563132"/>
    <n v="0.93359999999999999"/>
    <s v="1 kidney"/>
    <m/>
    <m/>
    <m/>
    <m/>
    <m/>
    <n v="14"/>
    <m/>
    <m/>
  </r>
  <r>
    <x v="775"/>
    <x v="0"/>
    <s v="مستورد"/>
    <x v="5"/>
    <n v="32"/>
    <n v="32"/>
    <n v="0"/>
    <m/>
    <n v="19605"/>
    <n v="18740"/>
    <n v="865"/>
    <x v="935"/>
    <n v="201"/>
    <n v="612.65625"/>
    <n v="585.625"/>
    <n v="27.03125"/>
    <n v="385.9375"/>
    <n v="6.28125"/>
    <n v="25"/>
    <n v="0"/>
    <n v="49.8125"/>
    <n v="10"/>
    <n v="8.5"/>
    <n v="4.4121397602652386E-2"/>
    <n v="0.99812499999999993"/>
    <n v="0.62994134149451675"/>
    <n v="0.93312499999999998"/>
    <s v="1 kidney"/>
    <m/>
    <m/>
    <m/>
    <m/>
    <m/>
    <n v="1"/>
    <m/>
    <n v="0"/>
  </r>
  <r>
    <x v="776"/>
    <x v="0"/>
    <m/>
    <x v="0"/>
    <n v="41"/>
    <n v="41"/>
    <n v="0"/>
    <m/>
    <n v="17870"/>
    <n v="17035"/>
    <n v="835"/>
    <x v="936"/>
    <n v="399"/>
    <n v="435.85365853658539"/>
    <n v="415.48780487804879"/>
    <n v="20.365853658536587"/>
    <n v="261.5"/>
    <n v="9.7317073170731714"/>
    <n v="25"/>
    <n v="0"/>
    <n v="50"/>
    <n v="10"/>
    <n v="8.5"/>
    <n v="4.6726357022943484E-2"/>
    <n v="1"/>
    <n v="0.59997202014549522"/>
    <n v="0.93500000000000005"/>
    <m/>
    <m/>
    <m/>
    <m/>
    <m/>
    <m/>
    <n v="2"/>
    <m/>
    <m/>
  </r>
  <r>
    <x v="776"/>
    <x v="0"/>
    <m/>
    <x v="14"/>
    <n v="1"/>
    <n v="1"/>
    <n v="0"/>
    <m/>
    <n v="475"/>
    <n v="460"/>
    <n v="15"/>
    <x v="937"/>
    <n v="8"/>
    <n v="475"/>
    <n v="460"/>
    <n v="15"/>
    <n v="300"/>
    <n v="8"/>
    <n v="25"/>
    <n v="0"/>
    <n v="50"/>
    <n v="10"/>
    <n v="8.5"/>
    <n v="3.1578947368421054E-2"/>
    <n v="1"/>
    <n v="0.63157894736842102"/>
    <n v="0.93500000000000005"/>
    <m/>
    <m/>
    <m/>
    <m/>
    <m/>
    <m/>
    <m/>
    <m/>
    <m/>
  </r>
  <r>
    <x v="777"/>
    <x v="0"/>
    <s v="بلدي"/>
    <x v="5"/>
    <n v="23"/>
    <n v="23"/>
    <n v="0"/>
    <m/>
    <n v="10093"/>
    <n v="9555"/>
    <n v="538"/>
    <x v="938"/>
    <n v="237"/>
    <n v="438.82608695652175"/>
    <n v="415.43478260869563"/>
    <n v="23.391304347826086"/>
    <n v="272.22608695652173"/>
    <n v="10.304347826086957"/>
    <n v="25"/>
    <n v="0"/>
    <n v="49.913043478260875"/>
    <n v="10"/>
    <n v="8.5"/>
    <n v="5.3304270286337059E-2"/>
    <n v="0.99913043478260877"/>
    <n v="0.62035073813534136"/>
    <n v="0.93413043478260871"/>
    <m/>
    <m/>
    <m/>
    <m/>
    <m/>
    <m/>
    <n v="4"/>
    <m/>
    <n v="1"/>
  </r>
  <r>
    <x v="778"/>
    <x v="0"/>
    <m/>
    <x v="14"/>
    <n v="36"/>
    <n v="36"/>
    <n v="0"/>
    <m/>
    <n v="16027"/>
    <n v="15560"/>
    <n v="467"/>
    <x v="939"/>
    <n v="302"/>
    <n v="445.19444444444446"/>
    <n v="432.22222222222223"/>
    <n v="12.972222222222221"/>
    <n v="267.09722222222223"/>
    <n v="8.3888888888888893"/>
    <n v="25"/>
    <n v="0"/>
    <n v="48.416666666666664"/>
    <n v="10"/>
    <n v="8.5"/>
    <n v="2.9138329069694886E-2"/>
    <n v="0.98416666666666663"/>
    <n v="0.59995632370374996"/>
    <n v="0.91916666666666658"/>
    <s v="1 forequarter +  1 kidney"/>
    <m/>
    <m/>
    <m/>
    <m/>
    <m/>
    <n v="17"/>
    <m/>
    <n v="62"/>
  </r>
  <r>
    <x v="778"/>
    <x v="0"/>
    <m/>
    <x v="14"/>
    <n v="8"/>
    <n v="7"/>
    <n v="1"/>
    <s v="1 c. bovis in heart "/>
    <n v="3766"/>
    <n v="3628"/>
    <n v="138"/>
    <x v="940"/>
    <n v="35"/>
    <n v="538"/>
    <n v="518.28571428571433"/>
    <n v="19.714285714285715"/>
    <n v="330.28571428571428"/>
    <n v="5"/>
    <n v="24.285714285714285"/>
    <n v="0"/>
    <n v="48.571428571428569"/>
    <n v="10"/>
    <n v="8.5"/>
    <n v="3.6643653744025492E-2"/>
    <n v="0.97142857142857142"/>
    <n v="0.6139139670738184"/>
    <n v="0.91357142857142859"/>
    <m/>
    <m/>
    <m/>
    <m/>
    <m/>
    <m/>
    <n v="6"/>
    <m/>
    <n v="537"/>
  </r>
  <r>
    <x v="779"/>
    <x v="0"/>
    <s v="مستورد"/>
    <x v="5"/>
    <n v="34"/>
    <n v="34"/>
    <n v="0"/>
    <m/>
    <n v="18969"/>
    <n v="18016"/>
    <n v="953"/>
    <x v="941"/>
    <n v="193"/>
    <n v="557.91176470588232"/>
    <n v="529.88235294117646"/>
    <n v="28.029411764705884"/>
    <n v="347.77941176470586"/>
    <n v="5.6764705882352944"/>
    <n v="25"/>
    <n v="0"/>
    <n v="49.441176470588232"/>
    <n v="10"/>
    <n v="8.5"/>
    <n v="5.0239865042964842E-2"/>
    <n v="0.99441176470588233"/>
    <n v="0.62335916495334498"/>
    <n v="0.92941176470588227"/>
    <s v="1 head + 1 kidney"/>
    <m/>
    <m/>
    <m/>
    <m/>
    <m/>
    <n v="0"/>
    <m/>
    <n v="210"/>
  </r>
  <r>
    <x v="780"/>
    <x v="0"/>
    <m/>
    <x v="23"/>
    <n v="7"/>
    <n v="7"/>
    <n v="0"/>
    <m/>
    <n v="3265"/>
    <n v="3265"/>
    <n v="0"/>
    <x v="942"/>
    <n v="0"/>
    <n v="466.42857142857144"/>
    <n v="466.42857142857144"/>
    <n v="0"/>
    <n v="289.21428571428572"/>
    <n v="0"/>
    <n v="25"/>
    <n v="5"/>
    <n v="49.428571428571431"/>
    <n v="10"/>
    <n v="8.5"/>
    <n v="0"/>
    <n v="0.99428571428571433"/>
    <n v="0.62006125574272586"/>
    <n v="0.97928571428571431"/>
    <m/>
    <m/>
    <m/>
    <m/>
    <m/>
    <m/>
    <n v="0"/>
    <m/>
    <n v="0"/>
  </r>
  <r>
    <x v="781"/>
    <x v="0"/>
    <m/>
    <x v="0"/>
    <n v="35"/>
    <n v="35"/>
    <n v="0"/>
    <m/>
    <n v="16695"/>
    <n v="15865"/>
    <n v="830"/>
    <x v="943"/>
    <n v="330"/>
    <n v="477"/>
    <n v="453.28571428571428"/>
    <n v="23.714285714285715"/>
    <n v="286.20571428571429"/>
    <n v="9.4285714285714288"/>
    <n v="24.857142857142858"/>
    <n v="0"/>
    <n v="49.685714285714283"/>
    <n v="10"/>
    <n v="8.5"/>
    <n v="4.9715483677747828E-2"/>
    <n v="0.99399999999999999"/>
    <n v="0.60001197963462116"/>
    <n v="0.93042857142857149"/>
    <s v="1 lung "/>
    <m/>
    <m/>
    <m/>
    <m/>
    <m/>
    <n v="15"/>
    <m/>
    <n v="0"/>
  </r>
  <r>
    <x v="782"/>
    <x v="0"/>
    <s v="مستورد"/>
    <x v="5"/>
    <n v="26"/>
    <n v="26"/>
    <n v="0"/>
    <m/>
    <n v="16451"/>
    <n v="15815"/>
    <n v="636"/>
    <x v="944"/>
    <n v="165"/>
    <n v="632.73076923076928"/>
    <n v="608.26923076923072"/>
    <n v="24.46153846153846"/>
    <n v="407.18076923076927"/>
    <n v="6.3461538461538458"/>
    <n v="25"/>
    <n v="0"/>
    <n v="49.653846153846153"/>
    <n v="10"/>
    <n v="8.5"/>
    <n v="3.8660263813749915E-2"/>
    <n v="0.9965384615384616"/>
    <n v="0.64352926873746286"/>
    <n v="0.93153846153846165"/>
    <s v="1 kidney "/>
    <m/>
    <m/>
    <m/>
    <m/>
    <m/>
    <n v="1"/>
    <m/>
    <n v="1"/>
  </r>
  <r>
    <x v="783"/>
    <x v="0"/>
    <s v="مستورد"/>
    <x v="5"/>
    <n v="34"/>
    <n v="33"/>
    <n v="1"/>
    <s v="1 icteric carcass"/>
    <n v="19273"/>
    <n v="18351"/>
    <n v="922"/>
    <x v="945"/>
    <n v="215"/>
    <n v="584.030303030303"/>
    <n v="556.09090909090912"/>
    <n v="27.939393939393938"/>
    <n v="362.71212121212119"/>
    <n v="6.5151515151515156"/>
    <n v="25"/>
    <n v="0"/>
    <n v="48.787878787878789"/>
    <n v="10"/>
    <n v="8.5"/>
    <n v="4.7838945675297048E-2"/>
    <n v="0.98787878787878791"/>
    <n v="0.62105017381829497"/>
    <n v="0.92287878787878785"/>
    <s v="1 liver + 3 kidneys + 2 testicles"/>
    <m/>
    <m/>
    <m/>
    <m/>
    <m/>
    <m/>
    <m/>
    <n v="647"/>
  </r>
  <r>
    <x v="784"/>
    <x v="0"/>
    <m/>
    <x v="14"/>
    <n v="32"/>
    <n v="32"/>
    <n v="0"/>
    <m/>
    <n v="13790"/>
    <n v="13335"/>
    <n v="455"/>
    <x v="946"/>
    <n v="251"/>
    <n v="430.9375"/>
    <n v="416.71875"/>
    <n v="14.21875"/>
    <n v="258.578125"/>
    <n v="7.84375"/>
    <n v="24"/>
    <n v="0"/>
    <n v="49.78125"/>
    <n v="10"/>
    <n v="8.5"/>
    <n v="3.2994923857868022E-2"/>
    <n v="0.97781249999999997"/>
    <n v="0.60003625815808559"/>
    <n v="0.92281250000000004"/>
    <s v="1 liver "/>
    <m/>
    <m/>
    <m/>
    <m/>
    <m/>
    <n v="5"/>
    <m/>
    <n v="5"/>
  </r>
  <r>
    <x v="785"/>
    <x v="1"/>
    <m/>
    <x v="14"/>
    <n v="20"/>
    <n v="20"/>
    <n v="0"/>
    <m/>
    <n v="921"/>
    <n v="905"/>
    <n v="16"/>
    <x v="947"/>
    <m/>
    <n v="46.05"/>
    <n v="45.25"/>
    <n v="0.8"/>
    <n v="26.774999999999999"/>
    <n v="0"/>
    <n v="25"/>
    <n v="0"/>
    <n v="48.65"/>
    <n v="10"/>
    <n v="8.5"/>
    <n v="1.737242128121607E-2"/>
    <n v="0.98649999999999993"/>
    <n v="0.58143322475570036"/>
    <n v="0.9215000000000001"/>
    <s v="1 liver "/>
    <m/>
    <m/>
    <m/>
    <m/>
    <m/>
    <m/>
    <m/>
    <n v="0"/>
  </r>
  <r>
    <x v="785"/>
    <x v="0"/>
    <m/>
    <x v="0"/>
    <n v="20"/>
    <n v="19"/>
    <n v="1"/>
    <s v="1 c. bovis in heart "/>
    <n v="7700"/>
    <n v="7400"/>
    <n v="300"/>
    <x v="948"/>
    <n v="112"/>
    <n v="405.26315789473682"/>
    <n v="389.4736842105263"/>
    <n v="15.789473684210526"/>
    <n v="243.17368421052632"/>
    <n v="5.8947368421052628"/>
    <n v="24.857142857142858"/>
    <n v="0"/>
    <n v="48.631578947368418"/>
    <n v="10"/>
    <n v="8.5"/>
    <n v="3.896103896103896E-2"/>
    <n v="0.98345864661654137"/>
    <n v="0.60003896103896104"/>
    <n v="0.91988721804511275"/>
    <s v="1 liver + 4 kidneys "/>
    <m/>
    <m/>
    <m/>
    <m/>
    <m/>
    <n v="2"/>
    <m/>
    <n v="371.5"/>
  </r>
  <r>
    <x v="785"/>
    <x v="0"/>
    <m/>
    <x v="23"/>
    <n v="27"/>
    <n v="24"/>
    <n v="3"/>
    <s v="3 bulls not conform to standards (bad BCS)"/>
    <n v="11468.5"/>
    <n v="11468.5"/>
    <n v="0"/>
    <x v="949"/>
    <n v="0"/>
    <n v="477.85416666666669"/>
    <n v="477.85416666666669"/>
    <n v="0"/>
    <n v="301.20416666666665"/>
    <n v="0"/>
    <n v="25"/>
    <n v="5"/>
    <n v="49.416666666666671"/>
    <n v="9.375"/>
    <n v="8.5"/>
    <n v="0"/>
    <n v="0.99416666666666664"/>
    <n v="0.63032654662771936"/>
    <n v="0.97291666666666676"/>
    <s v="1 liver + 1 heart "/>
    <m/>
    <m/>
    <m/>
    <m/>
    <m/>
    <m/>
    <m/>
    <m/>
  </r>
  <r>
    <x v="786"/>
    <x v="0"/>
    <s v="مستورد"/>
    <x v="5"/>
    <n v="30"/>
    <n v="29"/>
    <n v="1"/>
    <s v="1 ab residue"/>
    <n v="15730"/>
    <n v="14953"/>
    <n v="777"/>
    <x v="950"/>
    <n v="162"/>
    <n v="542.41379310344826"/>
    <n v="515.62068965517244"/>
    <n v="26.793103448275861"/>
    <n v="334.86206896551727"/>
    <n v="5.5862068965517242"/>
    <n v="25"/>
    <n v="0"/>
    <n v="49.758620689655174"/>
    <n v="10"/>
    <n v="8.5"/>
    <n v="4.9396058486967577E-2"/>
    <n v="0.99758620689655175"/>
    <n v="0.61735537190082646"/>
    <n v="0.93258620689655169"/>
    <s v="1 liver "/>
    <m/>
    <m/>
    <m/>
    <m/>
    <m/>
    <n v="0"/>
    <m/>
    <n v="475"/>
  </r>
  <r>
    <x v="787"/>
    <x v="0"/>
    <s v="مستورد"/>
    <x v="5"/>
    <n v="51"/>
    <n v="51"/>
    <n v="0"/>
    <m/>
    <n v="26547"/>
    <n v="25015"/>
    <n v="1532"/>
    <x v="951"/>
    <n v="210"/>
    <n v="520.52941176470586"/>
    <n v="490.49019607843138"/>
    <n v="30.03921568627451"/>
    <n v="319.55098039215687"/>
    <n v="4.117647058823529"/>
    <n v="25"/>
    <n v="0"/>
    <n v="49.411764705882355"/>
    <n v="10"/>
    <n v="8.5"/>
    <n v="5.7708968998380232E-2"/>
    <n v="0.99411764705882355"/>
    <n v="0.61389610878818701"/>
    <n v="0.92911764705882349"/>
    <s v="1 liver + 5 kidneys "/>
    <m/>
    <m/>
    <m/>
    <m/>
    <m/>
    <m/>
    <m/>
    <n v="10"/>
  </r>
  <r>
    <x v="788"/>
    <x v="0"/>
    <m/>
    <x v="14"/>
    <n v="52"/>
    <n v="51"/>
    <n v="1"/>
    <s v="1 miliary tb"/>
    <n v="24312"/>
    <n v="23285"/>
    <n v="1027"/>
    <x v="952"/>
    <n v="498"/>
    <n v="476.70588235294116"/>
    <n v="456.56862745098039"/>
    <n v="20.137254901960784"/>
    <n v="286.00980392156862"/>
    <n v="9.764705882352942"/>
    <n v="25"/>
    <n v="0"/>
    <n v="49.588235294117645"/>
    <n v="9.9019607843137258"/>
    <n v="8.5"/>
    <n v="4.2242513984863443E-2"/>
    <n v="0.99588235294117644"/>
    <n v="0.59997120763409018"/>
    <n v="0.92990196078431386"/>
    <s v="2 livers + 1 kidney"/>
    <m/>
    <m/>
    <m/>
    <m/>
    <m/>
    <n v="19"/>
    <m/>
    <n v="516"/>
  </r>
  <r>
    <x v="789"/>
    <x v="1"/>
    <m/>
    <x v="14"/>
    <n v="23"/>
    <n v="23"/>
    <n v="0"/>
    <m/>
    <n v="1146"/>
    <n v="1100"/>
    <n v="46"/>
    <x v="953"/>
    <m/>
    <n v="49.826086956521742"/>
    <n v="47.826086956521742"/>
    <n v="2"/>
    <n v="29.260869565217391"/>
    <n v="0"/>
    <n v="25"/>
    <n v="0"/>
    <n v="50"/>
    <n v="10"/>
    <n v="8.5"/>
    <n v="4.0139616055846421E-2"/>
    <n v="1"/>
    <n v="0.58726003490401402"/>
    <n v="0.93500000000000005"/>
    <m/>
    <m/>
    <m/>
    <m/>
    <m/>
    <m/>
    <n v="0"/>
    <m/>
    <n v="1.5"/>
  </r>
  <r>
    <x v="789"/>
    <x v="0"/>
    <m/>
    <x v="0"/>
    <n v="47"/>
    <n v="41"/>
    <n v="6"/>
    <s v=" 5 bull older than 3 years + 1 bull older than 4 years"/>
    <n v="20335"/>
    <n v="19085"/>
    <n v="1250"/>
    <x v="954"/>
    <n v="381"/>
    <n v="495.97560975609758"/>
    <n v="465.48780487804879"/>
    <n v="30.487804878048781"/>
    <n v="297.56585365853658"/>
    <n v="9.2926829268292686"/>
    <n v="25"/>
    <n v="0"/>
    <n v="50"/>
    <n v="10"/>
    <n v="8.5"/>
    <n v="6.1470371281042532E-2"/>
    <n v="1"/>
    <n v="0.59996065896238016"/>
    <n v="0.93500000000000005"/>
    <m/>
    <m/>
    <m/>
    <m/>
    <m/>
    <m/>
    <n v="19"/>
    <m/>
    <n v="3115"/>
  </r>
  <r>
    <x v="790"/>
    <x v="0"/>
    <m/>
    <x v="5"/>
    <n v="43"/>
    <n v="41"/>
    <n v="2"/>
    <s v="2 c. bovis in their heart s"/>
    <n v="17695"/>
    <n v="16486"/>
    <n v="1209"/>
    <x v="955"/>
    <n v="323"/>
    <n v="431.58536585365852"/>
    <n v="402.09756097560978"/>
    <n v="29.487804878048781"/>
    <n v="261.8780487804878"/>
    <n v="7.8780487804878048"/>
    <n v="25"/>
    <n v="0"/>
    <n v="49.243902439024389"/>
    <n v="10"/>
    <n v="8.5"/>
    <n v="6.832438541961007E-2"/>
    <n v="0.9924390243902439"/>
    <n v="0.60678157671658661"/>
    <n v="0.92743902439024395"/>
    <s v="1 liver + 2 kidneys +1 forequarter"/>
    <m/>
    <m/>
    <m/>
    <m/>
    <m/>
    <n v="7"/>
    <m/>
    <n v="846.5"/>
  </r>
  <r>
    <x v="791"/>
    <x v="0"/>
    <m/>
    <x v="14"/>
    <n v="55"/>
    <n v="55"/>
    <n v="0"/>
    <m/>
    <n v="24502"/>
    <n v="23591"/>
    <n v="911"/>
    <x v="956"/>
    <n v="460"/>
    <n v="445.4909090909091"/>
    <n v="428.92727272727274"/>
    <n v="16.563636363636363"/>
    <n v="267.28181818181821"/>
    <n v="8.3636363636363633"/>
    <n v="25"/>
    <n v="0"/>
    <n v="49.345454545454544"/>
    <n v="9.9090909090909101"/>
    <n v="8.5"/>
    <n v="3.7180638315239573E-2"/>
    <n v="0.99345454545454537"/>
    <n v="0.59997143090359972"/>
    <n v="0.92754545454545445"/>
    <s v="1 head + 2 kidneys "/>
    <m/>
    <m/>
    <m/>
    <m/>
    <m/>
    <n v="18"/>
    <m/>
    <n v="9"/>
  </r>
  <r>
    <x v="792"/>
    <x v="0"/>
    <m/>
    <x v="5"/>
    <n v="40"/>
    <n v="39"/>
    <n v="1"/>
    <s v="1 c. bovis in the heart "/>
    <n v="16998"/>
    <n v="16317"/>
    <n v="681"/>
    <x v="957"/>
    <n v="339"/>
    <n v="435.84615384615387"/>
    <n v="418.38461538461536"/>
    <n v="17.46153846153846"/>
    <n v="270.64102564102564"/>
    <n v="8.6923076923076916"/>
    <n v="25"/>
    <n v="0"/>
    <n v="49.5"/>
    <n v="10"/>
    <n v="8.5"/>
    <n v="4.006353688669255E-2"/>
    <n v="0.995"/>
    <n v="0.62095540651841397"/>
    <n v="0.93"/>
    <m/>
    <m/>
    <m/>
    <m/>
    <m/>
    <m/>
    <n v="6"/>
    <m/>
    <n v="459"/>
  </r>
  <r>
    <x v="793"/>
    <x v="0"/>
    <m/>
    <x v="9"/>
    <n v="26"/>
    <n v="26"/>
    <n v="0"/>
    <m/>
    <n v="12453"/>
    <n v="11870"/>
    <n v="583"/>
    <x v="958"/>
    <n v="244"/>
    <n v="478.96153846153845"/>
    <n v="456.53846153846155"/>
    <n v="22.423076923076923"/>
    <n v="287.36538461538464"/>
    <n v="9.384615384615385"/>
    <n v="20"/>
    <n v="0"/>
    <n v="47.230769230769226"/>
    <n v="10"/>
    <n v="8.5"/>
    <n v="4.6816028266281222E-2"/>
    <n v="0.87230769230769223"/>
    <n v="0.59997590941941703"/>
    <n v="0.85730769230769222"/>
    <s v="7 kidneys + 1 liver + 1 heart "/>
    <m/>
    <m/>
    <m/>
    <m/>
    <m/>
    <n v="14"/>
    <m/>
    <n v="15"/>
  </r>
  <r>
    <x v="794"/>
    <x v="0"/>
    <m/>
    <x v="0"/>
    <n v="59"/>
    <n v="53"/>
    <n v="6"/>
    <s v="4 c. bovis in the heart + 2 older than 3 years "/>
    <n v="22823"/>
    <n v="21118"/>
    <n v="1705"/>
    <x v="959"/>
    <n v="387"/>
    <n v="430.62264150943395"/>
    <n v="398.45283018867923"/>
    <n v="32.169811320754718"/>
    <n v="258.35283018867926"/>
    <n v="7.3018867924528301"/>
    <n v="25"/>
    <n v="0"/>
    <n v="49.452830188679243"/>
    <n v="10"/>
    <n v="8.5"/>
    <n v="7.4705341103273024E-2"/>
    <n v="0.99452830188679242"/>
    <n v="0.5999518030057398"/>
    <n v="0.92952830188679247"/>
    <s v="1 Forequarter"/>
    <m/>
    <m/>
    <m/>
    <m/>
    <m/>
    <n v="14"/>
    <m/>
    <n v="2969"/>
  </r>
  <r>
    <x v="795"/>
    <x v="0"/>
    <m/>
    <x v="14"/>
    <n v="21"/>
    <n v="21"/>
    <n v="0"/>
    <m/>
    <n v="9865"/>
    <n v="9585"/>
    <n v="280"/>
    <x v="960"/>
    <n v="186"/>
    <n v="469.76190476190476"/>
    <n v="456.42857142857144"/>
    <n v="13.333333333333334"/>
    <n v="283.71428571428572"/>
    <n v="8.8571428571428577"/>
    <n v="25"/>
    <n v="0"/>
    <n v="48.857142857142854"/>
    <n v="10"/>
    <n v="8.5"/>
    <n v="2.838317283324886E-2"/>
    <n v="0.98857142857142855"/>
    <n v="0.603953370501774"/>
    <n v="0.9235714285714286"/>
    <s v="1 liver "/>
    <m/>
    <m/>
    <m/>
    <m/>
    <m/>
    <n v="12"/>
    <m/>
    <n v="10"/>
  </r>
  <r>
    <x v="796"/>
    <x v="1"/>
    <m/>
    <x v="1"/>
    <n v="20"/>
    <n v="20"/>
    <n v="0"/>
    <m/>
    <n v="1111"/>
    <n v="1079"/>
    <n v="32"/>
    <x v="961"/>
    <m/>
    <n v="55.55"/>
    <n v="53.95"/>
    <n v="1.6"/>
    <n v="32.299999999999997"/>
    <n v="0"/>
    <n v="25"/>
    <n v="0"/>
    <n v="46.913043478260867"/>
    <n v="10"/>
    <n v="8.5"/>
    <n v="2.8802880288028805E-2"/>
    <n v="0.96913043478260863"/>
    <n v="0.58145814581458144"/>
    <n v="0.90413043478260879"/>
    <s v="3 livers +  2 omentums + 2 kidneys + 1 heart "/>
    <m/>
    <m/>
    <m/>
    <m/>
    <m/>
    <n v="0"/>
    <m/>
    <n v="9"/>
  </r>
  <r>
    <x v="796"/>
    <x v="0"/>
    <m/>
    <x v="14"/>
    <n v="42"/>
    <n v="42"/>
    <n v="0"/>
    <m/>
    <n v="21000"/>
    <n v="20550"/>
    <n v="450"/>
    <x v="962"/>
    <n v="510"/>
    <n v="500"/>
    <n v="489.28571428571428"/>
    <n v="10.714285714285714"/>
    <n v="306.93333333333334"/>
    <n v="12.142857142857142"/>
    <n v="25"/>
    <n v="0"/>
    <n v="49.69047619047619"/>
    <n v="10"/>
    <n v="8.5"/>
    <n v="2.1428571428571429E-2"/>
    <n v="0.99690476190476196"/>
    <n v="0.61386666666666667"/>
    <n v="0.9319047619047619"/>
    <s v="1 kidney"/>
    <m/>
    <m/>
    <m/>
    <m/>
    <m/>
    <n v="14"/>
    <m/>
    <n v="5"/>
  </r>
  <r>
    <x v="797"/>
    <x v="0"/>
    <m/>
    <x v="5"/>
    <n v="37"/>
    <n v="36"/>
    <n v="1"/>
    <s v="1 c. bovis in the heart "/>
    <n v="20182"/>
    <n v="19413"/>
    <n v="769"/>
    <x v="963"/>
    <n v="217"/>
    <n v="560.61111111111109"/>
    <n v="539.25"/>
    <n v="21.361111111111111"/>
    <n v="350.93611111111113"/>
    <n v="6.0277777777777777"/>
    <n v="25"/>
    <n v="0"/>
    <n v="49.5"/>
    <n v="10"/>
    <n v="8.5"/>
    <n v="3.8103260330988008E-2"/>
    <n v="0.995"/>
    <n v="0.62598850460806665"/>
    <n v="0.93"/>
    <s v="1 liver + 2 kidneys "/>
    <m/>
    <m/>
    <m/>
    <m/>
    <m/>
    <n v="0"/>
    <m/>
    <n v="577"/>
  </r>
  <r>
    <x v="798"/>
    <x v="1"/>
    <m/>
    <x v="0"/>
    <n v="21"/>
    <n v="21"/>
    <n v="0"/>
    <m/>
    <n v="1182"/>
    <n v="1135"/>
    <n v="47"/>
    <x v="964"/>
    <m/>
    <n v="56.285714285714285"/>
    <n v="54.047619047619051"/>
    <n v="2.2380952380952381"/>
    <n v="31.61904761904762"/>
    <n v="0"/>
    <n v="25"/>
    <n v="0"/>
    <n v="49.428571428571431"/>
    <n v="10"/>
    <n v="8.5"/>
    <n v="3.976311336717428E-2"/>
    <n v="0.99428571428571433"/>
    <n v="0.56175972927241957"/>
    <n v="0.92928571428571427"/>
    <m/>
    <m/>
    <m/>
    <m/>
    <m/>
    <m/>
    <n v="0"/>
    <m/>
    <n v="3"/>
  </r>
  <r>
    <x v="798"/>
    <x v="0"/>
    <m/>
    <x v="0"/>
    <n v="45"/>
    <n v="41"/>
    <n v="4"/>
    <s v="4 AB residues "/>
    <n v="17600"/>
    <n v="16410"/>
    <n v="1190"/>
    <x v="965"/>
    <n v="338"/>
    <n v="429.26829268292681"/>
    <n v="400.2439024390244"/>
    <n v="29.024390243902438"/>
    <n v="257.54878048780489"/>
    <n v="8.2439024390243905"/>
    <n v="24.878048780487806"/>
    <n v="0"/>
    <n v="46.780487804878049"/>
    <n v="10"/>
    <n v="8.5"/>
    <n v="6.7613636363636362E-2"/>
    <n v="0.96536585365853655"/>
    <n v="0.59997159090909091"/>
    <n v="0.90158536585365856"/>
    <s v="1 kidney"/>
    <m/>
    <m/>
    <m/>
    <m/>
    <m/>
    <n v="26"/>
    <m/>
    <n v="1739"/>
  </r>
  <r>
    <x v="799"/>
    <x v="0"/>
    <m/>
    <x v="5"/>
    <n v="27"/>
    <n v="27"/>
    <n v="0"/>
    <m/>
    <n v="14770"/>
    <n v="14110"/>
    <n v="660"/>
    <x v="966"/>
    <n v="151"/>
    <n v="547.03703703703707"/>
    <n v="522.59259259259261"/>
    <n v="24.444444444444443"/>
    <n v="342.31481481481484"/>
    <n v="5.5925925925925926"/>
    <n v="25"/>
    <n v="0"/>
    <n v="49.370370370370367"/>
    <n v="10"/>
    <n v="8.5"/>
    <n v="4.4685172647257951E-2"/>
    <n v="0.99370370370370364"/>
    <n v="0.62576167907921465"/>
    <n v="0.9287037037037037"/>
    <s v="1 kidney + 1 testicle "/>
    <m/>
    <m/>
    <m/>
    <m/>
    <m/>
    <n v="0"/>
    <m/>
    <n v="15"/>
  </r>
  <r>
    <x v="800"/>
    <x v="0"/>
    <m/>
    <x v="14"/>
    <n v="48"/>
    <n v="48"/>
    <n v="0"/>
    <m/>
    <n v="23500"/>
    <n v="22775"/>
    <n v="725"/>
    <x v="967"/>
    <n v="492"/>
    <n v="489.58333333333331"/>
    <n v="474.47916666666669"/>
    <n v="15.104166666666666"/>
    <n v="294.88541666666669"/>
    <n v="10.25"/>
    <n v="25"/>
    <n v="0"/>
    <n v="49.214285714285715"/>
    <n v="10"/>
    <n v="8.5"/>
    <n v="3.0851063829787233E-2"/>
    <n v="0.99214285714285722"/>
    <n v="0.60231914893617022"/>
    <n v="0.92714285714285727"/>
    <s v="1 liver + 6 kidneys + 1 heart "/>
    <m/>
    <m/>
    <m/>
    <m/>
    <m/>
    <n v="21"/>
    <m/>
    <n v="15"/>
  </r>
  <r>
    <x v="801"/>
    <x v="0"/>
    <m/>
    <x v="5"/>
    <n v="42"/>
    <n v="39"/>
    <n v="3"/>
    <s v="3 c. bovis in their hearts "/>
    <n v="16537"/>
    <n v="15916"/>
    <n v="621"/>
    <x v="968"/>
    <n v="348"/>
    <n v="424.02564102564105"/>
    <n v="408.10256410256409"/>
    <n v="15.923076923076923"/>
    <n v="260.91025641025641"/>
    <n v="8.9230769230769234"/>
    <n v="25"/>
    <n v="0"/>
    <n v="46.384615384615387"/>
    <n v="10"/>
    <n v="8.5"/>
    <n v="3.7552155771905425E-2"/>
    <n v="0.9638461538461538"/>
    <n v="0.61531716756364518"/>
    <n v="0.89884615384615385"/>
    <s v="1 hindquarter + 1 liver + 4 kidneys + 1 head"/>
    <m/>
    <m/>
    <m/>
    <m/>
    <m/>
    <n v="2"/>
    <m/>
    <n v="1348.5"/>
  </r>
  <r>
    <x v="802"/>
    <x v="1"/>
    <m/>
    <x v="0"/>
    <n v="21"/>
    <n v="21"/>
    <n v="0"/>
    <m/>
    <n v="1276.5"/>
    <n v="1230"/>
    <n v="46.5"/>
    <x v="969"/>
    <m/>
    <n v="60.785714285714285"/>
    <n v="58.571428571428569"/>
    <n v="2.2142857142857144"/>
    <n v="33.904761904761905"/>
    <n v="0"/>
    <n v="25"/>
    <n v="0"/>
    <n v="49.36363636363636"/>
    <n v="10"/>
    <n v="8.5"/>
    <n v="3.6427732079905996E-2"/>
    <n v="0.99363636363636365"/>
    <n v="0.5577751664708186"/>
    <n v="0.92863636363636359"/>
    <s v="1 liver  +  1 omentum"/>
    <m/>
    <m/>
    <m/>
    <m/>
    <m/>
    <n v="0"/>
    <m/>
    <n v="0"/>
  </r>
  <r>
    <x v="802"/>
    <x v="0"/>
    <m/>
    <x v="0"/>
    <n v="48"/>
    <n v="47"/>
    <n v="1"/>
    <s v="1 icteric carcass"/>
    <n v="21168"/>
    <n v="19413"/>
    <n v="1755"/>
    <x v="970"/>
    <n v="487"/>
    <n v="450.38297872340428"/>
    <n v="413.04255319148939"/>
    <n v="37.340425531914896"/>
    <n v="270.22340425531917"/>
    <n v="10.361702127659575"/>
    <n v="25"/>
    <n v="0"/>
    <n v="49.127659574468083"/>
    <n v="9.787234042553191"/>
    <n v="8.5"/>
    <n v="8.2908163265306117E-2"/>
    <n v="0.99127659574468086"/>
    <n v="0.59998582766439912"/>
    <n v="0.92414893617021276"/>
    <s v="1 heart + 1 lung + 2 heads + 1 kidney"/>
    <m/>
    <m/>
    <m/>
    <m/>
    <m/>
    <n v="21"/>
    <m/>
    <n v="415"/>
  </r>
  <r>
    <x v="803"/>
    <x v="0"/>
    <m/>
    <x v="9"/>
    <n v="28"/>
    <n v="28"/>
    <n v="0"/>
    <m/>
    <n v="13453"/>
    <n v="12843"/>
    <n v="610"/>
    <x v="971"/>
    <n v="286"/>
    <n v="480.46428571428572"/>
    <n v="458.67857142857144"/>
    <n v="21.785714285714285"/>
    <n v="288.26785714285717"/>
    <n v="10.214285714285714"/>
    <n v="25"/>
    <n v="0"/>
    <n v="49.285714285714285"/>
    <n v="10"/>
    <n v="8.5"/>
    <n v="4.5343046160707647E-2"/>
    <n v="0.99285714285714288"/>
    <n v="0.59997770014123242"/>
    <n v="0.92785714285714282"/>
    <m/>
    <m/>
    <m/>
    <m/>
    <m/>
    <m/>
    <n v="15"/>
    <m/>
    <n v="3"/>
  </r>
  <r>
    <x v="804"/>
    <x v="0"/>
    <m/>
    <x v="14"/>
    <n v="55"/>
    <n v="51"/>
    <n v="4"/>
    <s v="3 c. bovis in their hearts + 1 AB residues "/>
    <n v="24754"/>
    <n v="24019"/>
    <n v="735"/>
    <x v="972"/>
    <n v="529"/>
    <n v="485.37254901960785"/>
    <n v="470.96078431372547"/>
    <n v="14.411764705882353"/>
    <n v="291.20588235294116"/>
    <n v="10.372549019607844"/>
    <n v="25"/>
    <n v="0"/>
    <n v="45.2156862745098"/>
    <n v="10"/>
    <n v="8.5"/>
    <n v="2.9692170962268723E-2"/>
    <n v="0.95215686274509803"/>
    <n v="0.59996364223963805"/>
    <n v="0.88715686274509808"/>
    <s v="2 kidneys"/>
    <m/>
    <m/>
    <m/>
    <m/>
    <m/>
    <n v="28"/>
    <m/>
    <n v="1867"/>
  </r>
  <r>
    <x v="805"/>
    <x v="0"/>
    <m/>
    <x v="5"/>
    <n v="44"/>
    <n v="43"/>
    <n v="1"/>
    <s v="1 c. bovis in the heart "/>
    <n v="19792"/>
    <n v="19114"/>
    <n v="678"/>
    <x v="973"/>
    <n v="413"/>
    <n v="460.27906976744185"/>
    <n v="444.51162790697674"/>
    <n v="15.767441860465116"/>
    <n v="284.90697674418607"/>
    <n v="9.604651162790697"/>
    <n v="25"/>
    <n v="0"/>
    <n v="48.126416219439477"/>
    <n v="10"/>
    <n v="8.5"/>
    <n v="3.4256265157639451E-2"/>
    <n v="0.98126416219439472"/>
    <n v="0.61898746968472107"/>
    <n v="0.91626416219439477"/>
    <s v="4 kidneys "/>
    <m/>
    <m/>
    <m/>
    <m/>
    <m/>
    <n v="15"/>
    <m/>
    <n v="399"/>
  </r>
  <r>
    <x v="806"/>
    <x v="0"/>
    <m/>
    <x v="0"/>
    <n v="30"/>
    <n v="23"/>
    <n v="7"/>
    <s v="7 carcasses due to presence of antibiotic residues"/>
    <n v="10748"/>
    <n v="10748"/>
    <n v="0"/>
    <x v="974"/>
    <n v="237"/>
    <n v="467.30434782608694"/>
    <n v="467.30434782608694"/>
    <n v="0"/>
    <n v="280.36956521739131"/>
    <n v="10.304347826086957"/>
    <n v="25"/>
    <n v="0"/>
    <n v="46.222016651248843"/>
    <n v="10"/>
    <n v="8.5"/>
    <n v="0"/>
    <n v="0.96222016651248843"/>
    <n v="0.59997208783029399"/>
    <n v="0.89722016651248848"/>
    <s v="2 kidneys"/>
    <m/>
    <m/>
    <m/>
    <m/>
    <m/>
    <n v="10"/>
    <m/>
    <n v="3316"/>
  </r>
  <r>
    <x v="806"/>
    <x v="0"/>
    <m/>
    <x v="23"/>
    <n v="24"/>
    <n v="24"/>
    <n v="0"/>
    <m/>
    <n v="11782.5"/>
    <n v="11782.5"/>
    <n v="0"/>
    <x v="975"/>
    <n v="0"/>
    <n v="490.9375"/>
    <n v="490.9375"/>
    <n v="0"/>
    <n v="307.00833333333333"/>
    <n v="0"/>
    <n v="25"/>
    <n v="5"/>
    <n v="49.125"/>
    <n v="10"/>
    <n v="8.5"/>
    <n v="0"/>
    <n v="0.99124999999999996"/>
    <n v="0.62535115637598127"/>
    <n v="0.97624999999999995"/>
    <s v="2 liver + 2 kidneys "/>
    <m/>
    <m/>
    <m/>
    <m/>
    <m/>
    <n v="0"/>
    <m/>
    <n v="0"/>
  </r>
  <r>
    <x v="807"/>
    <x v="0"/>
    <m/>
    <x v="9"/>
    <n v="38"/>
    <n v="37"/>
    <n v="1"/>
    <s v="1 carcass due to presence of c. bovis in the heart "/>
    <n v="17648"/>
    <n v="16943"/>
    <n v="705"/>
    <x v="976"/>
    <n v="302"/>
    <n v="476.97297297297297"/>
    <n v="457.91891891891891"/>
    <n v="19.054054054054053"/>
    <n v="286.17567567567568"/>
    <n v="8.1621621621621614"/>
    <n v="25"/>
    <n v="0"/>
    <n v="49.027027027027032"/>
    <n v="10"/>
    <n v="8.5"/>
    <n v="3.9947869446962825E-2"/>
    <n v="0.99027027027027037"/>
    <n v="0.59998300090661827"/>
    <n v="0.92527027027027031"/>
    <s v="1 liver + 2 kidneys"/>
    <m/>
    <m/>
    <m/>
    <m/>
    <m/>
    <n v="24"/>
    <m/>
    <n v="482"/>
  </r>
  <r>
    <x v="808"/>
    <x v="0"/>
    <m/>
    <x v="14"/>
    <n v="56"/>
    <n v="55"/>
    <n v="1"/>
    <s v="1 carcass due to presence of c. bovis in the heart."/>
    <n v="27553"/>
    <n v="26520"/>
    <n v="1033"/>
    <x v="977"/>
    <n v="599"/>
    <n v="500.96363636363634"/>
    <n v="482.18181818181819"/>
    <n v="18.781818181818181"/>
    <n v="300.55454545454546"/>
    <n v="10.890909090909091"/>
    <n v="25"/>
    <n v="0"/>
    <n v="49.618181818181817"/>
    <n v="9.9090909090909101"/>
    <n v="8.5"/>
    <n v="3.7491380248974707E-2"/>
    <n v="0.99618181818181817"/>
    <n v="0.5999528182049142"/>
    <n v="0.93027272727272736"/>
    <s v="1 liver + 2 kidneys + 1 heart "/>
    <m/>
    <m/>
    <m/>
    <m/>
    <m/>
    <n v="21"/>
    <m/>
    <n v="516"/>
  </r>
  <r>
    <x v="809"/>
    <x v="0"/>
    <m/>
    <x v="5"/>
    <n v="45"/>
    <n v="40"/>
    <n v="5"/>
    <s v="5 carcasses due to presence of c. bovis in their hearts."/>
    <n v="17726"/>
    <n v="16618"/>
    <n v="1108"/>
    <x v="978"/>
    <n v="346"/>
    <n v="443.15"/>
    <n v="415.45"/>
    <n v="27.7"/>
    <n v="269.98500000000001"/>
    <n v="8.65"/>
    <n v="25"/>
    <n v="0"/>
    <n v="47.976190476190474"/>
    <n v="9.8809523809523796"/>
    <n v="8.5"/>
    <n v="6.2507051788333517E-2"/>
    <n v="0.97976190476190472"/>
    <n v="0.60924066343224637"/>
    <n v="0.91357142857142859"/>
    <m/>
    <m/>
    <m/>
    <m/>
    <m/>
    <m/>
    <n v="0"/>
    <m/>
    <n v="2146"/>
  </r>
  <r>
    <x v="810"/>
    <x v="0"/>
    <m/>
    <x v="23"/>
    <n v="24"/>
    <n v="24"/>
    <n v="0"/>
    <m/>
    <n v="11441"/>
    <n v="11441"/>
    <n v="0"/>
    <x v="979"/>
    <n v="0"/>
    <n v="476.70833333333331"/>
    <n v="476.70833333333331"/>
    <n v="0"/>
    <n v="296.95416666666665"/>
    <n v="0"/>
    <n v="25"/>
    <n v="5"/>
    <n v="49.416666666666671"/>
    <n v="9.7916666666666679"/>
    <n v="8.5"/>
    <n v="0"/>
    <n v="0.99416666666666664"/>
    <n v="0.62292631762957784"/>
    <n v="0.97708333333333341"/>
    <s v="1 liver + 1 heart"/>
    <m/>
    <m/>
    <m/>
    <m/>
    <m/>
    <n v="0"/>
    <m/>
    <n v="0"/>
  </r>
  <r>
    <x v="811"/>
    <x v="0"/>
    <m/>
    <x v="0"/>
    <n v="30"/>
    <n v="30"/>
    <n v="0"/>
    <m/>
    <n v="12725"/>
    <n v="11985"/>
    <n v="740"/>
    <x v="980"/>
    <n v="226"/>
    <n v="424.16666666666669"/>
    <n v="399.5"/>
    <n v="24.666666666666668"/>
    <n v="254.48666666666668"/>
    <n v="7.5333333333333332"/>
    <n v="25"/>
    <n v="0"/>
    <n v="49.766666666666666"/>
    <n v="10"/>
    <n v="8.5"/>
    <n v="5.8153241650294694E-2"/>
    <n v="0.9976666666666667"/>
    <n v="0.59996856581532421"/>
    <n v="0.93266666666666664"/>
    <m/>
    <m/>
    <m/>
    <m/>
    <m/>
    <m/>
    <n v="4"/>
    <m/>
    <n v="4"/>
  </r>
  <r>
    <x v="812"/>
    <x v="0"/>
    <m/>
    <x v="9"/>
    <n v="30"/>
    <n v="29"/>
    <n v="1"/>
    <s v="1 bull older than 3 years."/>
    <n v="15170"/>
    <n v="14765"/>
    <n v="405"/>
    <x v="981"/>
    <n v="332"/>
    <n v="523.10344827586209"/>
    <n v="509.13793103448273"/>
    <n v="13.96551724137931"/>
    <n v="313.86551724137934"/>
    <n v="11.448275862068966"/>
    <n v="25"/>
    <n v="0"/>
    <n v="48.837438423645317"/>
    <n v="10"/>
    <n v="8.5"/>
    <n v="2.6697429136453524E-2"/>
    <n v="0.98837438423645319"/>
    <n v="0.60000659195781147"/>
    <n v="0.92337438423645324"/>
    <s v="1 lung"/>
    <m/>
    <m/>
    <m/>
    <m/>
    <m/>
    <n v="10"/>
    <m/>
    <n v="543"/>
  </r>
  <r>
    <x v="813"/>
    <x v="0"/>
    <m/>
    <x v="14"/>
    <n v="45"/>
    <n v="45"/>
    <n v="0"/>
    <m/>
    <n v="22760"/>
    <n v="22110"/>
    <n v="650"/>
    <x v="982"/>
    <n v="479"/>
    <n v="505.77777777777777"/>
    <n v="491.33333333333331"/>
    <n v="14.444444444444445"/>
    <n v="309.04666666666668"/>
    <n v="10.644444444444444"/>
    <n v="25"/>
    <n v="0"/>
    <n v="47.733333333333334"/>
    <n v="9.7777777777777786"/>
    <n v="8.5"/>
    <n v="2.8558875219683658E-2"/>
    <n v="0.97733333333333339"/>
    <n v="0.61103251318101937"/>
    <n v="0.9101111111111112"/>
    <s v="1 lung"/>
    <m/>
    <m/>
    <m/>
    <m/>
    <m/>
    <n v="17"/>
    <m/>
    <n v="7"/>
  </r>
  <r>
    <x v="814"/>
    <x v="0"/>
    <m/>
    <x v="5"/>
    <n v="32"/>
    <n v="31"/>
    <n v="1"/>
    <s v="1 carcass due to presence of c. bovis in the heart."/>
    <n v="14202"/>
    <n v="13619"/>
    <n v="583"/>
    <x v="983"/>
    <n v="305"/>
    <n v="458.12903225806451"/>
    <n v="439.32258064516128"/>
    <n v="18.806451612903224"/>
    <n v="287.65483870967739"/>
    <n v="9.8387096774193541"/>
    <n v="25"/>
    <n v="0"/>
    <n v="49.612903225806448"/>
    <n v="10"/>
    <n v="8.5"/>
    <n v="4.1050556259681729E-2"/>
    <n v="0.99612903225806448"/>
    <n v="0.62789043796648358"/>
    <n v="0.93112903225806454"/>
    <s v="2 kidneys "/>
    <m/>
    <m/>
    <m/>
    <m/>
    <m/>
    <n v="2"/>
    <m/>
    <n v="467"/>
  </r>
  <r>
    <x v="815"/>
    <x v="0"/>
    <m/>
    <x v="0"/>
    <n v="20"/>
    <n v="20"/>
    <n v="0"/>
    <m/>
    <n v="9047"/>
    <n v="8760"/>
    <n v="287"/>
    <x v="984"/>
    <n v="147"/>
    <n v="452.35"/>
    <n v="438"/>
    <n v="14.35"/>
    <n v="271.41999999999996"/>
    <n v="7.35"/>
    <n v="25"/>
    <n v="0"/>
    <n v="49.3"/>
    <n v="10"/>
    <n v="8.5"/>
    <n v="3.1723223167900959E-2"/>
    <n v="0.99299999999999999"/>
    <n v="0.60002210677572676"/>
    <n v="0.92799999999999994"/>
    <s v="3 kidneys "/>
    <m/>
    <m/>
    <m/>
    <m/>
    <m/>
    <n v="6"/>
    <m/>
    <n v="2"/>
  </r>
  <r>
    <x v="815"/>
    <x v="0"/>
    <m/>
    <x v="23"/>
    <n v="25"/>
    <n v="25"/>
    <n v="0"/>
    <m/>
    <n v="12196"/>
    <n v="12196"/>
    <n v="0"/>
    <x v="985"/>
    <n v="0"/>
    <n v="487.84"/>
    <n v="487.84"/>
    <n v="0"/>
    <n v="297.17200000000003"/>
    <n v="0"/>
    <n v="25"/>
    <n v="5"/>
    <n v="49.24"/>
    <n v="9.8000000000000007"/>
    <n v="8.5"/>
    <n v="0"/>
    <n v="0.99239999999999995"/>
    <n v="0.60915874057067898"/>
    <n v="0.97540000000000004"/>
    <s v="1 head + 1 liver "/>
    <m/>
    <m/>
    <m/>
    <m/>
    <m/>
    <n v="0"/>
    <m/>
    <n v="0"/>
  </r>
  <r>
    <x v="816"/>
    <x v="0"/>
    <m/>
    <x v="5"/>
    <n v="39"/>
    <n v="38"/>
    <n v="1"/>
    <s v="1 carcass due to presence of c. bovis in the heart."/>
    <n v="17695"/>
    <n v="16825"/>
    <n v="870"/>
    <x v="986"/>
    <n v="408"/>
    <n v="465.65789473684208"/>
    <n v="442.76315789473682"/>
    <n v="22.894736842105264"/>
    <n v="282.7421052631579"/>
    <n v="10.736842105263158"/>
    <n v="25"/>
    <n v="0"/>
    <n v="49.39473684210526"/>
    <n v="10"/>
    <n v="8.5"/>
    <n v="4.9166431195252901E-2"/>
    <n v="0.99394736842105258"/>
    <n v="0.60718847131958187"/>
    <n v="0.92894736842105263"/>
    <s v="4 kidneys +  1 heart "/>
    <m/>
    <m/>
    <m/>
    <m/>
    <m/>
    <n v="5"/>
    <m/>
    <n v="455"/>
  </r>
  <r>
    <x v="817"/>
    <x v="0"/>
    <m/>
    <x v="5"/>
    <n v="50"/>
    <n v="48"/>
    <n v="2"/>
    <s v="2 carcasses due to presence of c. bovis in their hearts."/>
    <n v="21732"/>
    <n v="20381"/>
    <n v="1351"/>
    <x v="987"/>
    <n v="448"/>
    <n v="452.75"/>
    <n v="424.60416666666669"/>
    <n v="28.145833333333332"/>
    <n v="275.51875000000001"/>
    <n v="9.3333333333333339"/>
    <n v="25"/>
    <n v="0"/>
    <n v="48.645833333333336"/>
    <n v="10"/>
    <n v="8.5"/>
    <n v="6.2166390576108961E-2"/>
    <n v="0.98645833333333344"/>
    <n v="0.60854500276090551"/>
    <n v="0.92145833333333338"/>
    <s v="1 liver + 1 lung + 4 kidneys "/>
    <m/>
    <m/>
    <m/>
    <m/>
    <m/>
    <n v="4"/>
    <m/>
    <n v="894"/>
  </r>
  <r>
    <x v="818"/>
    <x v="0"/>
    <m/>
    <x v="14"/>
    <n v="37"/>
    <n v="37"/>
    <n v="0"/>
    <m/>
    <n v="17065"/>
    <n v="16470"/>
    <n v="595"/>
    <x v="988"/>
    <n v="335"/>
    <n v="461.2162162162162"/>
    <n v="445.13513513513516"/>
    <n v="16.081081081081081"/>
    <n v="276.73513513513518"/>
    <n v="9.0540540540540544"/>
    <n v="25"/>
    <n v="0"/>
    <n v="49.945945945945951"/>
    <n v="10"/>
    <n v="8.5"/>
    <n v="3.48666861998242E-2"/>
    <n v="0.99945945945945946"/>
    <n v="0.60001171989452096"/>
    <n v="0.93445945945945952"/>
    <m/>
    <m/>
    <m/>
    <m/>
    <m/>
    <m/>
    <n v="11"/>
    <m/>
    <n v="3"/>
  </r>
  <r>
    <x v="819"/>
    <x v="0"/>
    <m/>
    <x v="23"/>
    <n v="50"/>
    <n v="50"/>
    <n v="0"/>
    <m/>
    <n v="23747"/>
    <n v="23747"/>
    <n v="0"/>
    <x v="989"/>
    <m/>
    <n v="474.94"/>
    <n v="474.94"/>
    <n v="0"/>
    <n v="296.46600000000001"/>
    <n v="0"/>
    <n v="25"/>
    <n v="5"/>
    <n v="49.440000000000005"/>
    <n v="10"/>
    <n v="8.5"/>
    <n v="0"/>
    <n v="0.99440000000000006"/>
    <n v="0.62421779593211768"/>
    <n v="0.97939999999999994"/>
    <s v="1 liver + 1 heart"/>
    <m/>
    <m/>
    <m/>
    <m/>
    <m/>
    <n v="0"/>
    <m/>
    <n v="0"/>
  </r>
  <r>
    <x v="820"/>
    <x v="0"/>
    <m/>
    <x v="0"/>
    <n v="30"/>
    <n v="30"/>
    <n v="0"/>
    <m/>
    <n v="13620"/>
    <n v="12710"/>
    <n v="910"/>
    <x v="990"/>
    <n v="292"/>
    <n v="454"/>
    <n v="423.66666666666669"/>
    <n v="30.333333333333332"/>
    <n v="272.38666666666666"/>
    <n v="9.7333333333333325"/>
    <n v="25"/>
    <n v="0"/>
    <n v="49.333333333333336"/>
    <n v="10"/>
    <n v="8.5"/>
    <n v="6.681350954478707E-2"/>
    <n v="0.9933333333333334"/>
    <n v="0.5999706314243759"/>
    <n v="0.92833333333333345"/>
    <s v="1 single testicle"/>
    <m/>
    <m/>
    <m/>
    <m/>
    <m/>
    <n v="11"/>
    <m/>
    <n v="3"/>
  </r>
  <r>
    <x v="821"/>
    <x v="0"/>
    <m/>
    <x v="14"/>
    <n v="37"/>
    <n v="36"/>
    <n v="1"/>
    <s v="1 bull older than 3 years."/>
    <n v="17435"/>
    <n v="16510"/>
    <n v="925"/>
    <x v="991"/>
    <n v="383"/>
    <n v="484.30555555555554"/>
    <n v="458.61111111111109"/>
    <n v="25.694444444444443"/>
    <n v="292.04166666666669"/>
    <n v="10.638888888888889"/>
    <n v="25"/>
    <n v="0"/>
    <n v="50"/>
    <n v="10"/>
    <n v="8.5"/>
    <n v="5.3054201319185541E-2"/>
    <n v="1"/>
    <n v="0.60301118439919699"/>
    <n v="0.93500000000000005"/>
    <m/>
    <m/>
    <m/>
    <m/>
    <m/>
    <m/>
    <n v="16"/>
    <m/>
    <n v="460"/>
  </r>
  <r>
    <x v="821"/>
    <x v="0"/>
    <m/>
    <x v="5"/>
    <n v="16"/>
    <n v="16"/>
    <n v="0"/>
    <m/>
    <n v="7536"/>
    <n v="6960"/>
    <n v="576"/>
    <x v="992"/>
    <n v="163"/>
    <n v="471"/>
    <n v="435"/>
    <n v="36"/>
    <n v="289.89999999999998"/>
    <n v="10.1875"/>
    <n v="25"/>
    <n v="0"/>
    <n v="48.1875"/>
    <n v="10"/>
    <n v="8.5"/>
    <n v="7.6433121019108277E-2"/>
    <n v="0.98187500000000005"/>
    <n v="0.61549893842887471"/>
    <n v="0.916875"/>
    <s v="4 kidneys "/>
    <m/>
    <m/>
    <m/>
    <m/>
    <m/>
    <n v="0"/>
    <m/>
    <n v="10"/>
  </r>
  <r>
    <x v="822"/>
    <x v="0"/>
    <m/>
    <x v="23"/>
    <n v="26"/>
    <n v="26"/>
    <n v="0"/>
    <m/>
    <n v="11900"/>
    <n v="11900"/>
    <n v="0"/>
    <x v="993"/>
    <m/>
    <n v="457.69230769230768"/>
    <n v="457.69230769230768"/>
    <n v="0"/>
    <n v="285.41153846153844"/>
    <n v="0"/>
    <n v="25"/>
    <n v="5"/>
    <n v="50"/>
    <n v="10"/>
    <n v="8.5"/>
    <n v="0"/>
    <n v="1"/>
    <n v="0.62358823529411767"/>
    <n v="0.98499999999999999"/>
    <m/>
    <m/>
    <m/>
    <m/>
    <m/>
    <m/>
    <n v="0"/>
    <m/>
    <n v="0"/>
  </r>
  <r>
    <x v="823"/>
    <x v="0"/>
    <m/>
    <x v="14"/>
    <n v="26"/>
    <n v="26"/>
    <n v="0"/>
    <m/>
    <n v="12927"/>
    <n v="12305"/>
    <n v="622"/>
    <x v="994"/>
    <n v="300"/>
    <n v="497.19230769230768"/>
    <n v="473.26923076923077"/>
    <n v="23.923076923076923"/>
    <n v="298.3"/>
    <n v="11.538461538461538"/>
    <n v="25"/>
    <n v="0"/>
    <n v="49.730769230769226"/>
    <n v="10"/>
    <n v="8.5"/>
    <n v="4.8116345633170882E-2"/>
    <n v="0.99730769230769223"/>
    <n v="0.59996905701245462"/>
    <n v="0.93230769230769228"/>
    <s v="2 kidneys "/>
    <m/>
    <m/>
    <m/>
    <m/>
    <m/>
    <n v="13"/>
    <m/>
    <n v="2"/>
  </r>
  <r>
    <x v="824"/>
    <x v="0"/>
    <m/>
    <x v="5"/>
    <n v="50"/>
    <n v="47"/>
    <n v="3"/>
    <s v="3 carcasses due to presence of c. bovis in their hearts"/>
    <n v="21695"/>
    <n v="20786"/>
    <n v="909"/>
    <x v="995"/>
    <n v="419"/>
    <n v="461.59574468085106"/>
    <n v="442.25531914893617"/>
    <n v="19.340425531914892"/>
    <n v="283.94468085106382"/>
    <n v="8.914893617021276"/>
    <n v="25"/>
    <n v="0"/>
    <n v="49.276595744680854"/>
    <n v="10"/>
    <n v="8.5"/>
    <n v="4.1899055081816086E-2"/>
    <n v="0.99276595744680862"/>
    <n v="0.61513712837059231"/>
    <n v="0.92776595744680856"/>
    <s v="1 liver +  2 kidneys "/>
    <m/>
    <m/>
    <m/>
    <m/>
    <m/>
    <n v="9"/>
    <m/>
    <n v="1442"/>
  </r>
  <r>
    <x v="825"/>
    <x v="0"/>
    <m/>
    <x v="9"/>
    <n v="16"/>
    <n v="16"/>
    <n v="0"/>
    <m/>
    <n v="8113"/>
    <n v="7920"/>
    <n v="193"/>
    <x v="996"/>
    <n v="175"/>
    <n v="507.0625"/>
    <n v="495"/>
    <n v="12.0625"/>
    <n v="304.21249999999998"/>
    <n v="10.9375"/>
    <n v="25"/>
    <n v="0"/>
    <n v="50"/>
    <n v="10"/>
    <n v="8.5"/>
    <n v="2.3788980648342166E-2"/>
    <n v="1"/>
    <n v="0.59995069641316401"/>
    <n v="0.93500000000000005"/>
    <m/>
    <m/>
    <m/>
    <m/>
    <m/>
    <m/>
    <n v="7"/>
    <m/>
    <n v="0"/>
  </r>
  <r>
    <x v="825"/>
    <x v="0"/>
    <m/>
    <x v="5"/>
    <n v="21"/>
    <n v="20"/>
    <n v="1"/>
    <s v="1 carcass due to presence of c. bovis in the heart"/>
    <n v="8606"/>
    <n v="8241"/>
    <n v="365"/>
    <x v="997"/>
    <n v="184"/>
    <n v="430.3"/>
    <n v="412.05"/>
    <n v="18.25"/>
    <n v="262.34000000000003"/>
    <n v="9.1999999999999993"/>
    <n v="25"/>
    <n v="0"/>
    <n v="48.05"/>
    <n v="10"/>
    <n v="8.5"/>
    <n v="4.2412270508947247E-2"/>
    <n v="0.98049999999999993"/>
    <n v="0.60966767371601216"/>
    <n v="0.91549999999999998"/>
    <s v="2 kidneys "/>
    <m/>
    <m/>
    <m/>
    <m/>
    <m/>
    <n v="0"/>
    <m/>
    <n v="439"/>
  </r>
  <r>
    <x v="826"/>
    <x v="0"/>
    <s v="Native "/>
    <x v="0"/>
    <n v="65"/>
    <n v="65"/>
    <n v="0"/>
    <m/>
    <n v="29219"/>
    <n v="27345"/>
    <n v="1874"/>
    <x v="998"/>
    <n v="583"/>
    <n v="449.52307692307693"/>
    <n v="420.69230769230768"/>
    <n v="28.830769230769231"/>
    <n v="269.69230769230768"/>
    <n v="8.9692307692307693"/>
    <n v="24.923076923076923"/>
    <n v="0"/>
    <n v="49.892307692307696"/>
    <n v="10"/>
    <n v="8.5"/>
    <n v="6.4136349635511139E-2"/>
    <n v="0.99738461538461542"/>
    <n v="0.59995208597145688"/>
    <n v="0.93315384615384611"/>
    <s v="1 liver "/>
    <m/>
    <m/>
    <m/>
    <m/>
    <m/>
    <n v="14"/>
    <m/>
    <n v="8"/>
  </r>
  <r>
    <x v="827"/>
    <x v="0"/>
    <s v="Native "/>
    <x v="14"/>
    <n v="43"/>
    <n v="41"/>
    <n v="2"/>
    <s v="2 c. bovis in their hearts"/>
    <n v="19251"/>
    <n v="18405"/>
    <n v="846"/>
    <x v="999"/>
    <n v="409"/>
    <n v="469.53658536585368"/>
    <n v="448.90243902439022"/>
    <n v="20.634146341463413"/>
    <n v="281.70000000000005"/>
    <n v="9.9756097560975618"/>
    <n v="25"/>
    <n v="0"/>
    <n v="49.195121951219519"/>
    <n v="10"/>
    <n v="8.5"/>
    <n v="4.3945769050958386E-2"/>
    <n v="0.99195121951219511"/>
    <n v="0.59995324918186077"/>
    <n v="0.92695121951219517"/>
    <s v="1 liver + 2 kidneys + 1 testicle"/>
    <m/>
    <m/>
    <m/>
    <m/>
    <m/>
    <n v="13"/>
    <m/>
    <n v="1008"/>
  </r>
  <r>
    <x v="828"/>
    <x v="0"/>
    <s v="Native "/>
    <x v="14"/>
    <n v="21"/>
    <n v="21"/>
    <n v="0"/>
    <m/>
    <n v="9971"/>
    <n v="9715"/>
    <n v="256"/>
    <x v="1000"/>
    <n v="218"/>
    <n v="474.8095238095238"/>
    <n v="462.61904761904759"/>
    <n v="12.19047619047619"/>
    <n v="284.88095238095241"/>
    <n v="10.380952380952381"/>
    <n v="25"/>
    <n v="0"/>
    <n v="50"/>
    <n v="10"/>
    <n v="8.5"/>
    <n v="2.5674455922174304E-2"/>
    <n v="1"/>
    <n v="0.59998997091565542"/>
    <n v="0.93500000000000005"/>
    <m/>
    <m/>
    <m/>
    <m/>
    <m/>
    <m/>
    <n v="13"/>
    <m/>
    <n v="0"/>
  </r>
  <r>
    <x v="829"/>
    <x v="0"/>
    <s v="Native "/>
    <x v="5"/>
    <n v="60"/>
    <n v="55"/>
    <n v="5"/>
    <s v="(5) c. bovis in 3 hearts and 2 heads."/>
    <n v="24125"/>
    <n v="23068"/>
    <n v="1057"/>
    <x v="1001"/>
    <n v="490"/>
    <n v="438.63636363636363"/>
    <n v="419.41818181818184"/>
    <n v="19.218181818181819"/>
    <n v="267.30363636363637"/>
    <n v="8.9090909090909083"/>
    <n v="24.90909090909091"/>
    <n v="0"/>
    <n v="48.199999999999996"/>
    <n v="10"/>
    <n v="8.5"/>
    <n v="4.3813471502590677E-2"/>
    <n v="0.98018181818181827"/>
    <n v="0.60939689119170992"/>
    <n v="0.91609090909090907"/>
    <s v="12 kidneys "/>
    <m/>
    <m/>
    <m/>
    <m/>
    <m/>
    <n v="7"/>
    <m/>
    <n v="2221"/>
  </r>
  <r>
    <x v="830"/>
    <x v="0"/>
    <s v="Native "/>
    <x v="9"/>
    <n v="44"/>
    <n v="42"/>
    <n v="2"/>
    <s v="2 Genelarized TB"/>
    <n v="21420"/>
    <n v="20843"/>
    <n v="577"/>
    <x v="1002"/>
    <n v="420"/>
    <n v="510"/>
    <n v="496.26190476190476"/>
    <n v="13.738095238095237"/>
    <n v="306.02380952380952"/>
    <n v="10"/>
    <n v="25"/>
    <n v="0"/>
    <n v="49.023809523809526"/>
    <n v="10"/>
    <n v="8.5"/>
    <n v="2.6937441643323994E-2"/>
    <n v="0.99023809523809525"/>
    <n v="0.60004668534080297"/>
    <n v="0.92523809523809519"/>
    <s v="1 liver + 1 head +  2 kidneys "/>
    <m/>
    <m/>
    <m/>
    <m/>
    <m/>
    <n v="13"/>
    <m/>
    <n v="1036"/>
  </r>
  <r>
    <x v="831"/>
    <x v="0"/>
    <s v="Native "/>
    <x v="0"/>
    <n v="56"/>
    <n v="55"/>
    <n v="1"/>
    <s v="1 c. bovis in muscles in hindquarter"/>
    <n v="24369"/>
    <n v="23380"/>
    <n v="989"/>
    <x v="1003"/>
    <n v="512"/>
    <n v="443.07272727272726"/>
    <n v="425.09090909090907"/>
    <n v="17.981818181818181"/>
    <n v="265.82727272727271"/>
    <n v="9.3090909090909086"/>
    <n v="23.363636363636363"/>
    <n v="0"/>
    <n v="49.527272727272724"/>
    <n v="10"/>
    <n v="8.5"/>
    <n v="4.0584348967951087E-2"/>
    <n v="0.96254545454545459"/>
    <n v="0.59996306783208175"/>
    <n v="0.91390909090909089"/>
    <s v="2 kidneys + 1 liver + 1 heart "/>
    <m/>
    <m/>
    <m/>
    <m/>
    <m/>
    <n v="23"/>
    <m/>
    <n v="442.5"/>
  </r>
  <r>
    <x v="832"/>
    <x v="0"/>
    <s v="Native "/>
    <x v="14"/>
    <n v="21"/>
    <n v="21"/>
    <n v="0"/>
    <m/>
    <n v="9340"/>
    <n v="9125"/>
    <n v="215"/>
    <x v="1004"/>
    <n v="193"/>
    <n v="444.76190476190476"/>
    <n v="434.52380952380952"/>
    <n v="10.238095238095237"/>
    <n v="266.87142857142857"/>
    <n v="9.1904761904761898"/>
    <n v="25"/>
    <n v="0"/>
    <n v="49.333333333333336"/>
    <n v="10"/>
    <n v="8.5"/>
    <n v="2.3019271948608134E-2"/>
    <n v="0.9933333333333334"/>
    <n v="0.60003211991434691"/>
    <n v="0.92833333333333345"/>
    <s v="1 liver + 1 lung"/>
    <m/>
    <m/>
    <m/>
    <m/>
    <m/>
    <n v="9"/>
    <m/>
    <n v="10"/>
  </r>
  <r>
    <x v="832"/>
    <x v="0"/>
    <s v="Native "/>
    <x v="5"/>
    <n v="25"/>
    <n v="25"/>
    <n v="0"/>
    <m/>
    <n v="10957"/>
    <n v="10370"/>
    <n v="587"/>
    <x v="1005"/>
    <n v="220"/>
    <n v="438.28"/>
    <n v="414.8"/>
    <n v="23.48"/>
    <n v="269.39999999999998"/>
    <n v="8.8000000000000007"/>
    <n v="24.8"/>
    <n v="0"/>
    <n v="49.360000000000007"/>
    <n v="10"/>
    <n v="8.5"/>
    <n v="5.3573058318882913E-2"/>
    <n v="0.98960000000000004"/>
    <n v="0.61467554987679107"/>
    <n v="0.92660000000000009"/>
    <s v="1 heart + 1 lung "/>
    <m/>
    <m/>
    <m/>
    <m/>
    <m/>
    <n v="4"/>
    <m/>
    <n v="0"/>
  </r>
  <r>
    <x v="833"/>
    <x v="0"/>
    <s v="Native "/>
    <x v="5"/>
    <n v="58"/>
    <n v="55"/>
    <n v="3"/>
    <s v="3 c. bovis in 2 heads and 1 heart."/>
    <n v="24412"/>
    <n v="23403"/>
    <n v="1009"/>
    <x v="1006"/>
    <n v="545"/>
    <n v="443.85454545454547"/>
    <n v="425.5090909090909"/>
    <n v="18.345454545454544"/>
    <n v="273.19090909090909"/>
    <n v="9.9090909090909083"/>
    <n v="25"/>
    <n v="0"/>
    <n v="49.36363636363636"/>
    <n v="10"/>
    <n v="8.5"/>
    <n v="4.1332131738489264E-2"/>
    <n v="0.99363636363636365"/>
    <n v="0.61549647714238898"/>
    <n v="0.92863636363636359"/>
    <s v="4 kidneys + 2 livers +1 heart"/>
    <m/>
    <m/>
    <m/>
    <m/>
    <m/>
    <n v="0"/>
    <m/>
    <n v="1347"/>
  </r>
  <r>
    <x v="834"/>
    <x v="0"/>
    <s v="Native "/>
    <x v="14"/>
    <n v="26"/>
    <n v="26"/>
    <n v="0"/>
    <m/>
    <n v="11880"/>
    <n v="11565"/>
    <n v="315"/>
    <x v="1007"/>
    <n v="242"/>
    <n v="456.92307692307691"/>
    <n v="444.80769230769232"/>
    <n v="12.115384615384615"/>
    <n v="274.33076923076925"/>
    <n v="9.3076923076923084"/>
    <n v="25"/>
    <n v="0"/>
    <n v="49.461538461538453"/>
    <n v="9.2692307692307701"/>
    <n v="8.5"/>
    <n v="2.6515151515151516E-2"/>
    <n v="0.99461538461538446"/>
    <n v="0.60038720538720547"/>
    <n v="0.92230769230769227"/>
    <s v="1 heart + 1 liver "/>
    <m/>
    <m/>
    <m/>
    <m/>
    <m/>
    <n v="11"/>
    <m/>
    <n v="0"/>
  </r>
  <r>
    <x v="834"/>
    <x v="0"/>
    <s v="Imported"/>
    <x v="14"/>
    <n v="16"/>
    <n v="16"/>
    <n v="0"/>
    <m/>
    <n v="9417"/>
    <n v="8870"/>
    <n v="547"/>
    <x v="1008"/>
    <n v="132"/>
    <n v="588.5625"/>
    <n v="554.375"/>
    <n v="34.1875"/>
    <n v="365.85624999999999"/>
    <n v="8.25"/>
    <n v="24.6875"/>
    <n v="0"/>
    <n v="44.5625"/>
    <n v="10"/>
    <n v="8.5"/>
    <n v="5.8086439418073697E-2"/>
    <n v="0.93937500000000007"/>
    <n v="0.6216098545184241"/>
    <n v="0.87749999999999995"/>
    <s v="1 heart"/>
    <m/>
    <m/>
    <m/>
    <m/>
    <m/>
    <n v="7"/>
    <m/>
    <n v="7"/>
  </r>
  <r>
    <x v="835"/>
    <x v="0"/>
    <s v="holestein"/>
    <x v="5"/>
    <n v="26"/>
    <n v="26"/>
    <n v="0"/>
    <m/>
    <n v="14101"/>
    <n v="14101"/>
    <n v="0"/>
    <x v="1009"/>
    <n v="144"/>
    <n v="542.34615384615381"/>
    <n v="542.34615384615381"/>
    <n v="0"/>
    <n v="319.1307692307692"/>
    <n v="5.5384615384615383"/>
    <n v="25"/>
    <n v="0"/>
    <n v="46.192307692307693"/>
    <n v="10"/>
    <n v="8.5"/>
    <n v="0"/>
    <n v="0.96192307692307688"/>
    <n v="0.58842635274094035"/>
    <n v="0.89692307692307693"/>
    <m/>
    <m/>
    <m/>
    <m/>
    <m/>
    <m/>
    <n v="0"/>
    <m/>
    <n v="0"/>
  </r>
  <r>
    <x v="835"/>
    <x v="0"/>
    <s v="Native "/>
    <x v="9"/>
    <n v="27"/>
    <n v="25"/>
    <n v="2"/>
    <s v="2 c. bovis in heart and muscles of  hindquarter."/>
    <n v="10144"/>
    <n v="10144"/>
    <n v="0"/>
    <x v="1010"/>
    <n v="144"/>
    <n v="405.76"/>
    <n v="405.76"/>
    <n v="0"/>
    <n v="243.43799999999999"/>
    <n v="5.76"/>
    <n v="25"/>
    <n v="0"/>
    <n v="47.8"/>
    <n v="10"/>
    <n v="8.5"/>
    <n v="0"/>
    <n v="0.97799999999999998"/>
    <n v="0.59995563880126179"/>
    <n v="0.91299999999999992"/>
    <m/>
    <m/>
    <m/>
    <m/>
    <m/>
    <m/>
    <n v="13"/>
    <m/>
    <n v="770"/>
  </r>
  <r>
    <x v="835"/>
    <x v="0"/>
    <s v="Native "/>
    <x v="5"/>
    <n v="9"/>
    <n v="9"/>
    <n v="0"/>
    <m/>
    <n v="4379"/>
    <n v="4379"/>
    <n v="0"/>
    <x v="1011"/>
    <n v="119"/>
    <n v="486.55555555555554"/>
    <n v="486.55555555555554"/>
    <n v="0"/>
    <n v="301.26111111111112"/>
    <n v="13.222222222222221"/>
    <n v="25"/>
    <n v="0"/>
    <n v="48.888888888888886"/>
    <n v="10"/>
    <n v="8.5"/>
    <n v="0"/>
    <n v="0.98888888888888893"/>
    <n v="0.61917104361726416"/>
    <n v="0.92388888888888887"/>
    <m/>
    <m/>
    <m/>
    <m/>
    <m/>
    <m/>
    <n v="4"/>
    <m/>
    <n v="9"/>
  </r>
  <r>
    <x v="836"/>
    <x v="0"/>
    <s v="Native "/>
    <x v="9"/>
    <n v="30"/>
    <n v="28"/>
    <n v="2"/>
    <s v="2 c. bovis in their hearts."/>
    <n v="14004"/>
    <n v="14004"/>
    <n v="0"/>
    <x v="1012"/>
    <n v="298"/>
    <n v="500.14285714285717"/>
    <n v="500.14285714285717"/>
    <n v="0"/>
    <n v="300.08035714285717"/>
    <n v="10.642857142857142"/>
    <n v="24.642857142857142"/>
    <n v="0"/>
    <n v="49.321428571428577"/>
    <n v="10"/>
    <n v="8.5"/>
    <n v="0"/>
    <n v="0.9860714285714286"/>
    <n v="0.59998928877463586"/>
    <n v="0.92464285714285721"/>
    <s v="1 heart + 1 liver "/>
    <m/>
    <m/>
    <m/>
    <m/>
    <m/>
    <n v="13"/>
    <m/>
    <n v="972"/>
  </r>
  <r>
    <x v="836"/>
    <x v="0"/>
    <s v="Native "/>
    <x v="14"/>
    <n v="24"/>
    <n v="24"/>
    <n v="0"/>
    <m/>
    <n v="11522"/>
    <n v="11080"/>
    <n v="442"/>
    <x v="1013"/>
    <n v="242"/>
    <n v="480.08333333333331"/>
    <n v="461.66666666666669"/>
    <n v="18.416666666666668"/>
    <n v="290.49791666666664"/>
    <n v="10.083333333333334"/>
    <n v="25"/>
    <n v="0"/>
    <n v="49.416666666666671"/>
    <n v="10"/>
    <n v="8.5"/>
    <n v="3.8361395591043228E-2"/>
    <n v="0.99416666666666664"/>
    <n v="0.60509894115604923"/>
    <n v="0.9291666666666667"/>
    <s v="1 liver + 1 kidney"/>
    <m/>
    <m/>
    <m/>
    <m/>
    <m/>
    <n v="5"/>
    <m/>
    <n v="8"/>
  </r>
  <r>
    <x v="837"/>
    <x v="0"/>
    <s v="Imported"/>
    <x v="23"/>
    <n v="53"/>
    <n v="52"/>
    <n v="1"/>
    <s v="1 bull large abscess in hindquarter"/>
    <n v="22754.746835443038"/>
    <n v="22754.746835443038"/>
    <n v="0"/>
    <x v="1014"/>
    <n v="0"/>
    <n v="437.59128529698148"/>
    <n v="437.59128529698148"/>
    <n v="0"/>
    <n v="276.56346153846152"/>
    <n v="0"/>
    <n v="25"/>
    <n v="5"/>
    <n v="49.730769230769226"/>
    <n v="10"/>
    <n v="8.5"/>
    <n v="0"/>
    <n v="0.99730769230769223"/>
    <n v="0.63201318406230433"/>
    <n v="0.98230769230769222"/>
    <s v="1 heart + 1 liver "/>
    <m/>
    <m/>
    <m/>
    <m/>
    <m/>
    <n v="0"/>
    <m/>
    <n v="429"/>
  </r>
  <r>
    <x v="838"/>
    <x v="0"/>
    <s v="Imported"/>
    <x v="23"/>
    <n v="50"/>
    <n v="50"/>
    <n v="0"/>
    <m/>
    <n v="22978.006329113901"/>
    <n v="22978.006329113901"/>
    <n v="0"/>
    <x v="1015"/>
    <m/>
    <n v="459.56012658227803"/>
    <n v="459.56012658227803"/>
    <n v="0"/>
    <n v="290.44200000000001"/>
    <n v="0"/>
    <n v="25"/>
    <n v="5"/>
    <n v="49.160000000000004"/>
    <n v="10"/>
    <n v="8.5"/>
    <n v="0"/>
    <n v="0.99160000000000004"/>
    <n v="0.63200000000000067"/>
    <n v="0.97659999999999991"/>
    <s v="4 livers + 2 hearts"/>
    <m/>
    <m/>
    <m/>
    <m/>
    <m/>
    <n v="0"/>
    <m/>
    <n v="0"/>
  </r>
  <r>
    <x v="839"/>
    <x v="0"/>
    <s v="Imported"/>
    <x v="23"/>
    <n v="32"/>
    <n v="32"/>
    <n v="0"/>
    <m/>
    <n v="13731.329113924099"/>
    <n v="13731.329113924099"/>
    <n v="0"/>
    <x v="1016"/>
    <m/>
    <n v="429.1040348101281"/>
    <n v="429.1040348101281"/>
    <n v="0"/>
    <n v="271.19375000000002"/>
    <n v="0"/>
    <n v="25"/>
    <n v="5"/>
    <n v="50"/>
    <n v="10"/>
    <n v="8.5"/>
    <n v="0"/>
    <n v="1"/>
    <n v="0.63199999999999779"/>
    <n v="0.98499999999999999"/>
    <m/>
    <m/>
    <m/>
    <m/>
    <m/>
    <m/>
    <m/>
    <m/>
    <n v="0"/>
  </r>
  <r>
    <x v="840"/>
    <x v="0"/>
    <s v="Imported"/>
    <x v="23"/>
    <n v="50"/>
    <n v="50"/>
    <n v="0"/>
    <m/>
    <n v="21170.886075949398"/>
    <n v="21170.886075949398"/>
    <n v="0"/>
    <x v="1017"/>
    <m/>
    <n v="423.41772151898795"/>
    <n v="423.41772151898795"/>
    <n v="0"/>
    <n v="267.60000000000002"/>
    <n v="0"/>
    <n v="25"/>
    <n v="5"/>
    <n v="49.96"/>
    <n v="9.9"/>
    <n v="8.5"/>
    <n v="0"/>
    <n v="0.99960000000000004"/>
    <n v="0.63199999999999912"/>
    <n v="0.98360000000000014"/>
    <m/>
    <m/>
    <m/>
    <m/>
    <m/>
    <m/>
    <m/>
    <m/>
    <n v="0"/>
  </r>
  <r>
    <x v="841"/>
    <x v="0"/>
    <s v="Imported"/>
    <x v="23"/>
    <n v="22"/>
    <n v="19"/>
    <n v="3"/>
    <s v="2 bulls bad bcs + 1 carcass blood splash"/>
    <n v="8147.4683544303798"/>
    <n v="8147.4683544303798"/>
    <n v="0"/>
    <x v="1018"/>
    <m/>
    <n v="428.81412391738843"/>
    <n v="428.81412391738843"/>
    <n v="0"/>
    <n v="271.01052631578949"/>
    <n v="0"/>
    <n v="25"/>
    <n v="5"/>
    <n v="47"/>
    <n v="9.7368421052631575"/>
    <n v="7.8684210526315788"/>
    <n v="0"/>
    <n v="0.97"/>
    <n v="0.63200000000000001"/>
    <n v="0.94605263157894726"/>
    <m/>
    <m/>
    <m/>
    <m/>
    <m/>
    <m/>
    <m/>
    <m/>
    <n v="1110"/>
  </r>
  <r>
    <x v="842"/>
    <x v="0"/>
    <s v="holestein"/>
    <x v="5"/>
    <n v="19"/>
    <n v="19"/>
    <n v="0"/>
    <m/>
    <n v="10484"/>
    <n v="9885"/>
    <n v="599"/>
    <x v="1019"/>
    <n v="89"/>
    <n v="551.78947368421052"/>
    <n v="520.26315789473688"/>
    <n v="31.526315789473685"/>
    <n v="317.87368421052633"/>
    <n v="4.6842105263157894"/>
    <n v="25"/>
    <n v="0"/>
    <n v="50"/>
    <n v="10"/>
    <n v="8.5"/>
    <n v="5.7134681419305611E-2"/>
    <n v="1"/>
    <n v="0.57607783288821068"/>
    <n v="0.93500000000000005"/>
    <m/>
    <m/>
    <m/>
    <m/>
    <m/>
    <m/>
    <m/>
    <m/>
    <n v="0"/>
  </r>
  <r>
    <x v="842"/>
    <x v="0"/>
    <s v="Native "/>
    <x v="5"/>
    <n v="15"/>
    <n v="15"/>
    <n v="0"/>
    <m/>
    <n v="6695"/>
    <n v="6470"/>
    <n v="225"/>
    <x v="1020"/>
    <n v="118"/>
    <n v="446.33333333333331"/>
    <n v="431.33333333333331"/>
    <n v="15"/>
    <n v="267.60000000000002"/>
    <n v="7.8666666666666663"/>
    <n v="25"/>
    <n v="0"/>
    <n v="50"/>
    <n v="10"/>
    <n v="8.5"/>
    <n v="3.3607169529499631E-2"/>
    <n v="1"/>
    <n v="0.59955190440627337"/>
    <n v="0.93500000000000005"/>
    <m/>
    <m/>
    <m/>
    <m/>
    <m/>
    <m/>
    <m/>
    <m/>
    <n v="0"/>
  </r>
  <r>
    <x v="843"/>
    <x v="0"/>
    <s v="holestein"/>
    <x v="5"/>
    <n v="12"/>
    <n v="12"/>
    <n v="0"/>
    <m/>
    <n v="6094"/>
    <n v="6094"/>
    <n v="0"/>
    <x v="1021"/>
    <n v="60"/>
    <n v="507.83333333333331"/>
    <n v="507.83333333333331"/>
    <n v="0"/>
    <n v="294.10833333333335"/>
    <n v="5"/>
    <n v="25"/>
    <n v="0"/>
    <n v="48"/>
    <n v="10"/>
    <n v="8.5"/>
    <n v="0"/>
    <n v="0.98"/>
    <n v="0.57914341975713823"/>
    <n v="0.91500000000000004"/>
    <s v="24 kidneys "/>
    <m/>
    <m/>
    <m/>
    <m/>
    <m/>
    <n v="0"/>
    <m/>
    <n v="0"/>
  </r>
  <r>
    <x v="843"/>
    <x v="0"/>
    <s v="Native "/>
    <x v="5"/>
    <n v="26"/>
    <n v="26"/>
    <n v="0"/>
    <m/>
    <n v="10772"/>
    <n v="10772"/>
    <n v="0"/>
    <x v="1022"/>
    <n v="210"/>
    <n v="414.30769230769232"/>
    <n v="414.30769230769232"/>
    <n v="0"/>
    <n v="254.99615384615385"/>
    <n v="8.0769230769230766"/>
    <n v="25"/>
    <n v="0"/>
    <n v="48.923076923076927"/>
    <n v="10"/>
    <n v="8.5"/>
    <n v="0"/>
    <n v="0.98923076923076925"/>
    <n v="0.61547530634979575"/>
    <n v="0.9242307692307693"/>
    <s v="6 kidneys + 1 lung "/>
    <m/>
    <m/>
    <m/>
    <m/>
    <m/>
    <n v="0"/>
    <m/>
    <n v="0"/>
  </r>
  <r>
    <x v="844"/>
    <x v="0"/>
    <s v="Imported"/>
    <x v="23"/>
    <n v="50"/>
    <n v="50"/>
    <n v="0"/>
    <m/>
    <n v="20127.215189873401"/>
    <n v="20127.215189873401"/>
    <n v="0"/>
    <x v="1023"/>
    <m/>
    <n v="402.54430379746805"/>
    <n v="402.54430379746805"/>
    <n v="0"/>
    <n v="254.40799999999999"/>
    <n v="0"/>
    <n v="25"/>
    <n v="5"/>
    <n v="49.459999999999994"/>
    <n v="9.9"/>
    <n v="8.26"/>
    <n v="0"/>
    <n v="0.99459999999999993"/>
    <n v="0.63200000000000056"/>
    <n v="0.97620000000000007"/>
    <s v="1 forequarter + 1 liver + 1 heart "/>
    <m/>
    <m/>
    <m/>
    <m/>
    <m/>
    <n v="1"/>
    <m/>
    <n v="0"/>
  </r>
  <r>
    <x v="845"/>
    <x v="0"/>
    <s v="Imported"/>
    <x v="23"/>
    <n v="51"/>
    <n v="50"/>
    <n v="1"/>
    <s v="1 bull bad BCS"/>
    <n v="20571.835443037999"/>
    <n v="20571.835443037999"/>
    <n v="0"/>
    <x v="1024"/>
    <m/>
    <n v="411.43670886075995"/>
    <n v="411.43670886075995"/>
    <n v="0"/>
    <n v="260.02800000000002"/>
    <n v="0"/>
    <n v="25"/>
    <n v="5"/>
    <n v="49.02"/>
    <n v="10"/>
    <n v="8.26"/>
    <n v="0"/>
    <n v="0.99019999999999997"/>
    <n v="0.63199999999999923"/>
    <n v="0.97280000000000011"/>
    <s v="6 livers + 1 heart"/>
    <m/>
    <m/>
    <m/>
    <m/>
    <m/>
    <m/>
    <m/>
    <n v="403"/>
  </r>
  <r>
    <x v="846"/>
    <x v="0"/>
    <s v="Imported"/>
    <x v="14"/>
    <n v="25"/>
    <n v="24"/>
    <n v="1"/>
    <s v="1 bull not conform to standards"/>
    <n v="13914"/>
    <n v="13250"/>
    <n v="664"/>
    <x v="1025"/>
    <n v="223"/>
    <n v="579.75"/>
    <n v="552.08333333333337"/>
    <n v="27.666666666666668"/>
    <n v="363.66666666666669"/>
    <n v="9.2916666666666661"/>
    <n v="25"/>
    <n v="0"/>
    <n v="47.208333333333329"/>
    <n v="10"/>
    <n v="8.5"/>
    <n v="4.7721719131809691E-2"/>
    <n v="0.9720833333333333"/>
    <n v="0.62728187437113703"/>
    <n v="0.90708333333333324"/>
    <s v="1 heart "/>
    <m/>
    <m/>
    <m/>
    <m/>
    <m/>
    <n v="9"/>
    <m/>
    <m/>
  </r>
  <r>
    <x v="847"/>
    <x v="0"/>
    <s v="Native "/>
    <x v="14"/>
    <n v="30"/>
    <n v="29"/>
    <n v="1"/>
    <s v="1 carcass c. bovis in the heart "/>
    <n v="14960"/>
    <n v="14355"/>
    <n v="605"/>
    <x v="1026"/>
    <n v="378"/>
    <n v="515.86206896551721"/>
    <n v="495"/>
    <n v="20.862068965517242"/>
    <n v="313.0620689655172"/>
    <n v="13.03448275862069"/>
    <n v="25"/>
    <n v="0"/>
    <n v="47.862068965517238"/>
    <n v="10"/>
    <n v="8.5"/>
    <n v="4.0441176470588237E-2"/>
    <n v="0.97862068965517235"/>
    <n v="0.60687165775401064"/>
    <n v="0.9136206896551724"/>
    <m/>
    <m/>
    <m/>
    <m/>
    <m/>
    <m/>
    <n v="11"/>
    <m/>
    <m/>
  </r>
  <r>
    <x v="847"/>
    <x v="0"/>
    <s v="Imported"/>
    <x v="14"/>
    <n v="28"/>
    <n v="26"/>
    <n v="2"/>
    <s v="2 bulls not conform to standards"/>
    <n v="14916"/>
    <n v="14181"/>
    <n v="735"/>
    <x v="1027"/>
    <n v="232"/>
    <n v="573.69230769230774"/>
    <n v="545.42307692307691"/>
    <n v="28.26923076923077"/>
    <n v="357.07307692307688"/>
    <n v="8.9230769230769234"/>
    <n v="24.807692307692307"/>
    <n v="0"/>
    <n v="49.42307692307692"/>
    <n v="10"/>
    <n v="8.5"/>
    <n v="4.9275945293644409E-2"/>
    <n v="0.99038461538461531"/>
    <n v="0.62241217484580313"/>
    <n v="0.92730769230769228"/>
    <m/>
    <m/>
    <m/>
    <m/>
    <m/>
    <m/>
    <n v="16"/>
    <m/>
    <m/>
  </r>
  <r>
    <x v="848"/>
    <x v="0"/>
    <s v="Native "/>
    <x v="5"/>
    <n v="42"/>
    <n v="41"/>
    <n v="1"/>
    <s v="1 c. bovis in the heart "/>
    <n v="17890"/>
    <n v="17086"/>
    <n v="804"/>
    <x v="1028"/>
    <n v="365"/>
    <n v="436.34146341463412"/>
    <n v="416.73170731707319"/>
    <n v="19.609756097560975"/>
    <n v="265.41707317073173"/>
    <n v="8.9024390243902438"/>
    <n v="25"/>
    <n v="0"/>
    <n v="48.585365853658537"/>
    <n v="10"/>
    <n v="8.5"/>
    <n v="4.4941307993292344E-2"/>
    <n v="0.98585365853658535"/>
    <n v="0.60827836780324207"/>
    <n v="0.92085365853658541"/>
    <s v="16 kidneys"/>
    <m/>
    <m/>
    <m/>
    <m/>
    <m/>
    <n v="2"/>
    <m/>
    <m/>
  </r>
  <r>
    <x v="848"/>
    <x v="0"/>
    <s v="Imported"/>
    <x v="23"/>
    <n v="50"/>
    <n v="50"/>
    <n v="0"/>
    <m/>
    <n v="21158.069620253165"/>
    <n v="21158.069620253165"/>
    <n v="0"/>
    <x v="1029"/>
    <n v="0"/>
    <n v="423.16139240506328"/>
    <n v="423.16139240506328"/>
    <n v="0"/>
    <n v="267.44"/>
    <n v="0"/>
    <n v="25"/>
    <n v="4"/>
    <n v="47"/>
    <n v="10"/>
    <n v="8.5"/>
    <n v="0"/>
    <n v="0.97"/>
    <n v="0.6320047263290931"/>
    <n v="0.94499999999999995"/>
    <m/>
    <m/>
    <m/>
    <m/>
    <m/>
    <m/>
    <n v="0"/>
    <m/>
    <m/>
  </r>
  <r>
    <x v="849"/>
    <x v="0"/>
    <s v="Imported"/>
    <x v="23"/>
    <n v="51"/>
    <n v="50"/>
    <n v="1"/>
    <s v="1 feverish carcass"/>
    <n v="19978.797468354431"/>
    <n v="19978.797468354431"/>
    <n v="0"/>
    <x v="1030"/>
    <m/>
    <n v="399.57594936708864"/>
    <n v="399.57594936708864"/>
    <n v="0"/>
    <n v="252.53200000000001"/>
    <n v="0"/>
    <n v="25"/>
    <n v="4"/>
    <n v="49.12"/>
    <n v="10"/>
    <n v="8.5"/>
    <n v="0"/>
    <n v="0.99119999999999997"/>
    <n v="0.63200000000000001"/>
    <n v="0.96620000000000006"/>
    <s v="2 livers "/>
    <m/>
    <m/>
    <m/>
    <m/>
    <m/>
    <n v="0"/>
    <m/>
    <m/>
  </r>
  <r>
    <x v="850"/>
    <x v="0"/>
    <s v="Native "/>
    <x v="14"/>
    <n v="25"/>
    <n v="25"/>
    <n v="0"/>
    <m/>
    <n v="12890"/>
    <n v="12585"/>
    <n v="305"/>
    <x v="1031"/>
    <n v="287"/>
    <n v="515.6"/>
    <n v="503.4"/>
    <n v="12.2"/>
    <n v="312.96800000000002"/>
    <n v="11.48"/>
    <n v="24.8"/>
    <n v="0"/>
    <n v="49.440000000000005"/>
    <n v="9.8000000000000007"/>
    <n v="8.5"/>
    <n v="2.3661753297129554E-2"/>
    <n v="0.99040000000000006"/>
    <n v="0.60699767261442983"/>
    <n v="0.92540000000000011"/>
    <s v="1 heart +  2 kidneys "/>
    <m/>
    <m/>
    <m/>
    <m/>
    <m/>
    <n v="13"/>
    <m/>
    <m/>
  </r>
  <r>
    <x v="851"/>
    <x v="0"/>
    <s v="Native "/>
    <x v="5"/>
    <n v="48"/>
    <n v="46"/>
    <n v="2"/>
    <s v="2 c. bovis in the head and neck"/>
    <n v="19797"/>
    <n v="18696"/>
    <n v="1101"/>
    <x v="1032"/>
    <n v="430"/>
    <n v="430.36956521739131"/>
    <n v="406.43478260869563"/>
    <n v="23.934782608695652"/>
    <n v="262.49782608695654"/>
    <n v="9.3478260869565215"/>
    <n v="25"/>
    <n v="0"/>
    <n v="48.54347826086957"/>
    <n v="9.891304347826086"/>
    <n v="8.5"/>
    <n v="5.5614487043491437E-2"/>
    <n v="0.98543478260869577"/>
    <n v="0.60993584886598973"/>
    <n v="0.91934782608695653"/>
    <s v="3 livers + 4 kidneys + 1 heart "/>
    <m/>
    <m/>
    <m/>
    <m/>
    <m/>
    <n v="0"/>
    <m/>
    <m/>
  </r>
  <r>
    <x v="852"/>
    <x v="0"/>
    <s v="Native "/>
    <x v="5"/>
    <n v="24"/>
    <n v="23"/>
    <n v="1"/>
    <s v="1 c. bovis in the heart "/>
    <n v="9711"/>
    <n v="9389"/>
    <n v="322"/>
    <x v="1033"/>
    <n v="243"/>
    <n v="422.21739130434781"/>
    <n v="408.21739130434781"/>
    <n v="14"/>
    <n v="263.6521739130435"/>
    <n v="10.565217391304348"/>
    <n v="25"/>
    <n v="0"/>
    <n v="49.695652173913047"/>
    <n v="9.7826086956521738"/>
    <n v="8.5"/>
    <n v="3.3158274122129544E-2"/>
    <n v="0.99695652173913052"/>
    <n v="0.62444650396457624"/>
    <n v="0.92978260869565221"/>
    <m/>
    <m/>
    <m/>
    <m/>
    <m/>
    <m/>
    <n v="1"/>
    <m/>
    <m/>
  </r>
  <r>
    <x v="853"/>
    <x v="0"/>
    <s v="Native "/>
    <x v="14"/>
    <n v="21"/>
    <n v="21"/>
    <n v="0"/>
    <m/>
    <n v="10380"/>
    <n v="10380"/>
    <n v="0"/>
    <x v="1034"/>
    <n v="240"/>
    <n v="494.28571428571428"/>
    <n v="494.28571428571428"/>
    <n v="0"/>
    <n v="298.9190476190476"/>
    <n v="11.428571428571429"/>
    <n v="24.761904761904763"/>
    <n v="0"/>
    <n v="50"/>
    <n v="10"/>
    <n v="8.5"/>
    <n v="0"/>
    <n v="0.99523809523809526"/>
    <n v="0.60474951830443158"/>
    <n v="0.93261904761904757"/>
    <m/>
    <m/>
    <m/>
    <m/>
    <m/>
    <m/>
    <n v="10"/>
    <m/>
    <m/>
  </r>
  <r>
    <x v="853"/>
    <x v="0"/>
    <s v="Imported"/>
    <x v="14"/>
    <n v="31"/>
    <n v="31"/>
    <n v="0"/>
    <m/>
    <n v="18227"/>
    <n v="18227"/>
    <n v="0"/>
    <x v="1035"/>
    <n v="300"/>
    <n v="587.9677419354839"/>
    <n v="587.9677419354839"/>
    <n v="0"/>
    <n v="374.08709677419358"/>
    <n v="9.67741935483871"/>
    <n v="24.516129032258064"/>
    <n v="0"/>
    <n v="49.29032258064516"/>
    <n v="10"/>
    <n v="8.5"/>
    <n v="0"/>
    <n v="0.98322580645161284"/>
    <n v="0.63623744993690678"/>
    <n v="0.92306451612903229"/>
    <s v="2 kidneys "/>
    <m/>
    <m/>
    <m/>
    <m/>
    <m/>
    <n v="16"/>
    <m/>
    <m/>
  </r>
  <r>
    <x v="854"/>
    <x v="0"/>
    <s v="Native "/>
    <x v="14"/>
    <n v="18"/>
    <n v="18"/>
    <n v="0"/>
    <m/>
    <n v="9038"/>
    <n v="8780"/>
    <n v="258"/>
    <x v="1036"/>
    <n v="195"/>
    <n v="502.11111111111109"/>
    <n v="487.77777777777777"/>
    <n v="14.333333333333334"/>
    <n v="301.24444444444441"/>
    <n v="10.833333333333334"/>
    <n v="25"/>
    <n v="0"/>
    <n v="49.611111111111107"/>
    <n v="10"/>
    <n v="8.5"/>
    <n v="2.854613852622262E-2"/>
    <n v="0.99611111111111106"/>
    <n v="0.59995574242088956"/>
    <n v="0.93111111111111111"/>
    <s v="1 lung"/>
    <m/>
    <m/>
    <m/>
    <m/>
    <m/>
    <n v="10"/>
    <m/>
    <m/>
  </r>
  <r>
    <x v="854"/>
    <x v="0"/>
    <s v="Imported"/>
    <x v="14"/>
    <n v="30"/>
    <n v="30"/>
    <n v="0"/>
    <m/>
    <n v="17597"/>
    <n v="16500"/>
    <n v="1097"/>
    <x v="1037"/>
    <n v="313"/>
    <n v="586.56666666666672"/>
    <n v="550"/>
    <n v="36.56666666666667"/>
    <n v="370.93"/>
    <n v="10.433333333333334"/>
    <n v="24.633333333333333"/>
    <n v="0"/>
    <n v="48.699999999999996"/>
    <n v="10"/>
    <n v="8.5"/>
    <n v="6.2340171620162525E-2"/>
    <n v="0.97966666666666657"/>
    <n v="0.63237483661987837"/>
    <n v="0.91833333333333333"/>
    <m/>
    <m/>
    <m/>
    <m/>
    <m/>
    <m/>
    <n v="17"/>
    <m/>
    <m/>
  </r>
  <r>
    <x v="855"/>
    <x v="0"/>
    <s v="Native "/>
    <x v="14"/>
    <n v="2"/>
    <n v="2"/>
    <n v="0"/>
    <m/>
    <n v="975"/>
    <n v="965"/>
    <n v="10"/>
    <x v="1038"/>
    <n v="16"/>
    <n v="487.5"/>
    <n v="482.5"/>
    <n v="5"/>
    <n v="301.85000000000002"/>
    <n v="8"/>
    <n v="25"/>
    <n v="0"/>
    <n v="50"/>
    <n v="10"/>
    <n v="8.5"/>
    <n v="1.0256410256410256E-2"/>
    <n v="1"/>
    <n v="0.61917948717948723"/>
    <n v="0.93500000000000005"/>
    <m/>
    <m/>
    <m/>
    <m/>
    <m/>
    <m/>
    <n v="0"/>
    <m/>
    <m/>
  </r>
  <r>
    <x v="855"/>
    <x v="0"/>
    <s v="Imported"/>
    <x v="14"/>
    <n v="50"/>
    <n v="50"/>
    <n v="0"/>
    <m/>
    <n v="28563"/>
    <n v="27550"/>
    <n v="1013"/>
    <x v="1039"/>
    <n v="395"/>
    <n v="571.26"/>
    <n v="551"/>
    <n v="20.260000000000002"/>
    <n v="363.71"/>
    <n v="7.9"/>
    <n v="24.6"/>
    <n v="0"/>
    <n v="49.26"/>
    <n v="10"/>
    <n v="8.5"/>
    <n v="3.5465462311381861E-2"/>
    <n v="0.98460000000000003"/>
    <n v="0.6366803206946049"/>
    <n v="0.92359999999999998"/>
    <s v="1 liver "/>
    <m/>
    <m/>
    <m/>
    <m/>
    <m/>
    <n v="16"/>
    <m/>
    <m/>
  </r>
  <r>
    <x v="856"/>
    <x v="0"/>
    <s v="Native "/>
    <x v="5"/>
    <n v="18"/>
    <n v="17"/>
    <n v="1"/>
    <s v="1 c. bovis in the heart "/>
    <n v="7705"/>
    <n v="7386"/>
    <n v="319"/>
    <x v="1040"/>
    <n v="180"/>
    <n v="453.23529411764707"/>
    <n v="434.47058823529414"/>
    <n v="18.764705882352942"/>
    <n v="280.41764705882355"/>
    <n v="10.588235294117647"/>
    <n v="25"/>
    <n v="0"/>
    <n v="49"/>
    <n v="10"/>
    <n v="8.5"/>
    <n v="4.1401687216093448E-2"/>
    <n v="0.99"/>
    <n v="0.6187021414665802"/>
    <n v="0.92500000000000004"/>
    <s v="2 kidneys "/>
    <m/>
    <m/>
    <m/>
    <m/>
    <m/>
    <n v="0"/>
    <m/>
    <m/>
  </r>
  <r>
    <x v="857"/>
    <x v="0"/>
    <s v="Native "/>
    <x v="5"/>
    <n v="50"/>
    <n v="48"/>
    <n v="2"/>
    <s v="Rejection of 2 carcasses due to presence of antibiotic residues and c. bovis in the heart."/>
    <n v="21254"/>
    <n v="20176"/>
    <n v="1078"/>
    <x v="1041"/>
    <n v="421"/>
    <n v="442.79166666666669"/>
    <n v="420.33333333333331"/>
    <n v="22.458333333333332"/>
    <n v="271.71666666666664"/>
    <n v="8.7708333333333339"/>
    <n v="25"/>
    <n v="0"/>
    <n v="48.770833333333336"/>
    <n v="9.6875"/>
    <n v="8.5"/>
    <n v="5.0719864496094849E-2"/>
    <n v="0.98770833333333341"/>
    <n v="0.61364449044885672"/>
    <n v="0.91958333333333342"/>
    <s v="2 kidneys +  1 heart"/>
    <m/>
    <m/>
    <m/>
    <m/>
    <m/>
    <n v="0"/>
    <m/>
    <m/>
  </r>
  <r>
    <x v="858"/>
    <x v="0"/>
    <s v="Imported"/>
    <x v="23"/>
    <n v="32"/>
    <n v="31"/>
    <n v="1"/>
    <s v="Rejection of 1 carcass due to presence of sever blood splashes."/>
    <n v="15483"/>
    <n v="15483"/>
    <n v="0"/>
    <x v="1042"/>
    <n v="0"/>
    <n v="499.45161290322579"/>
    <n v="499.45161290322579"/>
    <n v="0"/>
    <n v="311.16129032258067"/>
    <n v="0"/>
    <n v="25"/>
    <n v="5"/>
    <n v="49.774193548387096"/>
    <n v="10"/>
    <n v="8.5"/>
    <n v="0"/>
    <n v="0.99774193548387102"/>
    <n v="0.62300587741393787"/>
    <n v="0.98274193548387101"/>
    <m/>
    <m/>
    <m/>
    <m/>
    <m/>
    <m/>
    <n v="0"/>
    <m/>
    <m/>
  </r>
  <r>
    <x v="859"/>
    <x v="0"/>
    <s v="Native "/>
    <x v="14"/>
    <n v="27"/>
    <n v="27"/>
    <n v="0"/>
    <m/>
    <n v="13554"/>
    <n v="13160"/>
    <n v="394"/>
    <x v="1043"/>
    <n v="293"/>
    <n v="502"/>
    <n v="487.40740740740739"/>
    <n v="14.592592592592593"/>
    <n v="301.18518518518516"/>
    <n v="10.851851851851851"/>
    <n v="24.62962962962963"/>
    <n v="0"/>
    <n v="50"/>
    <n v="10"/>
    <n v="8.5"/>
    <n v="2.9068909546997198E-2"/>
    <n v="0.99259259259259258"/>
    <n v="0.59997048841670353"/>
    <n v="0.93129629629629629"/>
    <m/>
    <m/>
    <m/>
    <m/>
    <m/>
    <m/>
    <n v="10"/>
    <m/>
    <m/>
  </r>
  <r>
    <x v="860"/>
    <x v="0"/>
    <s v="Native "/>
    <x v="0"/>
    <n v="49"/>
    <n v="48"/>
    <n v="1"/>
    <s v="Rejection of 1 carcass due to presence of c. bovis in the heart."/>
    <n v="23457"/>
    <n v="22505"/>
    <n v="952"/>
    <x v="1044"/>
    <n v="510"/>
    <n v="488.6875"/>
    <n v="468.85416666666669"/>
    <n v="19.833333333333332"/>
    <n v="293.19583333333333"/>
    <n v="10.625"/>
    <n v="25"/>
    <n v="0"/>
    <n v="49.8125"/>
    <n v="10"/>
    <n v="8.5"/>
    <n v="4.0584900029841837E-2"/>
    <n v="0.99812499999999993"/>
    <n v="0.59996589504199171"/>
    <n v="0.93312499999999998"/>
    <s v="1 liver + 2 kidneys"/>
    <m/>
    <m/>
    <m/>
    <m/>
    <m/>
    <n v="4"/>
    <m/>
    <m/>
  </r>
  <r>
    <x v="861"/>
    <x v="0"/>
    <s v="Native "/>
    <x v="14"/>
    <n v="19"/>
    <n v="19"/>
    <n v="0"/>
    <m/>
    <n v="8434"/>
    <n v="8235"/>
    <n v="199"/>
    <x v="1045"/>
    <n v="175"/>
    <n v="443.89473684210526"/>
    <n v="433.42105263157896"/>
    <n v="10.473684210526315"/>
    <n v="266.32631578947365"/>
    <n v="9.2105263157894743"/>
    <n v="24.736842105263158"/>
    <n v="0"/>
    <n v="49.789473684210527"/>
    <n v="9.7368421052631575"/>
    <n v="8.5"/>
    <n v="2.3594972729428502E-2"/>
    <n v="0.99263157894736842"/>
    <n v="0.59997628645956835"/>
    <n v="0.92763157894736847"/>
    <m/>
    <m/>
    <m/>
    <m/>
    <m/>
    <m/>
    <n v="7"/>
    <m/>
    <m/>
  </r>
  <r>
    <x v="861"/>
    <x v="0"/>
    <s v="Imported"/>
    <x v="14"/>
    <n v="16"/>
    <n v="16"/>
    <n v="0"/>
    <m/>
    <n v="9439"/>
    <n v="9010"/>
    <n v="429"/>
    <x v="1046"/>
    <n v="161"/>
    <n v="589.9375"/>
    <n v="563.125"/>
    <n v="26.8125"/>
    <n v="376.61250000000001"/>
    <n v="10.0625"/>
    <n v="24.375"/>
    <n v="0"/>
    <n v="49.25"/>
    <n v="10"/>
    <n v="8.5"/>
    <n v="4.5449729844263161E-2"/>
    <n v="0.98"/>
    <n v="0.63839389765865029"/>
    <n v="0.92125000000000001"/>
    <s v="1 heart"/>
    <m/>
    <m/>
    <m/>
    <m/>
    <m/>
    <n v="9"/>
    <m/>
    <m/>
  </r>
  <r>
    <x v="862"/>
    <x v="0"/>
    <s v="Native "/>
    <x v="5"/>
    <n v="40"/>
    <n v="38"/>
    <n v="2"/>
    <s v="Rejection of 2 carcasses due to presence of c. bovis in their hearts."/>
    <n v="17109"/>
    <n v="16287"/>
    <n v="822"/>
    <x v="1047"/>
    <n v="368"/>
    <n v="450.23684210526318"/>
    <n v="428.60526315789474"/>
    <n v="21.631578947368421"/>
    <n v="275.63157894736844"/>
    <n v="9.6842105263157894"/>
    <n v="25"/>
    <n v="0"/>
    <n v="49.55263157894737"/>
    <n v="10"/>
    <n v="8.5"/>
    <n v="4.8044888655093806E-2"/>
    <n v="0.9955263157894737"/>
    <n v="0.61219241334969898"/>
    <n v="0.93052631578947365"/>
    <s v="1 head "/>
    <m/>
    <m/>
    <m/>
    <m/>
    <m/>
    <n v="8"/>
    <m/>
    <m/>
  </r>
  <r>
    <x v="863"/>
    <x v="0"/>
    <s v="Native "/>
    <x v="14"/>
    <n v="18"/>
    <n v="18"/>
    <n v="0"/>
    <m/>
    <n v="9000"/>
    <n v="8785"/>
    <n v="215"/>
    <x v="1048"/>
    <n v="217"/>
    <n v="500"/>
    <n v="488.05555555555554"/>
    <n v="11.944444444444445"/>
    <n v="304.49444444444441"/>
    <n v="12.055555555555555"/>
    <n v="25"/>
    <n v="0"/>
    <n v="48.44444444444445"/>
    <n v="10"/>
    <n v="8.5"/>
    <n v="2.388888888888889E-2"/>
    <n v="0.98444444444444446"/>
    <n v="0.6089888888888888"/>
    <n v="0.91944444444444462"/>
    <s v="1 liver"/>
    <m/>
    <m/>
    <m/>
    <m/>
    <m/>
    <n v="6"/>
    <m/>
    <m/>
  </r>
  <r>
    <x v="863"/>
    <x v="0"/>
    <s v="Imported"/>
    <x v="14"/>
    <n v="18"/>
    <n v="18"/>
    <n v="0"/>
    <m/>
    <n v="9786"/>
    <n v="9230"/>
    <n v="556"/>
    <x v="1049"/>
    <n v="168"/>
    <n v="543.66666666666663"/>
    <n v="512.77777777777783"/>
    <n v="30.888888888888889"/>
    <n v="344.54444444444448"/>
    <n v="9.3333333333333339"/>
    <n v="25"/>
    <n v="0"/>
    <n v="49.888888888888886"/>
    <n v="10"/>
    <n v="8.5"/>
    <n v="5.6815859390966693E-2"/>
    <n v="0.99888888888888894"/>
    <n v="0.63374208052319647"/>
    <n v="0.93388888888888888"/>
    <s v="1 kidney"/>
    <m/>
    <m/>
    <m/>
    <m/>
    <m/>
    <n v="4"/>
    <m/>
    <m/>
  </r>
  <r>
    <x v="864"/>
    <x v="0"/>
    <s v="Native "/>
    <x v="9"/>
    <n v="21"/>
    <n v="21"/>
    <n v="0"/>
    <m/>
    <n v="9454"/>
    <n v="9265"/>
    <n v="189"/>
    <x v="1050"/>
    <n v="204"/>
    <n v="450.1904761904762"/>
    <n v="441.1904761904762"/>
    <n v="9"/>
    <n v="270.11904761904759"/>
    <n v="9.7142857142857135"/>
    <n v="24.761904761904763"/>
    <n v="0"/>
    <n v="49"/>
    <n v="10"/>
    <n v="8.5"/>
    <n v="1.9991537973344617E-2"/>
    <n v="0.98523809523809525"/>
    <n v="0.60001057753331921"/>
    <n v="0.92261904761904756"/>
    <m/>
    <m/>
    <m/>
    <m/>
    <m/>
    <m/>
    <n v="9"/>
    <m/>
    <n v="3"/>
  </r>
  <r>
    <x v="865"/>
    <x v="0"/>
    <s v="Native "/>
    <x v="9"/>
    <n v="48"/>
    <n v="47"/>
    <n v="1"/>
    <s v="Rejection of 1 carcass due to presence of miliary TB."/>
    <n v="22650"/>
    <n v="21445"/>
    <n v="1205"/>
    <x v="1051"/>
    <n v="458"/>
    <n v="481.91489361702128"/>
    <n v="456.27659574468083"/>
    <n v="25.638297872340427"/>
    <n v="289.15531914893614"/>
    <n v="9.7446808510638299"/>
    <n v="24.787234042553191"/>
    <n v="0"/>
    <n v="49.893617021276597"/>
    <n v="10"/>
    <n v="8.5"/>
    <n v="5.3200883002207509E-2"/>
    <n v="0.99468085106382986"/>
    <n v="0.6000132450331126"/>
    <n v="0.93180851063829795"/>
    <m/>
    <m/>
    <m/>
    <m/>
    <m/>
    <m/>
    <n v="24"/>
    <m/>
    <n v="443"/>
  </r>
  <r>
    <x v="866"/>
    <x v="0"/>
    <s v="Native "/>
    <x v="14"/>
    <n v="19"/>
    <n v="19"/>
    <n v="0"/>
    <m/>
    <n v="9970"/>
    <n v="9915"/>
    <n v="55"/>
    <x v="1052"/>
    <n v="227"/>
    <n v="524.73684210526312"/>
    <n v="521.84210526315792"/>
    <n v="2.8947368421052633"/>
    <n v="319.36842105263156"/>
    <n v="11.947368421052632"/>
    <n v="25"/>
    <n v="0"/>
    <n v="49.263157894736842"/>
    <n v="10"/>
    <n v="8.5"/>
    <n v="5.5165496489468415E-3"/>
    <n v="0.99263157894736842"/>
    <n v="0.60862587763289866"/>
    <n v="0.92763157894736847"/>
    <m/>
    <m/>
    <m/>
    <m/>
    <m/>
    <m/>
    <n v="10"/>
    <m/>
    <n v="17"/>
  </r>
  <r>
    <x v="866"/>
    <x v="0"/>
    <s v="Imported"/>
    <x v="14"/>
    <n v="21"/>
    <n v="21"/>
    <n v="0"/>
    <m/>
    <n v="12112"/>
    <n v="11240"/>
    <n v="872"/>
    <x v="1053"/>
    <n v="190"/>
    <n v="576.76190476190482"/>
    <n v="535.23809523809518"/>
    <n v="41.523809523809526"/>
    <n v="362.03809523809525"/>
    <n v="9.0476190476190474"/>
    <n v="23.80952380952381"/>
    <n v="0"/>
    <n v="49.666666666666664"/>
    <n v="10"/>
    <n v="8.5"/>
    <n v="7.1994715984147944E-2"/>
    <n v="0.97285714285714286"/>
    <n v="0.62770805812417441"/>
    <n v="0.91976190476190478"/>
    <m/>
    <m/>
    <m/>
    <m/>
    <m/>
    <m/>
    <n v="12"/>
    <m/>
    <n v="7"/>
  </r>
  <r>
    <x v="867"/>
    <x v="0"/>
    <s v="Native "/>
    <x v="14"/>
    <n v="27"/>
    <n v="27"/>
    <n v="0"/>
    <m/>
    <n v="14435"/>
    <n v="14125"/>
    <n v="310"/>
    <x v="1054"/>
    <n v="363"/>
    <n v="534.62962962962968"/>
    <n v="523.14814814814815"/>
    <n v="11.481481481481481"/>
    <n v="326.35555555555555"/>
    <n v="13.444444444444445"/>
    <n v="24.814814814814817"/>
    <n v="0"/>
    <n v="49.222222222222221"/>
    <n v="10"/>
    <n v="8.5"/>
    <n v="2.1475580187045373E-2"/>
    <n v="0.98851851851851857"/>
    <n v="0.61043297540699692"/>
    <n v="0.9253703703703704"/>
    <m/>
    <m/>
    <m/>
    <m/>
    <m/>
    <m/>
    <n v="11"/>
    <m/>
    <n v="0"/>
  </r>
  <r>
    <x v="867"/>
    <x v="0"/>
    <s v="Imported"/>
    <x v="14"/>
    <n v="20"/>
    <n v="20"/>
    <n v="0"/>
    <m/>
    <n v="11369"/>
    <n v="10770"/>
    <n v="599"/>
    <x v="1055"/>
    <n v="176"/>
    <n v="568.45000000000005"/>
    <n v="538.5"/>
    <n v="29.95"/>
    <n v="361.625"/>
    <n v="8.8000000000000007"/>
    <n v="24.75"/>
    <n v="0"/>
    <n v="49.5"/>
    <n v="10"/>
    <n v="8.5"/>
    <n v="5.2687131673849939E-2"/>
    <n v="0.99"/>
    <n v="0.63615973260620984"/>
    <n v="0.92749999999999999"/>
    <m/>
    <m/>
    <m/>
    <m/>
    <m/>
    <m/>
    <n v="5"/>
    <m/>
    <n v="0"/>
  </r>
  <r>
    <x v="868"/>
    <x v="0"/>
    <s v="Native "/>
    <x v="14"/>
    <n v="17"/>
    <n v="16"/>
    <n v="1"/>
    <s v="Rejection of 1 carcass due to presence of pyogenic traumatic pericarditis."/>
    <n v="7705"/>
    <n v="7560"/>
    <n v="145"/>
    <x v="1056"/>
    <n v="205"/>
    <n v="481.5625"/>
    <n v="472.5"/>
    <n v="9.0625"/>
    <n v="294.21249999999998"/>
    <n v="12.8125"/>
    <n v="24.375"/>
    <n v="0"/>
    <n v="48.6875"/>
    <n v="10"/>
    <n v="8.5"/>
    <n v="1.8818948734587931E-2"/>
    <n v="0.97437499999999999"/>
    <n v="0.61095392602206355"/>
    <n v="0.91562500000000002"/>
    <m/>
    <m/>
    <m/>
    <m/>
    <m/>
    <m/>
    <n v="12"/>
    <m/>
    <n v="519.5"/>
  </r>
  <r>
    <x v="868"/>
    <x v="0"/>
    <s v="Imported"/>
    <x v="14"/>
    <n v="24"/>
    <n v="24"/>
    <n v="0"/>
    <m/>
    <n v="13473"/>
    <n v="12895"/>
    <n v="578"/>
    <x v="1057"/>
    <n v="184"/>
    <n v="561.375"/>
    <n v="537.29166666666663"/>
    <n v="24.083333333333332"/>
    <n v="359.82499999999999"/>
    <n v="7.666666666666667"/>
    <n v="24.583333333333332"/>
    <n v="0"/>
    <n v="49.833333333333336"/>
    <n v="10"/>
    <n v="8.5"/>
    <n v="4.2900616046908632E-2"/>
    <n v="0.99"/>
    <n v="0.64097083054998882"/>
    <n v="0.9291666666666667"/>
    <m/>
    <m/>
    <m/>
    <m/>
    <m/>
    <m/>
    <n v="7"/>
    <m/>
    <n v="0"/>
  </r>
  <r>
    <x v="869"/>
    <x v="0"/>
    <s v="Native "/>
    <x v="0"/>
    <n v="50"/>
    <n v="50"/>
    <n v="0"/>
    <m/>
    <n v="21835"/>
    <n v="20575"/>
    <n v="1260"/>
    <x v="1058"/>
    <n v="419"/>
    <n v="436.7"/>
    <n v="411.5"/>
    <n v="25.2"/>
    <n v="262.024"/>
    <n v="8.3800000000000008"/>
    <n v="25"/>
    <n v="0"/>
    <n v="49.9"/>
    <n v="10"/>
    <n v="8.5"/>
    <n v="5.7705518662697505E-2"/>
    <n v="0.999"/>
    <n v="0.60000915960613699"/>
    <n v="0.93400000000000005"/>
    <m/>
    <m/>
    <m/>
    <m/>
    <m/>
    <m/>
    <n v="1"/>
    <m/>
    <n v="2"/>
  </r>
  <r>
    <x v="870"/>
    <x v="0"/>
    <s v="Native "/>
    <x v="5"/>
    <n v="33"/>
    <n v="33"/>
    <n v="0"/>
    <m/>
    <n v="14770"/>
    <n v="14025"/>
    <n v="745"/>
    <x v="1059"/>
    <n v="321"/>
    <n v="447.57575757575756"/>
    <n v="425"/>
    <n v="22.575757575757574"/>
    <n v="274.9909090909091"/>
    <n v="9.7272727272727266"/>
    <n v="25"/>
    <n v="0"/>
    <n v="50"/>
    <n v="10"/>
    <n v="8.5"/>
    <n v="5.0440081245768445E-2"/>
    <n v="1"/>
    <n v="0.61440081245768452"/>
    <n v="0.93500000000000005"/>
    <m/>
    <m/>
    <m/>
    <m/>
    <m/>
    <m/>
    <n v="1"/>
    <m/>
    <n v="0"/>
  </r>
  <r>
    <x v="871"/>
    <x v="0"/>
    <s v="Native "/>
    <x v="5"/>
    <n v="56"/>
    <n v="54"/>
    <n v="2"/>
    <s v="Rejection of 2 carcasses due to presence of c. bovis in their hearts."/>
    <n v="23946"/>
    <n v="22792"/>
    <n v="1154"/>
    <x v="1060"/>
    <n v="509"/>
    <n v="443.44444444444446"/>
    <n v="422.07407407407408"/>
    <n v="21.37037037037037"/>
    <n v="268.57962962962961"/>
    <n v="9.4259259259259256"/>
    <n v="25"/>
    <n v="0"/>
    <n v="49.407407407407405"/>
    <n v="9.9074074074074083"/>
    <n v="8.5"/>
    <n v="4.8191764804142653E-2"/>
    <n v="0.99407407407407411"/>
    <n v="0.60566691723043509"/>
    <n v="0.92814814814814806"/>
    <m/>
    <m/>
    <m/>
    <m/>
    <m/>
    <m/>
    <n v="3"/>
    <m/>
    <n v="855"/>
  </r>
  <r>
    <x v="872"/>
    <x v="0"/>
    <s v="Native "/>
    <x v="14"/>
    <n v="17"/>
    <n v="16"/>
    <n v="1"/>
    <s v="Rejection of 1 carcass due to presence of c. bovis in the heart."/>
    <n v="7567"/>
    <n v="7390"/>
    <n v="177"/>
    <x v="1061"/>
    <n v="142"/>
    <n v="472.9375"/>
    <n v="461.875"/>
    <n v="11.0625"/>
    <n v="283.78125"/>
    <n v="8.875"/>
    <n v="25"/>
    <n v="0"/>
    <n v="49.5625"/>
    <n v="10"/>
    <n v="8.5"/>
    <n v="2.3391040042288886E-2"/>
    <n v="0.99562499999999998"/>
    <n v="0.60003964583058012"/>
    <n v="0.93062500000000004"/>
    <m/>
    <m/>
    <m/>
    <m/>
    <m/>
    <m/>
    <n v="6"/>
    <m/>
    <n v="404"/>
  </r>
  <r>
    <x v="872"/>
    <x v="0"/>
    <s v="Imported"/>
    <x v="14"/>
    <n v="21"/>
    <n v="21"/>
    <n v="0"/>
    <m/>
    <n v="12073"/>
    <n v="11800"/>
    <n v="273"/>
    <x v="1062"/>
    <n v="239"/>
    <n v="574.90476190476193"/>
    <n v="561.90476190476193"/>
    <n v="13"/>
    <n v="378.48095238095237"/>
    <n v="11.380952380952381"/>
    <n v="24.761904761904763"/>
    <n v="0"/>
    <n v="49.047619047619051"/>
    <n v="10"/>
    <n v="8.5"/>
    <n v="2.2612440984013913E-2"/>
    <n v="0.98571428571428577"/>
    <n v="0.65833678456058975"/>
    <n v="0.92309523809523808"/>
    <m/>
    <m/>
    <m/>
    <m/>
    <m/>
    <m/>
    <n v="9"/>
    <m/>
    <n v="0"/>
  </r>
  <r>
    <x v="873"/>
    <x v="0"/>
    <s v="Native "/>
    <x v="14"/>
    <n v="17"/>
    <n v="17"/>
    <n v="0"/>
    <m/>
    <n v="8100"/>
    <n v="7900"/>
    <n v="200"/>
    <x v="1063"/>
    <n v="182"/>
    <n v="476.47058823529414"/>
    <n v="464.70588235294116"/>
    <n v="11.764705882352942"/>
    <n v="289.44117647058823"/>
    <n v="10.705882352941176"/>
    <n v="24.705882352941178"/>
    <n v="0"/>
    <n v="49.588235294117645"/>
    <n v="10"/>
    <n v="8.5"/>
    <n v="2.469135802469136E-2"/>
    <n v="0.99"/>
    <n v="0.60746913580246908"/>
    <n v="0.92794117647058827"/>
    <m/>
    <m/>
    <m/>
    <m/>
    <m/>
    <m/>
    <n v="6"/>
    <m/>
    <n v="2"/>
  </r>
  <r>
    <x v="873"/>
    <x v="0"/>
    <s v="Imported"/>
    <x v="14"/>
    <n v="28"/>
    <n v="28"/>
    <n v="0"/>
    <m/>
    <n v="15306"/>
    <n v="14630"/>
    <n v="676"/>
    <x v="1064"/>
    <n v="266"/>
    <n v="546.64285714285711"/>
    <n v="522.5"/>
    <n v="24.142857142857142"/>
    <n v="347.73571428571432"/>
    <n v="9.5"/>
    <n v="24.642857142857142"/>
    <n v="0"/>
    <n v="49.392857142857146"/>
    <n v="10"/>
    <n v="8.5"/>
    <n v="4.4165686658826607E-2"/>
    <n v="0.98678571428571427"/>
    <n v="0.63612962237031234"/>
    <n v="0.92535714285714288"/>
    <m/>
    <m/>
    <m/>
    <m/>
    <m/>
    <m/>
    <n v="10"/>
    <m/>
    <n v="7"/>
  </r>
  <r>
    <x v="874"/>
    <x v="0"/>
    <s v="Native "/>
    <x v="14"/>
    <n v="14"/>
    <n v="14"/>
    <n v="0"/>
    <m/>
    <n v="5577"/>
    <n v="5469"/>
    <n v="108"/>
    <x v="1065"/>
    <n v="84"/>
    <n v="398.35714285714283"/>
    <n v="390.64285714285717"/>
    <n v="7.7142857142857144"/>
    <n v="239.02142857142857"/>
    <n v="6"/>
    <n v="25"/>
    <n v="0"/>
    <n v="48.857142857142854"/>
    <n v="10"/>
    <n v="8.5"/>
    <n v="1.9365250134480906E-2"/>
    <n v="0.98857142857142855"/>
    <n v="0.60001793078716159"/>
    <n v="0.9235714285714286"/>
    <m/>
    <m/>
    <m/>
    <m/>
    <m/>
    <m/>
    <n v="2"/>
    <m/>
    <n v="9"/>
  </r>
  <r>
    <x v="874"/>
    <x v="0"/>
    <s v="Imported"/>
    <x v="14"/>
    <n v="21"/>
    <n v="21"/>
    <n v="0"/>
    <m/>
    <n v="10865"/>
    <n v="10460"/>
    <n v="405"/>
    <x v="1066"/>
    <n v="198"/>
    <n v="517.38095238095241"/>
    <n v="498.09523809523807"/>
    <n v="19.285714285714285"/>
    <n v="329.1142857142857"/>
    <n v="9.4285714285714288"/>
    <n v="24.761904761904763"/>
    <n v="0"/>
    <n v="49.666666666666664"/>
    <n v="10"/>
    <n v="8.5"/>
    <n v="3.7275655775425673E-2"/>
    <n v="0.99190476190476184"/>
    <n v="0.63611596870685683"/>
    <n v="0.92928571428571427"/>
    <m/>
    <m/>
    <m/>
    <m/>
    <m/>
    <m/>
    <n v="4"/>
    <m/>
    <n v="0"/>
  </r>
  <r>
    <x v="875"/>
    <x v="0"/>
    <s v="Native "/>
    <x v="5"/>
    <n v="40"/>
    <n v="36"/>
    <n v="4"/>
    <s v="Rejection of 4 carcasses due to presence of c. bovis in 3 hearts and in diaphargm muscles."/>
    <n v="15583"/>
    <n v="14707"/>
    <n v="876"/>
    <x v="1067"/>
    <n v="341"/>
    <n v="432.86111111111109"/>
    <n v="408.52777777777777"/>
    <n v="24.333333333333332"/>
    <n v="261.68055555555554"/>
    <n v="9.4722222222222214"/>
    <n v="25"/>
    <n v="0"/>
    <n v="47.888888888888886"/>
    <n v="10"/>
    <n v="8.5"/>
    <n v="5.6215106205480335E-2"/>
    <n v="0.97888888888888892"/>
    <n v="0.60453699544375283"/>
    <n v="0.91388888888888886"/>
    <m/>
    <m/>
    <m/>
    <m/>
    <m/>
    <m/>
    <n v="2"/>
    <m/>
    <n v="1798"/>
  </r>
  <r>
    <x v="876"/>
    <x v="0"/>
    <s v="Native "/>
    <x v="5"/>
    <n v="25"/>
    <n v="25"/>
    <n v="0"/>
    <m/>
    <n v="10591"/>
    <n v="10075"/>
    <n v="516"/>
    <x v="1068"/>
    <n v="236"/>
    <n v="423.64"/>
    <n v="403"/>
    <n v="20.64"/>
    <n v="256.29200000000003"/>
    <n v="9.44"/>
    <n v="25"/>
    <n v="0"/>
    <n v="49.791666666666671"/>
    <n v="10"/>
    <n v="8.5"/>
    <n v="4.872061184024172E-2"/>
    <n v="0.99791666666666679"/>
    <n v="0.60497592295345104"/>
    <n v="0.93291666666666673"/>
    <m/>
    <m/>
    <m/>
    <m/>
    <m/>
    <m/>
    <n v="3"/>
    <m/>
    <n v="0"/>
  </r>
  <r>
    <x v="876"/>
    <x v="0"/>
    <s v="Imported"/>
    <x v="5"/>
    <n v="7"/>
    <n v="7"/>
    <n v="0"/>
    <m/>
    <n v="4136"/>
    <n v="3920"/>
    <n v="216"/>
    <x v="1069"/>
    <n v="47"/>
    <n v="590.85714285714289"/>
    <n v="560"/>
    <n v="30.857142857142858"/>
    <n v="372.05714285714288"/>
    <n v="6.7142857142857144"/>
    <n v="25"/>
    <n v="0"/>
    <n v="50"/>
    <n v="10"/>
    <n v="8.5"/>
    <n v="5.2224371373307543E-2"/>
    <n v="1"/>
    <n v="0.6296905222437138"/>
    <n v="0.93500000000000005"/>
    <m/>
    <m/>
    <m/>
    <m/>
    <m/>
    <m/>
    <n v="0"/>
    <m/>
    <n v="0"/>
  </r>
  <r>
    <x v="877"/>
    <x v="0"/>
    <s v="brahman"/>
    <x v="14"/>
    <n v="23"/>
    <n v="23"/>
    <n v="0"/>
    <m/>
    <n v="14321"/>
    <n v="14321"/>
    <n v="0"/>
    <x v="1070"/>
    <n v="0"/>
    <n v="622.6521739130435"/>
    <n v="622.6521739130435"/>
    <n v="0"/>
    <n v="373.59130434782611"/>
    <n v="0"/>
    <n v="25"/>
    <n v="0"/>
    <n v="45"/>
    <n v="10"/>
    <n v="8.5"/>
    <n v="0"/>
    <n v="0.95"/>
    <n v="0.6"/>
    <n v="0.88500000000000001"/>
    <m/>
    <m/>
    <m/>
    <m/>
    <m/>
    <m/>
    <n v="23"/>
    <m/>
    <n v="0"/>
  </r>
  <r>
    <x v="877"/>
    <x v="0"/>
    <s v="Native "/>
    <x v="24"/>
    <n v="16"/>
    <n v="16"/>
    <n v="0"/>
    <m/>
    <n v="7288"/>
    <n v="7288"/>
    <n v="0"/>
    <x v="1071"/>
    <n v="90"/>
    <n v="455.5"/>
    <n v="455.5"/>
    <n v="0"/>
    <n v="273.3"/>
    <n v="5.625"/>
    <n v="25"/>
    <n v="0"/>
    <n v="48.625"/>
    <n v="10"/>
    <n v="8.5"/>
    <n v="0"/>
    <n v="0.98625000000000007"/>
    <n v="0.6"/>
    <n v="0.92125000000000001"/>
    <m/>
    <m/>
    <m/>
    <m/>
    <m/>
    <m/>
    <n v="8"/>
    <m/>
    <n v="0"/>
  </r>
  <r>
    <x v="877"/>
    <x v="0"/>
    <s v="Imported"/>
    <x v="0"/>
    <n v="38"/>
    <n v="38"/>
    <n v="0"/>
    <m/>
    <n v="22580"/>
    <n v="22005"/>
    <n v="575"/>
    <x v="1072"/>
    <n v="256"/>
    <n v="594.21052631578948"/>
    <n v="579.07894736842104"/>
    <n v="15.131578947368421"/>
    <n v="356.55"/>
    <n v="6.7368421052631575"/>
    <n v="25"/>
    <n v="0"/>
    <n v="48.10526315789474"/>
    <n v="10"/>
    <n v="8.5"/>
    <n v="2.546501328609389E-2"/>
    <n v="0.9810526315789474"/>
    <n v="0.60003985828166517"/>
    <n v="0.91605263157894745"/>
    <m/>
    <m/>
    <m/>
    <m/>
    <m/>
    <m/>
    <n v="14"/>
    <m/>
    <n v="0"/>
  </r>
  <r>
    <x v="878"/>
    <x v="0"/>
    <s v="brahman"/>
    <x v="14"/>
    <n v="19"/>
    <n v="16"/>
    <n v="3"/>
    <s v="Rejection of 3 carcasses (AB residues in 2 carcasses and 1 icteric carcass)."/>
    <n v="9978.3333333333339"/>
    <n v="9978.3333333333339"/>
    <n v="0"/>
    <x v="1073"/>
    <n v="135"/>
    <n v="623.64583333333337"/>
    <n v="623.64583333333337"/>
    <n v="0"/>
    <n v="374.1875"/>
    <n v="8.4375"/>
    <n v="25"/>
    <n v="0"/>
    <n v="45"/>
    <n v="10"/>
    <n v="8.5"/>
    <n v="0"/>
    <n v="0.95"/>
    <n v="0.6"/>
    <n v="0.88500000000000001"/>
    <m/>
    <m/>
    <m/>
    <m/>
    <m/>
    <m/>
    <n v="16"/>
    <m/>
    <n v="1575.4736842105262"/>
  </r>
  <r>
    <x v="878"/>
    <x v="0"/>
    <s v="Native "/>
    <x v="14"/>
    <n v="24"/>
    <n v="24"/>
    <n v="0"/>
    <m/>
    <n v="11535"/>
    <n v="11320"/>
    <n v="215"/>
    <x v="1074"/>
    <n v="219"/>
    <n v="480.625"/>
    <n v="471.66666666666669"/>
    <n v="8.9583333333333339"/>
    <n v="291.11250000000001"/>
    <n v="9.125"/>
    <n v="25"/>
    <n v="0"/>
    <n v="49.708333333333329"/>
    <n v="10"/>
    <n v="8.5"/>
    <n v="1.8638925010836586E-2"/>
    <n v="0.99708333333333332"/>
    <n v="0.6056957087126138"/>
    <n v="0.93208333333333326"/>
    <m/>
    <m/>
    <m/>
    <m/>
    <m/>
    <m/>
    <n v="12"/>
    <m/>
    <n v="6"/>
  </r>
  <r>
    <x v="879"/>
    <x v="0"/>
    <s v="Native "/>
    <x v="14"/>
    <n v="28"/>
    <n v="28"/>
    <n v="0"/>
    <m/>
    <n v="13545"/>
    <n v="13180"/>
    <n v="365"/>
    <x v="1075"/>
    <n v="305"/>
    <n v="483.75"/>
    <n v="470.71428571428572"/>
    <n v="13.035714285714286"/>
    <n v="290.23571428571432"/>
    <n v="10.892857142857142"/>
    <n v="25"/>
    <n v="0"/>
    <n v="48.321428571428569"/>
    <n v="10"/>
    <n v="8.5"/>
    <n v="2.6947212993724622E-2"/>
    <n v="0.98321428571428571"/>
    <n v="0.59997046880767813"/>
    <n v="0.91821428571428565"/>
    <m/>
    <m/>
    <m/>
    <m/>
    <m/>
    <m/>
    <n v="12"/>
    <m/>
    <n v="7"/>
  </r>
  <r>
    <x v="879"/>
    <x v="0"/>
    <s v="brahman"/>
    <x v="14"/>
    <n v="25"/>
    <n v="24"/>
    <n v="1"/>
    <s v="Rejection of 1 carcass due to presence of AB residues."/>
    <n v="15268.666666666668"/>
    <n v="15268.666666666668"/>
    <n v="0"/>
    <x v="1076"/>
    <n v="210"/>
    <n v="636.19444444444446"/>
    <n v="636.19444444444446"/>
    <n v="0"/>
    <n v="381.7166666666667"/>
    <n v="8.75"/>
    <n v="25"/>
    <n v="0"/>
    <n v="45"/>
    <n v="10"/>
    <n v="8.5"/>
    <n v="0"/>
    <n v="0.95"/>
    <n v="0.6"/>
    <n v="0.88500000000000001"/>
    <m/>
    <m/>
    <m/>
    <m/>
    <m/>
    <m/>
    <n v="24"/>
    <m/>
    <n v="610"/>
  </r>
  <r>
    <x v="880"/>
    <x v="0"/>
    <s v="Imported"/>
    <x v="0"/>
    <n v="48"/>
    <n v="47"/>
    <n v="1"/>
    <s v="Rejection of 1 carcass due to presence of c. bovis in the heart."/>
    <n v="26772"/>
    <n v="26772"/>
    <n v="0"/>
    <x v="1077"/>
    <n v="481"/>
    <n v="569.61702127659578"/>
    <n v="569.61702127659578"/>
    <n v="0"/>
    <n v="350.05957446808509"/>
    <n v="10.23404255319149"/>
    <n v="25"/>
    <n v="0"/>
    <n v="48.680851063829792"/>
    <n v="10"/>
    <n v="8.5"/>
    <n v="0"/>
    <n v="0.986808510638298"/>
    <n v="0.6145525175556551"/>
    <n v="0.92180851063829794"/>
    <m/>
    <m/>
    <m/>
    <m/>
    <m/>
    <m/>
    <n v="8"/>
    <m/>
    <n v="650"/>
  </r>
  <r>
    <x v="881"/>
    <x v="1"/>
    <s v="Native "/>
    <x v="1"/>
    <n v="34"/>
    <n v="33"/>
    <n v="1"/>
    <s v="Rejection of 1 carcass due to presence of sever c. Tenicollis infestation, sever peritonitis and emaciation"/>
    <n v="1527"/>
    <n v="1527"/>
    <n v="0"/>
    <x v="1078"/>
    <n v="0"/>
    <n v="46.272727272727273"/>
    <n v="46.272727272727273"/>
    <n v="0"/>
    <n v="24.82121212121212"/>
    <n v="0"/>
    <n v="25"/>
    <n v="0"/>
    <n v="47.909090909090907"/>
    <n v="10"/>
    <n v="8.5"/>
    <n v="0"/>
    <n v="0.97909090909090901"/>
    <n v="0.53641126391617555"/>
    <n v="0.91409090909090907"/>
    <m/>
    <m/>
    <m/>
    <m/>
    <m/>
    <m/>
    <n v="0"/>
    <m/>
    <n v="22"/>
  </r>
  <r>
    <x v="881"/>
    <x v="0"/>
    <s v="Imported"/>
    <x v="0"/>
    <n v="64"/>
    <n v="63"/>
    <n v="1"/>
    <s v="Rejection of 1 carcass due to presence of c. Bovis in the heart."/>
    <n v="36636"/>
    <n v="36636"/>
    <n v="0"/>
    <x v="1079"/>
    <n v="648"/>
    <n v="581.52380952380952"/>
    <n v="581.52380952380952"/>
    <n v="0"/>
    <n v="356.50793650793651"/>
    <n v="10.285714285714286"/>
    <n v="25"/>
    <n v="0"/>
    <n v="44.936507936507937"/>
    <n v="10"/>
    <n v="8.5"/>
    <n v="0"/>
    <n v="0.94936507936507941"/>
    <n v="0.61305819412599627"/>
    <n v="0.88436507936507935"/>
    <m/>
    <m/>
    <m/>
    <m/>
    <m/>
    <m/>
    <n v="13"/>
    <m/>
    <n v="661"/>
  </r>
  <r>
    <x v="882"/>
    <x v="0"/>
    <s v="Imported"/>
    <x v="5"/>
    <n v="52"/>
    <n v="52"/>
    <n v="0"/>
    <m/>
    <n v="28935"/>
    <n v="27920"/>
    <n v="1015"/>
    <x v="1080"/>
    <n v="305"/>
    <n v="556.44230769230774"/>
    <n v="536.92307692307691"/>
    <n v="19.51923076923077"/>
    <n v="358.42499999999995"/>
    <n v="5.865384615384615"/>
    <n v="25"/>
    <n v="0"/>
    <n v="49.09615384615384"/>
    <n v="10"/>
    <n v="8.5"/>
    <n v="3.507862450319682E-2"/>
    <n v="0.99096153846153845"/>
    <n v="0.64413685847589419"/>
    <n v="0.92596153846153839"/>
    <m/>
    <m/>
    <m/>
    <m/>
    <m/>
    <m/>
    <n v="0"/>
    <m/>
    <n v="0"/>
  </r>
  <r>
    <x v="883"/>
    <x v="0"/>
    <s v="Native "/>
    <x v="24"/>
    <n v="43"/>
    <n v="43"/>
    <n v="0"/>
    <m/>
    <n v="17975"/>
    <n v="16275"/>
    <n v="1700"/>
    <x v="1081"/>
    <n v="165"/>
    <n v="418.02325581395348"/>
    <n v="378.48837209302326"/>
    <n v="39.534883720930232"/>
    <n v="250.80697674418607"/>
    <n v="3.8372093023255816"/>
    <n v="23"/>
    <n v="0"/>
    <n v="49.395348837209305"/>
    <n v="10"/>
    <n v="8.5"/>
    <n v="9.4575799721835885E-2"/>
    <n v="0.95395348837209304"/>
    <n v="0.59998331015299033"/>
    <n v="0.908953488372093"/>
    <m/>
    <m/>
    <m/>
    <m/>
    <m/>
    <m/>
    <n v="20"/>
    <m/>
    <n v="14"/>
  </r>
  <r>
    <x v="884"/>
    <x v="0"/>
    <s v="Native "/>
    <x v="14"/>
    <n v="36"/>
    <n v="34"/>
    <n v="2"/>
    <s v="1 c. bovis + 1 ab"/>
    <n v="15447"/>
    <n v="14874"/>
    <n v="573"/>
    <x v="1082"/>
    <n v="298"/>
    <n v="454.3235294117647"/>
    <n v="437.47058823529414"/>
    <n v="16.852941176470587"/>
    <n v="272.58823529411762"/>
    <n v="8.764705882352942"/>
    <n v="24.705882352941178"/>
    <n v="0"/>
    <n v="48.764705882352935"/>
    <n v="9.7058823529411775"/>
    <n v="8.5"/>
    <n v="3.709458147213051E-2"/>
    <n v="0.98176470588235287"/>
    <n v="0.59998705250210393"/>
    <n v="0.91676470588235293"/>
    <m/>
    <m/>
    <m/>
    <m/>
    <m/>
    <m/>
    <n v="11"/>
    <m/>
    <n v="851"/>
  </r>
  <r>
    <x v="885"/>
    <x v="0"/>
    <s v="Native "/>
    <x v="14"/>
    <n v="27"/>
    <n v="27"/>
    <n v="0"/>
    <m/>
    <n v="11680"/>
    <n v="11335"/>
    <n v="345"/>
    <x v="1083"/>
    <n v="195"/>
    <n v="432.59259259259261"/>
    <n v="419.81481481481484"/>
    <n v="12.777777777777779"/>
    <n v="259.56296296296296"/>
    <n v="7.2222222222222223"/>
    <n v="25"/>
    <n v="0"/>
    <n v="49.18518518518519"/>
    <n v="10"/>
    <n v="8.5"/>
    <n v="2.9537671232876712E-2"/>
    <n v="0.99185185185185198"/>
    <n v="0.60001712328767121"/>
    <n v="0.92685185185185193"/>
    <m/>
    <m/>
    <m/>
    <m/>
    <m/>
    <m/>
    <n v="7"/>
    <m/>
    <n v="0"/>
  </r>
  <r>
    <x v="886"/>
    <x v="0"/>
    <s v="Native "/>
    <x v="5"/>
    <n v="24"/>
    <n v="24"/>
    <n v="0"/>
    <m/>
    <n v="11034"/>
    <n v="10435"/>
    <n v="599"/>
    <x v="1084"/>
    <n v="227"/>
    <n v="459.75"/>
    <n v="434.79166666666669"/>
    <n v="24.958333333333332"/>
    <n v="279.09583333333336"/>
    <n v="9.4583333333333339"/>
    <n v="25"/>
    <n v="0"/>
    <n v="49.708333333333329"/>
    <n v="10"/>
    <n v="8.5"/>
    <n v="5.4286750045314483E-2"/>
    <n v="0.99708333333333332"/>
    <n v="0.60705999637484143"/>
    <n v="0.93208333333333326"/>
    <m/>
    <m/>
    <m/>
    <m/>
    <m/>
    <m/>
    <n v="3"/>
    <m/>
    <n v="1"/>
  </r>
  <r>
    <x v="886"/>
    <x v="0"/>
    <s v="Imported"/>
    <x v="0"/>
    <n v="8"/>
    <n v="8"/>
    <n v="0"/>
    <m/>
    <n v="4740"/>
    <n v="4740"/>
    <n v="0"/>
    <x v="1085"/>
    <n v="92"/>
    <n v="592.5"/>
    <n v="592.5"/>
    <n v="0"/>
    <n v="365.9"/>
    <n v="11.5"/>
    <n v="25"/>
    <n v="0"/>
    <n v="47.875"/>
    <n v="10"/>
    <n v="8.5"/>
    <n v="0"/>
    <n v="0.97875000000000001"/>
    <n v="0.61755274261603377"/>
    <n v="0.91374999999999995"/>
    <m/>
    <m/>
    <m/>
    <m/>
    <m/>
    <m/>
    <n v="2"/>
    <m/>
    <n v="5"/>
  </r>
  <r>
    <x v="887"/>
    <x v="0"/>
    <s v="Native "/>
    <x v="9"/>
    <n v="27"/>
    <n v="27"/>
    <n v="0"/>
    <m/>
    <n v="13689"/>
    <n v="13460"/>
    <n v="229"/>
    <x v="1086"/>
    <n v="315"/>
    <n v="507"/>
    <n v="498.51851851851853"/>
    <n v="8.481481481481481"/>
    <n v="304.17777777777775"/>
    <n v="11.666666666666666"/>
    <n v="24.62962962962963"/>
    <n v="0"/>
    <n v="50"/>
    <n v="10"/>
    <n v="8.5"/>
    <n v="1.6728760318503906E-2"/>
    <n v="0.99259259259259258"/>
    <n v="0.59995616918693839"/>
    <n v="0.93129629629629629"/>
    <m/>
    <m/>
    <m/>
    <m/>
    <m/>
    <m/>
    <n v="9"/>
    <m/>
    <n v="0"/>
  </r>
  <r>
    <x v="887"/>
    <x v="0"/>
    <s v="Native "/>
    <x v="24"/>
    <n v="16"/>
    <n v="16"/>
    <n v="0"/>
    <m/>
    <n v="6334"/>
    <n v="6265"/>
    <n v="69"/>
    <x v="1087"/>
    <n v="77"/>
    <n v="395.875"/>
    <n v="391.5625"/>
    <n v="4.3125"/>
    <n v="237.53125"/>
    <n v="4.8125"/>
    <n v="25"/>
    <n v="0"/>
    <n v="50"/>
    <n v="10"/>
    <n v="8.5"/>
    <n v="1.089359014840543E-2"/>
    <n v="1"/>
    <n v="0.60001578781180931"/>
    <n v="0.93500000000000005"/>
    <m/>
    <m/>
    <m/>
    <m/>
    <m/>
    <m/>
    <n v="4"/>
    <m/>
    <n v="0"/>
  </r>
  <r>
    <x v="888"/>
    <x v="0"/>
    <s v="Native "/>
    <x v="0"/>
    <n v="28"/>
    <n v="28"/>
    <n v="0"/>
    <m/>
    <n v="12358"/>
    <n v="12055"/>
    <n v="303"/>
    <x v="1088"/>
    <n v="234"/>
    <n v="441.35714285714283"/>
    <n v="430.53571428571428"/>
    <n v="10.821428571428571"/>
    <n v="264.80357142857144"/>
    <n v="8.3571428571428577"/>
    <n v="25"/>
    <n v="0"/>
    <n v="49.464285714285715"/>
    <n v="10"/>
    <n v="8.5"/>
    <n v="2.4518530506554458E-2"/>
    <n v="0.99464285714285716"/>
    <n v="0.59997572422722123"/>
    <n v="0.92964285714285722"/>
    <m/>
    <m/>
    <m/>
    <m/>
    <m/>
    <m/>
    <n v="0"/>
    <m/>
    <n v="0"/>
  </r>
  <r>
    <x v="888"/>
    <x v="0"/>
    <s v="Imported"/>
    <x v="0"/>
    <n v="14"/>
    <n v="14"/>
    <n v="0"/>
    <m/>
    <n v="8087"/>
    <n v="7984"/>
    <n v="103"/>
    <x v="1089"/>
    <n v="114"/>
    <n v="577.64285714285711"/>
    <n v="570.28571428571433"/>
    <n v="7.3571428571428568"/>
    <n v="346.59285714285716"/>
    <n v="8.1428571428571423"/>
    <n v="21.785714285714288"/>
    <n v="0"/>
    <n v="49.142857142857139"/>
    <n v="10"/>
    <n v="8.5"/>
    <n v="1.2736490664028688E-2"/>
    <n v="0.92714285714285716"/>
    <n v="0.60001236552491655"/>
    <n v="0.89428571428571435"/>
    <m/>
    <m/>
    <m/>
    <m/>
    <m/>
    <m/>
    <n v="9"/>
    <m/>
    <n v="0"/>
  </r>
  <r>
    <x v="889"/>
    <x v="1"/>
    <s v="Native "/>
    <x v="1"/>
    <n v="27"/>
    <n v="27"/>
    <n v="0"/>
    <m/>
    <n v="1239"/>
    <n v="1185"/>
    <n v="54"/>
    <x v="1090"/>
    <n v="0"/>
    <n v="45.888888888888886"/>
    <n v="43.888888888888886"/>
    <n v="2"/>
    <n v="25.337037037037039"/>
    <n v="0"/>
    <n v="25"/>
    <n v="0"/>
    <n v="50"/>
    <n v="10"/>
    <n v="8.5"/>
    <n v="4.3583535108958842E-2"/>
    <n v="1"/>
    <n v="0.55213882163034711"/>
    <n v="0.93500000000000005"/>
    <m/>
    <m/>
    <m/>
    <m/>
    <m/>
    <m/>
    <n v="0"/>
    <m/>
    <m/>
  </r>
  <r>
    <x v="889"/>
    <x v="0"/>
    <s v="Native "/>
    <x v="14"/>
    <n v="52"/>
    <n v="51"/>
    <n v="1"/>
    <s v="AB resideus "/>
    <n v="26051"/>
    <n v="25280"/>
    <n v="771"/>
    <x v="1091"/>
    <n v="552"/>
    <n v="510.80392156862746"/>
    <n v="495.68627450980392"/>
    <n v="15.117647058823529"/>
    <n v="306.45686274509802"/>
    <n v="10.823529411764707"/>
    <n v="24.117647058823529"/>
    <n v="0"/>
    <n v="48.411764705882355"/>
    <n v="10"/>
    <n v="8.5"/>
    <n v="2.9595792867836167E-2"/>
    <n v="0.96647058823529419"/>
    <n v="0.59995009788491804"/>
    <n v="0.91029411764705881"/>
    <m/>
    <m/>
    <m/>
    <m/>
    <m/>
    <m/>
    <n v="31"/>
    <m/>
    <m/>
  </r>
  <r>
    <x v="890"/>
    <x v="0"/>
    <s v="Imported"/>
    <x v="9"/>
    <n v="24"/>
    <n v="24"/>
    <n v="0"/>
    <m/>
    <n v="14368"/>
    <n v="13825"/>
    <n v="543"/>
    <x v="1092"/>
    <n v="233"/>
    <n v="598.66666666666663"/>
    <n v="576.04166666666663"/>
    <n v="22.625"/>
    <n v="362.70833333333331"/>
    <n v="9.7083333333333339"/>
    <n v="25"/>
    <n v="0"/>
    <n v="47.75"/>
    <n v="10"/>
    <n v="8.5"/>
    <n v="3.7792316258351895E-2"/>
    <n v="0.97750000000000004"/>
    <n v="0.60586024498886415"/>
    <n v="0.91249999999999998"/>
    <m/>
    <m/>
    <m/>
    <m/>
    <m/>
    <m/>
    <n v="15"/>
    <m/>
    <m/>
  </r>
  <r>
    <x v="890"/>
    <x v="0"/>
    <s v="Native "/>
    <x v="0"/>
    <n v="18"/>
    <n v="18"/>
    <n v="0"/>
    <m/>
    <n v="8120"/>
    <n v="7630"/>
    <n v="490"/>
    <x v="1093"/>
    <n v="139"/>
    <n v="451.11111111111109"/>
    <n v="423.88888888888891"/>
    <n v="27.222222222222221"/>
    <n v="274.57222222222225"/>
    <n v="7.7222222222222223"/>
    <n v="25"/>
    <n v="0"/>
    <n v="50"/>
    <n v="10"/>
    <n v="8.5"/>
    <n v="6.0344827586206899E-2"/>
    <n v="1"/>
    <n v="0.60865763546798035"/>
    <n v="0.93500000000000005"/>
    <m/>
    <m/>
    <m/>
    <m/>
    <m/>
    <m/>
    <n v="6"/>
    <m/>
    <m/>
  </r>
  <r>
    <x v="891"/>
    <x v="0"/>
    <s v="Native "/>
    <x v="5"/>
    <n v="36"/>
    <n v="36"/>
    <n v="0"/>
    <m/>
    <n v="16083"/>
    <n v="15180"/>
    <n v="903"/>
    <x v="1094"/>
    <n v="358"/>
    <n v="446.75"/>
    <n v="421.66666666666669"/>
    <n v="25.083333333333332"/>
    <n v="275.62222222222221"/>
    <n v="9.9444444444444446"/>
    <n v="25"/>
    <n v="0"/>
    <n v="49.611111111111107"/>
    <n v="10"/>
    <n v="8.5"/>
    <n v="5.6146241372878193E-2"/>
    <n v="0.99611111111111106"/>
    <n v="0.61694957408443696"/>
    <n v="0.93111111111111111"/>
    <m/>
    <m/>
    <m/>
    <m/>
    <m/>
    <m/>
    <n v="3"/>
    <m/>
    <m/>
  </r>
  <r>
    <x v="892"/>
    <x v="0"/>
    <s v="Native "/>
    <x v="14"/>
    <n v="26"/>
    <n v="25"/>
    <n v="1"/>
    <s v="c. bovis in head "/>
    <n v="12260"/>
    <n v="12260"/>
    <n v="0"/>
    <x v="1095"/>
    <n v="256"/>
    <n v="490.4"/>
    <n v="490.4"/>
    <n v="0"/>
    <n v="294.26"/>
    <n v="10.24"/>
    <n v="25"/>
    <n v="0"/>
    <n v="49.4"/>
    <n v="10"/>
    <n v="8.5"/>
    <n v="0"/>
    <n v="0.99399999999999999"/>
    <n v="0.60004078303425779"/>
    <n v="0.92900000000000005"/>
    <m/>
    <m/>
    <m/>
    <m/>
    <m/>
    <m/>
    <n v="9"/>
    <m/>
    <m/>
  </r>
  <r>
    <x v="892"/>
    <x v="0"/>
    <s v="Native "/>
    <x v="24"/>
    <n v="16"/>
    <n v="15"/>
    <n v="1"/>
    <s v="Rejection of 1 carcass due to presence of c. bovis in the heart."/>
    <n v="5812"/>
    <n v="5812"/>
    <n v="0"/>
    <x v="1096"/>
    <n v="71"/>
    <n v="387.46666666666664"/>
    <n v="387.46666666666664"/>
    <n v="0"/>
    <n v="232.5"/>
    <n v="4.7333333333333334"/>
    <n v="25"/>
    <n v="0"/>
    <n v="48.6"/>
    <n v="10"/>
    <n v="8.5"/>
    <n v="0"/>
    <n v="0.98599999999999999"/>
    <n v="0.60005161734342738"/>
    <n v="0.92099999999999993"/>
    <m/>
    <m/>
    <m/>
    <m/>
    <m/>
    <m/>
    <n v="7"/>
    <m/>
    <m/>
  </r>
  <r>
    <x v="893"/>
    <x v="1"/>
    <s v="Native "/>
    <x v="1"/>
    <n v="30"/>
    <n v="30"/>
    <n v="0"/>
    <m/>
    <n v="1696"/>
    <n v="1635"/>
    <n v="61"/>
    <x v="1097"/>
    <n v="0"/>
    <n v="56.533333333333331"/>
    <n v="54.5"/>
    <n v="2.0333333333333332"/>
    <n v="33.303333333333335"/>
    <n v="0"/>
    <n v="25"/>
    <n v="0"/>
    <n v="49.666666666666671"/>
    <n v="10"/>
    <n v="8.5"/>
    <n v="3.5966981132075471E-2"/>
    <n v="0.9966666666666667"/>
    <n v="0.5890919811320755"/>
    <n v="0.93166666666666675"/>
    <m/>
    <m/>
    <m/>
    <m/>
    <m/>
    <m/>
    <m/>
    <m/>
    <m/>
  </r>
  <r>
    <x v="893"/>
    <x v="0"/>
    <s v="Imported"/>
    <x v="14"/>
    <n v="28"/>
    <n v="27"/>
    <n v="1"/>
    <s v="Rejection of 1 carcass due to presence of AB residues. "/>
    <n v="12365"/>
    <n v="12130"/>
    <n v="235"/>
    <x v="1098"/>
    <n v="240"/>
    <n v="457.96296296296299"/>
    <n v="449.25925925925924"/>
    <n v="8.7037037037037042"/>
    <n v="274.77407407407406"/>
    <n v="8.8888888888888893"/>
    <n v="23.888888888888889"/>
    <n v="0"/>
    <n v="48.888888888888893"/>
    <n v="10"/>
    <n v="8.5"/>
    <n v="1.9005256773150021E-2"/>
    <n v="0.96666666666666679"/>
    <n v="0.59999191265669227"/>
    <n v="0.91277777777777791"/>
    <m/>
    <m/>
    <m/>
    <m/>
    <m/>
    <m/>
    <n v="9"/>
    <m/>
    <m/>
  </r>
  <r>
    <x v="894"/>
    <x v="1"/>
    <s v="Native "/>
    <x v="14"/>
    <n v="3"/>
    <n v="3"/>
    <n v="0"/>
    <m/>
    <n v="164"/>
    <n v="164"/>
    <n v="0"/>
    <x v="1099"/>
    <n v="0"/>
    <n v="54.666666666666664"/>
    <n v="54.666666666666664"/>
    <n v="0"/>
    <n v="26.599999999999998"/>
    <n v="0"/>
    <n v="25"/>
    <n v="0"/>
    <n v="49.333333333333329"/>
    <n v="10"/>
    <n v="8.5"/>
    <n v="0"/>
    <n v="0.99333333333333329"/>
    <n v="0.48658536585365852"/>
    <n v="0.92833333333333323"/>
    <m/>
    <m/>
    <m/>
    <m/>
    <m/>
    <m/>
    <m/>
    <m/>
    <m/>
  </r>
  <r>
    <x v="894"/>
    <x v="0"/>
    <s v="Imported"/>
    <x v="9"/>
    <n v="64"/>
    <n v="64"/>
    <n v="0"/>
    <m/>
    <n v="33946"/>
    <n v="33946"/>
    <n v="0"/>
    <x v="1100"/>
    <n v="510"/>
    <n v="530.40625"/>
    <n v="530.40625"/>
    <n v="0"/>
    <n v="320.66250000000002"/>
    <n v="7.96875"/>
    <n v="24.921875"/>
    <n v="0"/>
    <n v="48.40625"/>
    <n v="10"/>
    <n v="8.5"/>
    <n v="0"/>
    <n v="0.98249999999999993"/>
    <n v="0.60456018382136334"/>
    <n v="0.91828125000000005"/>
    <m/>
    <m/>
    <m/>
    <m/>
    <m/>
    <m/>
    <n v="15"/>
    <m/>
    <m/>
  </r>
  <r>
    <x v="895"/>
    <x v="0"/>
    <s v="Imported"/>
    <x v="25"/>
    <n v="40"/>
    <n v="40"/>
    <n v="0"/>
    <m/>
    <n v="19220"/>
    <n v="18610"/>
    <n v="610"/>
    <x v="1101"/>
    <n v="267"/>
    <n v="480.5"/>
    <n v="465.25"/>
    <n v="15.25"/>
    <n v="292.53750000000002"/>
    <n v="6.6749999999999998"/>
    <n v="25"/>
    <n v="0"/>
    <n v="49.725000000000001"/>
    <n v="10"/>
    <n v="8.5"/>
    <n v="3.1737773152965658E-2"/>
    <n v="0.99724999999999997"/>
    <n v="0.6088189386056192"/>
    <n v="0.93224999999999991"/>
    <m/>
    <m/>
    <m/>
    <m/>
    <m/>
    <m/>
    <m/>
    <m/>
    <m/>
  </r>
  <r>
    <x v="896"/>
    <x v="0"/>
    <s v="Imported"/>
    <x v="9"/>
    <n v="45"/>
    <n v="45"/>
    <n v="0"/>
    <m/>
    <n v="21210"/>
    <n v="20545"/>
    <n v="665"/>
    <x v="1102"/>
    <n v="266"/>
    <n v="471.33333333333331"/>
    <n v="456.55555555555554"/>
    <n v="14.777777777777779"/>
    <n v="284.81111111111113"/>
    <n v="5.9111111111111114"/>
    <n v="25"/>
    <n v="0"/>
    <n v="49.644444444444446"/>
    <n v="10"/>
    <n v="8.5"/>
    <n v="3.1353135313531358E-2"/>
    <n v="0.99644444444444447"/>
    <n v="0.60426685525695423"/>
    <n v="0.93144444444444441"/>
    <m/>
    <m/>
    <m/>
    <m/>
    <m/>
    <m/>
    <m/>
    <m/>
    <m/>
  </r>
  <r>
    <x v="897"/>
    <x v="0"/>
    <s v="Native "/>
    <x v="25"/>
    <n v="40"/>
    <n v="40"/>
    <n v="0"/>
    <m/>
    <n v="19190"/>
    <n v="18575"/>
    <n v="615"/>
    <x v="1103"/>
    <n v="276"/>
    <n v="479.75"/>
    <n v="464.375"/>
    <n v="15.375"/>
    <n v="288.09749999999997"/>
    <n v="6.9"/>
    <n v="25"/>
    <n v="0"/>
    <n v="49.05"/>
    <n v="10"/>
    <n v="8.5"/>
    <n v="3.2047941636268888E-2"/>
    <n v="0.99049999999999994"/>
    <n v="0.60051589369463265"/>
    <n v="0.92549999999999999"/>
    <m/>
    <m/>
    <m/>
    <m/>
    <m/>
    <m/>
    <m/>
    <m/>
    <m/>
  </r>
  <r>
    <x v="898"/>
    <x v="0"/>
    <s v="Native "/>
    <x v="5"/>
    <n v="40"/>
    <n v="38"/>
    <n v="2"/>
    <s v="Rejection of 2 carcasses due to presence of c. bovis in their hearts."/>
    <n v="16938"/>
    <n v="16148"/>
    <n v="790"/>
    <x v="1104"/>
    <n v="361"/>
    <n v="445.73684210526318"/>
    <n v="424.94736842105266"/>
    <n v="20.789473684210527"/>
    <n v="275.44736842105266"/>
    <n v="9.5"/>
    <n v="25"/>
    <n v="0"/>
    <n v="48.710526315789473"/>
    <n v="10"/>
    <n v="8.5"/>
    <n v="4.664068957373952E-2"/>
    <n v="0.98710526315789471"/>
    <n v="0.61795961742826777"/>
    <n v="0.92210526315789476"/>
    <m/>
    <m/>
    <m/>
    <m/>
    <m/>
    <m/>
    <n v="11"/>
    <m/>
    <m/>
  </r>
  <r>
    <x v="899"/>
    <x v="0"/>
    <s v="Imported"/>
    <x v="25"/>
    <n v="32"/>
    <n v="31"/>
    <n v="1"/>
    <s v="c. bovis heart "/>
    <n v="14650"/>
    <n v="14185"/>
    <n v="465"/>
    <x v="1105"/>
    <n v="193"/>
    <n v="472.58064516129031"/>
    <n v="457.58064516129031"/>
    <n v="15"/>
    <n v="286.59354838709675"/>
    <n v="6.225806451612903"/>
    <n v="25"/>
    <n v="0"/>
    <n v="49.774193548387096"/>
    <n v="10"/>
    <n v="8.5"/>
    <n v="3.1740614334470993E-2"/>
    <n v="0.99774193548387102"/>
    <n v="0.60644368600682597"/>
    <n v="0.93274193548387108"/>
    <m/>
    <m/>
    <m/>
    <m/>
    <m/>
    <m/>
    <m/>
    <m/>
    <m/>
  </r>
  <r>
    <x v="899"/>
    <x v="1"/>
    <s v="Native "/>
    <x v="1"/>
    <n v="32"/>
    <n v="32"/>
    <n v="0"/>
    <m/>
    <n v="1835"/>
    <n v="1790"/>
    <n v="45"/>
    <x v="1106"/>
    <n v="0"/>
    <n v="57.34375"/>
    <n v="55.9375"/>
    <n v="1.40625"/>
    <n v="35.131250000000001"/>
    <n v="0"/>
    <n v="25"/>
    <n v="0"/>
    <n v="49.03125"/>
    <n v="10"/>
    <n v="8.5"/>
    <n v="2.4523160762942781E-2"/>
    <n v="0.99031249999999993"/>
    <n v="0.61264305177111722"/>
    <n v="0.92531249999999998"/>
    <m/>
    <m/>
    <m/>
    <m/>
    <m/>
    <m/>
    <m/>
    <m/>
    <m/>
  </r>
  <r>
    <x v="900"/>
    <x v="0"/>
    <s v="Imported"/>
    <x v="25"/>
    <n v="63"/>
    <n v="63"/>
    <n v="0"/>
    <m/>
    <n v="29930"/>
    <n v="29600"/>
    <n v="330"/>
    <x v="1107"/>
    <n v="391"/>
    <n v="475.07936507936506"/>
    <n v="469.84126984126982"/>
    <n v="5.2380952380952381"/>
    <n v="284.83650793650793"/>
    <n v="6.2063492063492065"/>
    <n v="25"/>
    <n v="0"/>
    <n v="49.714285714285715"/>
    <n v="10"/>
    <n v="8.5"/>
    <n v="1.1025726695623121E-2"/>
    <n v="0.99714285714285711"/>
    <n v="0.59955562980287336"/>
    <n v="0.93214285714285727"/>
    <m/>
    <m/>
    <m/>
    <m/>
    <m/>
    <m/>
    <m/>
    <m/>
    <m/>
  </r>
  <r>
    <x v="901"/>
    <x v="0"/>
    <s v="Imported"/>
    <x v="25"/>
    <n v="40"/>
    <n v="40"/>
    <n v="0"/>
    <m/>
    <n v="19260"/>
    <n v="18690"/>
    <n v="570"/>
    <x v="1108"/>
    <n v="265"/>
    <n v="481.5"/>
    <n v="467.25"/>
    <n v="14.25"/>
    <n v="289.65749999999997"/>
    <n v="6.625"/>
    <n v="25"/>
    <n v="0"/>
    <n v="49.825000000000003"/>
    <n v="10"/>
    <n v="8.5"/>
    <n v="2.9595015576323987E-2"/>
    <n v="0.99825000000000008"/>
    <n v="0.60157320872274145"/>
    <n v="0.93325000000000002"/>
    <m/>
    <m/>
    <m/>
    <m/>
    <m/>
    <m/>
    <m/>
    <m/>
    <m/>
  </r>
  <r>
    <x v="902"/>
    <x v="0"/>
    <s v="Imported"/>
    <x v="25"/>
    <n v="46"/>
    <n v="46"/>
    <n v="0"/>
    <m/>
    <n v="22210"/>
    <n v="21520"/>
    <n v="690"/>
    <x v="1109"/>
    <n v="318"/>
    <n v="482.82608695652175"/>
    <n v="467.82608695652175"/>
    <n v="15"/>
    <n v="289.68695652173915"/>
    <n v="6.9130434782608692"/>
    <n v="25"/>
    <n v="0"/>
    <n v="49.478260869565212"/>
    <n v="10"/>
    <n v="8.5"/>
    <n v="3.1067086897793784E-2"/>
    <n v="0.99478260869565216"/>
    <n v="0.599981990094552"/>
    <n v="0.92978260869565221"/>
    <m/>
    <m/>
    <m/>
    <m/>
    <m/>
    <m/>
    <m/>
    <m/>
    <m/>
  </r>
  <r>
    <x v="903"/>
    <x v="0"/>
    <s v="Native "/>
    <x v="14"/>
    <n v="40"/>
    <n v="40"/>
    <n v="0"/>
    <m/>
    <n v="19825"/>
    <n v="18900"/>
    <n v="925"/>
    <x v="1110"/>
    <n v="379"/>
    <n v="495.625"/>
    <n v="472.5"/>
    <n v="23.125"/>
    <n v="297.35250000000002"/>
    <n v="9.4749999999999996"/>
    <n v="24.375"/>
    <n v="0"/>
    <n v="48.875"/>
    <n v="10"/>
    <n v="8.5"/>
    <n v="4.6658259773013869E-2"/>
    <n v="0.97625000000000006"/>
    <n v="0.59995460277427493"/>
    <n v="0.91749999999999998"/>
    <m/>
    <m/>
    <m/>
    <m/>
    <m/>
    <m/>
    <m/>
    <m/>
    <m/>
  </r>
  <r>
    <x v="904"/>
    <x v="0"/>
    <s v="Imported"/>
    <x v="25"/>
    <n v="40"/>
    <n v="40"/>
    <n v="0"/>
    <m/>
    <n v="19640"/>
    <n v="18915"/>
    <n v="725"/>
    <x v="1111"/>
    <n v="257"/>
    <n v="491"/>
    <n v="472.875"/>
    <n v="18.125"/>
    <n v="292.89999999999998"/>
    <n v="6.4249999999999998"/>
    <n v="25"/>
    <n v="0"/>
    <n v="49.674999999999997"/>
    <n v="10"/>
    <n v="8.5"/>
    <n v="3.6914460285132386E-2"/>
    <n v="0.99675000000000002"/>
    <n v="0.59653767820773929"/>
    <n v="0.93174999999999997"/>
    <m/>
    <m/>
    <m/>
    <m/>
    <m/>
    <m/>
    <m/>
    <m/>
    <m/>
  </r>
  <r>
    <x v="905"/>
    <x v="0"/>
    <s v="Native "/>
    <x v="14"/>
    <n v="35"/>
    <n v="35"/>
    <n v="0"/>
    <m/>
    <n v="17673"/>
    <n v="17065"/>
    <n v="608"/>
    <x v="1112"/>
    <n v="345"/>
    <n v="504.94285714285712"/>
    <n v="487.57142857142856"/>
    <n v="17.37142857142857"/>
    <n v="302.95142857142855"/>
    <n v="9.8571428571428577"/>
    <n v="25"/>
    <n v="0"/>
    <n v="50"/>
    <n v="10"/>
    <n v="8.5"/>
    <n v="3.4402761274260167E-2"/>
    <n v="1"/>
    <n v="0.59997170825553103"/>
    <n v="0.93500000000000005"/>
    <m/>
    <m/>
    <m/>
    <m/>
    <m/>
    <m/>
    <n v="6"/>
    <m/>
    <m/>
  </r>
  <r>
    <x v="906"/>
    <x v="0"/>
    <s v="Imported"/>
    <x v="5"/>
    <n v="32"/>
    <n v="31"/>
    <n v="1"/>
    <s v="Rejection of 1 carcass due to presence of c. bovis in the heart."/>
    <n v="17597"/>
    <n v="16755"/>
    <n v="842"/>
    <x v="1113"/>
    <n v="185"/>
    <n v="567.64516129032256"/>
    <n v="540.48387096774195"/>
    <n v="27.161290322580644"/>
    <n v="363.47741935483867"/>
    <n v="5.967741935483871"/>
    <n v="25"/>
    <n v="0"/>
    <n v="49.838709677419359"/>
    <n v="10"/>
    <n v="8.5"/>
    <n v="4.7849065181565037E-2"/>
    <n v="0.99838709677419357"/>
    <n v="0.64032505540717166"/>
    <n v="0.93338709677419363"/>
    <m/>
    <m/>
    <m/>
    <m/>
    <m/>
    <m/>
    <m/>
    <m/>
    <m/>
  </r>
  <r>
    <x v="907"/>
    <x v="0"/>
    <s v="Imported"/>
    <x v="5"/>
    <n v="49"/>
    <n v="49"/>
    <n v="0"/>
    <m/>
    <n v="27173"/>
    <n v="27173"/>
    <n v="0"/>
    <x v="1114"/>
    <n v="253"/>
    <n v="554.55102040816325"/>
    <n v="554.55102040816325"/>
    <n v="0"/>
    <n v="355.88163265306122"/>
    <n v="5.1632653061224492"/>
    <n v="25"/>
    <n v="0"/>
    <n v="48.408163265306122"/>
    <n v="10"/>
    <n v="8.5"/>
    <n v="0"/>
    <n v="0.98408163265306126"/>
    <n v="0.64174732271004309"/>
    <n v="0.9190816326530612"/>
    <m/>
    <m/>
    <m/>
    <m/>
    <m/>
    <m/>
    <m/>
    <m/>
    <m/>
  </r>
  <r>
    <x v="908"/>
    <x v="0"/>
    <s v="Native "/>
    <x v="24"/>
    <n v="16"/>
    <n v="16"/>
    <n v="0"/>
    <m/>
    <n v="6039"/>
    <n v="5485"/>
    <n v="554"/>
    <x v="1115"/>
    <n v="66"/>
    <n v="377.4375"/>
    <n v="342.8125"/>
    <n v="34.625"/>
    <n v="226.47499999999999"/>
    <n v="4.125"/>
    <n v="25"/>
    <n v="0"/>
    <n v="47.625"/>
    <n v="10"/>
    <n v="8.5"/>
    <n v="9.1737042556714693E-2"/>
    <n v="0.97625000000000006"/>
    <n v="0.60003311806590498"/>
    <n v="0.91125"/>
    <m/>
    <m/>
    <m/>
    <m/>
    <m/>
    <m/>
    <n v="8"/>
    <m/>
    <m/>
  </r>
  <r>
    <x v="908"/>
    <x v="0"/>
    <s v="Native "/>
    <x v="5"/>
    <n v="18"/>
    <n v="18"/>
    <n v="0"/>
    <m/>
    <n v="7980"/>
    <n v="7525"/>
    <n v="455"/>
    <x v="1116"/>
    <n v="197"/>
    <n v="443.33333333333331"/>
    <n v="418.05555555555554"/>
    <n v="25.277777777777779"/>
    <n v="270.73333333333335"/>
    <n v="10.944444444444445"/>
    <n v="25"/>
    <n v="0"/>
    <n v="49.5"/>
    <n v="10"/>
    <n v="8.5"/>
    <n v="5.7017543859649127E-2"/>
    <n v="0.995"/>
    <n v="0.61067669172932326"/>
    <n v="0.93"/>
    <m/>
    <m/>
    <m/>
    <m/>
    <m/>
    <m/>
    <n v="6"/>
    <m/>
    <m/>
  </r>
  <r>
    <x v="908"/>
    <x v="0"/>
    <s v="Imported"/>
    <x v="5"/>
    <n v="21"/>
    <n v="21"/>
    <n v="0"/>
    <m/>
    <n v="11678"/>
    <n v="11070"/>
    <n v="608"/>
    <x v="1117"/>
    <n v="130"/>
    <n v="556.09523809523807"/>
    <n v="527.14285714285711"/>
    <n v="28.952380952380953"/>
    <n v="358.52380952380952"/>
    <n v="6.1904761904761907"/>
    <n v="25"/>
    <n v="0"/>
    <n v="50"/>
    <n v="10"/>
    <n v="8.5"/>
    <n v="5.2063709539304677E-2"/>
    <n v="1"/>
    <n v="0.64471656105497521"/>
    <n v="0.93500000000000005"/>
    <m/>
    <m/>
    <m/>
    <m/>
    <m/>
    <m/>
    <m/>
    <m/>
    <m/>
  </r>
  <r>
    <x v="909"/>
    <x v="0"/>
    <s v="Native "/>
    <x v="14"/>
    <n v="40"/>
    <n v="38"/>
    <n v="2"/>
    <s v="1 c. bovis + 1 generalized tb"/>
    <n v="17863"/>
    <n v="17395"/>
    <n v="468"/>
    <x v="1118"/>
    <n v="317"/>
    <n v="470.07894736842104"/>
    <n v="457.76315789473682"/>
    <n v="12.315789473684211"/>
    <n v="282.04210526315791"/>
    <n v="8.3421052631578956"/>
    <n v="24.210526315789473"/>
    <n v="0"/>
    <n v="49.473684210526315"/>
    <n v="10"/>
    <n v="8.5"/>
    <n v="2.6199406594636959E-2"/>
    <n v="0.97894736842105257"/>
    <n v="0.59998880367239549"/>
    <n v="0.9218421052631578"/>
    <m/>
    <m/>
    <m/>
    <m/>
    <m/>
    <m/>
    <n v="12"/>
    <m/>
    <m/>
  </r>
  <r>
    <x v="910"/>
    <x v="0"/>
    <s v="Native "/>
    <x v="0"/>
    <n v="62"/>
    <n v="62"/>
    <n v="0"/>
    <m/>
    <n v="28477"/>
    <n v="26832"/>
    <n v="1645"/>
    <x v="1119"/>
    <n v="525"/>
    <n v="459.30645161290323"/>
    <n v="432.77419354838707"/>
    <n v="26.532258064516128"/>
    <n v="275.56290322580645"/>
    <n v="8.4677419354838701"/>
    <n v="24.91935483870968"/>
    <n v="0"/>
    <n v="48.725806451612904"/>
    <n v="10"/>
    <n v="8.5"/>
    <n v="5.7765916353548476E-2"/>
    <n v="0.98564516129032254"/>
    <n v="0.59995434912385437"/>
    <n v="0.92145161290322586"/>
    <m/>
    <m/>
    <m/>
    <m/>
    <m/>
    <m/>
    <n v="18"/>
    <m/>
    <m/>
  </r>
  <r>
    <x v="911"/>
    <x v="0"/>
    <s v="Native "/>
    <x v="5"/>
    <n v="62"/>
    <n v="61"/>
    <n v="1"/>
    <s v="Rejection of 1 carcass due to presence of c. bovis in the heart."/>
    <n v="27369"/>
    <n v="26217"/>
    <n v="1152"/>
    <x v="1120"/>
    <n v="641"/>
    <n v="448.67213114754099"/>
    <n v="429.78688524590166"/>
    <n v="18.885245901639344"/>
    <n v="276.13278688524588"/>
    <n v="10.508196721311476"/>
    <n v="25"/>
    <n v="0"/>
    <n v="49.47540983606558"/>
    <n v="10"/>
    <n v="8.5"/>
    <n v="4.2091417296941797E-2"/>
    <n v="0.99475409836065576"/>
    <n v="0.615444480982133"/>
    <n v="0.92975409836065581"/>
    <m/>
    <m/>
    <m/>
    <m/>
    <m/>
    <m/>
    <n v="8"/>
    <m/>
    <n v="433"/>
  </r>
  <r>
    <x v="912"/>
    <x v="0"/>
    <s v="Native "/>
    <x v="0"/>
    <n v="63"/>
    <n v="63"/>
    <n v="0"/>
    <m/>
    <n v="27954"/>
    <n v="26525"/>
    <n v="1429"/>
    <x v="1121"/>
    <n v="595"/>
    <n v="443.71428571428572"/>
    <n v="421.03174603174602"/>
    <n v="22.682539682539684"/>
    <n v="266.21428571428572"/>
    <n v="9.4444444444444446"/>
    <n v="25"/>
    <n v="0"/>
    <n v="49.587301587301582"/>
    <n v="10"/>
    <n v="8.5"/>
    <n v="5.1119696644487372E-2"/>
    <n v="0.9958730158730158"/>
    <n v="0.59996780424983898"/>
    <n v="0.93087301587301585"/>
    <m/>
    <m/>
    <m/>
    <m/>
    <m/>
    <m/>
    <n v="11"/>
    <m/>
    <n v="0"/>
  </r>
  <r>
    <x v="912"/>
    <x v="0"/>
    <s v="Native "/>
    <x v="5"/>
    <n v="16"/>
    <n v="16"/>
    <n v="0"/>
    <m/>
    <n v="7096"/>
    <n v="6770"/>
    <n v="326"/>
    <x v="1122"/>
    <n v="152"/>
    <n v="443.5"/>
    <n v="423.125"/>
    <n v="20.375"/>
    <n v="272.41874999999999"/>
    <n v="9.5"/>
    <n v="25"/>
    <n v="0"/>
    <n v="49.5625"/>
    <n v="9.6875"/>
    <n v="8.5"/>
    <n v="4.5941375422773392E-2"/>
    <n v="0.99562499999999998"/>
    <n v="0.6142474633596392"/>
    <n v="0.92749999999999999"/>
    <m/>
    <m/>
    <m/>
    <m/>
    <m/>
    <m/>
    <n v="0"/>
    <m/>
    <n v="0"/>
  </r>
  <r>
    <x v="913"/>
    <x v="0"/>
    <s v="Native "/>
    <x v="0"/>
    <n v="24"/>
    <n v="24"/>
    <n v="0"/>
    <m/>
    <n v="10350"/>
    <n v="10095"/>
    <n v="255"/>
    <x v="1123"/>
    <n v="242"/>
    <n v="431.25"/>
    <n v="420.625"/>
    <n v="10.625"/>
    <n v="258.73333333333335"/>
    <n v="10.083333333333334"/>
    <n v="25"/>
    <n v="0"/>
    <n v="49"/>
    <n v="10"/>
    <n v="8.5"/>
    <n v="2.4637681159420291E-2"/>
    <n v="0.99"/>
    <n v="0.5999613526570049"/>
    <n v="0.92500000000000004"/>
    <m/>
    <m/>
    <m/>
    <m/>
    <m/>
    <m/>
    <n v="8"/>
    <m/>
    <n v="3"/>
  </r>
  <r>
    <x v="914"/>
    <x v="0"/>
    <s v="Native "/>
    <x v="24"/>
    <n v="9"/>
    <n v="9"/>
    <n v="0"/>
    <m/>
    <n v="3523"/>
    <n v="3480"/>
    <n v="43"/>
    <x v="1124"/>
    <n v="43"/>
    <n v="391.44444444444446"/>
    <n v="386.66666666666669"/>
    <n v="4.7777777777777777"/>
    <n v="234.89999999999998"/>
    <n v="4.7777777777777777"/>
    <n v="25"/>
    <n v="0"/>
    <n v="50"/>
    <n v="10"/>
    <n v="8.5"/>
    <n v="1.2205506670451319E-2"/>
    <n v="1"/>
    <n v="0.60008515469770085"/>
    <n v="0.93500000000000005"/>
    <m/>
    <m/>
    <m/>
    <m/>
    <m/>
    <m/>
    <n v="6"/>
    <m/>
    <n v="0"/>
  </r>
  <r>
    <x v="914"/>
    <x v="0"/>
    <s v="Native "/>
    <x v="14"/>
    <n v="48"/>
    <n v="48"/>
    <n v="0"/>
    <m/>
    <n v="24901"/>
    <n v="23855"/>
    <n v="1046"/>
    <x v="1125"/>
    <n v="520"/>
    <n v="518.77083333333337"/>
    <n v="496.97916666666669"/>
    <n v="21.791666666666668"/>
    <n v="314.21875"/>
    <n v="10.833333333333334"/>
    <n v="24.6875"/>
    <n v="0"/>
    <n v="48.75"/>
    <n v="10"/>
    <n v="8.5"/>
    <n v="4.200634512670174E-2"/>
    <n v="0.98124999999999996"/>
    <n v="0.60569856632263763"/>
    <n v="0.91937500000000005"/>
    <m/>
    <m/>
    <m/>
    <m/>
    <m/>
    <m/>
    <n v="20"/>
    <m/>
    <n v="18"/>
  </r>
  <r>
    <x v="915"/>
    <x v="0"/>
    <s v="Native "/>
    <x v="0"/>
    <n v="36"/>
    <n v="36"/>
    <n v="0"/>
    <m/>
    <n v="15547"/>
    <n v="14745"/>
    <n v="802"/>
    <x v="1126"/>
    <n v="238"/>
    <n v="431.86111111111109"/>
    <n v="409.58333333333331"/>
    <n v="22.277777777777779"/>
    <n v="259.10833333333335"/>
    <n v="6.6111111111111107"/>
    <n v="24.166666666666668"/>
    <n v="0"/>
    <n v="49"/>
    <n v="10"/>
    <n v="8.5"/>
    <n v="5.1585514890332543E-2"/>
    <n v="0.97333333333333338"/>
    <n v="0.59998070367273426"/>
    <n v="0.91666666666666674"/>
    <m/>
    <m/>
    <m/>
    <m/>
    <m/>
    <m/>
    <n v="11"/>
    <m/>
    <n v="13"/>
  </r>
  <r>
    <x v="916"/>
    <x v="0"/>
    <s v="Native "/>
    <x v="0"/>
    <n v="39"/>
    <n v="36"/>
    <n v="3"/>
    <s v="Rejection of 3 carcasses due to presence of c bovis in their hearts "/>
    <n v="16175"/>
    <n v="16175"/>
    <n v="0"/>
    <x v="1127"/>
    <n v="247"/>
    <n v="449.30555555555554"/>
    <n v="449.30555555555554"/>
    <n v="0"/>
    <n v="269.59166666666664"/>
    <n v="6.8611111111111107"/>
    <n v="24.583333333333332"/>
    <n v="0"/>
    <n v="49.138888888888886"/>
    <n v="10"/>
    <n v="8.5"/>
    <n v="0"/>
    <n v="0.98305555555555557"/>
    <n v="0.60001854714064906"/>
    <n v="0.92222222222222217"/>
    <m/>
    <m/>
    <m/>
    <m/>
    <m/>
    <m/>
    <n v="8"/>
    <m/>
    <n v="1650"/>
  </r>
  <r>
    <x v="916"/>
    <x v="0"/>
    <s v="Native "/>
    <x v="14"/>
    <n v="18"/>
    <n v="18"/>
    <n v="0"/>
    <m/>
    <n v="9505"/>
    <n v="9505"/>
    <n v="0"/>
    <x v="1128"/>
    <n v="193"/>
    <n v="528.05555555555554"/>
    <n v="528.05555555555554"/>
    <n v="0"/>
    <n v="319.13888888888891"/>
    <n v="10.722222222222221"/>
    <n v="24.166666666666668"/>
    <n v="0"/>
    <n v="50"/>
    <n v="10"/>
    <n v="8.5"/>
    <n v="0"/>
    <n v="0.98333333333333339"/>
    <n v="0.60436612309310889"/>
    <n v="0.92666666666666675"/>
    <m/>
    <m/>
    <m/>
    <m/>
    <m/>
    <m/>
    <n v="6"/>
    <m/>
    <n v="0"/>
  </r>
  <r>
    <x v="917"/>
    <x v="0"/>
    <s v="Native "/>
    <x v="5"/>
    <n v="56"/>
    <n v="55"/>
    <n v="1"/>
    <s v="what"/>
    <n v="24188"/>
    <n v="22971"/>
    <n v="1217"/>
    <x v="1129"/>
    <n v="548"/>
    <n v="439.78181818181821"/>
    <n v="417.65454545454543"/>
    <n v="22.127272727272729"/>
    <n v="269.57636363636362"/>
    <n v="9.963636363636363"/>
    <n v="25"/>
    <n v="0"/>
    <n v="49.418181818181822"/>
    <n v="10"/>
    <n v="8.5"/>
    <n v="5.0314205391103026E-2"/>
    <n v="0.99418181818181828"/>
    <n v="0.61297750950884744"/>
    <n v="0.92918181818181822"/>
    <m/>
    <m/>
    <m/>
    <m/>
    <m/>
    <m/>
    <n v="5"/>
    <m/>
    <n v="466"/>
  </r>
  <r>
    <x v="918"/>
    <x v="0"/>
    <s v="Native "/>
    <x v="14"/>
    <n v="53"/>
    <n v="53"/>
    <n v="0"/>
    <m/>
    <n v="25970"/>
    <n v="25180"/>
    <n v="790"/>
    <x v="1130"/>
    <n v="504"/>
    <n v="490"/>
    <n v="475.09433962264148"/>
    <n v="14.90566037735849"/>
    <n v="294.01886792452831"/>
    <n v="9.5094339622641506"/>
    <n v="24.528301886792452"/>
    <n v="0"/>
    <n v="49.39622641509434"/>
    <n v="10"/>
    <n v="8.5"/>
    <n v="3.0419715055833654E-2"/>
    <n v="0.98452830188679252"/>
    <n v="0.60003850596842512"/>
    <n v="0.92424528301886799"/>
    <m/>
    <m/>
    <m/>
    <m/>
    <m/>
    <m/>
    <n v="16"/>
    <m/>
    <n v="14"/>
  </r>
  <r>
    <x v="919"/>
    <x v="0"/>
    <s v="Imported"/>
    <x v="5"/>
    <n v="56"/>
    <n v="54"/>
    <n v="2"/>
    <s v="esinophilic myositis and pyemia"/>
    <n v="29713"/>
    <n v="28839"/>
    <n v="874"/>
    <x v="1131"/>
    <n v="393"/>
    <n v="550.24074074074076"/>
    <n v="534.05555555555554"/>
    <n v="16.185185185185187"/>
    <n v="365.50925925925924"/>
    <n v="7.2777777777777777"/>
    <n v="25"/>
    <n v="0"/>
    <n v="49.796296296296291"/>
    <n v="10"/>
    <n v="8.5"/>
    <n v="2.941473429138761E-2"/>
    <n v="0.99796296296296294"/>
    <n v="0.66427153097970582"/>
    <n v="0.93296296296296288"/>
    <m/>
    <m/>
    <m/>
    <m/>
    <m/>
    <m/>
    <n v="0"/>
    <m/>
    <n v="1036"/>
  </r>
  <r>
    <x v="920"/>
    <x v="0"/>
    <s v="Native "/>
    <x v="14"/>
    <n v="45"/>
    <n v="44"/>
    <n v="1"/>
    <s v="Rejection of 1 carcass due to presence of c. bovis in masseter muscles of the head."/>
    <n v="22434"/>
    <n v="21590"/>
    <n v="844"/>
    <x v="1132"/>
    <n v="478"/>
    <n v="509.86363636363637"/>
    <n v="490.68181818181819"/>
    <n v="19.181818181818183"/>
    <n v="305.90227272727276"/>
    <n v="10.863636363636363"/>
    <n v="24.886363636363637"/>
    <n v="0"/>
    <n v="48.522727272727273"/>
    <n v="10"/>
    <n v="8.5"/>
    <n v="3.7621467415530005E-2"/>
    <n v="0.98295454545454541"/>
    <n v="0.59996879736114828"/>
    <n v="0.91909090909090907"/>
    <m/>
    <m/>
    <m/>
    <m/>
    <m/>
    <m/>
    <n v="13"/>
    <m/>
    <n v="484"/>
  </r>
  <r>
    <x v="921"/>
    <x v="0"/>
    <s v="Native "/>
    <x v="0"/>
    <n v="44"/>
    <n v="44"/>
    <n v="0"/>
    <m/>
    <n v="19617"/>
    <n v="19035"/>
    <n v="582"/>
    <x v="1133"/>
    <n v="267"/>
    <n v="445.84090909090907"/>
    <n v="432.61363636363637"/>
    <n v="13.227272727272727"/>
    <n v="267.48863636363637"/>
    <n v="6.0681818181818183"/>
    <n v="24.886363636363637"/>
    <n v="0"/>
    <n v="48.409090909090907"/>
    <n v="10"/>
    <n v="8.5"/>
    <n v="2.9668144976296069E-2"/>
    <n v="0.98181818181818181"/>
    <n v="0.59996431666411787"/>
    <n v="0.91795454545454547"/>
    <m/>
    <m/>
    <m/>
    <m/>
    <m/>
    <m/>
    <n v="21"/>
    <m/>
    <n v="0"/>
  </r>
  <r>
    <x v="922"/>
    <x v="0"/>
    <s v="Imported"/>
    <x v="5"/>
    <n v="48"/>
    <n v="48"/>
    <n v="0"/>
    <m/>
    <n v="25075"/>
    <n v="23836"/>
    <n v="1239"/>
    <x v="1134"/>
    <n v="267"/>
    <n v="522.39583333333337"/>
    <n v="496.58333333333331"/>
    <n v="25.8125"/>
    <n v="322.78125"/>
    <n v="5.5625"/>
    <n v="25"/>
    <n v="0"/>
    <n v="48.979166666666664"/>
    <n v="10"/>
    <n v="8.5"/>
    <n v="4.9411764705882349E-2"/>
    <n v="0.98979166666666663"/>
    <n v="0.61788634097706885"/>
    <n v="0.92479166666666657"/>
    <m/>
    <m/>
    <m/>
    <m/>
    <m/>
    <m/>
    <n v="0"/>
    <m/>
    <n v="25"/>
  </r>
  <r>
    <x v="923"/>
    <x v="0"/>
    <s v="Native "/>
    <x v="14"/>
    <n v="40"/>
    <n v="38"/>
    <n v="2"/>
    <s v="Rejection of 2 carcasses due to presence of miliary TB in a carcass and presence of c. bovis in a masseter muscles."/>
    <n v="18249"/>
    <n v="18249"/>
    <n v="0"/>
    <x v="1135"/>
    <n v="371"/>
    <n v="480.23684210526318"/>
    <n v="480.23684210526318"/>
    <n v="0"/>
    <n v="288.11842105263156"/>
    <n v="9.7631578947368425"/>
    <n v="24.473684210526315"/>
    <n v="0"/>
    <n v="49.263157894736842"/>
    <n v="10"/>
    <n v="8.5"/>
    <n v="0"/>
    <n v="0.9821052631578947"/>
    <n v="0.59995068222916326"/>
    <n v="0.9223684210526315"/>
    <m/>
    <m/>
    <m/>
    <m/>
    <m/>
    <m/>
    <n v="10"/>
    <m/>
    <n v="847"/>
  </r>
  <r>
    <x v="923"/>
    <x v="0"/>
    <s v="Native "/>
    <x v="5"/>
    <n v="16"/>
    <n v="15"/>
    <n v="1"/>
    <s v="Rejection of 1 carcass due to presence of c bovis in the heart"/>
    <n v="6737"/>
    <n v="6737"/>
    <n v="0"/>
    <x v="1136"/>
    <n v="184"/>
    <n v="449.13333333333333"/>
    <n v="449.13333333333333"/>
    <n v="0"/>
    <n v="281.12"/>
    <n v="12.266666666666667"/>
    <n v="25"/>
    <n v="0"/>
    <n v="48.133333333333333"/>
    <n v="10"/>
    <n v="8.5"/>
    <n v="0"/>
    <n v="0.98133333333333339"/>
    <n v="0.62591658008015438"/>
    <n v="0.91633333333333322"/>
    <m/>
    <m/>
    <m/>
    <m/>
    <m/>
    <m/>
    <n v="0"/>
    <m/>
    <n v="470"/>
  </r>
  <r>
    <x v="924"/>
    <x v="0"/>
    <s v="Imported"/>
    <x v="5"/>
    <n v="60"/>
    <n v="60"/>
    <n v="0"/>
    <m/>
    <n v="31319"/>
    <n v="30015"/>
    <n v="1304"/>
    <x v="1137"/>
    <n v="521"/>
    <n v="521.98333333333335"/>
    <n v="500.25"/>
    <n v="21.733333333333334"/>
    <n v="319.48166666666668"/>
    <n v="8.6833333333333336"/>
    <n v="25"/>
    <n v="0"/>
    <n v="49.083333333333329"/>
    <n v="10"/>
    <n v="8.5"/>
    <n v="4.1636067562821288E-2"/>
    <n v="0.99083333333333323"/>
    <n v="0.61205338612343951"/>
    <n v="0.92583333333333329"/>
    <m/>
    <m/>
    <m/>
    <m/>
    <m/>
    <m/>
    <n v="0"/>
    <m/>
    <n v="20"/>
  </r>
  <r>
    <x v="925"/>
    <x v="0"/>
    <s v="Imported"/>
    <x v="0"/>
    <n v="61"/>
    <n v="61"/>
    <n v="0"/>
    <m/>
    <n v="41550"/>
    <n v="39550"/>
    <n v="2000"/>
    <x v="1138"/>
    <n v="688"/>
    <n v="681.14754098360652"/>
    <n v="648.36065573770497"/>
    <n v="32.786885245901637"/>
    <n v="412.44754098360653"/>
    <n v="11.278688524590164"/>
    <n v="25"/>
    <n v="0"/>
    <n v="48.352459016393439"/>
    <n v="10"/>
    <n v="8.5"/>
    <n v="4.8134777376654635E-2"/>
    <n v="0.98352459016393445"/>
    <n v="0.60551865222623347"/>
    <n v="0.9185245901639344"/>
    <m/>
    <m/>
    <m/>
    <m/>
    <m/>
    <m/>
    <n v="43"/>
    <m/>
    <m/>
  </r>
  <r>
    <x v="926"/>
    <x v="0"/>
    <s v="Native "/>
    <x v="14"/>
    <n v="48"/>
    <n v="48"/>
    <n v="0"/>
    <m/>
    <n v="22669"/>
    <n v="22500"/>
    <n v="169"/>
    <x v="1139"/>
    <n v="424"/>
    <n v="472.27083333333331"/>
    <n v="468.75"/>
    <n v="3.5208333333333335"/>
    <n v="283.34791666666666"/>
    <n v="8.8333333333333339"/>
    <n v="24.0625"/>
    <n v="0"/>
    <n v="48.791666666666671"/>
    <n v="10"/>
    <n v="8.5"/>
    <n v="7.4551149146411403E-3"/>
    <n v="0.96916666666666673"/>
    <n v="0.59996912082579734"/>
    <n v="0.9135416666666667"/>
    <m/>
    <m/>
    <m/>
    <m/>
    <m/>
    <m/>
    <n v="30"/>
    <m/>
    <m/>
  </r>
  <r>
    <x v="927"/>
    <x v="0"/>
    <s v="Native "/>
    <x v="5"/>
    <n v="48"/>
    <n v="48"/>
    <n v="0"/>
    <m/>
    <n v="20848"/>
    <n v="20130"/>
    <n v="718"/>
    <x v="1140"/>
    <n v="521"/>
    <n v="434.33333333333331"/>
    <n v="419.375"/>
    <n v="14.958333333333334"/>
    <n v="267.9375"/>
    <n v="10.854166666666666"/>
    <n v="25"/>
    <n v="0"/>
    <n v="49.416666666666671"/>
    <n v="10"/>
    <n v="8.5"/>
    <n v="3.4439754412893327E-2"/>
    <n v="0.99416666666666664"/>
    <n v="0.61689370683039135"/>
    <n v="0.9291666666666667"/>
    <m/>
    <m/>
    <m/>
    <m/>
    <m/>
    <m/>
    <n v="5"/>
    <m/>
    <m/>
  </r>
  <r>
    <x v="928"/>
    <x v="0"/>
    <s v="Native "/>
    <x v="5"/>
    <n v="34"/>
    <n v="34"/>
    <n v="0"/>
    <m/>
    <n v="14978"/>
    <n v="14320"/>
    <n v="658"/>
    <x v="1141"/>
    <n v="345"/>
    <n v="440.52941176470586"/>
    <n v="421.1764705882353"/>
    <n v="19.352941176470587"/>
    <n v="274.20294117647057"/>
    <n v="10.147058823529411"/>
    <n v="25"/>
    <n v="0"/>
    <n v="49.279411764705884"/>
    <n v="10"/>
    <n v="8.5"/>
    <n v="4.3931098945119505E-2"/>
    <n v="0.99279411764705883"/>
    <n v="0.62243957804780337"/>
    <n v="0.92779411764705888"/>
    <m/>
    <m/>
    <m/>
    <m/>
    <m/>
    <m/>
    <n v="0"/>
    <m/>
    <m/>
  </r>
  <r>
    <x v="929"/>
    <x v="0"/>
    <s v="Native "/>
    <x v="14"/>
    <n v="4"/>
    <n v="4"/>
    <n v="0"/>
    <m/>
    <n v="1907"/>
    <n v="1855"/>
    <n v="52"/>
    <x v="1142"/>
    <n v="43"/>
    <n v="476.75"/>
    <n v="463.75"/>
    <n v="13"/>
    <n v="284.125"/>
    <n v="10.75"/>
    <n v="25"/>
    <n v="0"/>
    <n v="47.5"/>
    <n v="10"/>
    <n v="8.5"/>
    <n v="2.7267960146827478E-2"/>
    <n v="0.97499999999999998"/>
    <n v="0.59596224436287359"/>
    <n v="0.91"/>
    <m/>
    <m/>
    <m/>
    <m/>
    <m/>
    <m/>
    <n v="0"/>
    <m/>
    <m/>
  </r>
  <r>
    <x v="929"/>
    <x v="0"/>
    <s v="Native "/>
    <x v="0"/>
    <n v="55"/>
    <n v="55"/>
    <n v="0"/>
    <m/>
    <n v="24582"/>
    <n v="24070"/>
    <n v="512"/>
    <x v="1143"/>
    <n v="316"/>
    <n v="446.94545454545454"/>
    <n v="437.63636363636363"/>
    <n v="9.3090909090909086"/>
    <n v="268.14727272727271"/>
    <n v="5.7454545454545451"/>
    <n v="24.81818181818182"/>
    <n v="0"/>
    <n v="49.127272727272725"/>
    <n v="10"/>
    <n v="8.5"/>
    <n v="2.0828248311772841E-2"/>
    <n v="0.98763636363636365"/>
    <n v="0.59995525181026765"/>
    <n v="0.92445454545454542"/>
    <m/>
    <m/>
    <m/>
    <m/>
    <m/>
    <m/>
    <n v="17"/>
    <m/>
    <m/>
  </r>
  <r>
    <x v="930"/>
    <x v="0"/>
    <s v="Imported"/>
    <x v="25"/>
    <n v="30"/>
    <n v="30"/>
    <n v="0"/>
    <m/>
    <n v="14980"/>
    <n v="14425"/>
    <n v="555"/>
    <x v="1144"/>
    <n v="191"/>
    <n v="499.33333333333331"/>
    <n v="480.83333333333331"/>
    <n v="18.5"/>
    <n v="300.7"/>
    <n v="6.3666666666666663"/>
    <n v="25"/>
    <n v="0"/>
    <n v="49.733333333333334"/>
    <n v="10"/>
    <n v="8.5"/>
    <n v="3.7049399198931909E-2"/>
    <n v="0.9973333333333334"/>
    <n v="0.60220293724966623"/>
    <n v="0.93233333333333335"/>
    <m/>
    <m/>
    <m/>
    <m/>
    <m/>
    <m/>
    <n v="0"/>
    <m/>
    <m/>
  </r>
  <r>
    <x v="931"/>
    <x v="0"/>
    <s v="Native "/>
    <x v="14"/>
    <n v="54"/>
    <n v="54"/>
    <n v="0"/>
    <m/>
    <n v="24528"/>
    <n v="23970"/>
    <n v="558"/>
    <x v="1145"/>
    <n v="453"/>
    <n v="454.22222222222223"/>
    <n v="443.88888888888891"/>
    <n v="10.333333333333334"/>
    <n v="272.52777777777777"/>
    <n v="8.3888888888888893"/>
    <n v="24.25925925925926"/>
    <n v="0"/>
    <n v="49.777777777777779"/>
    <n v="10"/>
    <n v="8.5"/>
    <n v="2.2749510763209396E-2"/>
    <n v="0.98296296296296293"/>
    <n v="0.59998776908023488"/>
    <n v="0.9253703703703704"/>
    <m/>
    <m/>
    <m/>
    <m/>
    <m/>
    <m/>
    <n v="8"/>
    <m/>
    <m/>
  </r>
  <r>
    <x v="932"/>
    <x v="0"/>
    <s v="Native "/>
    <x v="26"/>
    <n v="9"/>
    <n v="9"/>
    <n v="0"/>
    <m/>
    <n v="3759"/>
    <n v="3759"/>
    <n v="0"/>
    <x v="1146"/>
    <n v="46"/>
    <n v="417.66666666666669"/>
    <n v="417.66666666666669"/>
    <n v="0"/>
    <n v="256.63333333333333"/>
    <n v="5.1111111111111107"/>
    <n v="25"/>
    <n v="0"/>
    <n v="50"/>
    <n v="10"/>
    <n v="8.5"/>
    <n v="0"/>
    <n v="1"/>
    <n v="0.61444533120510769"/>
    <n v="0.93500000000000005"/>
    <m/>
    <m/>
    <m/>
    <m/>
    <m/>
    <m/>
    <n v="0"/>
    <m/>
    <m/>
  </r>
  <r>
    <x v="933"/>
    <x v="0"/>
    <s v="Native "/>
    <x v="5"/>
    <n v="35"/>
    <n v="35"/>
    <n v="0"/>
    <m/>
    <n v="15669"/>
    <n v="15669"/>
    <n v="0"/>
    <x v="1147"/>
    <n v="366"/>
    <n v="447.68571428571431"/>
    <n v="447.68571428571431"/>
    <n v="0"/>
    <n v="275.1685714285714"/>
    <n v="10.457142857142857"/>
    <n v="25"/>
    <n v="0"/>
    <n v="49.6"/>
    <n v="10"/>
    <n v="8.5"/>
    <n v="0"/>
    <n v="0.996"/>
    <n v="0.61464675473865593"/>
    <n v="0.93099999999999994"/>
    <m/>
    <m/>
    <m/>
    <m/>
    <m/>
    <m/>
    <n v="4"/>
    <m/>
    <m/>
  </r>
  <r>
    <x v="934"/>
    <x v="0"/>
    <s v="Native "/>
    <x v="26"/>
    <n v="52"/>
    <n v="50"/>
    <n v="2"/>
    <s v="2 c. bovis in heart and head "/>
    <n v="19952"/>
    <n v="19952"/>
    <n v="0"/>
    <x v="1148"/>
    <n v="264"/>
    <n v="399.04"/>
    <n v="399.04"/>
    <n v="0"/>
    <n v="234.245"/>
    <n v="5.28"/>
    <n v="25"/>
    <n v="0"/>
    <n v="49.92"/>
    <n v="10"/>
    <n v="8.5"/>
    <n v="0"/>
    <n v="0.99920000000000009"/>
    <n v="0.58702135124298316"/>
    <n v="0.93420000000000003"/>
    <m/>
    <m/>
    <m/>
    <m/>
    <m/>
    <m/>
    <n v="4"/>
    <m/>
    <m/>
  </r>
  <r>
    <x v="934"/>
    <x v="0"/>
    <s v="Imported"/>
    <x v="26"/>
    <n v="9"/>
    <n v="9"/>
    <n v="0"/>
    <m/>
    <n v="5078"/>
    <n v="5078"/>
    <n v="0"/>
    <x v="1149"/>
    <n v="0"/>
    <n v="564.22222222222217"/>
    <n v="564.22222222222217"/>
    <n v="0"/>
    <n v="345.37777777777779"/>
    <n v="0"/>
    <n v="25"/>
    <n v="0"/>
    <n v="50"/>
    <n v="10"/>
    <n v="8.5"/>
    <n v="0"/>
    <n v="1"/>
    <n v="0.61213076014178813"/>
    <n v="0.93500000000000005"/>
    <m/>
    <m/>
    <m/>
    <m/>
    <m/>
    <m/>
    <n v="1"/>
    <m/>
    <m/>
  </r>
  <r>
    <x v="935"/>
    <x v="0"/>
    <s v="Native "/>
    <x v="5"/>
    <n v="65"/>
    <n v="64"/>
    <n v="1"/>
    <s v="c. bovis in heart "/>
    <n v="28443"/>
    <n v="26753"/>
    <n v="1690"/>
    <x v="1150"/>
    <n v="581"/>
    <n v="444.421875"/>
    <n v="418.015625"/>
    <n v="26.40625"/>
    <n v="266.83281249999999"/>
    <n v="9.078125"/>
    <n v="25"/>
    <n v="0"/>
    <n v="49.253968253968253"/>
    <n v="10"/>
    <n v="8.5"/>
    <n v="5.9417079773582251E-2"/>
    <n v="0.99253968253968261"/>
    <n v="0.60040431740674327"/>
    <n v="0.92753968253968255"/>
    <m/>
    <m/>
    <m/>
    <m/>
    <m/>
    <m/>
    <n v="12"/>
    <m/>
    <m/>
  </r>
  <r>
    <x v="936"/>
    <x v="1"/>
    <m/>
    <x v="14"/>
    <n v="33"/>
    <n v="33"/>
    <n v="0"/>
    <m/>
    <n v="1771"/>
    <n v="1771"/>
    <n v="0"/>
    <x v="1151"/>
    <n v="0"/>
    <n v="53.666666666666664"/>
    <n v="53.666666666666664"/>
    <n v="0"/>
    <n v="32.387878787878783"/>
    <n v="0"/>
    <n v="25"/>
    <n v="0"/>
    <n v="49.575757575757578"/>
    <n v="10"/>
    <n v="8.5"/>
    <n v="0"/>
    <n v="0.99575757575757584"/>
    <n v="0.60350084697910777"/>
    <n v="0.93075757575757578"/>
    <m/>
    <m/>
    <m/>
    <m/>
    <m/>
    <m/>
    <n v="0"/>
    <m/>
    <m/>
  </r>
  <r>
    <x v="936"/>
    <x v="0"/>
    <s v="Native "/>
    <x v="14"/>
    <n v="42"/>
    <n v="41"/>
    <n v="1"/>
    <s v="1 c. bovis in diaphragm"/>
    <n v="21535"/>
    <n v="21535"/>
    <n v="0"/>
    <x v="1152"/>
    <n v="413"/>
    <n v="525.2439024390244"/>
    <n v="525.2439024390244"/>
    <n v="0"/>
    <n v="318.57073170731707"/>
    <n v="10.073170731707316"/>
    <n v="24.975609756097562"/>
    <n v="0"/>
    <n v="47.573170731707314"/>
    <n v="10"/>
    <n v="8.5"/>
    <n v="0"/>
    <n v="0.97524390243902437"/>
    <n v="0.60651961922451825"/>
    <n v="0.91048780487804881"/>
    <m/>
    <m/>
    <m/>
    <m/>
    <m/>
    <m/>
    <n v="11"/>
    <m/>
    <m/>
  </r>
  <r>
    <x v="937"/>
    <x v="1"/>
    <m/>
    <x v="14"/>
    <n v="25"/>
    <n v="25"/>
    <n v="0"/>
    <m/>
    <n v="1203"/>
    <n v="1203"/>
    <n v="0"/>
    <x v="611"/>
    <n v="0"/>
    <n v="48.12"/>
    <n v="48.12"/>
    <n v="0"/>
    <n v="27.8"/>
    <n v="0"/>
    <n v="25"/>
    <n v="0"/>
    <n v="49.6"/>
    <n v="10"/>
    <n v="8.5"/>
    <n v="0"/>
    <n v="0.996"/>
    <n v="0.57772236076475481"/>
    <n v="0.93099999999999994"/>
    <m/>
    <m/>
    <m/>
    <m/>
    <m/>
    <m/>
    <n v="0"/>
    <m/>
    <m/>
  </r>
  <r>
    <x v="937"/>
    <x v="0"/>
    <s v="Native "/>
    <x v="14"/>
    <n v="29"/>
    <n v="27"/>
    <n v="2"/>
    <s v="2 c. bovis in hearts"/>
    <n v="11960"/>
    <n v="11960"/>
    <n v="0"/>
    <x v="1153"/>
    <n v="218"/>
    <n v="442.96296296296299"/>
    <n v="442.96296296296299"/>
    <n v="0"/>
    <n v="265.78888888888889"/>
    <n v="8.0740740740740744"/>
    <n v="24.814814814814817"/>
    <n v="0"/>
    <n v="47.925925925925924"/>
    <n v="10"/>
    <n v="8.5"/>
    <n v="0"/>
    <n v="0.97555555555555551"/>
    <n v="0.6000250836120401"/>
    <n v="0.91240740740740733"/>
    <m/>
    <m/>
    <m/>
    <m/>
    <m/>
    <m/>
    <n v="6"/>
    <m/>
    <m/>
  </r>
  <r>
    <x v="938"/>
    <x v="0"/>
    <s v="Native "/>
    <x v="14"/>
    <n v="43"/>
    <n v="40"/>
    <n v="3"/>
    <s v="1 AB residue +  2 C. BOVIS "/>
    <n v="20435"/>
    <n v="20435"/>
    <n v="0"/>
    <x v="1154"/>
    <n v="415"/>
    <n v="510.875"/>
    <n v="510.875"/>
    <n v="0"/>
    <n v="306.505"/>
    <n v="10.375"/>
    <n v="24.5"/>
    <n v="0"/>
    <n v="48.95"/>
    <n v="10"/>
    <n v="8.5"/>
    <n v="0"/>
    <n v="0.97950000000000004"/>
    <n v="0.59996085148030343"/>
    <n v="0.91949999999999998"/>
    <m/>
    <m/>
    <m/>
    <m/>
    <m/>
    <m/>
    <n v="17"/>
    <m/>
    <m/>
  </r>
  <r>
    <x v="938"/>
    <x v="1"/>
    <m/>
    <x v="14"/>
    <n v="35"/>
    <n v="35"/>
    <n v="0"/>
    <m/>
    <n v="1896"/>
    <n v="1896"/>
    <n v="0"/>
    <x v="1155"/>
    <n v="0"/>
    <n v="54.171428571428571"/>
    <n v="54.171428571428571"/>
    <n v="0"/>
    <n v="32.517142857142858"/>
    <n v="0"/>
    <n v="25"/>
    <n v="0"/>
    <n v="50"/>
    <n v="10"/>
    <n v="8.5"/>
    <n v="0"/>
    <n v="1"/>
    <n v="0.60026371308016868"/>
    <n v="0.93500000000000005"/>
    <m/>
    <m/>
    <m/>
    <m/>
    <m/>
    <m/>
    <n v="0"/>
    <m/>
    <m/>
  </r>
  <r>
    <x v="938"/>
    <x v="0"/>
    <s v="brahman"/>
    <x v="14"/>
    <n v="1"/>
    <n v="1"/>
    <n v="0"/>
    <m/>
    <n v="567"/>
    <n v="567"/>
    <n v="0"/>
    <x v="1156"/>
    <n v="0"/>
    <n v="567"/>
    <n v="567"/>
    <n v="0"/>
    <n v="354.5"/>
    <n v="0"/>
    <n v="20"/>
    <n v="0"/>
    <n v="50"/>
    <n v="10"/>
    <n v="8.5"/>
    <n v="0"/>
    <n v="0.9"/>
    <n v="0.62522045855379194"/>
    <n v="0.88500000000000001"/>
    <m/>
    <m/>
    <m/>
    <m/>
    <m/>
    <m/>
    <n v="1"/>
    <m/>
    <m/>
  </r>
  <r>
    <x v="939"/>
    <x v="0"/>
    <s v="Native "/>
    <x v="26"/>
    <n v="50"/>
    <n v="50"/>
    <n v="0"/>
    <m/>
    <n v="19999"/>
    <n v="19999"/>
    <n v="0"/>
    <x v="1157"/>
    <n v="255"/>
    <n v="399.98"/>
    <n v="399.98"/>
    <n v="0"/>
    <n v="234.76400000000001"/>
    <n v="5.0999999999999996"/>
    <n v="25"/>
    <n v="0"/>
    <n v="49.379999999999995"/>
    <n v="10"/>
    <n v="8.5"/>
    <n v="0"/>
    <n v="0.99380000000000002"/>
    <n v="0.5869393469673484"/>
    <n v="0.92879999999999996"/>
    <m/>
    <m/>
    <m/>
    <m/>
    <m/>
    <m/>
    <n v="8"/>
    <m/>
    <m/>
  </r>
  <r>
    <x v="939"/>
    <x v="1"/>
    <m/>
    <x v="1"/>
    <n v="30"/>
    <n v="30"/>
    <n v="0"/>
    <m/>
    <n v="1490"/>
    <n v="1490"/>
    <n v="0"/>
    <x v="1158"/>
    <n v="0"/>
    <n v="49.666666666666664"/>
    <n v="49.666666666666664"/>
    <n v="0"/>
    <n v="29.323333333333334"/>
    <n v="0"/>
    <n v="25"/>
    <n v="0"/>
    <n v="49.066666666666663"/>
    <n v="10"/>
    <n v="8.5"/>
    <n v="0"/>
    <n v="0.99066666666666658"/>
    <n v="0.59040268456375844"/>
    <n v="0.92566666666666664"/>
    <m/>
    <m/>
    <m/>
    <m/>
    <m/>
    <m/>
    <n v="0"/>
    <m/>
    <m/>
  </r>
  <r>
    <x v="940"/>
    <x v="1"/>
    <m/>
    <x v="14"/>
    <n v="60"/>
    <n v="60"/>
    <n v="0"/>
    <m/>
    <n v="3173"/>
    <n v="3173"/>
    <n v="0"/>
    <x v="1159"/>
    <n v="0"/>
    <n v="52.883333333333333"/>
    <n v="52.883333333333333"/>
    <n v="0"/>
    <n v="31.636666666666667"/>
    <n v="0"/>
    <n v="25"/>
    <n v="0"/>
    <n v="49.7"/>
    <n v="10"/>
    <n v="8.5"/>
    <n v="0"/>
    <n v="0.99700000000000011"/>
    <n v="0.59823510872990859"/>
    <n v="0.93200000000000005"/>
    <m/>
    <m/>
    <m/>
    <m/>
    <m/>
    <m/>
    <n v="0"/>
    <m/>
    <m/>
  </r>
  <r>
    <x v="940"/>
    <x v="0"/>
    <s v="Native "/>
    <x v="0"/>
    <n v="56"/>
    <n v="55"/>
    <n v="1"/>
    <s v="1 c. bovis in the heart "/>
    <n v="26775"/>
    <n v="26775"/>
    <n v="0"/>
    <x v="1160"/>
    <n v="450"/>
    <n v="486.81818181818181"/>
    <n v="486.81818181818181"/>
    <n v="0"/>
    <n v="292.99272727272728"/>
    <n v="8.1818181818181817"/>
    <n v="24.454545454545453"/>
    <n v="0"/>
    <n v="49.072727272727278"/>
    <n v="10"/>
    <n v="8.5"/>
    <n v="0"/>
    <n v="0.97981818181818192"/>
    <n v="0.60185247432306255"/>
    <n v="0.92027272727272735"/>
    <m/>
    <m/>
    <m/>
    <m/>
    <m/>
    <m/>
    <n v="28"/>
    <m/>
    <m/>
  </r>
  <r>
    <x v="941"/>
    <x v="1"/>
    <m/>
    <x v="1"/>
    <n v="54"/>
    <n v="54"/>
    <n v="0"/>
    <m/>
    <n v="2491"/>
    <n v="2491"/>
    <n v="0"/>
    <x v="1161"/>
    <n v="0"/>
    <n v="46.129629629629626"/>
    <n v="46.129629629629626"/>
    <n v="0"/>
    <n v="26.337037037037039"/>
    <n v="0"/>
    <n v="25"/>
    <n v="0"/>
    <n v="49.611111111111107"/>
    <n v="10"/>
    <n v="8.5"/>
    <n v="0"/>
    <n v="0.99611111111111106"/>
    <n v="0.5709353673223605"/>
    <n v="0.93111111111111111"/>
    <m/>
    <m/>
    <m/>
    <m/>
    <m/>
    <m/>
    <n v="0"/>
    <m/>
    <m/>
  </r>
  <r>
    <x v="941"/>
    <x v="0"/>
    <s v="Native "/>
    <x v="5"/>
    <n v="56"/>
    <n v="54"/>
    <n v="2"/>
    <s v="2 c. bovis in hearts"/>
    <n v="23515"/>
    <n v="23515"/>
    <n v="0"/>
    <x v="1162"/>
    <n v="530"/>
    <n v="435.46296296296299"/>
    <n v="435.46296296296299"/>
    <n v="0"/>
    <n v="263.22962962962964"/>
    <n v="9.8148148148148149"/>
    <n v="25"/>
    <n v="0"/>
    <n v="49.703703703703702"/>
    <n v="9.8148148148148149"/>
    <n v="8.5"/>
    <n v="0"/>
    <n v="0.99703703703703694"/>
    <n v="0.60448224537529238"/>
    <n v="0.930185185185185"/>
    <m/>
    <m/>
    <m/>
    <m/>
    <m/>
    <m/>
    <n v="0"/>
    <m/>
    <m/>
  </r>
  <r>
    <x v="942"/>
    <x v="0"/>
    <s v="Native "/>
    <x v="9"/>
    <n v="63"/>
    <n v="60"/>
    <n v="3"/>
    <s v="2 c. bovis in heart + 1 tb "/>
    <n v="29536"/>
    <n v="29536"/>
    <n v="0"/>
    <x v="1163"/>
    <n v="591"/>
    <n v="492.26666666666665"/>
    <n v="492.26666666666665"/>
    <n v="0"/>
    <n v="295.38166666666672"/>
    <n v="9.85"/>
    <n v="24.75"/>
    <n v="0"/>
    <n v="48.949999999999996"/>
    <n v="10"/>
    <n v="8.5"/>
    <n v="0"/>
    <n v="0.98449999999999993"/>
    <n v="0.60004401408450714"/>
    <n v="0.92199999999999993"/>
    <m/>
    <m/>
    <m/>
    <m/>
    <m/>
    <m/>
    <n v="0"/>
    <m/>
    <m/>
  </r>
  <r>
    <x v="942"/>
    <x v="1"/>
    <m/>
    <x v="14"/>
    <n v="59"/>
    <n v="59"/>
    <n v="0"/>
    <m/>
    <n v="3224"/>
    <n v="3224"/>
    <n v="0"/>
    <x v="1164"/>
    <n v="0"/>
    <n v="54.644067796610166"/>
    <n v="54.644067796610166"/>
    <n v="0"/>
    <n v="33.511864406779665"/>
    <n v="0"/>
    <n v="25"/>
    <n v="0"/>
    <n v="49.711864406779661"/>
    <n v="10"/>
    <n v="8.5"/>
    <n v="0"/>
    <n v="0.9971186440677966"/>
    <n v="0.61327543424317621"/>
    <n v="0.93211864406779654"/>
    <m/>
    <m/>
    <m/>
    <m/>
    <m/>
    <m/>
    <n v="0"/>
    <m/>
    <m/>
  </r>
  <r>
    <x v="943"/>
    <x v="1"/>
    <m/>
    <x v="1"/>
    <n v="98"/>
    <n v="98"/>
    <n v="0"/>
    <m/>
    <n v="4658"/>
    <n v="4658"/>
    <n v="0"/>
    <x v="1165"/>
    <n v="0"/>
    <n v="47.530612244897959"/>
    <n v="47.530612244897959"/>
    <n v="0"/>
    <n v="26.0734693877551"/>
    <n v="0"/>
    <n v="25"/>
    <n v="0"/>
    <n v="49.204081632653057"/>
    <n v="10"/>
    <n v="8.5"/>
    <n v="0"/>
    <n v="0.99204081632653063"/>
    <n v="0.54856161442679252"/>
    <n v="0.92704081632653057"/>
    <m/>
    <m/>
    <m/>
    <m/>
    <m/>
    <m/>
    <n v="0"/>
    <m/>
    <m/>
  </r>
  <r>
    <x v="943"/>
    <x v="0"/>
    <s v="Native "/>
    <x v="5"/>
    <n v="70"/>
    <n v="69"/>
    <n v="1"/>
    <s v="1 c. bovis in heart "/>
    <n v="30928"/>
    <n v="30928"/>
    <n v="0"/>
    <x v="1166"/>
    <n v="690"/>
    <n v="448.231884057971"/>
    <n v="448.231884057971"/>
    <n v="0"/>
    <n v="274.3840579710145"/>
    <n v="10"/>
    <n v="25"/>
    <n v="0"/>
    <n v="49.188405797101446"/>
    <n v="9.8550724637681171"/>
    <n v="8.5"/>
    <n v="0"/>
    <n v="0.99188405797101442"/>
    <n v="0.61214756854630104"/>
    <n v="0.92543478260869561"/>
    <m/>
    <m/>
    <m/>
    <m/>
    <m/>
    <m/>
    <n v="8"/>
    <m/>
    <m/>
  </r>
  <r>
    <x v="944"/>
    <x v="1"/>
    <m/>
    <x v="1"/>
    <n v="90"/>
    <n v="90"/>
    <n v="0"/>
    <m/>
    <n v="4503"/>
    <n v="4503"/>
    <n v="0"/>
    <x v="1167"/>
    <n v="0"/>
    <n v="50.033333333333331"/>
    <n v="50.033333333333331"/>
    <n v="0"/>
    <n v="27.941111111111109"/>
    <n v="0"/>
    <n v="25"/>
    <n v="0"/>
    <n v="48.43333333333333"/>
    <n v="10"/>
    <n v="8.5"/>
    <n v="0"/>
    <n v="0.98433333333333328"/>
    <n v="0.55844992227403945"/>
    <n v="0.91933333333333334"/>
    <m/>
    <m/>
    <m/>
    <m/>
    <m/>
    <m/>
    <n v="0"/>
    <m/>
    <m/>
  </r>
  <r>
    <x v="944"/>
    <x v="0"/>
    <s v="Native "/>
    <x v="5"/>
    <n v="91"/>
    <n v="91"/>
    <n v="0"/>
    <m/>
    <n v="48509"/>
    <n v="48509"/>
    <n v="0"/>
    <x v="1168"/>
    <n v="803"/>
    <n v="533.06593406593402"/>
    <n v="533.06593406593402"/>
    <n v="0"/>
    <n v="326.82087912087911"/>
    <n v="8.8241758241758248"/>
    <n v="25"/>
    <n v="0"/>
    <n v="48.538461538461533"/>
    <n v="10"/>
    <n v="8.5"/>
    <n v="0"/>
    <n v="0.9853846153846153"/>
    <n v="0.61309653878661696"/>
    <n v="0.92038461538461536"/>
    <m/>
    <m/>
    <m/>
    <m/>
    <m/>
    <m/>
    <n v="0"/>
    <m/>
    <m/>
  </r>
  <r>
    <x v="945"/>
    <x v="0"/>
    <s v="Imported"/>
    <x v="5"/>
    <n v="40"/>
    <n v="39"/>
    <n v="1"/>
    <s v="1 miliary tb "/>
    <n v="23149"/>
    <n v="23149"/>
    <n v="0"/>
    <x v="1169"/>
    <n v="0"/>
    <n v="593.56410256410254"/>
    <n v="593.56410256410254"/>
    <n v="0"/>
    <n v="362.01538461538462"/>
    <n v="0"/>
    <n v="25"/>
    <n v="0"/>
    <n v="47.128205128205131"/>
    <n v="10"/>
    <n v="8.5"/>
    <n v="0"/>
    <n v="0.97128205128205125"/>
    <n v="0.6099010756404164"/>
    <n v="0.90628205128205142"/>
    <m/>
    <m/>
    <m/>
    <m/>
    <m/>
    <m/>
    <n v="12"/>
    <m/>
    <m/>
  </r>
  <r>
    <x v="946"/>
    <x v="0"/>
    <s v="Imported"/>
    <x v="5"/>
    <n v="42"/>
    <n v="42"/>
    <n v="0"/>
    <m/>
    <n v="24260"/>
    <n v="23140"/>
    <n v="1120"/>
    <x v="1170"/>
    <n v="386"/>
    <n v="577.61904761904759"/>
    <n v="550.95238095238096"/>
    <n v="26.666666666666668"/>
    <n v="362.79761904761904"/>
    <n v="9.1904761904761898"/>
    <n v="25"/>
    <n v="0"/>
    <n v="49.738095238095241"/>
    <n v="10"/>
    <n v="8.5"/>
    <n v="4.6166529266281953E-2"/>
    <n v="0.99738095238095248"/>
    <n v="0.62809150865622421"/>
    <n v="0.93238095238095242"/>
    <m/>
    <m/>
    <m/>
    <m/>
    <m/>
    <m/>
    <n v="0"/>
    <m/>
    <m/>
  </r>
  <r>
    <x v="947"/>
    <x v="1"/>
    <m/>
    <x v="14"/>
    <n v="27"/>
    <n v="27"/>
    <n v="0"/>
    <m/>
    <n v="1323"/>
    <n v="1280"/>
    <n v="43"/>
    <x v="1171"/>
    <m/>
    <n v="49"/>
    <n v="47.407407407407405"/>
    <n v="1.5925925925925926"/>
    <n v="26.922222222222221"/>
    <n v="0"/>
    <n v="25"/>
    <n v="0"/>
    <n v="48.518518518518526"/>
    <n v="10"/>
    <n v="8.5"/>
    <n v="3.250188964474679E-2"/>
    <n v="0.98518518518518527"/>
    <n v="0.54943310657596367"/>
    <n v="0.92018518518518533"/>
    <m/>
    <m/>
    <m/>
    <m/>
    <m/>
    <m/>
    <n v="0"/>
    <m/>
    <m/>
  </r>
  <r>
    <x v="947"/>
    <x v="0"/>
    <s v="Imported"/>
    <x v="5"/>
    <n v="55"/>
    <n v="55"/>
    <n v="0"/>
    <m/>
    <n v="31013"/>
    <n v="29725"/>
    <n v="1288"/>
    <x v="1172"/>
    <n v="395"/>
    <n v="563.87272727272727"/>
    <n v="540.4545454545455"/>
    <n v="23.418181818181818"/>
    <n v="354.25090909090909"/>
    <n v="7.1818181818181817"/>
    <n v="25"/>
    <n v="0"/>
    <n v="49"/>
    <n v="10"/>
    <n v="8.5"/>
    <n v="4.1530970883178024E-2"/>
    <n v="0.99"/>
    <n v="0.62824621932737879"/>
    <n v="0.92500000000000004"/>
    <m/>
    <m/>
    <m/>
    <m/>
    <m/>
    <m/>
    <n v="0"/>
    <m/>
    <m/>
  </r>
  <r>
    <x v="948"/>
    <x v="0"/>
    <s v="Imported"/>
    <x v="5"/>
    <n v="42"/>
    <n v="41"/>
    <n v="1"/>
    <s v="1 c. bovis"/>
    <n v="22751"/>
    <n v="21564"/>
    <n v="1187"/>
    <x v="1173"/>
    <n v="232"/>
    <n v="554.90243902439022"/>
    <n v="525.95121951219517"/>
    <n v="28.951219512195124"/>
    <n v="359.77073170731705"/>
    <n v="5.6585365853658534"/>
    <n v="25"/>
    <n v="0"/>
    <n v="47.243902439024389"/>
    <n v="10"/>
    <n v="8.5"/>
    <n v="5.217353083380951E-2"/>
    <n v="0.97243902439024388"/>
    <n v="0.64834952309788585"/>
    <n v="0.90743902439024393"/>
    <m/>
    <m/>
    <m/>
    <m/>
    <m/>
    <m/>
    <n v="0"/>
    <m/>
    <m/>
  </r>
  <r>
    <x v="949"/>
    <x v="0"/>
    <s v="Native "/>
    <x v="14"/>
    <n v="44"/>
    <n v="44"/>
    <n v="0"/>
    <m/>
    <n v="20729"/>
    <n v="20140"/>
    <n v="589"/>
    <x v="1174"/>
    <n v="391"/>
    <n v="471.11363636363637"/>
    <n v="457.72727272727275"/>
    <n v="13.386363636363637"/>
    <n v="282.65681818181815"/>
    <n v="8.8863636363636367"/>
    <n v="25"/>
    <n v="0"/>
    <n v="49.18181818181818"/>
    <n v="10"/>
    <n v="8.5"/>
    <n v="2.8414298808432631E-2"/>
    <n v="0.99181818181818182"/>
    <n v="0.59997587920304885"/>
    <n v="0.92681818181818187"/>
    <m/>
    <m/>
    <m/>
    <m/>
    <m/>
    <m/>
    <n v="8"/>
    <m/>
    <m/>
  </r>
  <r>
    <x v="950"/>
    <x v="0"/>
    <s v="Native "/>
    <x v="5"/>
    <n v="56"/>
    <n v="56"/>
    <n v="0"/>
    <m/>
    <n v="24323"/>
    <n v="22840"/>
    <n v="1483"/>
    <x v="1175"/>
    <n v="515"/>
    <n v="434.33928571428572"/>
    <n v="407.85714285714283"/>
    <n v="26.482142857142858"/>
    <n v="261.9267857142857"/>
    <n v="9.1964285714285712"/>
    <n v="25"/>
    <n v="0"/>
    <n v="49.25"/>
    <n v="10"/>
    <n v="8.5"/>
    <n v="6.0971097315298275E-2"/>
    <n v="0.99249999999999994"/>
    <n v="0.60304649919828968"/>
    <n v="0.92749999999999999"/>
    <m/>
    <m/>
    <m/>
    <m/>
    <m/>
    <m/>
    <n v="3"/>
    <m/>
    <m/>
  </r>
  <r>
    <x v="951"/>
    <x v="0"/>
    <s v="Imported"/>
    <x v="0"/>
    <n v="28"/>
    <n v="17"/>
    <n v="11"/>
    <s v="11 ab residues"/>
    <n v="12886"/>
    <n v="12886"/>
    <n v="0"/>
    <x v="1176"/>
    <n v="124"/>
    <n v="758"/>
    <n v="758"/>
    <n v="0"/>
    <n v="455.47647058823532"/>
    <n v="7.2941176470588234"/>
    <n v="25"/>
    <n v="0"/>
    <n v="44.235294117647058"/>
    <n v="10"/>
    <n v="8.5"/>
    <n v="0"/>
    <n v="0.94235294117647062"/>
    <n v="0.60089244140928144"/>
    <n v="0.87735294117647056"/>
    <m/>
    <m/>
    <m/>
    <m/>
    <m/>
    <m/>
    <n v="13"/>
    <m/>
    <m/>
  </r>
  <r>
    <x v="952"/>
    <x v="0"/>
    <s v="Native "/>
    <x v="5"/>
    <n v="21"/>
    <n v="21"/>
    <n v="0"/>
    <m/>
    <n v="10509"/>
    <n v="10509"/>
    <n v="0"/>
    <x v="1177"/>
    <n v="76"/>
    <n v="500.42857142857144"/>
    <n v="500.42857142857144"/>
    <n v="0"/>
    <n v="320.10000000000002"/>
    <n v="3.6190476190476191"/>
    <n v="25"/>
    <n v="0"/>
    <n v="50"/>
    <n v="10"/>
    <n v="8.5"/>
    <n v="0"/>
    <n v="1"/>
    <n v="0.63965172709106488"/>
    <n v="0.93500000000000005"/>
    <m/>
    <m/>
    <m/>
    <m/>
    <m/>
    <m/>
    <n v="0"/>
    <m/>
    <m/>
  </r>
  <r>
    <x v="953"/>
    <x v="1"/>
    <m/>
    <x v="14"/>
    <n v="25"/>
    <n v="25"/>
    <n v="0"/>
    <m/>
    <n v="1194"/>
    <n v="1194"/>
    <n v="0"/>
    <x v="1178"/>
    <n v="0"/>
    <n v="47.76"/>
    <n v="47.76"/>
    <n v="0"/>
    <n v="27.96"/>
    <n v="0"/>
    <n v="25"/>
    <n v="0"/>
    <n v="49.440000000000005"/>
    <n v="10"/>
    <n v="8.5"/>
    <n v="0"/>
    <n v="0.99440000000000006"/>
    <n v="0.585427135678392"/>
    <n v="0.9294"/>
    <m/>
    <m/>
    <m/>
    <m/>
    <m/>
    <m/>
    <n v="0"/>
    <m/>
    <m/>
  </r>
  <r>
    <x v="953"/>
    <x v="0"/>
    <s v="Native "/>
    <x v="14"/>
    <n v="57"/>
    <n v="56"/>
    <n v="1"/>
    <s v="1 c. bovis heart"/>
    <n v="25960"/>
    <n v="25960"/>
    <n v="0"/>
    <x v="1179"/>
    <n v="476"/>
    <n v="463.57142857142856"/>
    <n v="463.57142857142856"/>
    <n v="0"/>
    <n v="278.12446428571428"/>
    <n v="8.5"/>
    <n v="24.553571428571431"/>
    <n v="0"/>
    <n v="49.964285714285715"/>
    <n v="10"/>
    <n v="8.5"/>
    <n v="0"/>
    <n v="0.99071428571428577"/>
    <n v="0.59996032357473028"/>
    <n v="0.93017857142857141"/>
    <m/>
    <m/>
    <m/>
    <m/>
    <m/>
    <m/>
    <n v="23"/>
    <m/>
    <m/>
  </r>
  <r>
    <x v="954"/>
    <x v="1"/>
    <s v="goat"/>
    <x v="21"/>
    <n v="7"/>
    <n v="7"/>
    <n v="0"/>
    <m/>
    <n v="191"/>
    <n v="191"/>
    <n v="0"/>
    <x v="1180"/>
    <n v="0"/>
    <n v="27.285714285714285"/>
    <n v="27.285714285714285"/>
    <n v="0"/>
    <n v="16.057142857142857"/>
    <n v="0"/>
    <n v="25"/>
    <n v="0"/>
    <n v="50"/>
    <n v="10"/>
    <n v="8.5"/>
    <n v="0"/>
    <n v="1"/>
    <n v="0.58848167539267016"/>
    <n v="0.93500000000000005"/>
    <m/>
    <m/>
    <m/>
    <m/>
    <m/>
    <m/>
    <n v="0"/>
    <m/>
    <m/>
  </r>
  <r>
    <x v="954"/>
    <x v="0"/>
    <s v="Native "/>
    <x v="27"/>
    <n v="16"/>
    <n v="15"/>
    <n v="1"/>
    <s v="1 c. bovis heart"/>
    <n v="7119"/>
    <n v="7119"/>
    <n v="0"/>
    <x v="1181"/>
    <n v="112"/>
    <n v="474.6"/>
    <n v="474.6"/>
    <n v="0"/>
    <n v="290.21333333333331"/>
    <n v="7.4666666666666668"/>
    <n v="25"/>
    <n v="0"/>
    <n v="46"/>
    <n v="10"/>
    <n v="8.5"/>
    <n v="0"/>
    <n v="0.96"/>
    <n v="0.61149037786205929"/>
    <n v="0.89500000000000002"/>
    <m/>
    <m/>
    <m/>
    <m/>
    <m/>
    <m/>
    <n v="10"/>
    <m/>
    <m/>
  </r>
  <r>
    <x v="954"/>
    <x v="0"/>
    <s v="Native "/>
    <x v="5"/>
    <n v="48"/>
    <n v="46"/>
    <n v="2"/>
    <s v="2 c. bovis heart"/>
    <n v="20477"/>
    <n v="20477"/>
    <n v="0"/>
    <x v="1182"/>
    <n v="411"/>
    <n v="445.1521739130435"/>
    <n v="445.1521739130435"/>
    <n v="0"/>
    <n v="275.08695652173913"/>
    <n v="8.9347826086956523"/>
    <n v="25"/>
    <n v="0"/>
    <n v="49.695652173913039"/>
    <n v="10"/>
    <n v="8.5"/>
    <n v="0"/>
    <n v="0.99695652173913041"/>
    <n v="0.61796161547101625"/>
    <n v="0.93195652173913035"/>
    <m/>
    <m/>
    <m/>
    <m/>
    <m/>
    <m/>
    <n v="8"/>
    <m/>
    <m/>
  </r>
  <r>
    <x v="955"/>
    <x v="0"/>
    <s v="Native "/>
    <x v="14"/>
    <n v="8"/>
    <n v="8"/>
    <n v="0"/>
    <m/>
    <n v="2829"/>
    <n v="2829"/>
    <n v="0"/>
    <x v="1183"/>
    <n v="24"/>
    <n v="353.625"/>
    <n v="353.625"/>
    <n v="0"/>
    <n v="212.19374999999999"/>
    <n v="3"/>
    <n v="24.125"/>
    <n v="0"/>
    <n v="46.25"/>
    <n v="10"/>
    <n v="8.5"/>
    <n v="0"/>
    <n v="0.94500000000000006"/>
    <n v="0.60005302226935309"/>
    <n v="0.88875000000000004"/>
    <m/>
    <m/>
    <m/>
    <m/>
    <m/>
    <m/>
    <n v="4"/>
    <m/>
    <m/>
  </r>
  <r>
    <x v="955"/>
    <x v="0"/>
    <s v="Imported"/>
    <x v="9"/>
    <n v="42"/>
    <n v="42"/>
    <n v="0"/>
    <m/>
    <n v="21782"/>
    <n v="21782"/>
    <n v="0"/>
    <x v="1184"/>
    <n v="238"/>
    <n v="518.61904761904759"/>
    <n v="518.61904761904759"/>
    <n v="0"/>
    <n v="317.24642857142857"/>
    <n v="5.666666666666667"/>
    <n v="25"/>
    <n v="0"/>
    <n v="44.833333333333329"/>
    <n v="10"/>
    <n v="8.5"/>
    <n v="0"/>
    <n v="0.94833333333333325"/>
    <n v="0.61171380038563949"/>
    <n v="0.8833333333333333"/>
    <m/>
    <m/>
    <m/>
    <m/>
    <m/>
    <m/>
    <n v="4"/>
    <m/>
    <m/>
  </r>
  <r>
    <x v="956"/>
    <x v="1"/>
    <m/>
    <x v="14"/>
    <n v="25"/>
    <n v="25"/>
    <n v="0"/>
    <m/>
    <n v="1214"/>
    <n v="1214"/>
    <n v="0"/>
    <x v="1185"/>
    <n v="0"/>
    <n v="48.56"/>
    <n v="48.56"/>
    <n v="0"/>
    <n v="27.015999999999998"/>
    <n v="0"/>
    <n v="25"/>
    <n v="0"/>
    <n v="47.24"/>
    <n v="10"/>
    <n v="8.5"/>
    <n v="0"/>
    <n v="0.97240000000000004"/>
    <n v="0.55634266886326189"/>
    <n v="0.9074000000000001"/>
    <m/>
    <m/>
    <m/>
    <m/>
    <m/>
    <m/>
    <n v="0"/>
    <m/>
    <m/>
  </r>
  <r>
    <x v="956"/>
    <x v="0"/>
    <s v="Native "/>
    <x v="14"/>
    <n v="40"/>
    <n v="39"/>
    <n v="1"/>
    <s v="1 ab residues"/>
    <n v="18564"/>
    <n v="18564"/>
    <n v="0"/>
    <x v="1186"/>
    <n v="374"/>
    <n v="476"/>
    <n v="476"/>
    <n v="0"/>
    <n v="285.58974358974359"/>
    <n v="9.5897435897435894"/>
    <n v="24.23076923076923"/>
    <n v="0"/>
    <n v="46.358974358974358"/>
    <n v="10"/>
    <n v="8.5"/>
    <n v="0"/>
    <n v="0.94820512820512826"/>
    <n v="0.59997845291962937"/>
    <n v="0.89089743589743586"/>
    <m/>
    <m/>
    <m/>
    <m/>
    <m/>
    <m/>
    <n v="26"/>
    <m/>
    <m/>
  </r>
  <r>
    <x v="957"/>
    <x v="0"/>
    <s v="Native "/>
    <x v="5"/>
    <n v="21"/>
    <n v="21"/>
    <n v="0"/>
    <m/>
    <n v="9559"/>
    <n v="9130"/>
    <n v="429"/>
    <x v="1187"/>
    <n v="213"/>
    <n v="455.1904761904762"/>
    <n v="434.76190476190476"/>
    <n v="20.428571428571427"/>
    <n v="281.4238095238095"/>
    <n v="10.142857142857142"/>
    <n v="25"/>
    <n v="0"/>
    <n v="48.19047619047619"/>
    <n v="10"/>
    <n v="8.5"/>
    <n v="4.4879171461449936E-2"/>
    <n v="0.98190476190476184"/>
    <n v="0.6182550475991212"/>
    <n v="0.91690476190476189"/>
    <m/>
    <m/>
    <m/>
    <m/>
    <m/>
    <m/>
    <n v="4"/>
    <m/>
    <m/>
  </r>
  <r>
    <x v="958"/>
    <x v="0"/>
    <s v="Native "/>
    <x v="5"/>
    <n v="58"/>
    <n v="58"/>
    <n v="0"/>
    <m/>
    <n v="26279"/>
    <n v="26279"/>
    <n v="0"/>
    <x v="1188"/>
    <n v="534"/>
    <n v="453.08620689655174"/>
    <n v="453.08620689655174"/>
    <n v="0"/>
    <n v="280.74827586206897"/>
    <n v="9.2068965517241388"/>
    <n v="25"/>
    <n v="0"/>
    <n v="49.637931034482754"/>
    <n v="10"/>
    <n v="8.5"/>
    <n v="0"/>
    <n v="0.99637931034482752"/>
    <n v="0.61963545035960266"/>
    <n v="0.93137931034482757"/>
    <m/>
    <m/>
    <m/>
    <m/>
    <m/>
    <m/>
    <n v="7"/>
    <m/>
    <m/>
  </r>
  <r>
    <x v="959"/>
    <x v="0"/>
    <s v="Imported"/>
    <x v="9"/>
    <n v="35"/>
    <n v="35"/>
    <n v="0"/>
    <m/>
    <n v="18202"/>
    <n v="18202"/>
    <n v="0"/>
    <x v="1189"/>
    <n v="180"/>
    <n v="520.05714285714282"/>
    <n v="520.05714285714282"/>
    <n v="0"/>
    <n v="317.91428571428571"/>
    <n v="5.1428571428571432"/>
    <n v="24.857142857142858"/>
    <n v="0"/>
    <n v="47.542857142857144"/>
    <n v="10"/>
    <n v="8.5"/>
    <n v="0"/>
    <n v="0.97257142857142864"/>
    <n v="0.61130644984067684"/>
    <n v="0.90900000000000003"/>
    <m/>
    <m/>
    <m/>
    <m/>
    <m/>
    <m/>
    <n v="4"/>
    <m/>
    <m/>
  </r>
  <r>
    <x v="960"/>
    <x v="0"/>
    <s v="Native "/>
    <x v="27"/>
    <n v="40"/>
    <n v="40"/>
    <n v="0"/>
    <m/>
    <n v="19649"/>
    <n v="19649"/>
    <n v="0"/>
    <x v="1190"/>
    <n v="367"/>
    <n v="491.22500000000002"/>
    <n v="491.22500000000002"/>
    <n v="0"/>
    <n v="307.74250000000001"/>
    <n v="9.1750000000000007"/>
    <n v="25"/>
    <n v="0"/>
    <n v="48.024999999999999"/>
    <n v="10"/>
    <n v="8.5"/>
    <n v="0"/>
    <n v="0.98025000000000007"/>
    <n v="0.62647971906967281"/>
    <n v="0.91525000000000001"/>
    <m/>
    <m/>
    <m/>
    <m/>
    <m/>
    <m/>
    <n v="24"/>
    <m/>
    <m/>
  </r>
  <r>
    <x v="961"/>
    <x v="0"/>
    <s v="Native "/>
    <x v="14"/>
    <n v="59"/>
    <n v="57"/>
    <n v="2"/>
    <s v="2 carcasses due to presence of c. bovis in their hearts."/>
    <n v="26680"/>
    <n v="26680"/>
    <n v="0"/>
    <x v="1191"/>
    <n v="563"/>
    <n v="468.07017543859649"/>
    <n v="468.07017543859649"/>
    <n v="0"/>
    <n v="286.01929824561404"/>
    <n v="9.8771929824561404"/>
    <n v="25"/>
    <n v="0"/>
    <n v="48.526315789473685"/>
    <n v="9.8947368421052637"/>
    <n v="8.5"/>
    <n v="0"/>
    <n v="0.98526315789473684"/>
    <n v="0.61106071964017994"/>
    <n v="0.91921052631578948"/>
    <m/>
    <m/>
    <m/>
    <m/>
    <m/>
    <m/>
    <n v="19"/>
    <m/>
    <m/>
  </r>
  <r>
    <x v="962"/>
    <x v="0"/>
    <s v="Native "/>
    <x v="23"/>
    <n v="50"/>
    <n v="50"/>
    <n v="0"/>
    <m/>
    <n v="24352.808988764045"/>
    <n v="24352.808988764045"/>
    <n v="0"/>
    <x v="1192"/>
    <n v="0"/>
    <n v="487.0561797752809"/>
    <n v="487.0561797752809"/>
    <n v="0"/>
    <n v="303.43599999999998"/>
    <n v="0"/>
    <n v="25"/>
    <n v="0"/>
    <n v="49.6"/>
    <n v="10"/>
    <n v="8.5"/>
    <n v="0"/>
    <n v="0.996"/>
    <n v="0.623"/>
    <n v="0.93099999999999994"/>
    <m/>
    <m/>
    <m/>
    <m/>
    <m/>
    <m/>
    <n v="0"/>
    <m/>
    <m/>
  </r>
  <r>
    <x v="963"/>
    <x v="0"/>
    <s v="Native "/>
    <x v="14"/>
    <n v="16"/>
    <n v="16"/>
    <n v="0"/>
    <m/>
    <n v="7610"/>
    <n v="7415"/>
    <n v="195"/>
    <x v="1193"/>
    <n v="162"/>
    <n v="475.625"/>
    <n v="463.4375"/>
    <n v="12.1875"/>
    <n v="287.67500000000001"/>
    <n v="10.125"/>
    <n v="25"/>
    <n v="0"/>
    <n v="49.25"/>
    <n v="10"/>
    <n v="8.5"/>
    <n v="2.5624178712220762E-2"/>
    <n v="0.99249999999999994"/>
    <n v="0.6048357424441525"/>
    <n v="0.92749999999999999"/>
    <m/>
    <m/>
    <m/>
    <m/>
    <m/>
    <m/>
    <n v="4"/>
    <m/>
    <m/>
  </r>
  <r>
    <x v="964"/>
    <x v="0"/>
    <s v="Native "/>
    <x v="5"/>
    <n v="40"/>
    <n v="37"/>
    <n v="3"/>
    <s v="Rejection of 3 carcasses due to presence of c. bovis in the hearts of 2 carcasses and miliary tb in 1 carcass."/>
    <n v="16054"/>
    <n v="16054"/>
    <n v="0"/>
    <x v="1194"/>
    <n v="314"/>
    <n v="433.89189189189187"/>
    <n v="433.89189189189187"/>
    <n v="0"/>
    <n v="266.7243243243243"/>
    <n v="8.486486486486486"/>
    <n v="25"/>
    <n v="0"/>
    <n v="49.702702702702709"/>
    <n v="10"/>
    <n v="8.5"/>
    <n v="0"/>
    <n v="0.99702702702702717"/>
    <n v="0.61472530210539422"/>
    <n v="0.93202702702702711"/>
    <m/>
    <m/>
    <m/>
    <m/>
    <m/>
    <m/>
    <n v="4"/>
    <m/>
    <m/>
  </r>
  <r>
    <x v="965"/>
    <x v="0"/>
    <s v="Native "/>
    <x v="5"/>
    <n v="27"/>
    <n v="26"/>
    <n v="1"/>
    <s v="Rejection of 1 carcass due to presence of c.bovis in the heart."/>
    <n v="10831"/>
    <n v="10831"/>
    <n v="0"/>
    <x v="1195"/>
    <n v="210"/>
    <n v="416.57692307692309"/>
    <n v="416.57692307692309"/>
    <n v="0"/>
    <n v="256.42307692307691"/>
    <n v="8.0769230769230766"/>
    <n v="25"/>
    <n v="0"/>
    <n v="49.807692307692307"/>
    <n v="10"/>
    <n v="8.5"/>
    <n v="0"/>
    <n v="0.99807692307692308"/>
    <n v="0.61554796417689961"/>
    <n v="0.93307692307692303"/>
    <m/>
    <m/>
    <m/>
    <m/>
    <m/>
    <m/>
    <n v="0"/>
    <m/>
    <m/>
  </r>
  <r>
    <x v="966"/>
    <x v="0"/>
    <s v="Native "/>
    <x v="14"/>
    <n v="45"/>
    <n v="44"/>
    <n v="1"/>
    <s v="Rejection of 1 carcass due to presence of c. bovis in the heart."/>
    <n v="19985"/>
    <n v="19985"/>
    <n v="0"/>
    <x v="1196"/>
    <n v="434"/>
    <n v="454.20454545454544"/>
    <n v="454.20454545454544"/>
    <n v="0"/>
    <n v="272.50454545454545"/>
    <n v="9.8636363636363633"/>
    <n v="25"/>
    <n v="0"/>
    <n v="48.204545454545453"/>
    <n v="10"/>
    <n v="8.5"/>
    <n v="0"/>
    <n v="0.98204545454545455"/>
    <n v="0.59995996997748313"/>
    <n v="0.9170454545454545"/>
    <m/>
    <m/>
    <m/>
    <m/>
    <m/>
    <m/>
    <n v="9"/>
    <m/>
    <m/>
  </r>
  <r>
    <x v="967"/>
    <x v="0"/>
    <s v="Native "/>
    <x v="14"/>
    <n v="33"/>
    <n v="30"/>
    <n v="3"/>
    <s v="Rejection of 3 carcasses due to presence of c bovis in their hearts"/>
    <n v="12992"/>
    <n v="12992"/>
    <n v="0"/>
    <x v="1197"/>
    <n v="277"/>
    <n v="433.06666666666666"/>
    <n v="433.06666666666666"/>
    <n v="0"/>
    <n v="259.83333333333331"/>
    <n v="9.2333333333333325"/>
    <n v="24.833333333333332"/>
    <n v="0"/>
    <n v="47.766666666666673"/>
    <n v="10"/>
    <n v="8.5"/>
    <n v="0"/>
    <n v="0.97433333333333338"/>
    <n v="0.59998460591133007"/>
    <n v="0.91100000000000003"/>
    <m/>
    <m/>
    <m/>
    <m/>
    <m/>
    <m/>
    <n v="7"/>
    <m/>
    <m/>
  </r>
  <r>
    <x v="968"/>
    <x v="1"/>
    <m/>
    <x v="21"/>
    <n v="28"/>
    <n v="28"/>
    <n v="0"/>
    <m/>
    <n v="1392"/>
    <n v="1392"/>
    <n v="0"/>
    <x v="1198"/>
    <n v="0"/>
    <n v="49.714285714285715"/>
    <n v="49.714285714285715"/>
    <n v="0"/>
    <n v="27.571428571428573"/>
    <n v="0"/>
    <n v="25"/>
    <n v="0"/>
    <n v="49.766666666666666"/>
    <n v="10"/>
    <n v="8.5"/>
    <n v="0"/>
    <n v="0.9976666666666667"/>
    <n v="0.5545977011494253"/>
    <n v="0.93266666666666664"/>
    <m/>
    <m/>
    <m/>
    <m/>
    <m/>
    <m/>
    <n v="0"/>
    <m/>
    <m/>
  </r>
  <r>
    <x v="968"/>
    <x v="0"/>
    <s v="Imported"/>
    <x v="27"/>
    <n v="48"/>
    <n v="48"/>
    <n v="0"/>
    <m/>
    <n v="25955"/>
    <n v="25955"/>
    <n v="0"/>
    <x v="1199"/>
    <n v="325"/>
    <n v="540.72916666666663"/>
    <n v="540.72916666666663"/>
    <n v="0"/>
    <n v="324.42708333333331"/>
    <n v="6.770833333333333"/>
    <n v="25"/>
    <n v="0"/>
    <n v="48.770833333333336"/>
    <n v="10"/>
    <n v="8.5"/>
    <n v="0"/>
    <n v="0.98770833333333341"/>
    <n v="0.59998073588903877"/>
    <n v="0.92270833333333346"/>
    <m/>
    <m/>
    <m/>
    <m/>
    <m/>
    <m/>
    <n v="0"/>
    <m/>
    <m/>
  </r>
  <r>
    <x v="969"/>
    <x v="0"/>
    <s v="Native "/>
    <x v="5"/>
    <n v="16"/>
    <n v="16"/>
    <n v="0"/>
    <m/>
    <n v="7476"/>
    <n v="7190"/>
    <n v="286"/>
    <x v="1200"/>
    <n v="177"/>
    <n v="467.25"/>
    <n v="449.375"/>
    <n v="17.875"/>
    <n v="293.11874999999998"/>
    <n v="11.0625"/>
    <n v="25"/>
    <n v="0"/>
    <n v="50"/>
    <n v="10"/>
    <n v="8.5"/>
    <n v="3.8255751738897809E-2"/>
    <n v="1"/>
    <n v="0.62732744783306571"/>
    <n v="0.93500000000000005"/>
    <m/>
    <m/>
    <m/>
    <m/>
    <m/>
    <m/>
    <n v="6"/>
    <m/>
    <m/>
  </r>
  <r>
    <x v="970"/>
    <x v="0"/>
    <s v="Native "/>
    <x v="5"/>
    <n v="48"/>
    <n v="47"/>
    <n v="1"/>
    <s v="Rejection of 1 carcass due to presence of c. bovis in the heart."/>
    <n v="20972"/>
    <n v="20972"/>
    <n v="0"/>
    <x v="1201"/>
    <n v="397"/>
    <n v="446.21276595744683"/>
    <n v="446.21276595744683"/>
    <n v="0"/>
    <n v="274.24042553191487"/>
    <n v="8.4468085106382986"/>
    <n v="24.893617021276597"/>
    <n v="0"/>
    <n v="49.680851063829792"/>
    <n v="10"/>
    <n v="8.5"/>
    <n v="0"/>
    <n v="0.99468085106382986"/>
    <n v="0.61459565134465"/>
    <n v="0.93074468085106388"/>
    <m/>
    <m/>
    <m/>
    <m/>
    <m/>
    <m/>
    <n v="12"/>
    <m/>
    <m/>
  </r>
  <r>
    <x v="971"/>
    <x v="0"/>
    <s v="Native "/>
    <x v="14"/>
    <n v="55"/>
    <n v="55"/>
    <n v="0"/>
    <m/>
    <n v="25464"/>
    <n v="25464"/>
    <n v="0"/>
    <x v="1202"/>
    <n v="485"/>
    <n v="462.9818181818182"/>
    <n v="462.9818181818182"/>
    <n v="0"/>
    <n v="277.77272727272725"/>
    <n v="8.8181818181818183"/>
    <n v="25"/>
    <n v="0"/>
    <n v="46.727272727272734"/>
    <n v="10"/>
    <n v="8.5"/>
    <n v="0"/>
    <n v="0.96727272727272728"/>
    <n v="0.59996465598491988"/>
    <n v="0.90227272727272734"/>
    <m/>
    <m/>
    <m/>
    <m/>
    <m/>
    <m/>
    <n v="16"/>
    <m/>
    <m/>
  </r>
  <r>
    <x v="972"/>
    <x v="0"/>
    <s v="Imported"/>
    <x v="23"/>
    <n v="51"/>
    <n v="50"/>
    <n v="1"/>
    <s v="Rejection of 1 bull due to presence of signs of illness and lameness."/>
    <n v="22413.162118780096"/>
    <n v="22413.162118780096"/>
    <n v="0"/>
    <x v="1203"/>
    <n v="0"/>
    <n v="448.26324237560192"/>
    <n v="448.26324237560192"/>
    <n v="0"/>
    <n v="279.26799999999997"/>
    <n v="0"/>
    <n v="25"/>
    <n v="0"/>
    <n v="49.58"/>
    <n v="10"/>
    <n v="8.5"/>
    <n v="0"/>
    <n v="0.99580000000000002"/>
    <n v="0.623"/>
    <n v="0.93079999999999996"/>
    <m/>
    <m/>
    <m/>
    <m/>
    <m/>
    <m/>
    <n v="0"/>
    <m/>
    <m/>
  </r>
  <r>
    <x v="973"/>
    <x v="0"/>
    <s v="Native "/>
    <x v="5"/>
    <n v="16"/>
    <n v="16"/>
    <n v="0"/>
    <m/>
    <n v="7204"/>
    <n v="6850"/>
    <n v="354"/>
    <x v="1204"/>
    <n v="158"/>
    <n v="450.25"/>
    <n v="428.125"/>
    <n v="22.125"/>
    <n v="276.81875000000002"/>
    <n v="9.875"/>
    <n v="25"/>
    <n v="0"/>
    <n v="49.6875"/>
    <n v="10"/>
    <n v="8.5"/>
    <n v="4.9139367018323152E-2"/>
    <n v="0.99687499999999996"/>
    <n v="0.6148112159911161"/>
    <n v="0.93187500000000001"/>
    <m/>
    <m/>
    <m/>
    <m/>
    <m/>
    <m/>
    <n v="4"/>
    <m/>
    <m/>
  </r>
  <r>
    <x v="974"/>
    <x v="0"/>
    <s v="Native "/>
    <x v="5"/>
    <n v="50"/>
    <n v="49"/>
    <n v="1"/>
    <s v="Rejection of 1 carcass due to presence of c.bovis in the heart."/>
    <n v="21419"/>
    <n v="21419"/>
    <n v="0"/>
    <x v="1205"/>
    <n v="396"/>
    <n v="437.12244897959181"/>
    <n v="437.12244897959181"/>
    <n v="0"/>
    <n v="266.98367346938778"/>
    <n v="8.0816326530612237"/>
    <n v="25"/>
    <n v="0"/>
    <n v="49.734693877551024"/>
    <n v="10"/>
    <n v="8.5"/>
    <n v="0"/>
    <n v="0.99734693877551028"/>
    <n v="0.61077547971427237"/>
    <n v="0.93234693877551023"/>
    <m/>
    <m/>
    <m/>
    <m/>
    <m/>
    <m/>
    <m/>
    <m/>
    <m/>
  </r>
  <r>
    <x v="975"/>
    <x v="0"/>
    <s v="Imported"/>
    <x v="23"/>
    <n v="50"/>
    <n v="49"/>
    <n v="1"/>
    <s v="Rejection of 1 carcass due to presence of sever blood splashes."/>
    <n v="23939.325842696631"/>
    <n v="23939.325842696631"/>
    <n v="0"/>
    <x v="1206"/>
    <n v="0"/>
    <n v="488.5576702591149"/>
    <n v="488.5576702591149"/>
    <n v="0"/>
    <n v="304.37142857142857"/>
    <n v="0"/>
    <n v="25"/>
    <n v="5"/>
    <n v="49.857142857142854"/>
    <n v="10"/>
    <n v="8.5"/>
    <n v="0"/>
    <n v="0.99857142857142855"/>
    <n v="0.623"/>
    <n v="0.98357142857142865"/>
    <m/>
    <m/>
    <m/>
    <m/>
    <m/>
    <m/>
    <m/>
    <m/>
    <m/>
  </r>
  <r>
    <x v="976"/>
    <x v="1"/>
    <m/>
    <x v="14"/>
    <n v="25"/>
    <n v="25"/>
    <n v="0"/>
    <m/>
    <n v="1234"/>
    <n v="1234"/>
    <n v="0"/>
    <x v="1207"/>
    <n v="0"/>
    <n v="49.36"/>
    <n v="49.36"/>
    <n v="0"/>
    <n v="27.82"/>
    <n v="0"/>
    <n v="25"/>
    <n v="0"/>
    <n v="48.52"/>
    <n v="10"/>
    <n v="8.5"/>
    <n v="0"/>
    <n v="0.98520000000000008"/>
    <n v="0.56361426256077796"/>
    <n v="0.92020000000000013"/>
    <m/>
    <m/>
    <m/>
    <m/>
    <m/>
    <m/>
    <m/>
    <m/>
    <m/>
  </r>
  <r>
    <x v="976"/>
    <x v="0"/>
    <s v="Native "/>
    <x v="14"/>
    <n v="50"/>
    <n v="46"/>
    <n v="4"/>
    <s v="Rejection of 4 bulls not conform to standards (3 of older than 3 years + 1 older than 4 years )"/>
    <n v="22100"/>
    <n v="22100"/>
    <n v="0"/>
    <x v="1208"/>
    <n v="396"/>
    <n v="480.43478260869563"/>
    <n v="480.43478260869563"/>
    <n v="0"/>
    <n v="288.24130434782609"/>
    <n v="8.6086956521739122"/>
    <n v="24.456521739130434"/>
    <n v="0"/>
    <n v="49.565217391304344"/>
    <n v="10"/>
    <n v="8.5"/>
    <n v="0"/>
    <n v="0.98478260869565215"/>
    <n v="0.59995927601809962"/>
    <n v="0.92521739130434777"/>
    <m/>
    <m/>
    <m/>
    <m/>
    <m/>
    <m/>
    <n v="16"/>
    <m/>
    <m/>
  </r>
  <r>
    <x v="977"/>
    <x v="1"/>
    <m/>
    <x v="14"/>
    <n v="1"/>
    <n v="1"/>
    <n v="0"/>
    <m/>
    <n v="50"/>
    <n v="50"/>
    <n v="0"/>
    <x v="1209"/>
    <m/>
    <n v="50"/>
    <n v="50"/>
    <n v="0"/>
    <n v="25"/>
    <n v="0"/>
    <n v="25"/>
    <n v="0"/>
    <n v="48.52"/>
    <n v="10"/>
    <n v="8.5"/>
    <n v="0"/>
    <n v="0.98520000000000008"/>
    <n v="0.5"/>
    <n v="0.92020000000000013"/>
    <m/>
    <m/>
    <m/>
    <m/>
    <m/>
    <m/>
    <m/>
    <m/>
    <m/>
  </r>
  <r>
    <x v="977"/>
    <x v="0"/>
    <s v="Native "/>
    <x v="14"/>
    <n v="34"/>
    <n v="33"/>
    <n v="1"/>
    <s v="Rejection of 1 carcass due to presece of c. bovis in the heart."/>
    <n v="13909"/>
    <n v="13909"/>
    <n v="0"/>
    <x v="1210"/>
    <n v="245"/>
    <n v="421.4848484848485"/>
    <n v="421.4848484848485"/>
    <n v="0"/>
    <n v="252.87575757575758"/>
    <n v="7.4242424242424239"/>
    <n v="25"/>
    <n v="0"/>
    <n v="49.303030303030297"/>
    <n v="10"/>
    <n v="8.5"/>
    <n v="0"/>
    <n v="0.99303030303030293"/>
    <n v="0.59996405205262782"/>
    <n v="0.92803030303030298"/>
    <m/>
    <m/>
    <m/>
    <m/>
    <m/>
    <m/>
    <n v="3"/>
    <m/>
    <m/>
  </r>
  <r>
    <x v="978"/>
    <x v="0"/>
    <s v="Imported"/>
    <x v="27"/>
    <n v="25"/>
    <n v="25"/>
    <n v="0"/>
    <m/>
    <n v="13740"/>
    <n v="13740"/>
    <n v="0"/>
    <x v="1211"/>
    <n v="174"/>
    <n v="549.6"/>
    <n v="549.6"/>
    <n v="0"/>
    <n v="329.75599999999997"/>
    <n v="6.96"/>
    <n v="25"/>
    <n v="0"/>
    <n v="47.419999999999995"/>
    <n v="10"/>
    <n v="8.5"/>
    <n v="0"/>
    <n v="0.97419999999999995"/>
    <n v="0.5999927219796215"/>
    <n v="0.9091999999999999"/>
    <m/>
    <m/>
    <m/>
    <m/>
    <m/>
    <m/>
    <m/>
    <m/>
    <m/>
  </r>
  <r>
    <x v="978"/>
    <x v="0"/>
    <s v="Imported"/>
    <x v="9"/>
    <n v="25"/>
    <n v="25"/>
    <n v="0"/>
    <m/>
    <n v="13161"/>
    <n v="13161"/>
    <n v="0"/>
    <x v="1212"/>
    <n v="115"/>
    <n v="526.44000000000005"/>
    <n v="526.44000000000005"/>
    <n v="0"/>
    <n v="315.86400000000003"/>
    <n v="4.5999999999999996"/>
    <n v="25"/>
    <n v="0"/>
    <n v="47.760000000000005"/>
    <n v="10"/>
    <n v="8.5"/>
    <n v="0"/>
    <n v="0.97760000000000002"/>
    <n v="0.6"/>
    <n v="0.91260000000000008"/>
    <m/>
    <m/>
    <m/>
    <m/>
    <m/>
    <m/>
    <n v="6"/>
    <m/>
    <m/>
  </r>
  <r>
    <x v="979"/>
    <x v="0"/>
    <s v="Imported"/>
    <x v="23"/>
    <n v="45"/>
    <n v="45"/>
    <n v="0"/>
    <m/>
    <n v="21884.430176565009"/>
    <n v="21884.430176565009"/>
    <n v="0"/>
    <x v="1213"/>
    <n v="0"/>
    <n v="486.32067059033352"/>
    <n v="486.32067059033352"/>
    <n v="0"/>
    <n v="302.97777777777776"/>
    <n v="0"/>
    <n v="25"/>
    <n v="4"/>
    <n v="49"/>
    <n v="10"/>
    <n v="8.5"/>
    <n v="0"/>
    <n v="0.99"/>
    <n v="0.623"/>
    <n v="0.96499999999999997"/>
    <m/>
    <m/>
    <m/>
    <m/>
    <m/>
    <m/>
    <m/>
    <m/>
    <m/>
  </r>
  <r>
    <x v="980"/>
    <x v="1"/>
    <m/>
    <x v="14"/>
    <n v="20"/>
    <n v="19"/>
    <n v="1"/>
    <s v="generalized pyemia"/>
    <n v="981"/>
    <n v="981"/>
    <n v="0"/>
    <x v="1214"/>
    <n v="0"/>
    <n v="51.631578947368418"/>
    <n v="51.631578947368418"/>
    <n v="0"/>
    <n v="28.010526315789477"/>
    <n v="0"/>
    <n v="25"/>
    <n v="0"/>
    <n v="45.105263157894733"/>
    <n v="10"/>
    <n v="8.5"/>
    <n v="0"/>
    <n v="0.95105263157894737"/>
    <n v="0.54250764525993889"/>
    <n v="0.88605263157894742"/>
    <m/>
    <m/>
    <m/>
    <m/>
    <m/>
    <m/>
    <m/>
    <m/>
    <m/>
  </r>
  <r>
    <x v="980"/>
    <x v="0"/>
    <s v="Native "/>
    <x v="5"/>
    <n v="58"/>
    <n v="58"/>
    <n v="0"/>
    <m/>
    <n v="24965"/>
    <n v="24965"/>
    <n v="0"/>
    <x v="1215"/>
    <n v="552"/>
    <n v="430.43103448275861"/>
    <n v="430.43103448275861"/>
    <n v="0"/>
    <n v="263.16206896551722"/>
    <n v="9.5172413793103452"/>
    <n v="25"/>
    <n v="0"/>
    <n v="49.172413793103452"/>
    <n v="10"/>
    <n v="8.5"/>
    <n v="0"/>
    <n v="0.99172413793103453"/>
    <n v="0.61139194872821945"/>
    <n v="0.92672413793103459"/>
    <m/>
    <m/>
    <m/>
    <m/>
    <m/>
    <m/>
    <n v="4"/>
    <m/>
    <m/>
  </r>
  <r>
    <x v="981"/>
    <x v="0"/>
    <s v="Imported"/>
    <x v="27"/>
    <n v="28"/>
    <n v="28"/>
    <n v="0"/>
    <m/>
    <n v="16779"/>
    <n v="16779"/>
    <n v="0"/>
    <x v="1216"/>
    <n v="204"/>
    <n v="599.25"/>
    <n v="599.25"/>
    <n v="0"/>
    <n v="359.57857142857148"/>
    <n v="7.2857142857142856"/>
    <n v="25"/>
    <n v="0"/>
    <n v="49.25"/>
    <n v="10"/>
    <n v="8.5"/>
    <n v="0"/>
    <n v="0.99249999999999994"/>
    <n v="0.60004767864592645"/>
    <n v="0.92749999999999999"/>
    <m/>
    <m/>
    <m/>
    <m/>
    <m/>
    <m/>
    <m/>
    <m/>
    <m/>
  </r>
  <r>
    <x v="982"/>
    <x v="1"/>
    <m/>
    <x v="14"/>
    <n v="18"/>
    <n v="18"/>
    <n v="0"/>
    <m/>
    <n v="858"/>
    <n v="858"/>
    <n v="0"/>
    <x v="1217"/>
    <n v="0"/>
    <n v="47.666666666666664"/>
    <n v="47.666666666666664"/>
    <n v="0"/>
    <n v="27.605555555555554"/>
    <n v="0"/>
    <n v="25"/>
    <n v="0"/>
    <n v="48.277777777777771"/>
    <n v="10"/>
    <n v="8.5"/>
    <n v="0"/>
    <n v="0.98277777777777775"/>
    <n v="0.57913752913752914"/>
    <n v="0.91777777777777769"/>
    <m/>
    <m/>
    <m/>
    <m/>
    <m/>
    <m/>
    <m/>
    <m/>
    <m/>
  </r>
  <r>
    <x v="982"/>
    <x v="0"/>
    <s v="Native "/>
    <x v="14"/>
    <n v="50"/>
    <n v="50"/>
    <n v="0"/>
    <m/>
    <n v="22500"/>
    <n v="22500"/>
    <n v="0"/>
    <x v="1218"/>
    <n v="419"/>
    <n v="450"/>
    <n v="450"/>
    <n v="0"/>
    <n v="269.98599999999999"/>
    <n v="8.3800000000000008"/>
    <n v="25"/>
    <n v="0"/>
    <n v="49.86"/>
    <n v="10"/>
    <n v="8.5"/>
    <n v="0"/>
    <n v="0.99859999999999993"/>
    <n v="0.59996888888888888"/>
    <n v="0.93359999999999999"/>
    <m/>
    <m/>
    <m/>
    <m/>
    <m/>
    <m/>
    <n v="21"/>
    <m/>
    <m/>
  </r>
  <r>
    <x v="983"/>
    <x v="0"/>
    <s v="Native "/>
    <x v="14"/>
    <n v="32"/>
    <n v="32"/>
    <n v="0"/>
    <m/>
    <n v="14800"/>
    <n v="14800"/>
    <n v="0"/>
    <x v="1219"/>
    <n v="309"/>
    <n v="462.5"/>
    <n v="462.5"/>
    <n v="0"/>
    <n v="278.61562500000002"/>
    <n v="9.65625"/>
    <n v="25"/>
    <n v="0"/>
    <n v="49.78125"/>
    <n v="10"/>
    <n v="8.5"/>
    <n v="0"/>
    <n v="0.99781249999999999"/>
    <n v="0.6024121621621622"/>
    <n v="0.93281250000000004"/>
    <m/>
    <m/>
    <m/>
    <m/>
    <m/>
    <m/>
    <n v="8"/>
    <m/>
    <m/>
  </r>
  <r>
    <x v="984"/>
    <x v="0"/>
    <s v="Native "/>
    <x v="26"/>
    <n v="41"/>
    <n v="41"/>
    <n v="0"/>
    <m/>
    <n v="18340"/>
    <n v="18340"/>
    <n v="0"/>
    <x v="1220"/>
    <n v="248.5"/>
    <n v="447.3170731707317"/>
    <n v="447.3170731707317"/>
    <n v="0"/>
    <n v="261.34390243902442"/>
    <n v="6.0609756097560972"/>
    <n v="25"/>
    <n v="0"/>
    <n v="49.731707317073173"/>
    <n v="10"/>
    <n v="8.5"/>
    <n v="0"/>
    <n v="0.9973170731707317"/>
    <n v="0.584247546346783"/>
    <n v="0.93231707317073176"/>
    <m/>
    <m/>
    <m/>
    <m/>
    <m/>
    <m/>
    <n v="7"/>
    <m/>
    <m/>
  </r>
  <r>
    <x v="985"/>
    <x v="0"/>
    <s v="Native "/>
    <x v="14"/>
    <n v="20"/>
    <n v="20"/>
    <n v="0"/>
    <m/>
    <n v="8903"/>
    <n v="8903"/>
    <n v="0"/>
    <x v="1221"/>
    <n v="154"/>
    <n v="445.15"/>
    <n v="445.15"/>
    <n v="0"/>
    <n v="267.09000000000003"/>
    <n v="7.7"/>
    <n v="25"/>
    <n v="0"/>
    <n v="48.25"/>
    <n v="10"/>
    <n v="8.5"/>
    <n v="0"/>
    <n v="0.98249999999999993"/>
    <n v="0.6"/>
    <n v="0.91749999999999998"/>
    <m/>
    <m/>
    <m/>
    <m/>
    <m/>
    <m/>
    <n v="3"/>
    <m/>
    <m/>
  </r>
  <r>
    <x v="986"/>
    <x v="1"/>
    <m/>
    <x v="14"/>
    <n v="25"/>
    <n v="25"/>
    <n v="0"/>
    <m/>
    <n v="1220"/>
    <n v="1220"/>
    <n v="0"/>
    <x v="1222"/>
    <n v="0"/>
    <n v="48.8"/>
    <n v="48.8"/>
    <n v="0"/>
    <n v="28.215999999999998"/>
    <n v="0"/>
    <n v="25"/>
    <n v="0"/>
    <n v="48.88"/>
    <n v="10"/>
    <n v="8.5"/>
    <n v="0"/>
    <n v="0.98880000000000001"/>
    <n v="0.57819672131147537"/>
    <n v="0.92379999999999995"/>
    <m/>
    <m/>
    <m/>
    <m/>
    <m/>
    <m/>
    <m/>
    <m/>
    <m/>
  </r>
  <r>
    <x v="986"/>
    <x v="0"/>
    <s v="Native "/>
    <x v="5"/>
    <n v="54"/>
    <n v="53"/>
    <n v="1"/>
    <s v="Rejection of 1 carcass due to presence of c bovis in the heart"/>
    <n v="22377"/>
    <n v="21213"/>
    <n v="1164"/>
    <x v="1223"/>
    <n v="472"/>
    <n v="422.20754716981133"/>
    <n v="400.24528301886795"/>
    <n v="21.962264150943398"/>
    <n v="257.87358490566038"/>
    <n v="8.9056603773584904"/>
    <n v="25"/>
    <n v="0"/>
    <n v="49.603773584905667"/>
    <n v="10"/>
    <n v="8.5"/>
    <n v="5.2017696742190644E-2"/>
    <n v="0.99603773584905664"/>
    <n v="0.61077445591455504"/>
    <n v="0.93103773584905669"/>
    <m/>
    <m/>
    <m/>
    <m/>
    <m/>
    <m/>
    <n v="4"/>
    <m/>
    <m/>
  </r>
  <r>
    <x v="987"/>
    <x v="0"/>
    <s v="Native "/>
    <x v="27"/>
    <n v="32"/>
    <n v="32"/>
    <n v="0"/>
    <m/>
    <n v="15894"/>
    <n v="15460"/>
    <n v="434"/>
    <x v="1224"/>
    <n v="242"/>
    <n v="496.6875"/>
    <n v="483.125"/>
    <n v="13.5625"/>
    <n v="308.08437500000002"/>
    <n v="7.5625"/>
    <n v="24.84375"/>
    <n v="0"/>
    <n v="47.59375"/>
    <n v="10"/>
    <n v="8.5"/>
    <n v="2.730590159808733E-2"/>
    <n v="0.97281250000000008"/>
    <n v="0.62027809236189757"/>
    <n v="0.90937500000000004"/>
    <m/>
    <m/>
    <m/>
    <m/>
    <m/>
    <m/>
    <n v="18"/>
    <m/>
    <m/>
  </r>
  <r>
    <x v="988"/>
    <x v="1"/>
    <m/>
    <x v="21"/>
    <n v="15"/>
    <n v="15"/>
    <n v="0"/>
    <m/>
    <n v="967"/>
    <n v="967"/>
    <n v="0"/>
    <x v="1225"/>
    <n v="0"/>
    <n v="64.466666666666669"/>
    <n v="64.466666666666669"/>
    <n v="0"/>
    <n v="26.693333333333332"/>
    <n v="0"/>
    <n v="25"/>
    <n v="0"/>
    <n v="49.533333333333331"/>
    <n v="10"/>
    <n v="8.5"/>
    <n v="0"/>
    <n v="0.99533333333333329"/>
    <n v="0.41406411582213026"/>
    <n v="0.93033333333333335"/>
    <m/>
    <m/>
    <m/>
    <m/>
    <m/>
    <m/>
    <m/>
    <m/>
    <m/>
  </r>
  <r>
    <x v="988"/>
    <x v="0"/>
    <s v="Native "/>
    <x v="5"/>
    <n v="51"/>
    <n v="49"/>
    <n v="2"/>
    <s v="Rejection of 2 carcasses due to presence of c bovis in their hearts"/>
    <n v="20937"/>
    <n v="20330"/>
    <n v="607"/>
    <x v="1226"/>
    <n v="375"/>
    <n v="427.28571428571428"/>
    <n v="414.89795918367349"/>
    <n v="12.387755102040817"/>
    <n v="256.35918367346937"/>
    <n v="7.6530612244897958"/>
    <n v="25"/>
    <n v="0"/>
    <n v="49.632653061224488"/>
    <n v="10"/>
    <n v="8.5"/>
    <n v="2.8991737116110236E-2"/>
    <n v="0.99632653061224485"/>
    <n v="0.59997134259922624"/>
    <n v="0.93132653061224491"/>
    <m/>
    <m/>
    <m/>
    <m/>
    <m/>
    <m/>
    <n v="4"/>
    <m/>
    <m/>
  </r>
  <r>
    <x v="989"/>
    <x v="0"/>
    <s v="Imported"/>
    <x v="23"/>
    <n v="50"/>
    <n v="50"/>
    <n v="0"/>
    <m/>
    <n v="23456.962025316454"/>
    <n v="23456.962025316454"/>
    <n v="0"/>
    <x v="1227"/>
    <n v="0"/>
    <n v="469.13924050632909"/>
    <n v="469.13924050632909"/>
    <n v="0"/>
    <n v="296.49599999999998"/>
    <n v="0"/>
    <n v="25"/>
    <n v="4"/>
    <n v="49.86"/>
    <n v="9.9"/>
    <n v="8.5"/>
    <n v="0"/>
    <n v="0.99859999999999993"/>
    <n v="0.63200000000000001"/>
    <n v="0.97260000000000002"/>
    <m/>
    <m/>
    <m/>
    <m/>
    <m/>
    <m/>
    <m/>
    <m/>
    <m/>
  </r>
  <r>
    <x v="990"/>
    <x v="0"/>
    <s v="Imported"/>
    <x v="23"/>
    <n v="24"/>
    <n v="24"/>
    <n v="0"/>
    <m/>
    <n v="11519.620253164556"/>
    <n v="11519.620253164556"/>
    <n v="0"/>
    <x v="1228"/>
    <n v="0"/>
    <n v="479.98417721518985"/>
    <n v="479.98417721518985"/>
    <n v="0"/>
    <n v="303.34999999999997"/>
    <n v="0"/>
    <n v="25"/>
    <n v="4"/>
    <n v="49.416666666666664"/>
    <n v="10"/>
    <n v="8.5"/>
    <n v="0"/>
    <n v="0.99416666666666664"/>
    <n v="0.63200000000000001"/>
    <n v="0.96916666666666662"/>
    <m/>
    <m/>
    <m/>
    <m/>
    <m/>
    <m/>
    <m/>
    <m/>
    <m/>
  </r>
  <r>
    <x v="991"/>
    <x v="1"/>
    <m/>
    <x v="14"/>
    <n v="22"/>
    <n v="22"/>
    <n v="0"/>
    <m/>
    <n v="948"/>
    <n v="948"/>
    <n v="0"/>
    <x v="1229"/>
    <n v="0"/>
    <n v="43.090909090909093"/>
    <n v="43.090909090909093"/>
    <n v="0"/>
    <n v="24.227272727272727"/>
    <n v="0"/>
    <n v="25"/>
    <n v="0"/>
    <n v="49.92"/>
    <n v="10"/>
    <n v="8.5"/>
    <n v="0"/>
    <n v="0.99920000000000009"/>
    <n v="0.56223628691983119"/>
    <n v="0.93420000000000003"/>
    <m/>
    <m/>
    <m/>
    <m/>
    <m/>
    <m/>
    <m/>
    <m/>
    <m/>
  </r>
  <r>
    <x v="991"/>
    <x v="0"/>
    <s v="Native "/>
    <x v="14"/>
    <n v="45"/>
    <n v="42"/>
    <n v="3"/>
    <s v="Rejection of 3 carcasses due to presence of c. bovis in the hearts of 2 carcasses and 1 carcass due to presence of generalized TB ( tb in hepatic ln + bronchial ln)"/>
    <n v="18598"/>
    <n v="17915"/>
    <n v="683"/>
    <x v="1230"/>
    <n v="334"/>
    <n v="442.8095238095238"/>
    <n v="426.54761904761904"/>
    <n v="16.261904761904763"/>
    <n v="265.70238095238096"/>
    <n v="7.9523809523809526"/>
    <n v="25"/>
    <n v="0"/>
    <n v="49.785714285714285"/>
    <n v="10"/>
    <n v="8.5"/>
    <n v="3.6724378965480163E-2"/>
    <n v="0.99785714285714278"/>
    <n v="0.60003763845574798"/>
    <n v="0.93285714285714283"/>
    <m/>
    <m/>
    <m/>
    <m/>
    <m/>
    <m/>
    <n v="7"/>
    <m/>
    <m/>
  </r>
  <r>
    <x v="992"/>
    <x v="0"/>
    <s v="Native "/>
    <x v="14"/>
    <n v="44"/>
    <n v="44"/>
    <n v="0"/>
    <m/>
    <n v="20750"/>
    <n v="20750"/>
    <n v="0"/>
    <x v="1231"/>
    <n v="424"/>
    <n v="471.59090909090907"/>
    <n v="471.59090909090907"/>
    <n v="0"/>
    <n v="282.93863636363636"/>
    <n v="9.6363636363636367"/>
    <n v="25"/>
    <n v="0"/>
    <n v="49.61363636363636"/>
    <n v="10"/>
    <n v="8.5"/>
    <n v="0"/>
    <n v="0.9961363636363636"/>
    <n v="0.59996626506024098"/>
    <n v="0.93113636363636365"/>
    <m/>
    <m/>
    <m/>
    <m/>
    <m/>
    <m/>
    <n v="11"/>
    <m/>
    <m/>
  </r>
  <r>
    <x v="992"/>
    <x v="0"/>
    <s v="Imported"/>
    <x v="27"/>
    <n v="14"/>
    <n v="14"/>
    <n v="0"/>
    <m/>
    <n v="7950"/>
    <n v="7950"/>
    <n v="0"/>
    <x v="1232"/>
    <n v="68"/>
    <n v="567.85714285714289"/>
    <n v="567.85714285714289"/>
    <n v="0"/>
    <n v="371.09999999999997"/>
    <n v="4.8571428571428568"/>
    <n v="25"/>
    <n v="0"/>
    <n v="49.357142857142861"/>
    <n v="10"/>
    <n v="8.5"/>
    <n v="0"/>
    <n v="0.99357142857142855"/>
    <n v="0.65350943396226413"/>
    <n v="0.9285714285714286"/>
    <m/>
    <m/>
    <m/>
    <m/>
    <m/>
    <m/>
    <m/>
    <m/>
    <m/>
  </r>
  <r>
    <x v="993"/>
    <x v="0"/>
    <s v="Imported"/>
    <x v="27"/>
    <n v="42"/>
    <n v="42"/>
    <n v="0"/>
    <m/>
    <n v="24024"/>
    <n v="23180"/>
    <n v="844"/>
    <x v="1233"/>
    <n v="207"/>
    <n v="572"/>
    <n v="551.90476190476193"/>
    <n v="20.095238095238095"/>
    <n v="365.21190476190475"/>
    <n v="4.9285714285714288"/>
    <n v="25"/>
    <n v="0"/>
    <n v="49.904761904761905"/>
    <n v="10"/>
    <n v="8.5"/>
    <n v="3.5131535131535128E-2"/>
    <n v="0.99904761904761907"/>
    <n v="0.63848235098235095"/>
    <n v="0.93404761904761902"/>
    <m/>
    <m/>
    <m/>
    <m/>
    <m/>
    <m/>
    <m/>
    <m/>
    <m/>
  </r>
  <r>
    <x v="994"/>
    <x v="0"/>
    <s v="Imported"/>
    <x v="23"/>
    <n v="40"/>
    <n v="40"/>
    <n v="0"/>
    <m/>
    <n v="18843.67088607595"/>
    <n v="18843.67088607595"/>
    <n v="0"/>
    <x v="1234"/>
    <n v="0"/>
    <n v="471.09177215189874"/>
    <n v="471.09177215189874"/>
    <n v="0"/>
    <n v="297.73"/>
    <n v="0"/>
    <n v="25"/>
    <n v="4"/>
    <n v="49.525000000000006"/>
    <n v="10"/>
    <n v="8.5"/>
    <n v="0"/>
    <n v="0.99525000000000008"/>
    <n v="0.63200000000000001"/>
    <n v="0.97025000000000006"/>
    <m/>
    <m/>
    <m/>
    <m/>
    <m/>
    <m/>
    <m/>
    <m/>
    <m/>
  </r>
  <r>
    <x v="995"/>
    <x v="1"/>
    <m/>
    <x v="14"/>
    <n v="25"/>
    <n v="25"/>
    <n v="0"/>
    <m/>
    <n v="1193"/>
    <n v="1168"/>
    <n v="25"/>
    <x v="1235"/>
    <n v="0"/>
    <n v="47.72"/>
    <n v="46.72"/>
    <n v="1"/>
    <n v="27.888000000000002"/>
    <n v="0"/>
    <n v="25"/>
    <n v="0"/>
    <n v="49.72"/>
    <n v="10"/>
    <n v="8.5"/>
    <n v="2.0955574182732608E-2"/>
    <n v="0.99719999999999998"/>
    <n v="0.584409052808047"/>
    <n v="0.93220000000000003"/>
    <m/>
    <m/>
    <m/>
    <m/>
    <m/>
    <m/>
    <m/>
    <m/>
    <m/>
  </r>
  <r>
    <x v="995"/>
    <x v="0"/>
    <s v="Imported"/>
    <x v="27"/>
    <n v="21"/>
    <n v="21"/>
    <n v="0"/>
    <m/>
    <n v="11719"/>
    <n v="11345"/>
    <n v="374"/>
    <x v="1236"/>
    <n v="91"/>
    <n v="558.04761904761904"/>
    <n v="540.23809523809518"/>
    <n v="17.80952380952381"/>
    <n v="357.21428571428572"/>
    <n v="4.333333333333333"/>
    <n v="25"/>
    <n v="0"/>
    <n v="49.333333333333336"/>
    <n v="10"/>
    <n v="8.5"/>
    <n v="3.1913985834968857E-2"/>
    <n v="0.9933333333333334"/>
    <n v="0.64011434422732316"/>
    <n v="0.92833333333333345"/>
    <m/>
    <m/>
    <m/>
    <m/>
    <m/>
    <m/>
    <m/>
    <m/>
    <m/>
  </r>
  <r>
    <x v="996"/>
    <x v="0"/>
    <s v="Native "/>
    <x v="24"/>
    <n v="16"/>
    <n v="16"/>
    <n v="0"/>
    <m/>
    <n v="6359"/>
    <n v="6018"/>
    <n v="341"/>
    <x v="1237"/>
    <n v="74"/>
    <n v="397.4375"/>
    <n v="376.125"/>
    <n v="21.3125"/>
    <n v="238.46250000000001"/>
    <n v="4.625"/>
    <n v="23"/>
    <n v="0"/>
    <n v="49.25"/>
    <n v="10"/>
    <n v="8.5"/>
    <n v="5.3624783771033184E-2"/>
    <n v="0.95250000000000001"/>
    <n v="0.6"/>
    <n v="0.90749999999999997"/>
    <m/>
    <m/>
    <m/>
    <m/>
    <m/>
    <m/>
    <n v="3"/>
    <m/>
    <m/>
  </r>
  <r>
    <x v="996"/>
    <x v="0"/>
    <s v="Native "/>
    <x v="14"/>
    <n v="30"/>
    <n v="30"/>
    <n v="0"/>
    <m/>
    <n v="14632"/>
    <n v="14632"/>
    <n v="0"/>
    <x v="1238"/>
    <n v="309"/>
    <n v="487.73333333333335"/>
    <n v="487.73333333333335"/>
    <n v="0"/>
    <n v="307.46333333333331"/>
    <n v="10.3"/>
    <n v="25"/>
    <n v="0"/>
    <n v="49.1"/>
    <n v="10"/>
    <n v="8.5"/>
    <n v="0"/>
    <n v="0.99099999999999999"/>
    <n v="0.63039229086932747"/>
    <n v="0.92599999999999993"/>
    <m/>
    <m/>
    <m/>
    <m/>
    <m/>
    <m/>
    <n v="6"/>
    <m/>
    <m/>
  </r>
  <r>
    <x v="997"/>
    <x v="0"/>
    <s v="Imported"/>
    <x v="23"/>
    <n v="35"/>
    <n v="35"/>
    <n v="0"/>
    <m/>
    <n v="16611.392405063289"/>
    <n v="16611.392405063289"/>
    <n v="0"/>
    <x v="1239"/>
    <n v="0"/>
    <n v="474.6112115732368"/>
    <n v="474.6112115732368"/>
    <n v="0"/>
    <n v="299.95428571428573"/>
    <n v="0"/>
    <n v="25"/>
    <n v="4"/>
    <n v="49.457142857142856"/>
    <n v="10"/>
    <n v="8.5"/>
    <n v="0"/>
    <n v="0.99457142857142855"/>
    <n v="0.63200000000000012"/>
    <n v="0.96957142857142853"/>
    <m/>
    <m/>
    <m/>
    <m/>
    <m/>
    <m/>
    <m/>
    <m/>
    <m/>
  </r>
  <r>
    <x v="998"/>
    <x v="1"/>
    <m/>
    <x v="14"/>
    <n v="22"/>
    <n v="22"/>
    <n v="0"/>
    <m/>
    <n v="1080"/>
    <n v="1045"/>
    <n v="35"/>
    <x v="1240"/>
    <n v="0"/>
    <n v="49.090909090909093"/>
    <n v="47.5"/>
    <n v="1.5909090909090908"/>
    <n v="28.113636363636363"/>
    <n v="0"/>
    <n v="25"/>
    <n v="0"/>
    <n v="44.68181818181818"/>
    <n v="10"/>
    <n v="8.5"/>
    <n v="3.2407407407407406E-2"/>
    <n v="0.94681818181818178"/>
    <n v="0.57268518518518519"/>
    <n v="0.88181818181818183"/>
    <m/>
    <m/>
    <m/>
    <m/>
    <m/>
    <m/>
    <m/>
    <m/>
    <m/>
  </r>
  <r>
    <x v="998"/>
    <x v="0"/>
    <s v="Native "/>
    <x v="5"/>
    <n v="27"/>
    <n v="27"/>
    <n v="0"/>
    <m/>
    <n v="11467"/>
    <n v="11050"/>
    <n v="417"/>
    <x v="1241"/>
    <n v="258"/>
    <n v="424.7037037037037"/>
    <n v="409.25925925925924"/>
    <n v="15.444444444444445"/>
    <n v="259.12962962962962"/>
    <n v="9.5555555555555554"/>
    <n v="25"/>
    <n v="0"/>
    <n v="49.555555555555564"/>
    <n v="10"/>
    <n v="8.5"/>
    <n v="3.6365221941222638E-2"/>
    <n v="0.99555555555555564"/>
    <n v="0.61014214703060954"/>
    <n v="0.93055555555555569"/>
    <m/>
    <m/>
    <m/>
    <m/>
    <m/>
    <m/>
    <n v="5"/>
    <m/>
    <m/>
  </r>
  <r>
    <x v="999"/>
    <x v="0"/>
    <s v="Native "/>
    <x v="14"/>
    <n v="60"/>
    <n v="59"/>
    <n v="1"/>
    <s v="Rejection of 1 carcass due to presence of c bovis in masseter muscle of the head. "/>
    <n v="28880"/>
    <n v="27465"/>
    <n v="1415"/>
    <x v="1242"/>
    <n v="524"/>
    <n v="489.49152542372883"/>
    <n v="465.50847457627117"/>
    <n v="23.983050847457626"/>
    <n v="294.54067796610173"/>
    <n v="8.8813559322033893"/>
    <n v="24.915254237288135"/>
    <n v="0"/>
    <n v="49.432203389830505"/>
    <n v="10"/>
    <n v="8.5"/>
    <n v="4.8995844875346257E-2"/>
    <n v="0.99262711864406772"/>
    <n v="0.60172783933518015"/>
    <n v="0.92847457627118646"/>
    <m/>
    <m/>
    <m/>
    <m/>
    <m/>
    <m/>
    <n v="24"/>
    <m/>
    <m/>
  </r>
  <r>
    <x v="1000"/>
    <x v="0"/>
    <s v="Native "/>
    <x v="14"/>
    <n v="36"/>
    <n v="35"/>
    <n v="1"/>
    <s v="Rejection of 1 carcass due to presence of c. bovis in muscle of diaphragm"/>
    <n v="15213"/>
    <n v="14618"/>
    <n v="595"/>
    <x v="1243"/>
    <n v="281"/>
    <n v="434.65714285714284"/>
    <n v="417.65714285714284"/>
    <n v="17"/>
    <n v="262.09714285714284"/>
    <n v="8.0285714285714285"/>
    <n v="24.857142857142858"/>
    <n v="0"/>
    <n v="48.714285714285715"/>
    <n v="10"/>
    <n v="8.5"/>
    <n v="3.9111286399789655E-2"/>
    <n v="0.98428571428571432"/>
    <n v="0.60299743640307635"/>
    <n v="0.92071428571428571"/>
    <m/>
    <m/>
    <m/>
    <m/>
    <m/>
    <m/>
    <n v="7"/>
    <m/>
    <m/>
  </r>
  <r>
    <x v="1001"/>
    <x v="0"/>
    <s v="Native "/>
    <x v="14"/>
    <n v="64"/>
    <n v="64"/>
    <n v="0"/>
    <m/>
    <n v="29040"/>
    <n v="29040"/>
    <n v="0"/>
    <x v="1244"/>
    <n v="543"/>
    <n v="453.75"/>
    <n v="453.75"/>
    <n v="0"/>
    <n v="272.56093750000002"/>
    <n v="8.484375"/>
    <n v="25"/>
    <n v="0"/>
    <n v="48.5390625"/>
    <n v="10"/>
    <n v="8.5"/>
    <n v="0"/>
    <n v="0.98539062499999996"/>
    <n v="0.60068526170798908"/>
    <n v="0.92039062500000002"/>
    <m/>
    <m/>
    <m/>
    <m/>
    <m/>
    <m/>
    <n v="13"/>
    <m/>
    <m/>
  </r>
  <r>
    <x v="1002"/>
    <x v="0"/>
    <s v="Imported"/>
    <x v="23"/>
    <n v="32"/>
    <n v="32"/>
    <n v="0"/>
    <m/>
    <n v="14872.151898734179"/>
    <n v="14872.151898734179"/>
    <n v="0"/>
    <x v="1245"/>
    <n v="0"/>
    <n v="464.75474683544309"/>
    <n v="464.75474683544309"/>
    <n v="0"/>
    <n v="293.72500000000002"/>
    <n v="0"/>
    <n v="25"/>
    <n v="4"/>
    <n v="49.125"/>
    <n v="9.6875"/>
    <n v="8.5"/>
    <n v="0"/>
    <n v="0.99124999999999996"/>
    <n v="0.63200000000000001"/>
    <n v="0.96312500000000001"/>
    <m/>
    <m/>
    <m/>
    <m/>
    <m/>
    <m/>
    <m/>
    <m/>
    <m/>
  </r>
  <r>
    <x v="1003"/>
    <x v="0"/>
    <s v="Native "/>
    <x v="27"/>
    <n v="19"/>
    <n v="19"/>
    <n v="0"/>
    <m/>
    <n v="12206"/>
    <n v="11655"/>
    <n v="551"/>
    <x v="1246"/>
    <n v="187"/>
    <n v="642.42105263157896"/>
    <n v="613.42105263157896"/>
    <n v="29"/>
    <n v="397.37368421052633"/>
    <n v="9.8421052631578956"/>
    <n v="25"/>
    <n v="0"/>
    <n v="49.210526315789473"/>
    <n v="10"/>
    <n v="8.5"/>
    <n v="4.5141733573652303E-2"/>
    <n v="0.99210526315789471"/>
    <n v="0.61855644764869744"/>
    <n v="0.92710526315789477"/>
    <m/>
    <m/>
    <m/>
    <m/>
    <m/>
    <m/>
    <n v="3"/>
    <m/>
    <m/>
  </r>
  <r>
    <x v="1004"/>
    <x v="1"/>
    <m/>
    <x v="14"/>
    <n v="23"/>
    <n v="23"/>
    <n v="0"/>
    <m/>
    <n v="993"/>
    <n v="946"/>
    <n v="47"/>
    <x v="1247"/>
    <n v="0"/>
    <n v="43.173913043478258"/>
    <n v="41.130434782608695"/>
    <n v="2.0434782608695654"/>
    <n v="24.382608695652173"/>
    <n v="0"/>
    <n v="25"/>
    <n v="0"/>
    <n v="48.608695652173914"/>
    <n v="10"/>
    <n v="8.5"/>
    <n v="4.7331319234642504E-2"/>
    <n v="0.98608695652173917"/>
    <n v="0.56475327291037258"/>
    <n v="0.92108695652173911"/>
    <m/>
    <m/>
    <m/>
    <m/>
    <m/>
    <m/>
    <m/>
    <m/>
    <m/>
  </r>
  <r>
    <x v="1004"/>
    <x v="0"/>
    <s v="Native "/>
    <x v="5"/>
    <n v="72"/>
    <n v="70"/>
    <n v="2"/>
    <s v="Rejection of 2 carcasses due to presence of c. bovis in their hearts."/>
    <n v="30335"/>
    <n v="28745"/>
    <n v="1590"/>
    <x v="1248"/>
    <n v="543"/>
    <n v="433.35714285714283"/>
    <n v="410.64285714285717"/>
    <n v="22.714285714285715"/>
    <n v="264.19"/>
    <n v="7.7571428571428571"/>
    <n v="25"/>
    <n v="0"/>
    <n v="49.528571428571432"/>
    <n v="9.9285714285714288"/>
    <n v="8.5"/>
    <n v="5.241470248887424E-2"/>
    <n v="0.99528571428571433"/>
    <n v="0.60963573430031315"/>
    <n v="0.92957142857142872"/>
    <m/>
    <m/>
    <m/>
    <m/>
    <m/>
    <m/>
    <n v="6"/>
    <m/>
    <m/>
  </r>
  <r>
    <x v="1005"/>
    <x v="0"/>
    <s v="Imported"/>
    <x v="27"/>
    <n v="34"/>
    <n v="34"/>
    <n v="0"/>
    <m/>
    <n v="22174"/>
    <n v="21075"/>
    <n v="1099"/>
    <x v="1249"/>
    <n v="282"/>
    <n v="652.17647058823525"/>
    <n v="619.85294117647061"/>
    <n v="32.323529411764703"/>
    <n v="393.96470588235292"/>
    <n v="8.2941176470588243"/>
    <n v="25"/>
    <n v="0"/>
    <n v="49.382352941176464"/>
    <n v="10"/>
    <n v="8.5"/>
    <n v="4.9562550735095155E-2"/>
    <n v="0.99382352941176466"/>
    <n v="0.60407684675746365"/>
    <n v="0.9288235294117646"/>
    <m/>
    <m/>
    <m/>
    <m/>
    <m/>
    <m/>
    <m/>
    <m/>
    <m/>
  </r>
  <r>
    <x v="1006"/>
    <x v="0"/>
    <s v="Native "/>
    <x v="14"/>
    <n v="62"/>
    <n v="61"/>
    <n v="1"/>
    <s v="Rejection of 1 carcass due to presence of c. bovis in the heart."/>
    <n v="26808"/>
    <n v="25520"/>
    <n v="1288"/>
    <x v="1250"/>
    <n v="506"/>
    <n v="439.47540983606558"/>
    <n v="418.36065573770492"/>
    <n v="21.114754098360656"/>
    <n v="263.66721311475413"/>
    <n v="8.2950819672131146"/>
    <n v="25"/>
    <n v="0"/>
    <n v="49.57377049180328"/>
    <n v="10"/>
    <n v="8.5"/>
    <n v="4.8045359594151002E-2"/>
    <n v="0.99573770491803282"/>
    <n v="0.5999589674723963"/>
    <n v="0.93073770491803287"/>
    <m/>
    <m/>
    <m/>
    <m/>
    <m/>
    <m/>
    <n v="14"/>
    <m/>
    <m/>
  </r>
  <r>
    <x v="1007"/>
    <x v="0"/>
    <s v="Imported"/>
    <x v="23"/>
    <n v="40"/>
    <n v="40"/>
    <n v="0"/>
    <m/>
    <n v="18638"/>
    <n v="18638"/>
    <n v="0"/>
    <x v="1251"/>
    <n v="0"/>
    <n v="465.95"/>
    <n v="465.95"/>
    <n v="0"/>
    <n v="294.495"/>
    <n v="0"/>
    <n v="25"/>
    <n v="4"/>
    <n v="50"/>
    <n v="9.875"/>
    <n v="8.5"/>
    <n v="0"/>
    <n v="1"/>
    <n v="0.63203133383410237"/>
    <n v="0.97375"/>
    <m/>
    <m/>
    <m/>
    <m/>
    <m/>
    <m/>
    <m/>
    <m/>
    <m/>
  </r>
  <r>
    <x v="1008"/>
    <x v="1"/>
    <m/>
    <x v="21"/>
    <n v="25"/>
    <n v="25"/>
    <n v="0"/>
    <m/>
    <n v="1169"/>
    <n v="1125"/>
    <n v="44"/>
    <x v="1252"/>
    <n v="0"/>
    <n v="46.76"/>
    <n v="45"/>
    <n v="1.76"/>
    <n v="27.164000000000001"/>
    <n v="0"/>
    <n v="25"/>
    <n v="0"/>
    <n v="49.239999999999995"/>
    <n v="10"/>
    <n v="8.5"/>
    <n v="3.7639007698887943E-2"/>
    <n v="0.99239999999999995"/>
    <n v="0.58092386655260908"/>
    <n v="0.9274"/>
    <m/>
    <m/>
    <m/>
    <m/>
    <m/>
    <m/>
    <m/>
    <m/>
    <m/>
  </r>
  <r>
    <x v="1008"/>
    <x v="0"/>
    <s v="Native "/>
    <x v="5"/>
    <n v="66"/>
    <n v="64"/>
    <n v="2"/>
    <s v="Rejection of 2 carcasses due to presence of c bovis in their hearts"/>
    <n v="27103"/>
    <n v="26430"/>
    <n v="673"/>
    <x v="1253"/>
    <n v="483"/>
    <n v="423.484375"/>
    <n v="412.96875"/>
    <n v="10.515625"/>
    <n v="256.02812499999999"/>
    <n v="7.546875"/>
    <n v="25"/>
    <n v="0"/>
    <n v="49.1875"/>
    <n v="10"/>
    <n v="8.5"/>
    <n v="2.483119949821053E-2"/>
    <n v="0.99187500000000006"/>
    <n v="0.60457513928347417"/>
    <n v="0.926875"/>
    <m/>
    <m/>
    <m/>
    <m/>
    <m/>
    <m/>
    <n v="5"/>
    <m/>
    <m/>
  </r>
  <r>
    <x v="1009"/>
    <x v="0"/>
    <s v="Native "/>
    <x v="27"/>
    <n v="32"/>
    <n v="32"/>
    <n v="0"/>
    <m/>
    <n v="15826"/>
    <n v="15826"/>
    <n v="0"/>
    <x v="1254"/>
    <n v="219"/>
    <n v="494.5625"/>
    <n v="494.5625"/>
    <n v="0"/>
    <n v="303.28437500000001"/>
    <n v="6.84375"/>
    <n v="24.84375"/>
    <n v="0"/>
    <n v="47.40625"/>
    <n v="10"/>
    <n v="8.5"/>
    <n v="0"/>
    <n v="0.97093750000000001"/>
    <n v="0.61323771009730821"/>
    <n v="0.90749999999999997"/>
    <m/>
    <m/>
    <m/>
    <m/>
    <m/>
    <m/>
    <n v="25"/>
    <m/>
    <m/>
  </r>
  <r>
    <x v="1010"/>
    <x v="0"/>
    <s v="Native "/>
    <x v="14"/>
    <n v="62"/>
    <n v="60"/>
    <n v="2"/>
    <s v="1 bull older than 3 years + 1 carcass c. bovis heart "/>
    <n v="24398"/>
    <n v="23170"/>
    <n v="1228"/>
    <x v="1255"/>
    <n v="432"/>
    <n v="406.63333333333333"/>
    <n v="386.16666666666669"/>
    <n v="20.466666666666665"/>
    <n v="243.96333333333331"/>
    <n v="7.2"/>
    <n v="24.916666666666664"/>
    <n v="0"/>
    <n v="48.833333333333336"/>
    <n v="10"/>
    <n v="8.5"/>
    <n v="5.0331994425772603E-2"/>
    <n v="0.98666666666666658"/>
    <n v="0.59995901303385524"/>
    <n v="0.92249999999999999"/>
    <m/>
    <m/>
    <m/>
    <m/>
    <m/>
    <m/>
    <n v="15"/>
    <m/>
    <m/>
  </r>
  <r>
    <x v="1011"/>
    <x v="0"/>
    <s v="Imported"/>
    <x v="23"/>
    <n v="47"/>
    <n v="47"/>
    <n v="0"/>
    <m/>
    <n v="22454"/>
    <n v="22454"/>
    <n v="0"/>
    <x v="1256"/>
    <n v="0"/>
    <n v="477.74468085106383"/>
    <n v="477.74468085106383"/>
    <n v="0"/>
    <n v="297.64255319148936"/>
    <n v="0"/>
    <n v="25"/>
    <n v="4"/>
    <n v="50"/>
    <n v="9.787234042553191"/>
    <n v="8.5"/>
    <n v="0"/>
    <n v="1"/>
    <n v="0.62301594370713465"/>
    <n v="0.97287234042553195"/>
    <m/>
    <m/>
    <m/>
    <m/>
    <m/>
    <m/>
    <m/>
    <m/>
    <m/>
  </r>
  <r>
    <x v="1012"/>
    <x v="0"/>
    <s v="Imported"/>
    <x v="23"/>
    <n v="59"/>
    <n v="58"/>
    <n v="1"/>
    <s v="Rejection of 1 carcass due to presence of sever blood splashes."/>
    <n v="27110"/>
    <n v="27110"/>
    <n v="0"/>
    <x v="1257"/>
    <n v="0"/>
    <n v="467.41379310344826"/>
    <n v="467.41379310344826"/>
    <n v="0"/>
    <n v="291.20344827586206"/>
    <n v="0"/>
    <n v="25"/>
    <n v="4"/>
    <n v="50"/>
    <n v="9.6551724137931032"/>
    <n v="8.5"/>
    <n v="0"/>
    <n v="1"/>
    <n v="0.62300995942456661"/>
    <n v="0.97155172413793112"/>
    <m/>
    <m/>
    <m/>
    <m/>
    <m/>
    <m/>
    <m/>
    <m/>
    <m/>
  </r>
  <r>
    <x v="1013"/>
    <x v="0"/>
    <s v="Native "/>
    <x v="27"/>
    <n v="24"/>
    <n v="24"/>
    <n v="0"/>
    <m/>
    <n v="12301"/>
    <n v="11945"/>
    <n v="356"/>
    <x v="1258"/>
    <n v="145"/>
    <n v="512.54166666666663"/>
    <n v="497.70833333333331"/>
    <n v="14.833333333333334"/>
    <n v="317.84583333333336"/>
    <n v="6.041666666666667"/>
    <n v="24.583333333333332"/>
    <n v="0"/>
    <n v="48.375"/>
    <n v="10"/>
    <n v="8.5"/>
    <n v="2.8940736525485736E-2"/>
    <n v="0.9754166666666666"/>
    <n v="0.6201365742622551"/>
    <n v="0.9145833333333333"/>
    <m/>
    <m/>
    <m/>
    <m/>
    <m/>
    <m/>
    <n v="22"/>
    <m/>
    <m/>
  </r>
  <r>
    <x v="1014"/>
    <x v="1"/>
    <m/>
    <x v="14"/>
    <n v="19"/>
    <n v="18"/>
    <n v="1"/>
    <s v="Rejection of 1 carcass due to presence of generalized pyemia (intestine, lung and liver)"/>
    <n v="842"/>
    <n v="830"/>
    <n v="12"/>
    <x v="1259"/>
    <n v="0"/>
    <n v="46.777777777777779"/>
    <n v="46.111111111111114"/>
    <n v="0.66666666666666663"/>
    <n v="26.316666666666666"/>
    <n v="0"/>
    <n v="25"/>
    <n v="0"/>
    <n v="49.588235294117645"/>
    <n v="10"/>
    <n v="8.5"/>
    <n v="1.4251781472684084E-2"/>
    <n v="0.99588235294117644"/>
    <n v="0.5625890736342043"/>
    <n v="0.93088235294117649"/>
    <m/>
    <m/>
    <m/>
    <m/>
    <m/>
    <m/>
    <m/>
    <m/>
    <m/>
  </r>
  <r>
    <x v="1014"/>
    <x v="0"/>
    <s v="Native "/>
    <x v="14"/>
    <n v="62"/>
    <n v="61"/>
    <n v="1"/>
    <s v="Rejection of 1 bull of age older than 3 years."/>
    <n v="29228"/>
    <n v="28145"/>
    <n v="1083"/>
    <x v="1260"/>
    <n v="611"/>
    <n v="479.14754098360658"/>
    <n v="461.39344262295083"/>
    <n v="17.754098360655739"/>
    <n v="289.07540983606555"/>
    <n v="10.016393442622951"/>
    <n v="24.918032786885245"/>
    <n v="0"/>
    <n v="49.327868852459019"/>
    <n v="10"/>
    <n v="8.5"/>
    <n v="3.7053510332557819E-2"/>
    <n v="0.99163934426229505"/>
    <n v="0.60331189270562469"/>
    <n v="0.92745901639344264"/>
    <m/>
    <m/>
    <m/>
    <m/>
    <m/>
    <m/>
    <n v="24"/>
    <m/>
    <m/>
  </r>
  <r>
    <x v="1015"/>
    <x v="0"/>
    <s v="Imported"/>
    <x v="23"/>
    <n v="44"/>
    <n v="43"/>
    <n v="1"/>
    <s v="Rejection of 1 bull due to presence of signs of illness."/>
    <n v="21115"/>
    <n v="21115"/>
    <n v="0"/>
    <x v="1261"/>
    <n v="0"/>
    <n v="491.04651162790697"/>
    <n v="491.04651162790697"/>
    <n v="0"/>
    <n v="305.92093023255813"/>
    <n v="0"/>
    <n v="25"/>
    <n v="4"/>
    <n v="50"/>
    <n v="9.7674418604651159"/>
    <n v="8.5"/>
    <n v="0"/>
    <n v="1"/>
    <n v="0.62299786881363961"/>
    <n v="0.97267441860465109"/>
    <m/>
    <m/>
    <m/>
    <m/>
    <m/>
    <m/>
    <m/>
    <m/>
    <m/>
  </r>
  <r>
    <x v="1016"/>
    <x v="0"/>
    <s v="Imported"/>
    <x v="23"/>
    <n v="39"/>
    <n v="38"/>
    <n v="1"/>
    <s v="Rejection of the same bull that was rejected last time dated 23 October due to the presence of signs of illness."/>
    <n v="18644"/>
    <n v="18644"/>
    <n v="0"/>
    <x v="1262"/>
    <n v="0"/>
    <n v="490.63157894736844"/>
    <n v="490.63157894736844"/>
    <n v="0"/>
    <n v="305.67368421052635"/>
    <n v="0"/>
    <n v="25"/>
    <n v="4"/>
    <n v="50"/>
    <n v="10"/>
    <n v="8.5"/>
    <n v="0"/>
    <n v="1"/>
    <n v="0.62302081098476725"/>
    <n v="0.97499999999999998"/>
    <m/>
    <m/>
    <m/>
    <m/>
    <m/>
    <m/>
    <m/>
    <m/>
    <m/>
  </r>
  <r>
    <x v="1017"/>
    <x v="0"/>
    <s v="Native "/>
    <x v="9"/>
    <n v="29"/>
    <n v="25"/>
    <n v="4"/>
    <s v="2 c. bovis in the heart + 1 c. bovis in diaphragm + generalized esinophilic myositis"/>
    <n v="13444"/>
    <n v="12894"/>
    <n v="550"/>
    <x v="1263"/>
    <n v="282"/>
    <n v="537.76"/>
    <n v="515.76"/>
    <n v="22"/>
    <n v="322.64400000000001"/>
    <n v="11.28"/>
    <n v="24.4"/>
    <n v="0"/>
    <n v="49.16"/>
    <n v="10"/>
    <n v="8.5"/>
    <n v="4.0910443320440346E-2"/>
    <n v="0.97960000000000003"/>
    <n v="0.59997768521273431"/>
    <n v="0.92059999999999997"/>
    <m/>
    <m/>
    <m/>
    <m/>
    <m/>
    <m/>
    <n v="23"/>
    <m/>
    <m/>
  </r>
  <r>
    <x v="1018"/>
    <x v="0"/>
    <s v="Native "/>
    <x v="14"/>
    <n v="36"/>
    <n v="35"/>
    <n v="1"/>
    <s v="Rejection of 1 carcass due to presence of c bovis in the heart."/>
    <n v="15904"/>
    <n v="15335"/>
    <n v="569"/>
    <x v="1264"/>
    <n v="339"/>
    <n v="454.4"/>
    <n v="438.14285714285717"/>
    <n v="16.257142857142856"/>
    <n v="274.76"/>
    <n v="9.6857142857142851"/>
    <n v="25"/>
    <n v="0"/>
    <n v="49.657142857142851"/>
    <n v="10"/>
    <n v="8.5"/>
    <n v="3.5777162977867205E-2"/>
    <n v="0.99657142857142844"/>
    <n v="0.60466549295774652"/>
    <n v="0.93157142857142849"/>
    <m/>
    <m/>
    <m/>
    <m/>
    <m/>
    <m/>
    <n v="9"/>
    <m/>
    <m/>
  </r>
  <r>
    <x v="1019"/>
    <x v="0"/>
    <s v="Imported"/>
    <x v="27"/>
    <n v="67"/>
    <n v="67"/>
    <n v="0"/>
    <m/>
    <n v="36323"/>
    <n v="34935"/>
    <n v="1388"/>
    <x v="1265"/>
    <n v="567"/>
    <n v="542.1343283582089"/>
    <n v="521.41791044776119"/>
    <n v="20.71641791044776"/>
    <n v="335.0492537313433"/>
    <n v="8.4626865671641784"/>
    <n v="24.850746268656717"/>
    <n v="0"/>
    <n v="46.35820895522388"/>
    <n v="10"/>
    <n v="8.5"/>
    <n v="3.8212702695261953E-2"/>
    <n v="0.96059701492537308"/>
    <n v="0.6180188861052226"/>
    <n v="0.89708955223880593"/>
    <m/>
    <m/>
    <m/>
    <m/>
    <m/>
    <m/>
    <n v="59"/>
    <m/>
    <m/>
  </r>
  <r>
    <x v="1020"/>
    <x v="0"/>
    <s v="Imported"/>
    <x v="23"/>
    <n v="47"/>
    <n v="46"/>
    <n v="1"/>
    <s v="Rejection of 1 bull due to the presence of signs of illness."/>
    <n v="22093"/>
    <n v="22093"/>
    <n v="0"/>
    <x v="1266"/>
    <n v="0"/>
    <n v="480.28260869565219"/>
    <n v="480.28260869565219"/>
    <n v="0"/>
    <n v="299.21739130434781"/>
    <n v="0"/>
    <n v="25"/>
    <n v="4"/>
    <n v="50"/>
    <n v="9.6739130434782616"/>
    <n v="8.5"/>
    <n v="0"/>
    <n v="1"/>
    <n v="0.62300276105553798"/>
    <n v="0.97173913043478266"/>
    <m/>
    <m/>
    <m/>
    <m/>
    <m/>
    <m/>
    <m/>
    <m/>
    <m/>
  </r>
  <r>
    <x v="1021"/>
    <x v="1"/>
    <s v="Native "/>
    <x v="14"/>
    <n v="30"/>
    <n v="30"/>
    <n v="0"/>
    <m/>
    <n v="1504"/>
    <n v="1440"/>
    <n v="64"/>
    <x v="1267"/>
    <n v="0"/>
    <n v="50.133333333333333"/>
    <n v="48"/>
    <n v="2.1333333333333333"/>
    <n v="28.240000000000002"/>
    <n v="0"/>
    <n v="25"/>
    <n v="0"/>
    <n v="49.266666666666673"/>
    <n v="10"/>
    <n v="8.5"/>
    <n v="4.2553191489361701E-2"/>
    <n v="0.99266666666666681"/>
    <n v="0.56329787234042561"/>
    <n v="0.92766666666666675"/>
    <m/>
    <m/>
    <m/>
    <m/>
    <m/>
    <m/>
    <m/>
    <m/>
    <m/>
  </r>
  <r>
    <x v="1021"/>
    <x v="0"/>
    <s v="Native "/>
    <x v="9"/>
    <n v="14"/>
    <n v="14"/>
    <n v="0"/>
    <m/>
    <n v="6789"/>
    <n v="6489"/>
    <n v="300"/>
    <x v="1268"/>
    <n v="147"/>
    <n v="484.92857142857144"/>
    <n v="463.5"/>
    <n v="21.428571428571427"/>
    <n v="290.95"/>
    <n v="10.5"/>
    <n v="25"/>
    <n v="0"/>
    <n v="46.642857142857146"/>
    <n v="10"/>
    <n v="8.5"/>
    <n v="4.4189129474149352E-2"/>
    <n v="0.96642857142857141"/>
    <n v="0.59998527029017534"/>
    <n v="0.90142857142857136"/>
    <m/>
    <m/>
    <m/>
    <m/>
    <m/>
    <m/>
    <n v="10"/>
    <m/>
    <m/>
  </r>
  <r>
    <x v="1021"/>
    <x v="0"/>
    <s v="Native "/>
    <x v="14"/>
    <n v="45"/>
    <n v="44"/>
    <n v="1"/>
    <s v="Rejection of 1 carcass due to presence of c bovis in a heart. "/>
    <n v="19900"/>
    <n v="19900"/>
    <n v="0"/>
    <x v="1269"/>
    <n v="372"/>
    <n v="452.27272727272725"/>
    <n v="452.27272727272725"/>
    <n v="0"/>
    <n v="272.07272727272726"/>
    <n v="8.454545454545455"/>
    <n v="24.43181818181818"/>
    <n v="0"/>
    <n v="48.886363636363633"/>
    <n v="10"/>
    <n v="8.5"/>
    <n v="0"/>
    <n v="0.97749999999999992"/>
    <n v="0.60156783919597989"/>
    <n v="0.9181818181818181"/>
    <m/>
    <m/>
    <m/>
    <m/>
    <m/>
    <m/>
    <n v="29"/>
    <m/>
    <m/>
  </r>
  <r>
    <x v="1022"/>
    <x v="0"/>
    <s v="Native "/>
    <x v="27"/>
    <n v="46"/>
    <n v="43"/>
    <n v="3"/>
    <s v="Rejection of 3 bulls ( 1 emaciated + 2 older than 3 years)."/>
    <n v="22030"/>
    <n v="21290"/>
    <n v="740"/>
    <x v="1270"/>
    <n v="322"/>
    <n v="512.32558139534888"/>
    <n v="495.11627906976742"/>
    <n v="17.209302325581394"/>
    <n v="312.19534883720928"/>
    <n v="7.4883720930232558"/>
    <n v="25"/>
    <n v="0"/>
    <n v="46.744186046511629"/>
    <n v="10"/>
    <n v="8.5"/>
    <n v="3.3590558329550609E-2"/>
    <n v="0.96744186046511627"/>
    <n v="0.60936904221516108"/>
    <n v="0.90244186046511632"/>
    <m/>
    <m/>
    <m/>
    <m/>
    <m/>
    <m/>
    <n v="31"/>
    <m/>
    <m/>
  </r>
  <r>
    <x v="1023"/>
    <x v="1"/>
    <s v="Native "/>
    <x v="21"/>
    <n v="22"/>
    <n v="22"/>
    <n v="0"/>
    <m/>
    <n v="1025"/>
    <n v="975"/>
    <n v="50"/>
    <x v="1271"/>
    <n v="0"/>
    <n v="46.590909090909093"/>
    <n v="44.31818181818182"/>
    <n v="2.2727272727272729"/>
    <n v="27.618181818181821"/>
    <n v="0"/>
    <n v="25"/>
    <n v="0"/>
    <n v="49.36363636363636"/>
    <n v="10"/>
    <n v="8.5"/>
    <n v="4.878048780487805E-2"/>
    <n v="0.99363636363636365"/>
    <n v="0.59278048780487802"/>
    <n v="0.92863636363636359"/>
    <m/>
    <m/>
    <m/>
    <m/>
    <m/>
    <m/>
    <m/>
    <m/>
    <m/>
  </r>
  <r>
    <x v="1023"/>
    <x v="0"/>
    <s v="Native "/>
    <x v="5"/>
    <n v="70"/>
    <n v="66"/>
    <n v="4"/>
    <s v="Rejection of 4 carcasses due to presence of c bovis in their hearts"/>
    <n v="28959"/>
    <n v="27612"/>
    <n v="1347"/>
    <x v="1272"/>
    <n v="595"/>
    <n v="438.77272727272725"/>
    <n v="418.36363636363637"/>
    <n v="20.40909090909091"/>
    <n v="270.38787878787878"/>
    <n v="9.0151515151515156"/>
    <n v="25"/>
    <n v="0"/>
    <n v="49.242424242424242"/>
    <n v="10"/>
    <n v="8.5"/>
    <n v="4.6514037086915989E-2"/>
    <n v="0.99242424242424243"/>
    <n v="0.61623674850650911"/>
    <n v="0.92742424242424248"/>
    <m/>
    <m/>
    <m/>
    <m/>
    <m/>
    <m/>
    <n v="14"/>
    <m/>
    <m/>
  </r>
  <r>
    <x v="1024"/>
    <x v="0"/>
    <s v="Native "/>
    <x v="9"/>
    <n v="40"/>
    <n v="32"/>
    <n v="8"/>
    <s v="7 AB + 1 C. bovis in heart "/>
    <n v="14523"/>
    <n v="14108"/>
    <n v="415"/>
    <x v="1273"/>
    <n v="255"/>
    <n v="453.84375"/>
    <n v="440.875"/>
    <n v="12.96875"/>
    <n v="272.29062499999998"/>
    <n v="7.96875"/>
    <n v="25"/>
    <n v="0"/>
    <n v="44.625"/>
    <n v="10"/>
    <n v="8.5"/>
    <n v="2.8575363216966191E-2"/>
    <n v="0.94625000000000004"/>
    <n v="0.59996557185154575"/>
    <n v="0.88124999999999998"/>
    <m/>
    <m/>
    <m/>
    <m/>
    <m/>
    <m/>
    <n v="16"/>
    <m/>
    <m/>
  </r>
  <r>
    <x v="1025"/>
    <x v="0"/>
    <s v="Native "/>
    <x v="14"/>
    <n v="28"/>
    <n v="28"/>
    <n v="0"/>
    <m/>
    <n v="12721"/>
    <n v="12045"/>
    <n v="676"/>
    <x v="1274"/>
    <n v="261"/>
    <n v="454.32142857142856"/>
    <n v="430.17857142857144"/>
    <n v="24.142857142857142"/>
    <n v="273.04642857142858"/>
    <n v="9.3214285714285712"/>
    <n v="25"/>
    <n v="0"/>
    <n v="50"/>
    <n v="10"/>
    <n v="8.5"/>
    <n v="5.314047637764327E-2"/>
    <n v="1"/>
    <n v="0.60099834918638473"/>
    <n v="0.93500000000000005"/>
    <m/>
    <m/>
    <m/>
    <m/>
    <m/>
    <m/>
    <m/>
    <m/>
    <m/>
  </r>
  <r>
    <x v="1026"/>
    <x v="0"/>
    <s v="Native "/>
    <x v="14"/>
    <n v="64"/>
    <n v="63"/>
    <n v="1"/>
    <s v="Rejection of 1 carcass due to presence of c bovis in the heart."/>
    <n v="27140"/>
    <n v="26265"/>
    <n v="875"/>
    <x v="1275"/>
    <n v="493"/>
    <n v="430.79365079365078"/>
    <n v="416.90476190476193"/>
    <n v="13.888888888888889"/>
    <n v="258.63968253968255"/>
    <n v="7.8253968253968251"/>
    <n v="25"/>
    <n v="0"/>
    <n v="48.38095238095238"/>
    <n v="10"/>
    <n v="8.5"/>
    <n v="3.2240235814296241E-2"/>
    <n v="0.9838095238095238"/>
    <n v="0.60037951363301401"/>
    <n v="0.91880952380952374"/>
    <m/>
    <m/>
    <m/>
    <m/>
    <m/>
    <m/>
    <n v="20"/>
    <m/>
    <m/>
  </r>
  <r>
    <x v="1026"/>
    <x v="1"/>
    <s v="Native "/>
    <x v="14"/>
    <n v="26"/>
    <n v="26"/>
    <n v="0"/>
    <m/>
    <n v="1292"/>
    <n v="1260"/>
    <n v="32"/>
    <x v="1276"/>
    <n v="0"/>
    <n v="49.692307692307693"/>
    <n v="48.46153846153846"/>
    <n v="1.2307692307692308"/>
    <n v="30.792307692307695"/>
    <n v="0"/>
    <n v="25"/>
    <n v="0"/>
    <n v="49.615384615384613"/>
    <n v="10"/>
    <n v="8.5"/>
    <n v="2.4767801857585141E-2"/>
    <n v="0.99615384615384617"/>
    <n v="0.61965944272445828"/>
    <n v="0.93115384615384611"/>
    <m/>
    <m/>
    <m/>
    <m/>
    <m/>
    <m/>
    <m/>
    <m/>
    <m/>
  </r>
  <r>
    <x v="1027"/>
    <x v="0"/>
    <s v="Native "/>
    <x v="14"/>
    <n v="26"/>
    <n v="25"/>
    <n v="1"/>
    <s v="Rejection of 1 carcass due to presence of c bovis in the heart."/>
    <n v="11100"/>
    <n v="10560"/>
    <n v="540"/>
    <x v="1277"/>
    <n v="238"/>
    <n v="444"/>
    <n v="422.4"/>
    <n v="21.6"/>
    <n v="266.70799999999997"/>
    <n v="9.52"/>
    <n v="25"/>
    <n v="0"/>
    <n v="49.72"/>
    <n v="10"/>
    <n v="8.5"/>
    <n v="4.8648648648648651E-2"/>
    <n v="0.99719999999999998"/>
    <n v="0.60069369369369363"/>
    <n v="0.93220000000000003"/>
    <m/>
    <m/>
    <m/>
    <m/>
    <m/>
    <m/>
    <n v="6"/>
    <m/>
    <m/>
  </r>
  <r>
    <x v="1028"/>
    <x v="1"/>
    <s v="Native "/>
    <x v="21"/>
    <n v="12"/>
    <n v="12"/>
    <n v="0"/>
    <m/>
    <n v="549"/>
    <n v="530"/>
    <n v="19"/>
    <x v="1278"/>
    <n v="0"/>
    <n v="45.75"/>
    <n v="44.166666666666664"/>
    <n v="1.5833333333333333"/>
    <n v="27.816666666666666"/>
    <n v="0"/>
    <n v="25"/>
    <n v="0"/>
    <n v="49"/>
    <n v="10"/>
    <n v="8.5"/>
    <n v="3.4608378870673952E-2"/>
    <n v="0.99"/>
    <n v="0.60801457194899822"/>
    <n v="0.92500000000000004"/>
    <m/>
    <m/>
    <m/>
    <m/>
    <m/>
    <m/>
    <m/>
    <m/>
    <m/>
  </r>
  <r>
    <x v="1028"/>
    <x v="0"/>
    <s v="Native "/>
    <x v="27"/>
    <n v="59"/>
    <n v="58"/>
    <n v="1"/>
    <s v="Rejection of 1 bull older than 3 years."/>
    <n v="28780"/>
    <n v="27845"/>
    <n v="935"/>
    <x v="1279"/>
    <n v="415"/>
    <n v="496.20689655172413"/>
    <n v="480.08620689655174"/>
    <n v="16.120689655172413"/>
    <n v="305.62241379310342"/>
    <n v="7.1551724137931032"/>
    <n v="25"/>
    <n v="0"/>
    <n v="44.637931034482762"/>
    <n v="9.9137931034482758"/>
    <n v="8.5"/>
    <n v="3.2487838776928422E-2"/>
    <n v="0.9463793103448277"/>
    <n v="0.61591730368311326"/>
    <n v="0.88051724137931031"/>
    <m/>
    <m/>
    <m/>
    <m/>
    <m/>
    <m/>
    <n v="48"/>
    <m/>
    <m/>
  </r>
  <r>
    <x v="1029"/>
    <x v="0"/>
    <s v="Imported"/>
    <x v="23"/>
    <n v="50"/>
    <n v="48"/>
    <n v="2"/>
    <s v="Rejection of 2 bulls due to presence of sign of illness"/>
    <n v="22980"/>
    <n v="22980"/>
    <n v="0"/>
    <x v="1280"/>
    <n v="0"/>
    <n v="478.75"/>
    <n v="478.75"/>
    <n v="0"/>
    <n v="302.5625"/>
    <n v="0"/>
    <n v="25"/>
    <n v="4"/>
    <n v="50"/>
    <n v="9.7916666666666679"/>
    <n v="8.5"/>
    <n v="0"/>
    <n v="1"/>
    <n v="0.63198433420365541"/>
    <n v="0.97291666666666676"/>
    <m/>
    <m/>
    <m/>
    <m/>
    <m/>
    <m/>
    <m/>
    <m/>
    <m/>
  </r>
  <r>
    <x v="1030"/>
    <x v="0"/>
    <s v="Imported"/>
    <x v="23"/>
    <n v="38"/>
    <n v="37"/>
    <n v="1"/>
    <s v="Rejection of 1 animal not conform to standards."/>
    <n v="17726"/>
    <n v="17726"/>
    <n v="0"/>
    <x v="1281"/>
    <n v="0"/>
    <n v="479.08108108108109"/>
    <n v="479.08108108108109"/>
    <n v="0"/>
    <n v="302.77837837837836"/>
    <n v="0"/>
    <n v="25"/>
    <n v="4"/>
    <n v="45"/>
    <n v="9.7297297297297298"/>
    <n v="8.5"/>
    <n v="0"/>
    <n v="0.95"/>
    <n v="0.63199819474218655"/>
    <n v="0.92229729729729726"/>
    <m/>
    <m/>
    <m/>
    <m/>
    <m/>
    <m/>
    <m/>
    <m/>
    <m/>
  </r>
  <r>
    <x v="1031"/>
    <x v="0"/>
    <s v="Native "/>
    <x v="14"/>
    <n v="17"/>
    <n v="17"/>
    <n v="0"/>
    <m/>
    <n v="8874"/>
    <n v="8600"/>
    <n v="274"/>
    <x v="1282"/>
    <n v="168"/>
    <n v="522"/>
    <n v="505.88235294117646"/>
    <n v="16.117647058823529"/>
    <n v="321.69411764705882"/>
    <n v="9.882352941176471"/>
    <n v="25"/>
    <n v="0"/>
    <n v="49.352941176470587"/>
    <n v="10"/>
    <n v="8.5"/>
    <n v="3.0876718503493352E-2"/>
    <n v="0.99352941176470588"/>
    <n v="0.61627225602884839"/>
    <n v="0.92852941176470583"/>
    <m/>
    <m/>
    <m/>
    <m/>
    <m/>
    <m/>
    <n v="5"/>
    <m/>
    <m/>
  </r>
  <r>
    <x v="1032"/>
    <x v="0"/>
    <s v="Native "/>
    <x v="14"/>
    <n v="28"/>
    <n v="27"/>
    <n v="1"/>
    <s v="Rejection of 1 carcass due to presence of c bovis in the heart."/>
    <n v="13438"/>
    <n v="12930"/>
    <n v="508"/>
    <x v="1283"/>
    <n v="337"/>
    <n v="497.7037037037037"/>
    <n v="478.88888888888891"/>
    <n v="18.814814814814813"/>
    <n v="302.57037037037037"/>
    <n v="12.481481481481481"/>
    <n v="25"/>
    <n v="0"/>
    <n v="48.148148148148152"/>
    <n v="10"/>
    <n v="8.5"/>
    <n v="3.7803244530436077E-2"/>
    <n v="0.98148148148148151"/>
    <n v="0.60793272808453636"/>
    <n v="0.91648148148148156"/>
    <m/>
    <m/>
    <m/>
    <m/>
    <m/>
    <m/>
    <n v="9"/>
    <m/>
    <m/>
  </r>
  <r>
    <x v="1033"/>
    <x v="0"/>
    <s v="Native "/>
    <x v="5"/>
    <n v="50"/>
    <n v="50"/>
    <n v="0"/>
    <m/>
    <n v="21916"/>
    <n v="20917"/>
    <n v="999"/>
    <x v="1284"/>
    <n v="434"/>
    <n v="438.32"/>
    <n v="418.34"/>
    <n v="19.98"/>
    <n v="270.012"/>
    <n v="8.68"/>
    <n v="25"/>
    <n v="0"/>
    <n v="48.820000000000007"/>
    <n v="10"/>
    <n v="8.5"/>
    <n v="4.5583135608687715E-2"/>
    <n v="0.98820000000000008"/>
    <n v="0.61601569629494435"/>
    <n v="0.92320000000000002"/>
    <m/>
    <m/>
    <m/>
    <m/>
    <m/>
    <m/>
    <n v="5"/>
    <m/>
    <m/>
  </r>
  <r>
    <x v="1034"/>
    <x v="0"/>
    <s v="Imported"/>
    <x v="23"/>
    <n v="39"/>
    <n v="38"/>
    <n v="1"/>
    <s v="Rejection of 1 bull due to presence of signs of illnes"/>
    <n v="18765"/>
    <n v="18765"/>
    <n v="0"/>
    <x v="1285"/>
    <n v="0"/>
    <n v="493.81578947368422"/>
    <n v="493.81578947368422"/>
    <n v="0"/>
    <n v="312.08947368421053"/>
    <n v="0"/>
    <n v="25"/>
    <n v="4"/>
    <n v="50"/>
    <n v="9.6052631578947363"/>
    <n v="8.5"/>
    <n v="0"/>
    <n v="1"/>
    <n v="0.63199573674393816"/>
    <n v="0.97105263157894739"/>
    <m/>
    <m/>
    <m/>
    <m/>
    <m/>
    <m/>
    <m/>
    <m/>
    <m/>
  </r>
  <r>
    <x v="1035"/>
    <x v="0"/>
    <s v="Native "/>
    <x v="14"/>
    <n v="22"/>
    <n v="21"/>
    <n v="1"/>
    <s v="Rejection of 1 carcass due to presence of c bovis in heart "/>
    <n v="9414"/>
    <n v="8850"/>
    <n v="564"/>
    <x v="1286"/>
    <n v="227"/>
    <n v="448.28571428571428"/>
    <n v="421.42857142857144"/>
    <n v="26.857142857142858"/>
    <n v="268.95714285714286"/>
    <n v="10.80952380952381"/>
    <n v="25"/>
    <n v="0"/>
    <n v="49"/>
    <n v="10"/>
    <n v="8.5"/>
    <n v="5.991077119184194E-2"/>
    <n v="0.99"/>
    <n v="0.599968132568515"/>
    <n v="0.92500000000000004"/>
    <m/>
    <m/>
    <m/>
    <m/>
    <m/>
    <m/>
    <n v="5"/>
    <m/>
    <m/>
  </r>
  <r>
    <x v="1035"/>
    <x v="0"/>
    <s v="Native "/>
    <x v="10"/>
    <n v="30"/>
    <n v="30"/>
    <n v="0"/>
    <m/>
    <n v="13003"/>
    <n v="12680"/>
    <n v="323"/>
    <x v="1287"/>
    <n v="207"/>
    <n v="433.43333333333334"/>
    <n v="422.66666666666669"/>
    <n v="10.766666666666667"/>
    <n v="260.06"/>
    <n v="6.9"/>
    <n v="25"/>
    <n v="0"/>
    <n v="47.9"/>
    <n v="10"/>
    <n v="8.5"/>
    <n v="2.4840421441205879E-2"/>
    <n v="0.97899999999999998"/>
    <n v="0.6"/>
    <n v="0.91400000000000003"/>
    <m/>
    <m/>
    <m/>
    <m/>
    <m/>
    <m/>
    <n v="4"/>
    <m/>
    <m/>
  </r>
  <r>
    <x v="1036"/>
    <x v="0"/>
    <s v="Native "/>
    <x v="10"/>
    <n v="40"/>
    <n v="40"/>
    <n v="0"/>
    <m/>
    <n v="16787"/>
    <n v="16285"/>
    <n v="502"/>
    <x v="1288"/>
    <n v="294"/>
    <n v="419.67500000000001"/>
    <n v="407.125"/>
    <n v="12.55"/>
    <n v="252.94250000000002"/>
    <n v="7.35"/>
    <n v="25"/>
    <n v="0"/>
    <n v="48.774999999999999"/>
    <n v="9.75"/>
    <n v="8.5"/>
    <n v="2.9904092452493002E-2"/>
    <n v="0.98774999999999991"/>
    <n v="0.6027104306904153"/>
    <n v="0.92025000000000001"/>
    <m/>
    <m/>
    <m/>
    <m/>
    <m/>
    <m/>
    <n v="6"/>
    <m/>
    <m/>
  </r>
  <r>
    <x v="1037"/>
    <x v="1"/>
    <s v="Native "/>
    <x v="14"/>
    <n v="22"/>
    <n v="22"/>
    <n v="0"/>
    <m/>
    <n v="1080"/>
    <n v="1040"/>
    <n v="40"/>
    <x v="1289"/>
    <n v="0"/>
    <n v="49.090909090909093"/>
    <n v="47.272727272727273"/>
    <n v="1.8181818181818181"/>
    <n v="29.322727272727274"/>
    <n v="0"/>
    <n v="25"/>
    <n v="0"/>
    <n v="49.090909090909093"/>
    <n v="10"/>
    <n v="8.5"/>
    <n v="3.7037037037037035E-2"/>
    <n v="0.99090909090909096"/>
    <n v="0.59731481481481485"/>
    <n v="0.9259090909090909"/>
    <m/>
    <m/>
    <m/>
    <m/>
    <m/>
    <m/>
    <m/>
    <m/>
    <m/>
  </r>
  <r>
    <x v="1037"/>
    <x v="0"/>
    <s v="Native "/>
    <x v="14"/>
    <n v="61"/>
    <n v="59"/>
    <n v="2"/>
    <s v="Rejection of 2 carcasses due to presence of c. Bovis in the heart "/>
    <n v="27026"/>
    <n v="25783"/>
    <n v="1243"/>
    <x v="1290"/>
    <n v="530"/>
    <n v="458.06779661016947"/>
    <n v="437"/>
    <n v="21.067796610169491"/>
    <n v="276.13220338983052"/>
    <n v="8.9830508474576263"/>
    <n v="25"/>
    <n v="0"/>
    <n v="49.406779661016955"/>
    <n v="10"/>
    <n v="8.5"/>
    <n v="4.599274772441353E-2"/>
    <n v="0.99406779661016953"/>
    <n v="0.6028195071412713"/>
    <n v="0.92906779661016958"/>
    <m/>
    <m/>
    <m/>
    <m/>
    <m/>
    <m/>
    <n v="13"/>
    <m/>
    <m/>
  </r>
  <r>
    <x v="1038"/>
    <x v="0"/>
    <s v="Imported"/>
    <x v="23"/>
    <n v="51"/>
    <n v="51"/>
    <n v="0"/>
    <m/>
    <n v="25692"/>
    <n v="25692"/>
    <n v="0"/>
    <x v="1291"/>
    <n v="0"/>
    <n v="503.76470588235293"/>
    <n v="503.76470588235293"/>
    <n v="0"/>
    <n v="318.39999999999998"/>
    <n v="0"/>
    <n v="25"/>
    <n v="4"/>
    <n v="50"/>
    <n v="9.8039215686274517"/>
    <n v="8.5"/>
    <n v="0"/>
    <n v="1"/>
    <n v="0.63204110228865018"/>
    <n v="0.97303921568627461"/>
    <m/>
    <m/>
    <m/>
    <m/>
    <m/>
    <m/>
    <m/>
    <m/>
    <m/>
  </r>
  <r>
    <x v="1039"/>
    <x v="0"/>
    <s v="Native "/>
    <x v="5"/>
    <n v="72"/>
    <n v="70"/>
    <n v="2"/>
    <s v="Rejection of 2 carcasses due to presence of c.bovis in their hearts."/>
    <n v="31603"/>
    <n v="29972"/>
    <n v="1631"/>
    <x v="1292"/>
    <n v="693"/>
    <n v="451.47142857142859"/>
    <n v="428.17142857142858"/>
    <n v="23.3"/>
    <n v="276.08"/>
    <n v="9.9"/>
    <n v="25"/>
    <n v="0"/>
    <n v="48.457142857142856"/>
    <n v="10"/>
    <n v="8.5"/>
    <n v="5.1609024459703196E-2"/>
    <n v="0.98457142857142854"/>
    <n v="0.61151156535771911"/>
    <n v="0.9195714285714286"/>
    <m/>
    <m/>
    <m/>
    <m/>
    <m/>
    <m/>
    <n v="9"/>
    <m/>
    <m/>
  </r>
  <r>
    <x v="1040"/>
    <x v="0"/>
    <s v="Native "/>
    <x v="5"/>
    <n v="36"/>
    <n v="34"/>
    <n v="2"/>
    <s v="Rejection of 2 carcasses due to presence of c bovis in their hearts"/>
    <n v="15044"/>
    <n v="14242"/>
    <n v="802"/>
    <x v="1293"/>
    <n v="323"/>
    <n v="442.47058823529414"/>
    <n v="418.88235294117646"/>
    <n v="23.588235294117649"/>
    <n v="267.43529411764706"/>
    <n v="9.5"/>
    <n v="25"/>
    <n v="0"/>
    <n v="48.794117647058826"/>
    <n v="10"/>
    <n v="8.5"/>
    <n v="5.3310289816538153E-2"/>
    <n v="0.98794117647058832"/>
    <n v="0.60441371975538416"/>
    <n v="0.92294117647058826"/>
    <m/>
    <m/>
    <m/>
    <m/>
    <m/>
    <m/>
    <n v="6"/>
    <m/>
    <m/>
  </r>
  <r>
    <x v="1041"/>
    <x v="0"/>
    <s v="Native "/>
    <x v="5"/>
    <n v="75"/>
    <n v="74"/>
    <n v="1"/>
    <s v="Rejection of 1 carcass due to presence of c bovis in a heart"/>
    <n v="32326"/>
    <n v="30738"/>
    <n v="1588"/>
    <x v="1294"/>
    <n v="565"/>
    <n v="436.83783783783781"/>
    <n v="415.37837837837839"/>
    <n v="21.45945945945946"/>
    <n v="265.72702702702702"/>
    <n v="7.6351351351351351"/>
    <n v="25"/>
    <n v="0"/>
    <n v="48.986486486486491"/>
    <n v="10"/>
    <n v="8.5"/>
    <n v="4.9124543710944754E-2"/>
    <n v="0.98986486486486491"/>
    <n v="0.60829672709274263"/>
    <n v="0.92486486486486486"/>
    <m/>
    <m/>
    <m/>
    <m/>
    <m/>
    <m/>
    <n v="31"/>
    <m/>
    <m/>
  </r>
  <r>
    <x v="1042"/>
    <x v="0"/>
    <s v="Imported"/>
    <x v="23"/>
    <n v="55"/>
    <n v="53"/>
    <n v="2"/>
    <s v="Rejection of 2 bulls due to presence of sign of illness."/>
    <n v="25454"/>
    <n v="25454"/>
    <n v="0"/>
    <x v="1295"/>
    <n v="0"/>
    <n v="480.2641509433962"/>
    <n v="480.2641509433962"/>
    <n v="0"/>
    <n v="303.52830188679246"/>
    <n v="0"/>
    <n v="25"/>
    <n v="4"/>
    <n v="50"/>
    <n v="9.8113207547169807"/>
    <n v="8.5"/>
    <n v="0"/>
    <n v="1"/>
    <n v="0.63200282863204216"/>
    <n v="0.97311320754716979"/>
    <m/>
    <m/>
    <m/>
    <m/>
    <m/>
    <m/>
    <m/>
    <m/>
    <m/>
  </r>
  <r>
    <x v="1043"/>
    <x v="0"/>
    <s v="Imported"/>
    <x v="23"/>
    <n v="31"/>
    <n v="31"/>
    <n v="0"/>
    <m/>
    <n v="14726"/>
    <n v="14726"/>
    <n v="0"/>
    <x v="1296"/>
    <n v="0"/>
    <n v="475.03225806451616"/>
    <n v="475.03225806451616"/>
    <n v="0"/>
    <n v="300.22580645161293"/>
    <n v="0"/>
    <n v="25"/>
    <n v="4"/>
    <n v="50"/>
    <n v="10"/>
    <n v="8.5"/>
    <n v="0"/>
    <n v="1"/>
    <n v="0.63201140839331793"/>
    <n v="0.97499999999999998"/>
    <m/>
    <m/>
    <m/>
    <m/>
    <m/>
    <m/>
    <m/>
    <m/>
    <m/>
  </r>
  <r>
    <x v="1044"/>
    <x v="0"/>
    <s v="Native "/>
    <x v="14"/>
    <n v="34"/>
    <n v="34"/>
    <n v="0"/>
    <m/>
    <n v="14951"/>
    <n v="14441"/>
    <n v="510"/>
    <x v="1297"/>
    <n v="279"/>
    <n v="439.73529411764707"/>
    <n v="424.73529411764707"/>
    <n v="15"/>
    <n v="263.82647058823528"/>
    <n v="8.2058823529411757"/>
    <n v="25"/>
    <n v="0"/>
    <n v="49.294117647058826"/>
    <n v="10"/>
    <n v="8.5"/>
    <n v="3.411143067353354E-2"/>
    <n v="0.99294117647058822"/>
    <n v="0.59996655742090832"/>
    <n v="0.92794117647058827"/>
    <m/>
    <m/>
    <m/>
    <m/>
    <m/>
    <m/>
    <n v="8"/>
    <m/>
    <m/>
  </r>
  <r>
    <x v="1045"/>
    <x v="1"/>
    <m/>
    <x v="21"/>
    <n v="23"/>
    <n v="23"/>
    <n v="0"/>
    <m/>
    <n v="1158"/>
    <n v="1100"/>
    <n v="58"/>
    <x v="1298"/>
    <n v="0"/>
    <n v="50.347826086956523"/>
    <n v="47.826086956521742"/>
    <n v="2.5217391304347827"/>
    <n v="29.213043478260868"/>
    <n v="0"/>
    <n v="25"/>
    <n v="0"/>
    <n v="48.347826086956516"/>
    <n v="10"/>
    <n v="8.5"/>
    <n v="5.0086355785837651E-2"/>
    <n v="0.98347826086956514"/>
    <n v="0.5802245250431779"/>
    <n v="0.91847826086956519"/>
    <m/>
    <m/>
    <m/>
    <m/>
    <m/>
    <m/>
    <m/>
    <m/>
    <m/>
  </r>
  <r>
    <x v="1045"/>
    <x v="0"/>
    <s v="Native "/>
    <x v="14"/>
    <n v="42"/>
    <n v="42"/>
    <n v="0"/>
    <m/>
    <n v="17282"/>
    <n v="16660"/>
    <n v="622"/>
    <x v="1299"/>
    <n v="377"/>
    <n v="411.47619047619048"/>
    <n v="396.66666666666669"/>
    <n v="14.80952380952381"/>
    <n v="247.57142857142858"/>
    <n v="8.9761904761904763"/>
    <n v="25"/>
    <n v="0"/>
    <n v="48.357142857142854"/>
    <n v="9.8809523809523796"/>
    <n v="8.5"/>
    <n v="3.5991204721675732E-2"/>
    <n v="0.98357142857142854"/>
    <n v="0.60166647378775606"/>
    <n v="0.91738095238095241"/>
    <m/>
    <m/>
    <m/>
    <m/>
    <m/>
    <m/>
    <n v="5"/>
    <m/>
    <m/>
  </r>
  <r>
    <x v="1046"/>
    <x v="0"/>
    <s v="Native "/>
    <x v="10"/>
    <n v="56"/>
    <n v="56"/>
    <n v="0"/>
    <m/>
    <n v="24252"/>
    <n v="23740"/>
    <n v="512"/>
    <x v="1300"/>
    <n v="457"/>
    <n v="433.07142857142856"/>
    <n v="423.92857142857144"/>
    <n v="9.1428571428571423"/>
    <n v="262.60178571428571"/>
    <n v="8.1607142857142865"/>
    <n v="25"/>
    <n v="0"/>
    <n v="49.125"/>
    <n v="10"/>
    <n v="8.5"/>
    <n v="2.111166089394689E-2"/>
    <n v="0.99124999999999996"/>
    <n v="0.60637060860959924"/>
    <n v="0.92625000000000002"/>
    <m/>
    <m/>
    <m/>
    <m/>
    <m/>
    <m/>
    <n v="6"/>
    <m/>
    <m/>
  </r>
  <r>
    <x v="1047"/>
    <x v="0"/>
    <s v="Imported"/>
    <x v="23"/>
    <n v="44"/>
    <n v="44"/>
    <n v="0"/>
    <m/>
    <n v="21481"/>
    <n v="21481"/>
    <n v="0"/>
    <x v="1301"/>
    <n v="0"/>
    <n v="488.20454545454544"/>
    <n v="488.20454545454544"/>
    <n v="0"/>
    <n v="308.55"/>
    <n v="0"/>
    <n v="25"/>
    <n v="4"/>
    <n v="50"/>
    <n v="10"/>
    <n v="8.5"/>
    <n v="0"/>
    <n v="1"/>
    <n v="0.63200968297565296"/>
    <n v="0.97499999999999998"/>
    <m/>
    <m/>
    <m/>
    <m/>
    <m/>
    <m/>
    <m/>
    <m/>
    <m/>
  </r>
  <r>
    <x v="1048"/>
    <x v="0"/>
    <s v="Native "/>
    <x v="5"/>
    <n v="66"/>
    <n v="66"/>
    <n v="0"/>
    <m/>
    <n v="29908"/>
    <n v="28558"/>
    <n v="1350"/>
    <x v="1302"/>
    <n v="586"/>
    <n v="453.15151515151513"/>
    <n v="432.69696969696969"/>
    <n v="20.454545454545453"/>
    <n v="274.50151515151515"/>
    <n v="8.8787878787878789"/>
    <n v="25"/>
    <n v="0"/>
    <n v="49.484848484848484"/>
    <n v="10"/>
    <n v="8.5"/>
    <n v="4.5138424501805538E-2"/>
    <n v="0.99484848484848487"/>
    <n v="0.60576100040123038"/>
    <n v="0.92984848484848481"/>
    <m/>
    <m/>
    <m/>
    <m/>
    <m/>
    <m/>
    <n v="33"/>
    <m/>
    <m/>
  </r>
  <r>
    <x v="1049"/>
    <x v="1"/>
    <s v="Native "/>
    <x v="14"/>
    <n v="22"/>
    <n v="22"/>
    <n v="0"/>
    <m/>
    <n v="1090"/>
    <n v="1050"/>
    <n v="40"/>
    <x v="1303"/>
    <n v="0"/>
    <n v="49.545454545454547"/>
    <n v="47.727272727272727"/>
    <n v="1.8181818181818181"/>
    <n v="29.913636363636364"/>
    <n v="0"/>
    <n v="25"/>
    <n v="0"/>
    <n v="48.81818181818182"/>
    <n v="10"/>
    <n v="8.5"/>
    <n v="3.6697247706422013E-2"/>
    <n v="0.98818181818181827"/>
    <n v="0.60376146788990825"/>
    <n v="0.9231818181818181"/>
    <m/>
    <m/>
    <m/>
    <m/>
    <m/>
    <m/>
    <m/>
    <m/>
    <m/>
  </r>
  <r>
    <x v="1049"/>
    <x v="0"/>
    <s v="Native "/>
    <x v="27"/>
    <n v="30"/>
    <n v="30"/>
    <n v="0"/>
    <m/>
    <n v="15378"/>
    <n v="15085"/>
    <n v="293"/>
    <x v="1304"/>
    <n v="292"/>
    <n v="512.6"/>
    <n v="502.83333333333331"/>
    <n v="9.7666666666666675"/>
    <n v="317.18666666666667"/>
    <n v="9.7333333333333325"/>
    <n v="25"/>
    <n v="0"/>
    <n v="44.766666666666673"/>
    <n v="9.8333333333333321"/>
    <n v="8.5"/>
    <n v="1.9053192872935363E-2"/>
    <n v="0.94766666666666666"/>
    <n v="0.61878007543243596"/>
    <n v="0.88100000000000012"/>
    <m/>
    <m/>
    <m/>
    <m/>
    <m/>
    <m/>
    <n v="13"/>
    <m/>
    <m/>
  </r>
  <r>
    <x v="1050"/>
    <x v="0"/>
    <s v="Native "/>
    <x v="10"/>
    <n v="58"/>
    <n v="57"/>
    <n v="1"/>
    <s v="Rejection of 1 carcass due to presence of miliary TB."/>
    <n v="22829"/>
    <n v="22324"/>
    <n v="505"/>
    <x v="1305"/>
    <n v="367"/>
    <n v="400.50877192982455"/>
    <n v="391.64912280701753"/>
    <n v="8.8596491228070171"/>
    <n v="240.29473684210524"/>
    <n v="6.4385964912280702"/>
    <n v="25"/>
    <n v="0"/>
    <n v="48.631578947368425"/>
    <n v="10"/>
    <n v="8.5"/>
    <n v="2.2120986464584519E-2"/>
    <n v="0.98631578947368426"/>
    <n v="0.59997371763984397"/>
    <n v="0.9213157894736842"/>
    <m/>
    <m/>
    <m/>
    <m/>
    <m/>
    <m/>
    <n v="12"/>
    <m/>
    <m/>
  </r>
  <r>
    <x v="1051"/>
    <x v="0"/>
    <s v="Imported"/>
    <x v="23"/>
    <n v="47"/>
    <n v="47"/>
    <n v="0"/>
    <m/>
    <n v="23198"/>
    <n v="23198"/>
    <n v="0"/>
    <x v="1306"/>
    <n v="0"/>
    <n v="493.57446808510639"/>
    <n v="493.57446808510639"/>
    <n v="0"/>
    <n v="311.94468085106382"/>
    <n v="0"/>
    <n v="25"/>
    <n v="4"/>
    <n v="50"/>
    <n v="10"/>
    <n v="8.5"/>
    <n v="0"/>
    <n v="1"/>
    <n v="0.63201138029140447"/>
    <n v="0.97499999999999998"/>
    <m/>
    <m/>
    <m/>
    <m/>
    <m/>
    <m/>
    <m/>
    <m/>
    <m/>
  </r>
  <r>
    <x v="1052"/>
    <x v="0"/>
    <s v="Imported"/>
    <x v="23"/>
    <n v="26"/>
    <n v="26"/>
    <n v="0"/>
    <m/>
    <n v="12875"/>
    <n v="12875"/>
    <n v="0"/>
    <x v="1307"/>
    <n v="0"/>
    <n v="495.19230769230768"/>
    <n v="495.19230769230768"/>
    <n v="0"/>
    <n v="312.97692307692307"/>
    <n v="0"/>
    <n v="25"/>
    <n v="4"/>
    <n v="50"/>
    <n v="9.8076923076923066"/>
    <n v="8.5"/>
    <n v="0"/>
    <n v="1"/>
    <n v="0.63203106796116504"/>
    <n v="0.97307692307692306"/>
    <m/>
    <m/>
    <m/>
    <m/>
    <m/>
    <m/>
    <m/>
    <m/>
    <m/>
  </r>
  <r>
    <x v="1053"/>
    <x v="0"/>
    <s v="Native "/>
    <x v="14"/>
    <n v="28"/>
    <n v="26"/>
    <n v="2"/>
    <s v="1 carcass c. bovis in the heart + 1 bull older than 3 years"/>
    <n v="11510"/>
    <n v="10785"/>
    <n v="725"/>
    <x v="1308"/>
    <n v="242"/>
    <n v="442.69230769230768"/>
    <n v="414.80769230769232"/>
    <n v="27.884615384615383"/>
    <n v="267.2"/>
    <n v="9.3076923076923084"/>
    <n v="25"/>
    <n v="0"/>
    <n v="48.615384615384613"/>
    <n v="10"/>
    <n v="8.5"/>
    <n v="6.29887054735013E-2"/>
    <n v="0.98615384615384616"/>
    <n v="0.60357949609035622"/>
    <n v="0.9211538461538461"/>
    <m/>
    <m/>
    <m/>
    <m/>
    <m/>
    <m/>
    <n v="4"/>
    <m/>
    <m/>
  </r>
  <r>
    <x v="1054"/>
    <x v="0"/>
    <s v="Native "/>
    <x v="14"/>
    <n v="35"/>
    <n v="35"/>
    <n v="0"/>
    <m/>
    <n v="16079"/>
    <n v="15475"/>
    <n v="604"/>
    <x v="1309"/>
    <n v="328"/>
    <n v="459.4"/>
    <n v="442.14285714285717"/>
    <n v="17.257142857142856"/>
    <n v="277.99714285714282"/>
    <n v="9.3714285714285719"/>
    <n v="25"/>
    <n v="0"/>
    <n v="48.4"/>
    <n v="10"/>
    <n v="8.5"/>
    <n v="3.7564525157037128E-2"/>
    <n v="0.98399999999999999"/>
    <n v="0.60513091610174763"/>
    <n v="0.91900000000000004"/>
    <m/>
    <m/>
    <m/>
    <m/>
    <m/>
    <m/>
    <n v="11"/>
    <m/>
    <m/>
  </r>
  <r>
    <x v="1055"/>
    <x v="0"/>
    <s v="Native "/>
    <x v="27"/>
    <n v="60"/>
    <n v="60"/>
    <n v="0"/>
    <m/>
    <n v="30181"/>
    <n v="30181"/>
    <n v="0"/>
    <x v="1310"/>
    <n v="454"/>
    <n v="503.01666666666665"/>
    <n v="503.01666666666665"/>
    <n v="0"/>
    <n v="306.21333333333331"/>
    <n v="7.5666666666666664"/>
    <n v="25"/>
    <n v="0"/>
    <n v="48.766666666666666"/>
    <n v="10"/>
    <n v="8.5"/>
    <n v="0"/>
    <n v="0.98766666666666669"/>
    <n v="0.60875385176104169"/>
    <n v="0.92266666666666663"/>
    <m/>
    <m/>
    <m/>
    <m/>
    <m/>
    <m/>
    <n v="43"/>
    <m/>
    <m/>
  </r>
  <r>
    <x v="1056"/>
    <x v="0"/>
    <s v="Imported"/>
    <x v="23"/>
    <n v="36"/>
    <n v="36"/>
    <n v="0"/>
    <m/>
    <n v="17791"/>
    <n v="17791"/>
    <n v="0"/>
    <x v="1311"/>
    <m/>
    <n v="494.19444444444446"/>
    <n v="494.19444444444446"/>
    <n v="0"/>
    <n v="312.34444444444443"/>
    <n v="0"/>
    <n v="25"/>
    <n v="4"/>
    <n v="50"/>
    <n v="9.8611111111111107"/>
    <n v="8.5"/>
    <n v="0"/>
    <n v="1"/>
    <n v="0.63202742959923552"/>
    <n v="0.97361111111111109"/>
    <m/>
    <m/>
    <m/>
    <m/>
    <m/>
    <m/>
    <m/>
    <m/>
    <m/>
  </r>
  <r>
    <x v="1057"/>
    <x v="0"/>
    <s v="Imported"/>
    <x v="23"/>
    <n v="31"/>
    <n v="31"/>
    <n v="0"/>
    <m/>
    <n v="14787"/>
    <n v="14787"/>
    <n v="0"/>
    <x v="1312"/>
    <n v="0"/>
    <n v="477"/>
    <n v="477"/>
    <n v="0"/>
    <n v="301.48387096774195"/>
    <n v="0"/>
    <n v="25"/>
    <n v="4"/>
    <n v="50"/>
    <n v="10"/>
    <n v="8.5"/>
    <n v="0"/>
    <n v="1"/>
    <n v="0.6320416582132955"/>
    <n v="0.97499999999999998"/>
    <m/>
    <m/>
    <m/>
    <m/>
    <m/>
    <m/>
    <m/>
    <m/>
    <m/>
  </r>
  <r>
    <x v="1058"/>
    <x v="0"/>
    <s v="Native "/>
    <x v="5"/>
    <n v="25"/>
    <n v="25"/>
    <n v="0"/>
    <m/>
    <n v="11388"/>
    <n v="10900"/>
    <n v="488"/>
    <x v="1313"/>
    <n v="249"/>
    <n v="455.52"/>
    <n v="436"/>
    <n v="19.52"/>
    <n v="282.66000000000003"/>
    <n v="9.9600000000000009"/>
    <n v="25"/>
    <n v="0"/>
    <n v="48.96"/>
    <n v="10"/>
    <n v="8.5"/>
    <n v="4.285212504390587E-2"/>
    <n v="0.98960000000000004"/>
    <n v="0.62052160168598525"/>
    <n v="0.92460000000000009"/>
    <m/>
    <m/>
    <m/>
    <m/>
    <m/>
    <m/>
    <m/>
    <m/>
    <m/>
  </r>
  <r>
    <x v="1059"/>
    <x v="0"/>
    <s v="Native "/>
    <x v="5"/>
    <n v="38"/>
    <n v="38"/>
    <n v="0"/>
    <m/>
    <n v="17193"/>
    <n v="16506"/>
    <n v="687"/>
    <x v="1314"/>
    <n v="353"/>
    <n v="452.44736842105266"/>
    <n v="434.36842105263156"/>
    <n v="18.078947368421051"/>
    <n v="278.14736842105265"/>
    <n v="9.2894736842105257"/>
    <n v="25"/>
    <n v="0"/>
    <n v="49.723684210526315"/>
    <n v="10"/>
    <n v="8.5"/>
    <n v="3.9958122491711739E-2"/>
    <n v="0.99723684210526309"/>
    <n v="0.61476182167161053"/>
    <n v="0.93223684210526314"/>
    <m/>
    <m/>
    <m/>
    <m/>
    <m/>
    <m/>
    <n v="10"/>
    <m/>
    <m/>
  </r>
  <r>
    <x v="1059"/>
    <x v="0"/>
    <s v="Imported"/>
    <x v="23"/>
    <n v="40"/>
    <n v="40"/>
    <n v="0"/>
    <m/>
    <n v="19106"/>
    <n v="19106"/>
    <n v="0"/>
    <x v="1315"/>
    <n v="0"/>
    <n v="477.65"/>
    <n v="477.65"/>
    <n v="0"/>
    <n v="301.88499999999999"/>
    <n v="0"/>
    <n v="25"/>
    <n v="4"/>
    <n v="50"/>
    <n v="9.625"/>
    <n v="8.5"/>
    <n v="0"/>
    <n v="1"/>
    <n v="0.63202135454830943"/>
    <n v="0.97124999999999995"/>
    <m/>
    <m/>
    <m/>
    <m/>
    <m/>
    <m/>
    <m/>
    <m/>
    <m/>
  </r>
  <r>
    <x v="1060"/>
    <x v="0"/>
    <s v="Native "/>
    <x v="5"/>
    <n v="32"/>
    <n v="29"/>
    <n v="3"/>
    <s v="Rejection of 3 carcasses due to presence of c bovis in their hearts."/>
    <n v="12775"/>
    <n v="12119"/>
    <n v="656"/>
    <x v="1316"/>
    <n v="283"/>
    <n v="440.51724137931035"/>
    <n v="417.89655172413791"/>
    <n v="22.620689655172413"/>
    <n v="270.03793103448277"/>
    <n v="9.7586206896551726"/>
    <n v="25"/>
    <n v="0"/>
    <n v="49.931034482758619"/>
    <n v="10"/>
    <n v="8.5"/>
    <n v="5.1350293542074363E-2"/>
    <n v="0.99931034482758618"/>
    <n v="0.61300195694716242"/>
    <n v="0.93431034482758624"/>
    <m/>
    <m/>
    <m/>
    <m/>
    <m/>
    <m/>
    <n v="4"/>
    <m/>
    <m/>
  </r>
  <r>
    <x v="1061"/>
    <x v="0"/>
    <s v="Imported"/>
    <x v="23"/>
    <n v="27"/>
    <n v="27"/>
    <n v="0"/>
    <m/>
    <n v="12875"/>
    <n v="12875"/>
    <n v="0"/>
    <x v="1317"/>
    <n v="0"/>
    <n v="476.85185185185185"/>
    <n v="476.85185185185185"/>
    <n v="0"/>
    <n v="301.36296296296297"/>
    <n v="0"/>
    <n v="25"/>
    <n v="4"/>
    <n v="50"/>
    <n v="10"/>
    <n v="8.5"/>
    <n v="0"/>
    <n v="1"/>
    <n v="0.63198446601941749"/>
    <n v="0.97499999999999998"/>
    <m/>
    <m/>
    <m/>
    <m/>
    <m/>
    <m/>
    <m/>
    <m/>
    <m/>
  </r>
  <r>
    <x v="1062"/>
    <x v="0"/>
    <s v="Native "/>
    <x v="14"/>
    <n v="20"/>
    <n v="20"/>
    <n v="0"/>
    <m/>
    <n v="8806"/>
    <n v="8510"/>
    <n v="296"/>
    <x v="1318"/>
    <n v="193"/>
    <n v="440.3"/>
    <n v="425.5"/>
    <n v="14.8"/>
    <n v="264.18"/>
    <n v="9.65"/>
    <n v="25"/>
    <n v="0"/>
    <n v="49.15"/>
    <n v="10"/>
    <n v="8.5"/>
    <n v="3.3613445378151259E-2"/>
    <n v="0.99150000000000005"/>
    <n v="0.60000000000000009"/>
    <n v="0.9265000000000001"/>
    <m/>
    <m/>
    <m/>
    <m/>
    <m/>
    <m/>
    <n v="8"/>
    <m/>
    <m/>
  </r>
  <r>
    <x v="1063"/>
    <x v="0"/>
    <s v="Imported"/>
    <x v="23"/>
    <n v="30"/>
    <n v="30"/>
    <n v="0"/>
    <m/>
    <n v="14446.835443037973"/>
    <n v="14446.835443037973"/>
    <n v="0"/>
    <x v="1319"/>
    <n v="0"/>
    <n v="481.56118143459912"/>
    <n v="481.56118143459912"/>
    <n v="0"/>
    <n v="304.3466666666666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64"/>
    <x v="0"/>
    <s v="Native "/>
    <x v="14"/>
    <n v="49"/>
    <n v="45"/>
    <n v="4"/>
    <s v="1 bull + 2 carcass c. bovis + 1 carcass tb "/>
    <n v="23377"/>
    <n v="22499"/>
    <n v="878"/>
    <x v="1320"/>
    <n v="475"/>
    <n v="519.48888888888894"/>
    <n v="499.97777777777776"/>
    <n v="19.511111111111113"/>
    <n v="312.48888888888888"/>
    <n v="10.555555555555555"/>
    <n v="25"/>
    <n v="0"/>
    <n v="48.68888888888889"/>
    <n v="10"/>
    <n v="8.5"/>
    <n v="3.7558283783205713E-2"/>
    <n v="0.98688888888888893"/>
    <n v="0.60153141977157032"/>
    <n v="0.92188888888888898"/>
    <m/>
    <m/>
    <m/>
    <m/>
    <m/>
    <m/>
    <n v="37"/>
    <m/>
    <m/>
  </r>
  <r>
    <x v="1065"/>
    <x v="0"/>
    <s v="Imported"/>
    <x v="23"/>
    <n v="47"/>
    <n v="47"/>
    <n v="0"/>
    <m/>
    <n v="22957.911392405062"/>
    <n v="22957.911392405062"/>
    <n v="0"/>
    <x v="1321"/>
    <n v="0"/>
    <n v="488.46619983840554"/>
    <n v="488.46619983840554"/>
    <n v="0"/>
    <n v="308.7106382978723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66"/>
    <x v="0"/>
    <s v="Native "/>
    <x v="24"/>
    <n v="16"/>
    <n v="16"/>
    <n v="0"/>
    <m/>
    <n v="7118"/>
    <n v="6910"/>
    <n v="208"/>
    <x v="1322"/>
    <n v="94"/>
    <n v="444.875"/>
    <n v="431.875"/>
    <n v="13"/>
    <n v="266.90625"/>
    <n v="5.875"/>
    <n v="25"/>
    <n v="0"/>
    <n v="48.875"/>
    <n v="10"/>
    <n v="8.5"/>
    <n v="2.9221691486372575E-2"/>
    <n v="0.98875000000000002"/>
    <n v="0.59995785332958695"/>
    <n v="0.92374999999999996"/>
    <m/>
    <m/>
    <m/>
    <m/>
    <m/>
    <m/>
    <n v="8"/>
    <m/>
    <m/>
  </r>
  <r>
    <x v="1066"/>
    <x v="0"/>
    <s v="Native "/>
    <x v="14"/>
    <n v="60"/>
    <n v="60"/>
    <n v="0"/>
    <m/>
    <n v="28882"/>
    <n v="28255"/>
    <n v="627"/>
    <x v="1323"/>
    <n v="556"/>
    <n v="481.36666666666667"/>
    <n v="470.91666666666669"/>
    <n v="10.45"/>
    <n v="288.83833333333331"/>
    <n v="9.2666666666666675"/>
    <n v="24.333333333333336"/>
    <n v="0"/>
    <n v="48.766666666666666"/>
    <n v="10"/>
    <n v="8.5"/>
    <n v="2.1709022920850356E-2"/>
    <n v="0.97433333333333327"/>
    <n v="0.60003808600512432"/>
    <n v="0.91599999999999993"/>
    <m/>
    <m/>
    <m/>
    <m/>
    <m/>
    <m/>
    <n v="36"/>
    <m/>
    <m/>
  </r>
  <r>
    <x v="1067"/>
    <x v="0"/>
    <s v="Imported"/>
    <x v="23"/>
    <n v="44"/>
    <n v="44"/>
    <n v="0"/>
    <m/>
    <n v="21013.607594936708"/>
    <n v="21013.607594936708"/>
    <n v="0"/>
    <x v="1324"/>
    <n v="0"/>
    <n v="477.58199079401606"/>
    <n v="477.58199079401606"/>
    <n v="0"/>
    <n v="301.83181818181816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68"/>
    <x v="0"/>
    <s v="Imported"/>
    <x v="23"/>
    <n v="21"/>
    <n v="21"/>
    <n v="0"/>
    <m/>
    <n v="10184.177215189873"/>
    <n v="10184.177215189873"/>
    <n v="0"/>
    <x v="1325"/>
    <n v="0"/>
    <n v="484.96081977094633"/>
    <n v="484.96081977094633"/>
    <n v="0"/>
    <n v="306.49523809523805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69"/>
    <x v="0"/>
    <s v="Imported"/>
    <x v="23"/>
    <n v="32"/>
    <n v="30"/>
    <n v="2"/>
    <s v="2 carcasses (1 c bovis +1 generalized esinophilic myositis)"/>
    <n v="13687"/>
    <n v="13073"/>
    <n v="614"/>
    <x v="1326"/>
    <n v="259"/>
    <n v="456.23333333333335"/>
    <n v="435.76666666666665"/>
    <n v="20.466666666666665"/>
    <n v="280.09333333333331"/>
    <n v="8.6333333333333329"/>
    <n v="25"/>
    <n v="0"/>
    <n v="49.766666666666673"/>
    <n v="10"/>
    <n v="8.5"/>
    <n v="4.4860086213194997E-2"/>
    <n v="0.9976666666666667"/>
    <n v="0.61392562285380281"/>
    <n v="0.93266666666666675"/>
    <m/>
    <m/>
    <m/>
    <m/>
    <m/>
    <m/>
    <n v="16"/>
    <m/>
    <m/>
  </r>
  <r>
    <x v="1070"/>
    <x v="1"/>
    <m/>
    <x v="21"/>
    <n v="20"/>
    <n v="20"/>
    <n v="0"/>
    <m/>
    <n v="985"/>
    <n v="985"/>
    <n v="0"/>
    <x v="1327"/>
    <n v="0"/>
    <n v="49.25"/>
    <n v="49.25"/>
    <n v="0"/>
    <n v="28.98"/>
    <n v="0"/>
    <n v="25"/>
    <n v="0"/>
    <n v="48.449999999999996"/>
    <n v="10"/>
    <n v="8.5"/>
    <n v="0"/>
    <n v="0.98449999999999993"/>
    <n v="0.5884263959390863"/>
    <n v="0.91949999999999987"/>
    <m/>
    <m/>
    <m/>
    <m/>
    <m/>
    <m/>
    <m/>
    <m/>
    <m/>
  </r>
  <r>
    <x v="1070"/>
    <x v="0"/>
    <s v="Native "/>
    <x v="5"/>
    <n v="40"/>
    <n v="39"/>
    <n v="1"/>
    <s v="1 c. bovis"/>
    <n v="17814"/>
    <n v="17814"/>
    <n v="0"/>
    <x v="1328"/>
    <n v="374"/>
    <n v="456.76923076923077"/>
    <n v="456.76923076923077"/>
    <n v="0"/>
    <n v="279.06666666666666"/>
    <n v="9.5897435897435894"/>
    <n v="24.871794871794872"/>
    <n v="0"/>
    <n v="49.179487179487182"/>
    <n v="10"/>
    <n v="8.5"/>
    <n v="0"/>
    <n v="0.98923076923076925"/>
    <n v="0.61095767373975529"/>
    <n v="0.92551282051282058"/>
    <m/>
    <m/>
    <m/>
    <m/>
    <m/>
    <m/>
    <n v="11"/>
    <m/>
    <m/>
  </r>
  <r>
    <x v="1071"/>
    <x v="0"/>
    <s v="Native "/>
    <x v="0"/>
    <n v="56"/>
    <n v="56"/>
    <n v="0"/>
    <m/>
    <n v="31995"/>
    <n v="31995"/>
    <n v="0"/>
    <x v="1329"/>
    <n v="788"/>
    <n v="571.33928571428567"/>
    <n v="571.33928571428567"/>
    <n v="0"/>
    <n v="343.70357142857148"/>
    <n v="14.071428571428571"/>
    <n v="24.285714285714285"/>
    <n v="0"/>
    <n v="47.125"/>
    <n v="10"/>
    <n v="8.5"/>
    <n v="0"/>
    <n v="0.95696428571428571"/>
    <n v="0.60157524613220825"/>
    <n v="0.89910714285714277"/>
    <m/>
    <m/>
    <m/>
    <m/>
    <m/>
    <m/>
    <n v="51"/>
    <m/>
    <m/>
  </r>
  <r>
    <x v="1072"/>
    <x v="0"/>
    <s v="Imported"/>
    <x v="23"/>
    <n v="30"/>
    <n v="30"/>
    <n v="0"/>
    <m/>
    <n v="14040.506329113923"/>
    <n v="14040.506329113923"/>
    <n v="0"/>
    <x v="1330"/>
    <n v="0"/>
    <n v="468.01687763713079"/>
    <n v="468.01687763713079"/>
    <n v="0"/>
    <n v="295.78666666666669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73"/>
    <x v="0"/>
    <s v="Imported"/>
    <x v="23"/>
    <n v="52"/>
    <n v="52"/>
    <n v="0"/>
    <m/>
    <n v="25064.240506329112"/>
    <n v="25064.240506329112"/>
    <n v="0"/>
    <x v="1331"/>
    <n v="0"/>
    <n v="482.00462512171367"/>
    <n v="482.00462512171367"/>
    <n v="0"/>
    <n v="304.62692307692311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74"/>
    <x v="0"/>
    <s v="Imported"/>
    <x v="23"/>
    <n v="32"/>
    <n v="32"/>
    <n v="0"/>
    <m/>
    <n v="15605.696202531642"/>
    <n v="15605.696202531642"/>
    <n v="0"/>
    <x v="1332"/>
    <n v="0"/>
    <n v="487.67800632911383"/>
    <n v="487.67800632911383"/>
    <n v="0"/>
    <n v="308.21249999999998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75"/>
    <x v="0"/>
    <s v="Imported"/>
    <x v="23"/>
    <n v="56"/>
    <n v="56"/>
    <n v="0"/>
    <m/>
    <n v="27629.113924050627"/>
    <n v="27629.113924050627"/>
    <n v="0"/>
    <x v="1333"/>
    <n v="0"/>
    <n v="493.3770343580469"/>
    <n v="493.3770343580469"/>
    <n v="0"/>
    <n v="311.81428571428569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76"/>
    <x v="0"/>
    <s v="Imported"/>
    <x v="23"/>
    <n v="45"/>
    <n v="45"/>
    <n v="0"/>
    <m/>
    <n v="21716.455696202531"/>
    <n v="21716.455696202531"/>
    <n v="0"/>
    <x v="1334"/>
    <n v="0"/>
    <n v="482.58790436005626"/>
    <n v="482.58790436005626"/>
    <n v="0"/>
    <n v="304.99555555555554"/>
    <n v="0"/>
    <n v="25"/>
    <n v="0"/>
    <n v="50"/>
    <n v="10"/>
    <n v="8.5"/>
    <n v="0"/>
    <n v="1"/>
    <n v="0.63200000000000001"/>
    <n v="0.93500000000000005"/>
    <m/>
    <m/>
    <m/>
    <m/>
    <m/>
    <m/>
    <m/>
    <m/>
    <m/>
  </r>
  <r>
    <x v="1077"/>
    <x v="0"/>
    <s v="Imported"/>
    <x v="23"/>
    <n v="52"/>
    <n v="51"/>
    <n v="1"/>
    <s v="Rejection of 1 carcass due to presence of TB in left prescapular ln"/>
    <n v="24512.974683544304"/>
    <n v="24512.974683544304"/>
    <n v="0"/>
    <x v="1335"/>
    <n v="0"/>
    <n v="480.64656242243734"/>
    <n v="480.64656242243734"/>
    <n v="0"/>
    <n v="303.76862745098043"/>
    <n v="0"/>
    <n v="25"/>
    <n v="4"/>
    <n v="50"/>
    <n v="9.9019607843137258"/>
    <n v="8.5"/>
    <n v="0"/>
    <n v="1"/>
    <n v="0.63200000000000001"/>
    <n v="0.97401960784313735"/>
    <m/>
    <m/>
    <m/>
    <m/>
    <m/>
    <m/>
    <m/>
    <m/>
    <m/>
  </r>
  <r>
    <x v="1078"/>
    <x v="0"/>
    <s v="Imported"/>
    <x v="23"/>
    <n v="39"/>
    <n v="39"/>
    <n v="0"/>
    <m/>
    <n v="18823.101265822785"/>
    <n v="18823.101265822785"/>
    <n v="0"/>
    <x v="1336"/>
    <n v="0"/>
    <n v="482.64362220058422"/>
    <n v="482.64362220058422"/>
    <n v="0"/>
    <n v="305.0307692307692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79"/>
    <x v="0"/>
    <s v="Imported"/>
    <x v="23"/>
    <n v="54"/>
    <n v="54"/>
    <n v="0"/>
    <m/>
    <n v="24503.797468354431"/>
    <n v="24503.797468354431"/>
    <n v="0"/>
    <x v="1337"/>
    <n v="0"/>
    <n v="453.7740271917487"/>
    <n v="453.7740271917487"/>
    <n v="0"/>
    <n v="286.7851851851851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80"/>
    <x v="0"/>
    <s v="Imported"/>
    <x v="23"/>
    <n v="48"/>
    <n v="48"/>
    <n v="0"/>
    <m/>
    <n v="20948.734177215189"/>
    <n v="20948.734177215189"/>
    <n v="0"/>
    <x v="1338"/>
    <n v="0"/>
    <n v="436.43196202531641"/>
    <n v="436.43196202531641"/>
    <n v="0"/>
    <n v="275.8249999999999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81"/>
    <x v="0"/>
    <s v="Imported"/>
    <x v="23"/>
    <n v="62"/>
    <n v="60"/>
    <n v="2"/>
    <s v="Rejection of 2 bulls suffering of sever lameness"/>
    <n v="25797.468354430377"/>
    <n v="25797.468354430377"/>
    <n v="0"/>
    <x v="1339"/>
    <n v="0"/>
    <n v="429.95780590717294"/>
    <n v="429.95780590717294"/>
    <n v="0"/>
    <n v="271.73333333333335"/>
    <n v="0"/>
    <n v="25"/>
    <n v="0"/>
    <n v="50"/>
    <n v="10"/>
    <n v="8.5"/>
    <n v="0"/>
    <n v="1"/>
    <n v="0.63200000000000012"/>
    <n v="0.93500000000000005"/>
    <m/>
    <m/>
    <m/>
    <m/>
    <m/>
    <m/>
    <m/>
    <m/>
    <m/>
  </r>
  <r>
    <x v="1082"/>
    <x v="0"/>
    <s v="Native "/>
    <x v="5"/>
    <n v="64"/>
    <n v="62"/>
    <n v="2"/>
    <s v="Rejection of 2 carcasses due to presence of c. bovis in their hearts."/>
    <n v="27310"/>
    <n v="26581"/>
    <n v="729"/>
    <x v="1340"/>
    <n v="582"/>
    <n v="440.48387096774195"/>
    <n v="428.72580645161293"/>
    <n v="11.758064516129032"/>
    <n v="277.93548387096774"/>
    <n v="9.387096774193548"/>
    <n v="25"/>
    <n v="0"/>
    <n v="49.774193548387096"/>
    <n v="9.9193548387096779"/>
    <n v="8.5"/>
    <n v="2.669351885756133E-2"/>
    <n v="0.99774193548387102"/>
    <n v="0.63097766385939213"/>
    <n v="0.93193548387096781"/>
    <m/>
    <m/>
    <m/>
    <m/>
    <m/>
    <m/>
    <n v="12"/>
    <m/>
    <m/>
  </r>
  <r>
    <x v="1083"/>
    <x v="0"/>
    <s v="Native "/>
    <x v="5"/>
    <n v="36"/>
    <n v="35"/>
    <n v="1"/>
    <m/>
    <n v="15164"/>
    <n v="14317"/>
    <n v="847"/>
    <x v="1341"/>
    <n v="338"/>
    <n v="433.25714285714287"/>
    <n v="409.05714285714288"/>
    <n v="24.2"/>
    <n v="262.72285714285709"/>
    <n v="9.6571428571428566"/>
    <n v="25"/>
    <n v="0"/>
    <n v="48.4"/>
    <n v="10"/>
    <n v="8.5"/>
    <n v="5.585597467686626E-2"/>
    <n v="0.98399999999999999"/>
    <n v="0.60639013452914792"/>
    <n v="0.91900000000000004"/>
    <m/>
    <m/>
    <m/>
    <m/>
    <m/>
    <m/>
    <m/>
    <m/>
    <m/>
  </r>
  <r>
    <x v="1083"/>
    <x v="0"/>
    <s v="Imported"/>
    <x v="23"/>
    <n v="55"/>
    <n v="55"/>
    <n v="0"/>
    <m/>
    <n v="26128.164556962023"/>
    <n v="26128.164556962023"/>
    <n v="0"/>
    <x v="1342"/>
    <n v="0"/>
    <n v="475.05753739930952"/>
    <n v="475.05753739930952"/>
    <n v="0"/>
    <n v="300.23636363636365"/>
    <n v="0"/>
    <n v="25"/>
    <n v="0"/>
    <n v="49.18181818181818"/>
    <n v="9.6363636363636367"/>
    <n v="8.5"/>
    <n v="0"/>
    <n v="0.99181818181818182"/>
    <n v="0.63200000000000001"/>
    <n v="0.92318181818181833"/>
    <m/>
    <m/>
    <m/>
    <m/>
    <m/>
    <m/>
    <m/>
    <m/>
    <m/>
  </r>
  <r>
    <x v="1084"/>
    <x v="0"/>
    <s v="Native "/>
    <x v="24"/>
    <n v="18"/>
    <n v="17"/>
    <n v="1"/>
    <s v="Rejection of 1 carcass due to presence of c. bovis in the heart."/>
    <n v="7665"/>
    <n v="7278"/>
    <n v="387"/>
    <x v="1343"/>
    <n v="71"/>
    <n v="450.88235294117646"/>
    <n v="428.11764705882354"/>
    <n v="22.764705882352942"/>
    <n v="270.5411764705882"/>
    <n v="4.1764705882352944"/>
    <n v="25"/>
    <n v="0"/>
    <n v="47"/>
    <n v="10"/>
    <n v="8.5"/>
    <n v="5.0489236790606656E-2"/>
    <n v="0.97"/>
    <n v="0.60002609262883233"/>
    <n v="0.90500000000000003"/>
    <m/>
    <m/>
    <m/>
    <m/>
    <m/>
    <m/>
    <n v="8"/>
    <m/>
    <m/>
  </r>
  <r>
    <x v="1085"/>
    <x v="0"/>
    <s v="Imported"/>
    <x v="23"/>
    <n v="50"/>
    <n v="50"/>
    <n v="0"/>
    <m/>
    <n v="22757.911392405062"/>
    <n v="22757.911392405062"/>
    <n v="0"/>
    <x v="1344"/>
    <n v="0"/>
    <n v="455.15822784810121"/>
    <n v="455.15822784810121"/>
    <n v="0"/>
    <n v="287.66000000000003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86"/>
    <x v="0"/>
    <s v="Native "/>
    <x v="24"/>
    <n v="18"/>
    <n v="18"/>
    <n v="0"/>
    <m/>
    <n v="7925"/>
    <n v="7925"/>
    <n v="0"/>
    <x v="1345"/>
    <n v="87"/>
    <n v="440.27777777777777"/>
    <n v="440.27777777777777"/>
    <n v="0"/>
    <n v="264.18333333333334"/>
    <n v="4.833333333333333"/>
    <n v="25"/>
    <n v="0"/>
    <n v="48.277777777777779"/>
    <n v="10"/>
    <n v="8.5"/>
    <n v="0"/>
    <n v="0.98277777777777775"/>
    <n v="0.60003785488958994"/>
    <n v="0.91777777777777769"/>
    <m/>
    <m/>
    <m/>
    <m/>
    <m/>
    <m/>
    <n v="12"/>
    <m/>
    <m/>
  </r>
  <r>
    <x v="1087"/>
    <x v="0"/>
    <s v="Imported"/>
    <x v="23"/>
    <n v="70"/>
    <n v="70"/>
    <n v="0"/>
    <m/>
    <n v="29798.417721518981"/>
    <n v="29798.417721518981"/>
    <n v="0"/>
    <x v="1346"/>
    <n v="0"/>
    <n v="425.69168173598547"/>
    <n v="425.69168173598547"/>
    <n v="0"/>
    <n v="269.03714285714284"/>
    <n v="0"/>
    <n v="25"/>
    <n v="4"/>
    <n v="50"/>
    <n v="9.9285714285714288"/>
    <n v="8.5"/>
    <n v="0"/>
    <n v="1"/>
    <n v="0.63200000000000012"/>
    <n v="0.97428571428571431"/>
    <m/>
    <m/>
    <m/>
    <m/>
    <m/>
    <m/>
    <m/>
    <m/>
    <m/>
  </r>
  <r>
    <x v="1088"/>
    <x v="0"/>
    <s v="Imported"/>
    <x v="23"/>
    <n v="35"/>
    <n v="35"/>
    <n v="0"/>
    <m/>
    <n v="14800.3164556962"/>
    <n v="14800.3164556962"/>
    <n v="0"/>
    <x v="1347"/>
    <n v="0"/>
    <n v="422.86618444846289"/>
    <n v="422.86618444846289"/>
    <n v="0"/>
    <n v="267.22857142857146"/>
    <n v="0"/>
    <n v="25"/>
    <n v="4"/>
    <n v="50"/>
    <n v="9.5714285714285712"/>
    <n v="8.5"/>
    <n v="0"/>
    <n v="1"/>
    <n v="0.63194594710171281"/>
    <n v="0.97071428571428564"/>
    <m/>
    <m/>
    <m/>
    <m/>
    <m/>
    <m/>
    <m/>
    <m/>
    <m/>
  </r>
  <r>
    <x v="1089"/>
    <x v="0"/>
    <s v="Native "/>
    <x v="14"/>
    <n v="53"/>
    <n v="52"/>
    <n v="1"/>
    <s v="Rejection of 1 carcass due to presence of c bovis in the masseter ms of the head"/>
    <n v="28087"/>
    <n v="27150"/>
    <n v="937"/>
    <x v="1348"/>
    <n v="622"/>
    <n v="540.13461538461536"/>
    <n v="522.11538461538464"/>
    <n v="18.01923076923077"/>
    <n v="325.86346153846159"/>
    <n v="11.961538461538462"/>
    <n v="24.23076923076923"/>
    <n v="0"/>
    <n v="49.59615384615384"/>
    <n v="10"/>
    <n v="8.5"/>
    <n v="3.3360629472709798E-2"/>
    <n v="0.98057692307692301"/>
    <n v="0.60330045928721476"/>
    <n v="0.92326923076923062"/>
    <m/>
    <m/>
    <m/>
    <m/>
    <m/>
    <m/>
    <n v="33"/>
    <m/>
    <m/>
  </r>
  <r>
    <x v="1090"/>
    <x v="0"/>
    <s v="Native "/>
    <x v="14"/>
    <n v="40"/>
    <n v="39"/>
    <n v="1"/>
    <s v="Rejection of 1 carcass due to presence of c. bovis in the masseter ms of the head."/>
    <n v="20165"/>
    <n v="19415"/>
    <n v="750"/>
    <x v="1349"/>
    <n v="446"/>
    <n v="517.0512820512821"/>
    <n v="497.82051282051282"/>
    <n v="19.23076923076923"/>
    <n v="310.66666666666669"/>
    <n v="11.435897435897436"/>
    <n v="24.743589743589745"/>
    <n v="0"/>
    <n v="48.141025641025642"/>
    <n v="10"/>
    <n v="8.5"/>
    <n v="3.71931564592115E-2"/>
    <n v="0.97628205128205137"/>
    <n v="0.60084304487974216"/>
    <n v="0.91384615384615386"/>
    <m/>
    <m/>
    <m/>
    <m/>
    <m/>
    <m/>
    <n v="11"/>
    <m/>
    <m/>
  </r>
  <r>
    <x v="1090"/>
    <x v="0"/>
    <s v="Imported"/>
    <x v="23"/>
    <n v="51"/>
    <n v="51"/>
    <n v="0"/>
    <m/>
    <n v="21007.594936708861"/>
    <n v="21007.594936708861"/>
    <n v="0"/>
    <x v="1350"/>
    <n v="0"/>
    <n v="411.91362620997768"/>
    <n v="411.91362620997768"/>
    <n v="0"/>
    <n v="260.32941176470587"/>
    <n v="0"/>
    <n v="25"/>
    <n v="4"/>
    <n v="50"/>
    <n v="9.9019607843137258"/>
    <n v="8.5"/>
    <n v="0"/>
    <n v="1"/>
    <n v="0.6319999999999999"/>
    <n v="0.97401960784313735"/>
    <m/>
    <m/>
    <m/>
    <m/>
    <m/>
    <m/>
    <m/>
    <m/>
    <m/>
  </r>
  <r>
    <x v="1091"/>
    <x v="0"/>
    <s v="Imported"/>
    <x v="23"/>
    <n v="48"/>
    <n v="47"/>
    <n v="1"/>
    <s v="Rejection of 1 bull due to presence of illness sign (Dyspnia)."/>
    <n v="19406.32911392405"/>
    <n v="19406.32911392405"/>
    <n v="0"/>
    <x v="1351"/>
    <n v="0"/>
    <n v="412.90061944519255"/>
    <n v="412.90061944519255"/>
    <n v="0"/>
    <n v="260.953191489361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92"/>
    <x v="0"/>
    <s v="Imported"/>
    <x v="23"/>
    <n v="35"/>
    <n v="35"/>
    <n v="0"/>
    <m/>
    <n v="14728.164556962027"/>
    <n v="14728.164556962027"/>
    <n v="0"/>
    <x v="1352"/>
    <n v="0"/>
    <n v="420.80470162748651"/>
    <n v="420.80470162748651"/>
    <n v="0"/>
    <n v="265.94857142857143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093"/>
    <x v="1"/>
    <m/>
    <x v="21"/>
    <n v="20"/>
    <n v="20"/>
    <n v="0"/>
    <m/>
    <n v="944"/>
    <n v="944"/>
    <n v="0"/>
    <x v="1353"/>
    <n v="0"/>
    <n v="47.2"/>
    <n v="47.2"/>
    <n v="0"/>
    <n v="26.925000000000001"/>
    <n v="0"/>
    <n v="25"/>
    <n v="0"/>
    <n v="49.05"/>
    <n v="10"/>
    <n v="8.5"/>
    <n v="0"/>
    <n v="0.99049999999999994"/>
    <n v="0.57044491525423724"/>
    <n v="0.92549999999999999"/>
    <m/>
    <m/>
    <m/>
    <m/>
    <m/>
    <m/>
    <m/>
    <m/>
    <m/>
  </r>
  <r>
    <x v="1093"/>
    <x v="0"/>
    <s v="Native "/>
    <x v="14"/>
    <n v="47"/>
    <n v="45"/>
    <n v="2"/>
    <s v="Rejection of 2 carcasses due to presence of c. Bovis in their hearts."/>
    <n v="22710"/>
    <n v="21960"/>
    <n v="750"/>
    <x v="1354"/>
    <n v="523"/>
    <n v="504.66666666666669"/>
    <n v="488"/>
    <n v="16.666666666666668"/>
    <n v="304.12666666666667"/>
    <n v="11.622222222222222"/>
    <n v="24.222222222222221"/>
    <n v="0"/>
    <n v="49.62222222222222"/>
    <n v="10"/>
    <n v="8.5"/>
    <n v="3.3025099075297229E-2"/>
    <n v="0.98066666666666658"/>
    <n v="0.60262879788639367"/>
    <n v="0.92344444444444429"/>
    <m/>
    <m/>
    <m/>
    <m/>
    <m/>
    <m/>
    <n v="35"/>
    <m/>
    <m/>
  </r>
  <r>
    <x v="1094"/>
    <x v="1"/>
    <m/>
    <x v="21"/>
    <n v="7"/>
    <n v="7"/>
    <n v="0"/>
    <m/>
    <n v="325"/>
    <n v="320"/>
    <n v="5"/>
    <x v="1355"/>
    <n v="0"/>
    <n v="46.428571428571431"/>
    <n v="45.714285714285715"/>
    <n v="0.7142857142857143"/>
    <n v="26.071428571428573"/>
    <n v="0"/>
    <n v="25"/>
    <n v="0"/>
    <n v="48"/>
    <n v="10"/>
    <n v="8.5"/>
    <n v="1.5384615384615384E-2"/>
    <n v="0.98"/>
    <n v="0.56153846153846154"/>
    <n v="0.91500000000000004"/>
    <m/>
    <m/>
    <m/>
    <m/>
    <m/>
    <m/>
    <m/>
    <m/>
    <m/>
  </r>
  <r>
    <x v="1094"/>
    <x v="0"/>
    <s v="Native "/>
    <x v="14"/>
    <n v="40"/>
    <n v="40"/>
    <n v="0"/>
    <m/>
    <n v="20730"/>
    <n v="20010"/>
    <n v="720"/>
    <x v="1356"/>
    <n v="489"/>
    <n v="518.25"/>
    <n v="500.25"/>
    <n v="18"/>
    <n v="311.065"/>
    <n v="12.225"/>
    <n v="24.125"/>
    <n v="0"/>
    <n v="48.337500000000006"/>
    <n v="10"/>
    <n v="8.5"/>
    <n v="3.4732272069464547E-2"/>
    <n v="0.96587500000000004"/>
    <n v="0.60022190062711045"/>
    <n v="0.90962500000000002"/>
    <m/>
    <m/>
    <m/>
    <m/>
    <m/>
    <m/>
    <n v="26"/>
    <m/>
    <m/>
  </r>
  <r>
    <x v="1094"/>
    <x v="0"/>
    <s v="Imported"/>
    <x v="23"/>
    <n v="68"/>
    <n v="68"/>
    <n v="0"/>
    <m/>
    <n v="28092.088607594935"/>
    <n v="28092.088607594935"/>
    <n v="0"/>
    <x v="1357"/>
    <n v="0"/>
    <n v="413.1189501116902"/>
    <n v="413.1189501116902"/>
    <n v="0"/>
    <n v="261.09117647058827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95"/>
    <x v="0"/>
    <s v="Native "/>
    <x v="9"/>
    <n v="26"/>
    <n v="26"/>
    <n v="0"/>
    <m/>
    <n v="13490"/>
    <n v="13165"/>
    <n v="325"/>
    <x v="1358"/>
    <n v="294"/>
    <n v="518.84615384615381"/>
    <n v="506.34615384615387"/>
    <n v="12.5"/>
    <n v="311.28461538461539"/>
    <n v="11.307692307692308"/>
    <n v="23.888888888888889"/>
    <n v="0"/>
    <n v="48.333333333333329"/>
    <n v="10"/>
    <n v="8.5"/>
    <n v="2.4091919940696815E-2"/>
    <n v="0.96111111111111103"/>
    <n v="0.59995552260934026"/>
    <n v="0.90722222222222215"/>
    <m/>
    <m/>
    <m/>
    <m/>
    <m/>
    <m/>
    <n v="13"/>
    <m/>
    <m/>
  </r>
  <r>
    <x v="1095"/>
    <x v="0"/>
    <s v="Native "/>
    <x v="5"/>
    <n v="34"/>
    <n v="33"/>
    <n v="1"/>
    <s v="Rejection of 1 carcass due to presence of c. Bovis in the heart."/>
    <n v="14828"/>
    <n v="14265"/>
    <n v="563"/>
    <x v="1359"/>
    <n v="362"/>
    <n v="449.33333333333331"/>
    <n v="432.27272727272725"/>
    <n v="17.060606060606062"/>
    <n v="278.60303030303027"/>
    <n v="10.969696969696969"/>
    <n v="25"/>
    <n v="0"/>
    <n v="50"/>
    <n v="10"/>
    <n v="8.5"/>
    <n v="3.7968707850013494E-2"/>
    <n v="1"/>
    <n v="0.62003641758834638"/>
    <n v="0.93500000000000005"/>
    <m/>
    <m/>
    <m/>
    <m/>
    <m/>
    <m/>
    <n v="6"/>
    <m/>
    <m/>
  </r>
  <r>
    <x v="1095"/>
    <x v="0"/>
    <s v="Imported"/>
    <x v="23"/>
    <n v="40"/>
    <n v="40"/>
    <n v="0"/>
    <m/>
    <n v="16661.392405063289"/>
    <n v="16661.392405063289"/>
    <n v="0"/>
    <x v="1360"/>
    <n v="0"/>
    <n v="416.53481012658222"/>
    <n v="416.53481012658222"/>
    <n v="0"/>
    <n v="263.25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096"/>
    <x v="0"/>
    <s v="Native "/>
    <x v="5"/>
    <n v="45"/>
    <n v="45"/>
    <n v="0"/>
    <m/>
    <n v="19746"/>
    <n v="19065"/>
    <n v="681"/>
    <x v="1361"/>
    <n v="421"/>
    <n v="438.8"/>
    <n v="423.66666666666669"/>
    <n v="15.133333333333333"/>
    <n v="273.84222222222223"/>
    <n v="9.3555555555555561"/>
    <n v="22.777777777777779"/>
    <n v="0"/>
    <n v="49.088888888888889"/>
    <n v="10"/>
    <n v="8.5"/>
    <n v="3.4487997569127925E-2"/>
    <n v="0.94644444444444442"/>
    <n v="0.62407069786285829"/>
    <n v="0.90366666666666673"/>
    <m/>
    <m/>
    <m/>
    <m/>
    <m/>
    <m/>
    <n v="14"/>
    <m/>
    <m/>
  </r>
  <r>
    <x v="1097"/>
    <x v="0"/>
    <s v="Native "/>
    <x v="9"/>
    <n v="32"/>
    <n v="31"/>
    <n v="1"/>
    <s v="Rejection of 1 carcass due to presence of c. bovis in the heart."/>
    <n v="14997"/>
    <n v="14890"/>
    <n v="107"/>
    <x v="1362"/>
    <n v="308"/>
    <n v="483.77419354838707"/>
    <n v="480.32258064516128"/>
    <n v="3.4516129032258065"/>
    <n v="290.25483870967741"/>
    <n v="9.935483870967742"/>
    <n v="25"/>
    <n v="0"/>
    <n v="49.451612903225801"/>
    <n v="10"/>
    <n v="8.5"/>
    <n v="7.1347602853904122E-3"/>
    <n v="0.99451612903225795"/>
    <n v="0.59997999599919982"/>
    <n v="0.92951612903225789"/>
    <m/>
    <m/>
    <m/>
    <m/>
    <m/>
    <m/>
    <n v="13"/>
    <m/>
    <m/>
  </r>
  <r>
    <x v="1097"/>
    <x v="0"/>
    <s v="Native "/>
    <x v="24"/>
    <n v="16"/>
    <n v="16"/>
    <n v="0"/>
    <m/>
    <n v="6897"/>
    <n v="6695"/>
    <n v="202"/>
    <x v="1363"/>
    <n v="74"/>
    <n v="431.0625"/>
    <n v="418.4375"/>
    <n v="12.625"/>
    <n v="258.65625"/>
    <n v="4.625"/>
    <n v="25"/>
    <n v="0"/>
    <n v="49.6875"/>
    <n v="10"/>
    <n v="8.5"/>
    <n v="2.9288096273742206E-2"/>
    <n v="0.99687499999999996"/>
    <n v="0.60004349717268379"/>
    <n v="0.93187500000000001"/>
    <m/>
    <m/>
    <m/>
    <m/>
    <m/>
    <m/>
    <n v="8"/>
    <m/>
    <m/>
  </r>
  <r>
    <x v="1097"/>
    <x v="0"/>
    <s v="Imported"/>
    <x v="23"/>
    <n v="60"/>
    <n v="60"/>
    <n v="0"/>
    <m/>
    <n v="24281.32911392405"/>
    <n v="24281.32911392405"/>
    <n v="0"/>
    <x v="1364"/>
    <n v="0"/>
    <n v="404.68881856540082"/>
    <n v="404.68881856540082"/>
    <n v="0"/>
    <n v="255.76333333333332"/>
    <n v="0"/>
    <n v="25"/>
    <n v="4"/>
    <n v="45"/>
    <n v="10"/>
    <n v="8.5"/>
    <n v="0"/>
    <n v="0.95"/>
    <n v="0.63200000000000001"/>
    <n v="0.92500000000000004"/>
    <m/>
    <m/>
    <m/>
    <m/>
    <m/>
    <m/>
    <m/>
    <m/>
    <m/>
  </r>
  <r>
    <x v="1098"/>
    <x v="0"/>
    <s v="Native "/>
    <x v="14"/>
    <n v="23"/>
    <n v="22"/>
    <n v="1"/>
    <s v="Rejection of 1 carcass due to presence of generalized TB"/>
    <n v="11015"/>
    <n v="11015"/>
    <n v="0"/>
    <x v="1365"/>
    <n v="238"/>
    <n v="500.68181818181819"/>
    <n v="500.68181818181819"/>
    <n v="0"/>
    <n v="301.47727272727275"/>
    <n v="10.818181818181818"/>
    <n v="25"/>
    <n v="0"/>
    <n v="49.227272727272727"/>
    <n v="10"/>
    <n v="8.5"/>
    <n v="0"/>
    <n v="0.9922727272727272"/>
    <n v="0.60213345438039034"/>
    <n v="0.92727272727272725"/>
    <m/>
    <m/>
    <m/>
    <m/>
    <m/>
    <m/>
    <n v="7"/>
    <m/>
    <m/>
  </r>
  <r>
    <x v="1099"/>
    <x v="0"/>
    <s v="Native "/>
    <x v="14"/>
    <n v="42"/>
    <n v="39"/>
    <n v="3"/>
    <s v="Rejection or 3 carcasses due to presence of c bovis in their hearts."/>
    <n v="19227"/>
    <n v="18630"/>
    <n v="597"/>
    <x v="1366"/>
    <n v="379"/>
    <n v="493"/>
    <n v="477.69230769230768"/>
    <n v="15.307692307692308"/>
    <n v="296.19230769230768"/>
    <n v="9.7179487179487172"/>
    <n v="24.615384615384617"/>
    <n v="0"/>
    <n v="48.307692307692314"/>
    <n v="10"/>
    <n v="8.5"/>
    <n v="3.1050085816820099E-2"/>
    <n v="0.97538461538461552"/>
    <n v="0.60079575596816981"/>
    <n v="0.91423076923076929"/>
    <m/>
    <m/>
    <m/>
    <m/>
    <m/>
    <m/>
    <n v="19"/>
    <m/>
    <m/>
  </r>
  <r>
    <x v="1100"/>
    <x v="0"/>
    <s v="Native "/>
    <x v="5"/>
    <n v="56"/>
    <n v="55"/>
    <n v="1"/>
    <s v="TB in pelvic cavity"/>
    <n v="23510"/>
    <n v="22495"/>
    <n v="1015"/>
    <x v="1367"/>
    <n v="520"/>
    <n v="427.45454545454544"/>
    <n v="409"/>
    <n v="18.454545454545453"/>
    <n v="262.89090909090908"/>
    <n v="9.454545454545455"/>
    <n v="25"/>
    <n v="0"/>
    <n v="49.163636363636357"/>
    <n v="9.9090909090909101"/>
    <n v="8.5"/>
    <n v="4.3173117822203316E-2"/>
    <n v="0.99163636363636365"/>
    <n v="0.61501488728200771"/>
    <n v="0.92572727272727262"/>
    <m/>
    <m/>
    <m/>
    <m/>
    <m/>
    <m/>
    <n v="14"/>
    <m/>
    <m/>
  </r>
  <r>
    <x v="1100"/>
    <x v="0"/>
    <s v="Imported"/>
    <x v="23"/>
    <n v="60"/>
    <n v="60"/>
    <n v="0"/>
    <m/>
    <n v="24721.202531645569"/>
    <n v="24721.202531645569"/>
    <n v="0"/>
    <x v="1368"/>
    <n v="0"/>
    <n v="412.02004219409281"/>
    <n v="412.02004219409281"/>
    <n v="0"/>
    <n v="260.39666666666665"/>
    <n v="0"/>
    <n v="25"/>
    <n v="4"/>
    <n v="45"/>
    <n v="10"/>
    <n v="8.5"/>
    <n v="0"/>
    <n v="0.95"/>
    <n v="0.63200000000000001"/>
    <n v="0.92500000000000004"/>
    <m/>
    <m/>
    <m/>
    <m/>
    <m/>
    <m/>
    <m/>
    <m/>
    <m/>
  </r>
  <r>
    <x v="1101"/>
    <x v="0"/>
    <s v="Imported"/>
    <x v="23"/>
    <n v="50"/>
    <n v="50"/>
    <n v="0"/>
    <m/>
    <n v="20471.835443037973"/>
    <n v="20471.835443037973"/>
    <n v="0"/>
    <x v="1369"/>
    <n v="0"/>
    <n v="409.43670886075944"/>
    <n v="409.43670886075944"/>
    <n v="0"/>
    <n v="258.76400000000001"/>
    <n v="0"/>
    <n v="25"/>
    <n v="4"/>
    <n v="45"/>
    <n v="10"/>
    <n v="8.5"/>
    <n v="0"/>
    <n v="0.95"/>
    <n v="0.63200000000000012"/>
    <n v="0.92500000000000004"/>
    <m/>
    <m/>
    <m/>
    <m/>
    <m/>
    <m/>
    <m/>
    <m/>
    <m/>
  </r>
  <r>
    <x v="1102"/>
    <x v="0"/>
    <s v="Native "/>
    <x v="9"/>
    <n v="16"/>
    <n v="16"/>
    <n v="0"/>
    <m/>
    <n v="7360"/>
    <n v="7140"/>
    <n v="220"/>
    <x v="1370"/>
    <n v="147"/>
    <n v="460"/>
    <n v="446.25"/>
    <n v="13.75"/>
    <n v="275.98750000000001"/>
    <n v="9.1875"/>
    <n v="25"/>
    <n v="0"/>
    <n v="48.125"/>
    <n v="10"/>
    <n v="8.5"/>
    <n v="2.9891304347826088E-2"/>
    <n v="0.98124999999999996"/>
    <n v="0.59997282608695657"/>
    <n v="0.91625000000000001"/>
    <m/>
    <m/>
    <m/>
    <m/>
    <m/>
    <m/>
    <n v="8"/>
    <m/>
    <m/>
  </r>
  <r>
    <x v="1103"/>
    <x v="0"/>
    <s v="Native "/>
    <x v="14"/>
    <n v="67"/>
    <n v="64"/>
    <n v="3"/>
    <s v="Rejection of 3 carcasses due to presence of c bovis in their hearts. "/>
    <n v="32840"/>
    <n v="31815"/>
    <n v="1025"/>
    <x v="1371"/>
    <n v="725"/>
    <n v="513.125"/>
    <n v="497.109375"/>
    <n v="16.015625"/>
    <n v="308.84218750000002"/>
    <n v="11.328125"/>
    <n v="24.453125"/>
    <n v="0"/>
    <n v="48.5"/>
    <n v="9.84375"/>
    <n v="8.5"/>
    <n v="3.1211936662606576E-2"/>
    <n v="0.97406250000000005"/>
    <n v="0.60188489646772236"/>
    <n v="0.91296875"/>
    <m/>
    <m/>
    <m/>
    <m/>
    <m/>
    <m/>
    <n v="44"/>
    <m/>
    <m/>
  </r>
  <r>
    <x v="1104"/>
    <x v="0"/>
    <s v="Native "/>
    <x v="14"/>
    <n v="60"/>
    <n v="59"/>
    <n v="1"/>
    <s v="Rejection of 1 carcass due to presence of c bovis in the heart."/>
    <n v="30360"/>
    <n v="29395"/>
    <n v="965"/>
    <x v="1372"/>
    <n v="669"/>
    <n v="514.57627118644064"/>
    <n v="498.22033898305085"/>
    <n v="16.35593220338983"/>
    <n v="309.09322033898303"/>
    <n v="11.338983050847459"/>
    <n v="24.406779661016948"/>
    <n v="0"/>
    <n v="48.694915254237287"/>
    <n v="10"/>
    <n v="8.5"/>
    <n v="3.178524374176548E-2"/>
    <n v="0.97508474576271187"/>
    <n v="0.60067523056653493"/>
    <n v="0.91601694915254228"/>
    <m/>
    <m/>
    <m/>
    <m/>
    <m/>
    <m/>
    <n v="39"/>
    <m/>
    <m/>
  </r>
  <r>
    <x v="1105"/>
    <x v="0"/>
    <s v="Native "/>
    <x v="9"/>
    <n v="64"/>
    <n v="62"/>
    <n v="2"/>
    <s v="Rejection of 2 carcasses due to presence of c bovis in head and heart."/>
    <n v="30078"/>
    <n v="29525"/>
    <n v="553"/>
    <x v="1373"/>
    <n v="673"/>
    <n v="485.12903225806451"/>
    <n v="476.20967741935482"/>
    <n v="8.9193548387096779"/>
    <n v="291.05645161290323"/>
    <n v="10.85483870967742"/>
    <n v="24.35483870967742"/>
    <n v="0"/>
    <n v="48.967741935483872"/>
    <n v="9.9193548387096779"/>
    <n v="8.5"/>
    <n v="1.8385530952855909E-2"/>
    <n v="0.97677419354838713"/>
    <n v="0.59995677904115963"/>
    <n v="0.91741935483870973"/>
    <m/>
    <m/>
    <m/>
    <m/>
    <m/>
    <m/>
    <n v="38"/>
    <m/>
    <m/>
  </r>
  <r>
    <x v="1106"/>
    <x v="0"/>
    <s v="Native "/>
    <x v="5"/>
    <n v="61"/>
    <n v="58"/>
    <n v="3"/>
    <s v="Rejection of 3 carcasses due to presence of c bovis in their hearts."/>
    <n v="24481"/>
    <n v="24481"/>
    <n v="0"/>
    <x v="1374"/>
    <n v="504"/>
    <n v="422.08620689655174"/>
    <n v="422.08620689655174"/>
    <n v="0"/>
    <n v="260.13793103448273"/>
    <n v="8.6896551724137936"/>
    <n v="25"/>
    <n v="0"/>
    <n v="48.741379310344833"/>
    <n v="10"/>
    <n v="8.5"/>
    <n v="0"/>
    <n v="0.98741379310344835"/>
    <n v="0.61631469302724562"/>
    <n v="0.92241379310344829"/>
    <m/>
    <m/>
    <m/>
    <m/>
    <m/>
    <m/>
    <n v="8"/>
    <m/>
    <m/>
  </r>
  <r>
    <x v="1107"/>
    <x v="0"/>
    <s v="Native "/>
    <x v="9"/>
    <n v="47"/>
    <n v="46"/>
    <n v="1"/>
    <s v="Rejection of 1 carcass due to presence of c bovis in the heart."/>
    <n v="20973"/>
    <n v="20755"/>
    <n v="218"/>
    <x v="1375"/>
    <n v="465"/>
    <n v="455.93478260869563"/>
    <n v="451.19565217391306"/>
    <n v="4.7391304347826084"/>
    <n v="273.5413043478261"/>
    <n v="10.108695652173912"/>
    <n v="24.673913043478262"/>
    <n v="0"/>
    <n v="47.815217391304351"/>
    <n v="10"/>
    <n v="8.5"/>
    <n v="1.0394316502169456E-2"/>
    <n v="0.9716304347826088"/>
    <n v="0.59995708768416534"/>
    <n v="0.90989130434782606"/>
    <m/>
    <m/>
    <m/>
    <m/>
    <m/>
    <m/>
    <n v="32"/>
    <m/>
    <m/>
  </r>
  <r>
    <x v="1107"/>
    <x v="0"/>
    <s v="Native "/>
    <x v="5"/>
    <n v="24"/>
    <n v="23"/>
    <n v="1"/>
    <s v="Rejection of 1 carcass due to presence of c bovis in the heart."/>
    <n v="9651"/>
    <n v="9595"/>
    <n v="56"/>
    <x v="1376"/>
    <n v="205"/>
    <n v="419.60869565217394"/>
    <n v="417.17391304347825"/>
    <n v="2.4347826086956523"/>
    <n v="256.54782608695655"/>
    <n v="8.9130434782608692"/>
    <n v="25"/>
    <n v="0"/>
    <n v="48.413043478260867"/>
    <n v="10"/>
    <n v="8.5"/>
    <n v="5.8025075121749042E-3"/>
    <n v="0.98413043478260875"/>
    <n v="0.61139778261320077"/>
    <n v="0.9191304347826087"/>
    <m/>
    <m/>
    <m/>
    <m/>
    <m/>
    <m/>
    <n v="3"/>
    <m/>
    <m/>
  </r>
  <r>
    <x v="1107"/>
    <x v="0"/>
    <s v="Imported"/>
    <x v="23"/>
    <n v="70"/>
    <n v="70"/>
    <n v="0"/>
    <m/>
    <n v="28468.037974683542"/>
    <n v="28468.037974683542"/>
    <n v="0"/>
    <x v="1377"/>
    <n v="0"/>
    <n v="406.68625678119344"/>
    <n v="406.68625678119344"/>
    <n v="0"/>
    <n v="257.02571428571429"/>
    <n v="0"/>
    <n v="25"/>
    <n v="4"/>
    <n v="45"/>
    <n v="10"/>
    <n v="8.5"/>
    <n v="0"/>
    <n v="0.95"/>
    <n v="0.63200000000000001"/>
    <n v="0.92500000000000004"/>
    <m/>
    <m/>
    <m/>
    <m/>
    <m/>
    <m/>
    <m/>
    <m/>
    <m/>
  </r>
  <r>
    <x v="1108"/>
    <x v="0"/>
    <s v="Native "/>
    <x v="9"/>
    <n v="23"/>
    <n v="19"/>
    <n v="4"/>
    <s v="Rejection of 4 carcasses due to presence of c bovis in their hearts."/>
    <n v="10304"/>
    <n v="9785"/>
    <n v="519"/>
    <x v="1378"/>
    <n v="236"/>
    <n v="542.31578947368416"/>
    <n v="515"/>
    <n v="27.315789473684209"/>
    <n v="325.38947368421049"/>
    <n v="12.421052631578947"/>
    <n v="25"/>
    <n v="0"/>
    <n v="47.78947368421052"/>
    <n v="10"/>
    <n v="8.5"/>
    <n v="5.0368788819875776E-2"/>
    <n v="0.97789473684210515"/>
    <n v="0.6"/>
    <n v="0.9128947368421052"/>
    <m/>
    <m/>
    <m/>
    <m/>
    <m/>
    <m/>
    <n v="8"/>
    <m/>
    <m/>
  </r>
  <r>
    <x v="1109"/>
    <x v="0"/>
    <s v="Native "/>
    <x v="27"/>
    <n v="40"/>
    <n v="40"/>
    <n v="0"/>
    <m/>
    <n v="18860"/>
    <n v="18860"/>
    <n v="0"/>
    <x v="1379"/>
    <n v="348"/>
    <n v="471.5"/>
    <n v="471.5"/>
    <n v="0"/>
    <n v="288.02750000000003"/>
    <n v="8.6999999999999993"/>
    <n v="25"/>
    <n v="0"/>
    <n v="45"/>
    <n v="10"/>
    <n v="8.5"/>
    <n v="0"/>
    <n v="0.95"/>
    <n v="0.61087486744432662"/>
    <n v="0.88500000000000001"/>
    <m/>
    <m/>
    <m/>
    <m/>
    <m/>
    <m/>
    <n v="12"/>
    <m/>
    <m/>
  </r>
  <r>
    <x v="1109"/>
    <x v="0"/>
    <s v="Native "/>
    <x v="9"/>
    <n v="18"/>
    <n v="18"/>
    <n v="0"/>
    <m/>
    <n v="10030"/>
    <n v="10030"/>
    <n v="0"/>
    <x v="1380"/>
    <n v="288"/>
    <n v="557.22222222222217"/>
    <n v="557.22222222222217"/>
    <n v="0"/>
    <n v="349.5"/>
    <n v="16"/>
    <n v="22.777777777777779"/>
    <n v="0"/>
    <n v="48.222222222222221"/>
    <n v="10"/>
    <n v="8.5"/>
    <n v="0"/>
    <n v="0.93777777777777782"/>
    <n v="0.62721834496510465"/>
    <n v="0.89500000000000002"/>
    <m/>
    <m/>
    <m/>
    <m/>
    <m/>
    <m/>
    <n v="14"/>
    <m/>
    <m/>
  </r>
  <r>
    <x v="1110"/>
    <x v="0"/>
    <s v="Imported"/>
    <x v="23"/>
    <n v="50"/>
    <n v="50"/>
    <n v="0"/>
    <m/>
    <n v="19961.075949367088"/>
    <n v="19961.075949367088"/>
    <n v="0"/>
    <x v="1381"/>
    <n v="0"/>
    <n v="399.22151898734177"/>
    <n v="399.22151898734177"/>
    <n v="0"/>
    <n v="252.30799999999999"/>
    <n v="0"/>
    <n v="25"/>
    <n v="4"/>
    <n v="45"/>
    <n v="10"/>
    <n v="8.5"/>
    <n v="0"/>
    <n v="0.95"/>
    <n v="0.63200000000000001"/>
    <n v="0.92500000000000004"/>
    <m/>
    <m/>
    <m/>
    <m/>
    <m/>
    <m/>
    <m/>
    <m/>
    <m/>
  </r>
  <r>
    <x v="1111"/>
    <x v="0"/>
    <s v="Native "/>
    <x v="14"/>
    <n v="58"/>
    <n v="44"/>
    <n v="14"/>
    <s v="Rejection of 14 carcasses:_x000a_8 carcasses due to presence of drug residues and offensive odor._x000a_6 carcasses due to presence of c bovis in 5 hearts and 1 hindquarter ms. "/>
    <n v="21050"/>
    <n v="20310"/>
    <n v="740"/>
    <x v="1382"/>
    <n v="483"/>
    <n v="478.40909090909093"/>
    <n v="461.59090909090907"/>
    <n v="16.818181818181817"/>
    <n v="287.44318181818181"/>
    <n v="10.977272727272727"/>
    <n v="24.09090909090909"/>
    <n v="0"/>
    <n v="47.795454545454547"/>
    <n v="10"/>
    <n v="8.5"/>
    <n v="3.5154394299287406E-2"/>
    <n v="0.95977272727272722"/>
    <n v="0.60083135391923992"/>
    <n v="0.90386363636363642"/>
    <m/>
    <m/>
    <m/>
    <m/>
    <m/>
    <m/>
    <n v="31"/>
    <m/>
    <m/>
  </r>
  <r>
    <x v="1112"/>
    <x v="0"/>
    <s v="Native "/>
    <x v="14"/>
    <n v="24"/>
    <n v="24"/>
    <n v="0"/>
    <m/>
    <n v="12540"/>
    <n v="11795"/>
    <n v="745"/>
    <x v="1383"/>
    <n v="253"/>
    <n v="522.5"/>
    <n v="491.45833333333331"/>
    <n v="31.041666666666668"/>
    <n v="313.89583333333331"/>
    <n v="10.541666666666666"/>
    <n v="24.375"/>
    <n v="0"/>
    <n v="49.5"/>
    <n v="10"/>
    <n v="8.5"/>
    <n v="5.9409888357256781E-2"/>
    <n v="0.98249999999999993"/>
    <n v="0.60075757575757571"/>
    <n v="0.92374999999999996"/>
    <m/>
    <m/>
    <m/>
    <m/>
    <m/>
    <m/>
    <n v="15"/>
    <m/>
    <m/>
  </r>
  <r>
    <x v="1112"/>
    <x v="0"/>
    <s v="Native "/>
    <x v="9"/>
    <n v="32"/>
    <n v="31"/>
    <n v="1"/>
    <s v="Rejection of 1 carcass due to presence of c bovis in the heart."/>
    <n v="16325"/>
    <n v="15690"/>
    <n v="635"/>
    <x v="1384"/>
    <n v="386"/>
    <n v="526.61290322580646"/>
    <n v="506.12903225806451"/>
    <n v="20.483870967741936"/>
    <n v="317.66129032258067"/>
    <n v="12.451612903225806"/>
    <n v="24.516129032258064"/>
    <n v="0"/>
    <n v="46.209677419354833"/>
    <n v="10"/>
    <n v="8.5"/>
    <n v="3.8897396630934153E-2"/>
    <n v="0.95241935483870965"/>
    <n v="0.60321592649310873"/>
    <n v="0.89225806451612899"/>
    <m/>
    <m/>
    <m/>
    <m/>
    <m/>
    <m/>
    <n v="16"/>
    <m/>
    <m/>
  </r>
  <r>
    <x v="1113"/>
    <x v="0"/>
    <s v="Native "/>
    <x v="9"/>
    <n v="32"/>
    <n v="32"/>
    <n v="0"/>
    <m/>
    <n v="17375"/>
    <n v="16760"/>
    <n v="615"/>
    <x v="1385"/>
    <n v="468"/>
    <n v="542.96875"/>
    <n v="523.75"/>
    <n v="19.21875"/>
    <n v="337.984375"/>
    <n v="14.625"/>
    <n v="24.375"/>
    <n v="0"/>
    <n v="47.8125"/>
    <n v="10"/>
    <n v="8.5"/>
    <n v="3.539568345323741E-2"/>
    <n v="0.96562499999999996"/>
    <n v="0.62247482014388489"/>
    <n v="0.90687499999999999"/>
    <m/>
    <m/>
    <m/>
    <m/>
    <m/>
    <m/>
    <n v="29"/>
    <m/>
    <m/>
  </r>
  <r>
    <x v="1114"/>
    <x v="0"/>
    <s v="Native "/>
    <x v="9"/>
    <n v="47"/>
    <n v="47"/>
    <n v="0"/>
    <m/>
    <n v="24540"/>
    <n v="23440"/>
    <n v="1100"/>
    <x v="1386"/>
    <n v="636"/>
    <n v="522.12765957446811"/>
    <n v="498.72340425531917"/>
    <n v="23.404255319148938"/>
    <n v="317.59574468085106"/>
    <n v="13.531914893617021"/>
    <n v="24.468085106382979"/>
    <n v="0"/>
    <n v="48.893617021276597"/>
    <n v="10"/>
    <n v="8.5"/>
    <n v="4.4824775876120618E-2"/>
    <n v="0.97829787234042553"/>
    <n v="0.60827220863895681"/>
    <n v="0.91861702127659584"/>
    <m/>
    <m/>
    <m/>
    <m/>
    <m/>
    <m/>
    <n v="38"/>
    <m/>
    <m/>
  </r>
  <r>
    <x v="1115"/>
    <x v="0"/>
    <s v="Native "/>
    <x v="5"/>
    <n v="50"/>
    <n v="44"/>
    <n v="6"/>
    <s v="Rejection of 6 carcasses due to presence of c bovis in their hearts."/>
    <n v="19825"/>
    <n v="18766"/>
    <n v="1059"/>
    <x v="1387"/>
    <n v="440"/>
    <n v="450.56818181818181"/>
    <n v="426.5"/>
    <n v="24.068181818181817"/>
    <n v="277.89545454545453"/>
    <n v="10"/>
    <n v="25"/>
    <n v="0"/>
    <n v="48.88636363636364"/>
    <n v="10"/>
    <n v="8.5"/>
    <n v="5.3417402269861282E-2"/>
    <n v="0.98886363636363639"/>
    <n v="0.61676670870113492"/>
    <n v="0.92386363636363644"/>
    <m/>
    <m/>
    <m/>
    <m/>
    <m/>
    <m/>
    <n v="11"/>
    <m/>
    <m/>
  </r>
  <r>
    <x v="1116"/>
    <x v="0"/>
    <s v="Native "/>
    <x v="9"/>
    <n v="58"/>
    <n v="55"/>
    <n v="3"/>
    <s v="Rejection of 3 carcasses due to presence of c. bovis in their hearts."/>
    <n v="22195"/>
    <n v="21860"/>
    <n v="335"/>
    <x v="1388"/>
    <n v="422"/>
    <n v="403.54545454545456"/>
    <n v="397.45454545454544"/>
    <n v="6.0909090909090908"/>
    <n v="242.13272727272727"/>
    <n v="7.6727272727272728"/>
    <n v="24.81818181818182"/>
    <n v="0"/>
    <n v="49.527272727272731"/>
    <n v="10"/>
    <n v="8.5"/>
    <n v="1.5093489524667717E-2"/>
    <n v="0.99163636363636365"/>
    <n v="0.60001351655778323"/>
    <n v="0.92845454545454542"/>
    <m/>
    <m/>
    <m/>
    <m/>
    <m/>
    <m/>
    <n v="17"/>
    <m/>
    <m/>
  </r>
  <r>
    <x v="1116"/>
    <x v="0"/>
    <s v="Imported"/>
    <x v="23"/>
    <n v="65"/>
    <n v="65"/>
    <n v="0"/>
    <m/>
    <n v="32236.708860759489"/>
    <n v="32236.708860759489"/>
    <n v="0"/>
    <x v="1389"/>
    <n v="0"/>
    <n v="495.94936708860752"/>
    <n v="495.94936708860752"/>
    <n v="0"/>
    <n v="313.44"/>
    <n v="0"/>
    <n v="25"/>
    <n v="4"/>
    <n v="50"/>
    <n v="9.9230769230769234"/>
    <n v="8.5"/>
    <n v="0"/>
    <n v="1"/>
    <n v="0.63200000000000001"/>
    <n v="0.97423076923076923"/>
    <m/>
    <m/>
    <m/>
    <m/>
    <m/>
    <m/>
    <m/>
    <m/>
    <m/>
  </r>
  <r>
    <x v="1117"/>
    <x v="0"/>
    <s v="Imported"/>
    <x v="23"/>
    <n v="50"/>
    <n v="50"/>
    <n v="0"/>
    <m/>
    <n v="25193.67088607595"/>
    <n v="25193.67088607595"/>
    <n v="0"/>
    <x v="1390"/>
    <n v="0"/>
    <n v="503.87341772151899"/>
    <n v="503.87341772151899"/>
    <n v="0"/>
    <n v="318.4479999999999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18"/>
    <x v="0"/>
    <s v="Imported"/>
    <x v="23"/>
    <n v="40"/>
    <n v="40"/>
    <n v="0"/>
    <m/>
    <n v="19887.341772151896"/>
    <n v="19887.341772151896"/>
    <n v="0"/>
    <x v="1391"/>
    <n v="0"/>
    <n v="497.18354430379742"/>
    <n v="497.18354430379742"/>
    <n v="0"/>
    <n v="314.2199999999999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19"/>
    <x v="0"/>
    <s v="Native "/>
    <x v="9"/>
    <n v="35"/>
    <n v="35"/>
    <n v="0"/>
    <m/>
    <n v="18428"/>
    <n v="17600"/>
    <n v="828"/>
    <x v="1392"/>
    <n v="412"/>
    <n v="526.51428571428573"/>
    <n v="502.85714285714283"/>
    <n v="23.657142857142858"/>
    <n v="315.91714285714289"/>
    <n v="11.771428571428572"/>
    <n v="24.571428571428569"/>
    <n v="0"/>
    <n v="48.957142857142856"/>
    <n v="10"/>
    <n v="8.5"/>
    <n v="4.4931625786846105E-2"/>
    <n v="0.98099999999999987"/>
    <n v="0.6000162795745605"/>
    <n v="0.92028571428571426"/>
    <m/>
    <m/>
    <m/>
    <m/>
    <m/>
    <m/>
    <n v="34"/>
    <m/>
    <m/>
  </r>
  <r>
    <x v="1120"/>
    <x v="0"/>
    <s v="Native "/>
    <x v="23"/>
    <n v="40"/>
    <n v="40"/>
    <n v="0"/>
    <m/>
    <n v="19152.531645569619"/>
    <n v="19152.531645569619"/>
    <n v="0"/>
    <x v="1393"/>
    <n v="0"/>
    <n v="478.8132911392405"/>
    <n v="478.8132911392405"/>
    <n v="0"/>
    <n v="302.6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21"/>
    <x v="0"/>
    <s v="Native "/>
    <x v="5"/>
    <n v="50"/>
    <n v="50"/>
    <n v="0"/>
    <m/>
    <n v="21681"/>
    <n v="20930"/>
    <n v="751"/>
    <x v="1394"/>
    <n v="460"/>
    <n v="433.62"/>
    <n v="418.6"/>
    <n v="15.02"/>
    <n v="269.39999999999998"/>
    <n v="9.1999999999999993"/>
    <n v="25"/>
    <n v="0"/>
    <n v="49.48"/>
    <n v="10"/>
    <n v="8.5"/>
    <n v="3.4638623679719566E-2"/>
    <n v="0.99479999999999991"/>
    <n v="0.62128130621281308"/>
    <n v="0.92979999999999985"/>
    <m/>
    <m/>
    <m/>
    <m/>
    <m/>
    <m/>
    <n v="6"/>
    <m/>
    <m/>
  </r>
  <r>
    <x v="1122"/>
    <x v="0"/>
    <s v="Imported"/>
    <x v="23"/>
    <n v="40"/>
    <n v="40"/>
    <n v="0"/>
    <m/>
    <n v="19152.531645569619"/>
    <n v="19152.531645569619"/>
    <n v="0"/>
    <x v="1393"/>
    <n v="0"/>
    <n v="478.8132911392405"/>
    <n v="478.8132911392405"/>
    <n v="0"/>
    <n v="302.6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23"/>
    <x v="0"/>
    <s v="Native "/>
    <x v="14"/>
    <n v="52"/>
    <n v="51"/>
    <n v="1"/>
    <s v="Rejection of 1 carcass due to presence of drug residues "/>
    <n v="23830"/>
    <n v="23830"/>
    <n v="0"/>
    <x v="1395"/>
    <n v="511"/>
    <n v="467.25490196078431"/>
    <n v="467.25490196078431"/>
    <n v="0"/>
    <n v="280.45686274509802"/>
    <n v="10.019607843137255"/>
    <n v="24.215686274509803"/>
    <n v="0"/>
    <n v="47.137254901960787"/>
    <n v="10"/>
    <n v="8.5"/>
    <n v="0"/>
    <n v="0.95568627450980403"/>
    <n v="0.60022240872849342"/>
    <n v="0.89852941176470591"/>
    <m/>
    <m/>
    <m/>
    <m/>
    <m/>
    <m/>
    <n v="29"/>
    <m/>
    <m/>
  </r>
  <r>
    <x v="1124"/>
    <x v="0"/>
    <s v="Imported"/>
    <x v="23"/>
    <n v="32"/>
    <n v="32"/>
    <n v="0"/>
    <m/>
    <n v="15149.683544303796"/>
    <n v="15149.683544303796"/>
    <n v="0"/>
    <x v="1396"/>
    <n v="252"/>
    <n v="473.42761075949363"/>
    <n v="473.42761075949363"/>
    <n v="0"/>
    <n v="299.20625000000001"/>
    <n v="7.875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25"/>
    <x v="0"/>
    <s v="Native "/>
    <x v="27"/>
    <n v="32"/>
    <n v="32"/>
    <n v="0"/>
    <m/>
    <n v="15204"/>
    <n v="14925"/>
    <n v="279"/>
    <x v="1397"/>
    <n v="252"/>
    <n v="475.125"/>
    <n v="466.40625"/>
    <n v="8.71875"/>
    <n v="299.79374999999999"/>
    <n v="7.875"/>
    <n v="25"/>
    <n v="0"/>
    <n v="44.4375"/>
    <n v="10"/>
    <n v="8.5"/>
    <n v="1.835043409629045E-2"/>
    <n v="0.94437499999999996"/>
    <n v="0.63097868981846883"/>
    <n v="0.87937500000000002"/>
    <m/>
    <m/>
    <m/>
    <m/>
    <m/>
    <m/>
    <n v="18"/>
    <m/>
    <m/>
  </r>
  <r>
    <x v="1126"/>
    <x v="0"/>
    <s v="Native "/>
    <x v="14"/>
    <n v="52"/>
    <n v="51"/>
    <n v="1"/>
    <s v="Rejection (total condemnation) of 1 carcass due to presence of miliary TB + tb in left bronchial ln and axillary ln. "/>
    <n v="25150"/>
    <n v="23559"/>
    <n v="1591"/>
    <x v="1398"/>
    <n v="531"/>
    <n v="493.13725490196077"/>
    <n v="461.94117647058823"/>
    <n v="31.196078431372548"/>
    <n v="296.69411764705882"/>
    <n v="10.411764705882353"/>
    <n v="25"/>
    <n v="0"/>
    <n v="49.215686274509807"/>
    <n v="10"/>
    <n v="8.5"/>
    <n v="6.3260437375745521E-2"/>
    <n v="0.99215686274509807"/>
    <n v="0.60164612326043732"/>
    <n v="0.92715686274509812"/>
    <m/>
    <m/>
    <m/>
    <m/>
    <m/>
    <m/>
    <n v="17"/>
    <m/>
    <m/>
  </r>
  <r>
    <x v="1127"/>
    <x v="0"/>
    <s v="Native "/>
    <x v="5"/>
    <n v="54"/>
    <n v="53"/>
    <n v="1"/>
    <s v="Rejection of 1 carcass due to presence of c. bovis in the heart."/>
    <n v="23208"/>
    <n v="22159"/>
    <n v="1049"/>
    <x v="1399"/>
    <n v="497"/>
    <n v="437.88679245283021"/>
    <n v="418.09433962264148"/>
    <n v="19.79245283018868"/>
    <n v="267.50188679245286"/>
    <n v="9.3773584905660385"/>
    <n v="25"/>
    <n v="0"/>
    <n v="49.160377358490564"/>
    <n v="9.9056603773584904"/>
    <n v="8.5"/>
    <n v="4.5199931058255774E-2"/>
    <n v="0.9916037735849057"/>
    <n v="0.61089279558772835"/>
    <n v="0.92566037735849049"/>
    <m/>
    <m/>
    <m/>
    <m/>
    <m/>
    <m/>
    <n v="3"/>
    <m/>
    <m/>
  </r>
  <r>
    <x v="1127"/>
    <x v="0"/>
    <s v="Imported"/>
    <x v="23"/>
    <n v="34"/>
    <n v="34"/>
    <n v="0"/>
    <m/>
    <n v="15524.367088607594"/>
    <n v="15524.367088607594"/>
    <n v="0"/>
    <x v="1400"/>
    <n v="0"/>
    <n v="456.5990320178704"/>
    <n v="456.5990320178704"/>
    <n v="0"/>
    <n v="288.5705882352941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28"/>
    <x v="0"/>
    <s v="Native "/>
    <x v="9"/>
    <n v="64"/>
    <n v="62"/>
    <n v="2"/>
    <s v="Rejection of 2 carcasses due to presence of c bovis in a heart and a head."/>
    <n v="31970"/>
    <n v="31970"/>
    <n v="0"/>
    <x v="1401"/>
    <n v="667"/>
    <n v="515.64516129032256"/>
    <n v="515.64516129032256"/>
    <n v="0"/>
    <n v="309.40161290322584"/>
    <n v="10.758064516129032"/>
    <n v="24.274193548387096"/>
    <n v="0"/>
    <n v="48.548387096774199"/>
    <n v="10"/>
    <n v="8.5"/>
    <n v="0"/>
    <n v="0.97096774193548385"/>
    <n v="0.60002815139193"/>
    <n v="0.913225806451613"/>
    <m/>
    <m/>
    <m/>
    <m/>
    <m/>
    <m/>
    <n v="48"/>
    <m/>
    <m/>
  </r>
  <r>
    <x v="1129"/>
    <x v="0"/>
    <s v="Imported"/>
    <x v="23"/>
    <n v="59"/>
    <n v="59"/>
    <n v="0"/>
    <m/>
    <n v="27451.898734177212"/>
    <n v="27451.898734177212"/>
    <n v="0"/>
    <x v="1402"/>
    <n v="0"/>
    <n v="465.28641922334259"/>
    <n v="465.28641922334259"/>
    <n v="0"/>
    <n v="294.06101694915253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30"/>
    <x v="0"/>
    <s v="Imported"/>
    <x v="23"/>
    <n v="50"/>
    <n v="50"/>
    <n v="0"/>
    <m/>
    <n v="23487.974683544304"/>
    <n v="23487.974683544304"/>
    <n v="0"/>
    <x v="1403"/>
    <n v="0"/>
    <n v="469.75949367088606"/>
    <n v="469.75949367088606"/>
    <n v="0"/>
    <n v="296.8879999999999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31"/>
    <x v="0"/>
    <s v="Imported"/>
    <x v="23"/>
    <n v="40"/>
    <n v="40"/>
    <n v="0"/>
    <m/>
    <n v="18377.531645569619"/>
    <n v="18377.531645569619"/>
    <n v="0"/>
    <x v="1404"/>
    <n v="0"/>
    <n v="459.4382911392405"/>
    <n v="459.4382911392405"/>
    <n v="0"/>
    <n v="290.3650000000000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32"/>
    <x v="0"/>
    <s v="Imported"/>
    <x v="23"/>
    <n v="70"/>
    <n v="68"/>
    <n v="2"/>
    <s v="Rejection of 2 carcasses due to presence of miliary TB in abdominal cavity"/>
    <n v="30349.683544303796"/>
    <n v="30349.683544303796"/>
    <n v="0"/>
    <x v="1405"/>
    <n v="0"/>
    <n v="446.31887565152641"/>
    <n v="446.31887565152641"/>
    <n v="0"/>
    <n v="282.0735294117647"/>
    <n v="0"/>
    <n v="25"/>
    <n v="4"/>
    <n v="50"/>
    <n v="9.9264705882352935"/>
    <n v="8.5"/>
    <n v="0"/>
    <n v="1"/>
    <n v="0.63200000000000001"/>
    <n v="0.97426470588235292"/>
    <m/>
    <m/>
    <m/>
    <m/>
    <m/>
    <m/>
    <m/>
    <m/>
    <m/>
  </r>
  <r>
    <x v="1133"/>
    <x v="0"/>
    <s v="Imported"/>
    <x v="23"/>
    <n v="48"/>
    <n v="47"/>
    <n v="1"/>
    <s v="Rejection of 1 carcass due to presence of c bovis in the heart."/>
    <n v="20800"/>
    <n v="20800"/>
    <n v="0"/>
    <x v="1406"/>
    <n v="0"/>
    <n v="442.55319148936172"/>
    <n v="442.55319148936172"/>
    <n v="0"/>
    <n v="279.69361702127662"/>
    <n v="0"/>
    <n v="25"/>
    <n v="4"/>
    <n v="50"/>
    <n v="9.9"/>
    <n v="8.5"/>
    <n v="0"/>
    <n v="1"/>
    <n v="0.63200000000000001"/>
    <n v="0.97400000000000009"/>
    <m/>
    <m/>
    <m/>
    <m/>
    <m/>
    <m/>
    <m/>
    <m/>
    <m/>
  </r>
  <r>
    <x v="1134"/>
    <x v="0"/>
    <s v="Native "/>
    <x v="24"/>
    <n v="9"/>
    <n v="9"/>
    <n v="0"/>
    <m/>
    <n v="4021"/>
    <n v="4021"/>
    <n v="0"/>
    <x v="1407"/>
    <n v="43"/>
    <n v="446.77777777777777"/>
    <n v="446.77777777777777"/>
    <n v="0"/>
    <n v="268.06666666666666"/>
    <n v="4.7777777777777777"/>
    <n v="25"/>
    <n v="0"/>
    <n v="43.777777777777771"/>
    <n v="10"/>
    <n v="8.5"/>
    <n v="0"/>
    <n v="0.93777777777777771"/>
    <n v="0.6"/>
    <n v="0.87277777777777776"/>
    <m/>
    <m/>
    <m/>
    <m/>
    <m/>
    <m/>
    <n v="8"/>
    <m/>
    <m/>
  </r>
  <r>
    <x v="1134"/>
    <x v="0"/>
    <s v="Native "/>
    <x v="5"/>
    <n v="26"/>
    <n v="24"/>
    <n v="2"/>
    <s v="Rejection of 2 carcasses due to presence of c. Bovis in their hearts. "/>
    <n v="10736"/>
    <n v="10736"/>
    <n v="0"/>
    <x v="1408"/>
    <n v="243"/>
    <n v="447.33333333333331"/>
    <n v="447.33333333333331"/>
    <n v="0"/>
    <n v="282.90833333333336"/>
    <n v="10.125"/>
    <n v="25"/>
    <n v="0"/>
    <n v="48.083333333333329"/>
    <n v="10"/>
    <n v="8.5"/>
    <n v="0"/>
    <n v="0.98083333333333322"/>
    <n v="0.63243293591654248"/>
    <n v="0.91583333333333328"/>
    <m/>
    <m/>
    <m/>
    <m/>
    <m/>
    <m/>
    <n v="7"/>
    <m/>
    <m/>
  </r>
  <r>
    <x v="1135"/>
    <x v="0"/>
    <s v="Imported"/>
    <x v="5"/>
    <n v="24"/>
    <n v="24"/>
    <n v="0"/>
    <m/>
    <n v="12310"/>
    <n v="12310"/>
    <n v="0"/>
    <x v="1409"/>
    <n v="174"/>
    <n v="512.91666666666663"/>
    <n v="512.91666666666663"/>
    <n v="0"/>
    <n v="316.95416666666665"/>
    <n v="7.25"/>
    <n v="25"/>
    <n v="0"/>
    <n v="48.791666666666664"/>
    <n v="10"/>
    <n v="8.5"/>
    <n v="0"/>
    <n v="0.98791666666666667"/>
    <n v="0.61794476035743295"/>
    <n v="0.92291666666666661"/>
    <m/>
    <m/>
    <m/>
    <m/>
    <m/>
    <m/>
    <m/>
    <m/>
    <m/>
  </r>
  <r>
    <x v="1136"/>
    <x v="0"/>
    <s v="Imported"/>
    <x v="5"/>
    <n v="60"/>
    <n v="59"/>
    <n v="1"/>
    <s v="Rejection of 1 carcass due to presence of c bovis in the heart."/>
    <n v="29267"/>
    <n v="28070"/>
    <n v="1197"/>
    <x v="1410"/>
    <n v="386"/>
    <n v="496.05084745762713"/>
    <n v="475.76271186440675"/>
    <n v="20.288135593220339"/>
    <n v="305.55254237288131"/>
    <n v="6.5423728813559325"/>
    <n v="25"/>
    <n v="0"/>
    <n v="48.711864406779654"/>
    <n v="10"/>
    <n v="8.5"/>
    <n v="4.089930638603205E-2"/>
    <n v="0.98711864406779659"/>
    <n v="0.61597020535073632"/>
    <n v="0.92211864406779653"/>
    <m/>
    <m/>
    <m/>
    <m/>
    <m/>
    <m/>
    <m/>
    <m/>
    <m/>
  </r>
  <r>
    <x v="1137"/>
    <x v="0"/>
    <s v="Native "/>
    <x v="9"/>
    <n v="31"/>
    <n v="31"/>
    <n v="0"/>
    <m/>
    <n v="17365"/>
    <n v="16770"/>
    <n v="595"/>
    <x v="1411"/>
    <n v="437"/>
    <n v="560.16129032258061"/>
    <n v="540.9677419354839"/>
    <n v="19.193548387096776"/>
    <n v="339.41612903225803"/>
    <n v="14.096774193548388"/>
    <n v="24.838709677419356"/>
    <n v="0"/>
    <n v="44.822580645161295"/>
    <n v="10"/>
    <n v="8.5"/>
    <n v="3.4264324791246768E-2"/>
    <n v="0.94500000000000006"/>
    <n v="0.60592571264036854"/>
    <n v="0.88161290322580654"/>
    <m/>
    <m/>
    <m/>
    <m/>
    <m/>
    <m/>
    <n v="31"/>
    <m/>
    <m/>
  </r>
  <r>
    <x v="1137"/>
    <x v="0"/>
    <s v="Imported"/>
    <x v="23"/>
    <n v="60"/>
    <n v="59"/>
    <n v="1"/>
    <s v="Rejection of 1 carcass due to trimming of sever bruises."/>
    <n v="28957.911392405065"/>
    <n v="28957.911392405065"/>
    <n v="0"/>
    <x v="1412"/>
    <n v="0"/>
    <n v="490.81205749839091"/>
    <n v="490.81205749839091"/>
    <n v="0"/>
    <n v="310.19322033898305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38"/>
    <x v="0"/>
    <s v="Native "/>
    <x v="14"/>
    <n v="50"/>
    <n v="48"/>
    <n v="2"/>
    <s v="Rejection of 2 carcasses due to presence of miliary TB on rumen and abdominal cavity."/>
    <n v="22726"/>
    <n v="22400"/>
    <n v="326"/>
    <x v="1413"/>
    <n v="435"/>
    <n v="473.45833333333331"/>
    <n v="466.66666666666669"/>
    <n v="6.791666666666667"/>
    <n v="284.09375"/>
    <n v="9.0625"/>
    <n v="24.479166666666668"/>
    <n v="0"/>
    <n v="45.406250000000007"/>
    <n v="10"/>
    <n v="8.5"/>
    <n v="1.4344803308985304E-2"/>
    <n v="0.94364583333333352"/>
    <n v="0.60003960221772423"/>
    <n v="0.88385416666666672"/>
    <m/>
    <m/>
    <m/>
    <m/>
    <m/>
    <m/>
    <n v="21"/>
    <m/>
    <m/>
  </r>
  <r>
    <x v="1139"/>
    <x v="0"/>
    <s v="Imported"/>
    <x v="23"/>
    <n v="30"/>
    <n v="30"/>
    <n v="0"/>
    <m/>
    <n v="14232.102728731943"/>
    <n v="14232.102728731943"/>
    <n v="0"/>
    <x v="1414"/>
    <n v="0"/>
    <n v="474.40342429106477"/>
    <n v="474.40342429106477"/>
    <n v="0"/>
    <n v="295.55333333333334"/>
    <n v="0"/>
    <n v="25"/>
    <n v="4"/>
    <n v="50"/>
    <n v="10"/>
    <n v="8.5"/>
    <n v="0"/>
    <n v="1"/>
    <n v="0.623"/>
    <n v="0.97499999999999998"/>
    <m/>
    <m/>
    <m/>
    <m/>
    <m/>
    <m/>
    <m/>
    <m/>
    <m/>
  </r>
  <r>
    <x v="1140"/>
    <x v="0"/>
    <s v="Native "/>
    <x v="9"/>
    <n v="45"/>
    <n v="44"/>
    <n v="1"/>
    <s v="Rejection of 1 carcass due to presence of c. Bovis in the heart. "/>
    <n v="22660"/>
    <n v="21830"/>
    <n v="830"/>
    <x v="1415"/>
    <n v="527"/>
    <n v="515"/>
    <n v="496.13636363636363"/>
    <n v="18.863636363636363"/>
    <n v="311.85227272727275"/>
    <n v="11.977272727272727"/>
    <n v="25"/>
    <n v="0"/>
    <n v="46.386363636363633"/>
    <n v="10"/>
    <n v="8.5"/>
    <n v="3.6628420123565757E-2"/>
    <n v="0.96386363636363637"/>
    <n v="0.6055383936451898"/>
    <n v="0.89886363636363631"/>
    <m/>
    <m/>
    <m/>
    <m/>
    <m/>
    <m/>
    <n v="31"/>
    <m/>
    <m/>
  </r>
  <r>
    <x v="1141"/>
    <x v="0"/>
    <s v="Native "/>
    <x v="9"/>
    <n v="50"/>
    <n v="49"/>
    <n v="1"/>
    <s v="Rejection of 1 icteric carcass."/>
    <n v="25185"/>
    <n v="24095"/>
    <n v="1090"/>
    <x v="1416"/>
    <n v="640"/>
    <n v="513.9795918367347"/>
    <n v="491.73469387755102"/>
    <n v="22.244897959183675"/>
    <n v="313.49591836734692"/>
    <n v="13.061224489795919"/>
    <n v="25"/>
    <n v="0"/>
    <n v="48.867346938775512"/>
    <n v="10"/>
    <n v="8.5"/>
    <n v="4.3279729998014695E-2"/>
    <n v="0.98867346938775513"/>
    <n v="0.60993845542981928"/>
    <n v="0.92367346938775508"/>
    <m/>
    <m/>
    <m/>
    <m/>
    <m/>
    <m/>
    <n v="17"/>
    <m/>
    <m/>
  </r>
  <r>
    <x v="1141"/>
    <x v="0"/>
    <s v="Imported"/>
    <x v="23"/>
    <n v="64"/>
    <n v="64"/>
    <n v="0"/>
    <m/>
    <n v="29443.659711075448"/>
    <n v="29443.659711075448"/>
    <n v="0"/>
    <x v="1417"/>
    <n v="0"/>
    <n v="460.05718298555388"/>
    <n v="460.05718298555388"/>
    <n v="0"/>
    <n v="286.61562500000002"/>
    <n v="0"/>
    <n v="25"/>
    <n v="4"/>
    <n v="50"/>
    <n v="10"/>
    <n v="8.5"/>
    <n v="0"/>
    <n v="1"/>
    <n v="0.62299999999999989"/>
    <n v="0.97499999999999998"/>
    <m/>
    <m/>
    <m/>
    <m/>
    <m/>
    <m/>
    <m/>
    <m/>
    <m/>
  </r>
  <r>
    <x v="1142"/>
    <x v="0"/>
    <s v="Imported"/>
    <x v="5"/>
    <n v="44"/>
    <n v="44"/>
    <n v="0"/>
    <m/>
    <n v="22202"/>
    <n v="21330"/>
    <n v="872"/>
    <x v="1418"/>
    <n v="327"/>
    <n v="504.59090909090907"/>
    <n v="484.77272727272725"/>
    <n v="19.818181818181817"/>
    <n v="310.64772727272725"/>
    <n v="7.4318181818181817"/>
    <n v="25"/>
    <n v="0"/>
    <n v="49.136363636363633"/>
    <n v="10"/>
    <n v="8.5"/>
    <n v="3.9275740924241055E-2"/>
    <n v="0.99136363636363634"/>
    <n v="0.61564273488874877"/>
    <n v="0.92636363636363628"/>
    <m/>
    <m/>
    <m/>
    <m/>
    <m/>
    <m/>
    <m/>
    <m/>
    <m/>
  </r>
  <r>
    <x v="1143"/>
    <x v="0"/>
    <s v="Imported"/>
    <x v="23"/>
    <n v="25"/>
    <n v="25"/>
    <n v="0"/>
    <m/>
    <n v="11492.134831460675"/>
    <n v="11492.134831460675"/>
    <n v="0"/>
    <x v="1419"/>
    <n v="0"/>
    <n v="459.68539325842698"/>
    <n v="459.68539325842698"/>
    <n v="0"/>
    <n v="286.38400000000001"/>
    <n v="0"/>
    <n v="25"/>
    <n v="4"/>
    <n v="47"/>
    <n v="10"/>
    <n v="8.5"/>
    <n v="0"/>
    <n v="0.97"/>
    <n v="0.623"/>
    <n v="0.94499999999999995"/>
    <m/>
    <m/>
    <m/>
    <m/>
    <m/>
    <m/>
    <m/>
    <m/>
    <m/>
  </r>
  <r>
    <x v="1144"/>
    <x v="0"/>
    <s v="Native "/>
    <x v="14"/>
    <n v="35"/>
    <n v="35"/>
    <n v="0"/>
    <m/>
    <n v="17629.5"/>
    <n v="16866.5"/>
    <n v="763"/>
    <x v="1420"/>
    <n v="448"/>
    <n v="503.7"/>
    <n v="481.9"/>
    <n v="21.8"/>
    <n v="307.22000000000003"/>
    <n v="12.8"/>
    <n v="25"/>
    <n v="0"/>
    <n v="45.628571428571426"/>
    <n v="10"/>
    <n v="8.5"/>
    <n v="4.3279729998014695E-2"/>
    <n v="0.95628571428571418"/>
    <n v="0.60992654357752629"/>
    <n v="0.89128571428571435"/>
    <m/>
    <m/>
    <m/>
    <m/>
    <m/>
    <m/>
    <n v="17"/>
    <m/>
    <m/>
  </r>
  <r>
    <x v="1145"/>
    <x v="1"/>
    <s v="Native "/>
    <x v="24"/>
    <n v="18"/>
    <n v="18"/>
    <n v="0"/>
    <m/>
    <n v="918"/>
    <n v="910"/>
    <n v="8"/>
    <x v="1421"/>
    <n v="0"/>
    <n v="51"/>
    <n v="50.555555555555557"/>
    <n v="0.44444444444444442"/>
    <n v="30.111111111111111"/>
    <n v="0"/>
    <n v="25"/>
    <n v="0"/>
    <n v="50"/>
    <n v="10"/>
    <n v="8.5"/>
    <n v="8.7145969498910666E-3"/>
    <n v="1"/>
    <n v="0.59041394335511987"/>
    <n v="0.93500000000000005"/>
    <m/>
    <m/>
    <m/>
    <m/>
    <m/>
    <m/>
    <m/>
    <m/>
    <m/>
  </r>
  <r>
    <x v="1145"/>
    <x v="0"/>
    <s v="Native "/>
    <x v="24"/>
    <n v="16"/>
    <n v="16"/>
    <n v="0"/>
    <m/>
    <n v="6937"/>
    <n v="6890"/>
    <n v="47"/>
    <x v="1422"/>
    <n v="66"/>
    <n v="433.5625"/>
    <n v="430.625"/>
    <n v="2.9375"/>
    <n v="260.13125000000002"/>
    <n v="4.125"/>
    <n v="25"/>
    <n v="0"/>
    <n v="49"/>
    <n v="10"/>
    <n v="8.5"/>
    <n v="6.7752630820239294E-3"/>
    <n v="0.99"/>
    <n v="0.59998558454663409"/>
    <n v="0.92500000000000004"/>
    <m/>
    <m/>
    <m/>
    <m/>
    <m/>
    <m/>
    <m/>
    <m/>
    <m/>
  </r>
  <r>
    <x v="1145"/>
    <x v="0"/>
    <s v="Native "/>
    <x v="14"/>
    <n v="19"/>
    <n v="19"/>
    <n v="0"/>
    <m/>
    <n v="9550"/>
    <n v="9275"/>
    <n v="275"/>
    <x v="1423"/>
    <n v="206"/>
    <n v="502.63157894736844"/>
    <n v="488.15789473684208"/>
    <n v="14.473684210526315"/>
    <n v="302.88421052631583"/>
    <n v="10.842105263157896"/>
    <n v="25"/>
    <n v="0"/>
    <n v="49.631578947368418"/>
    <n v="10"/>
    <n v="8.5"/>
    <n v="2.8795811518324606E-2"/>
    <n v="0.99631578947368415"/>
    <n v="0.60259685863874346"/>
    <n v="0.9313157894736841"/>
    <m/>
    <m/>
    <m/>
    <m/>
    <m/>
    <m/>
    <m/>
    <m/>
    <m/>
  </r>
  <r>
    <x v="1145"/>
    <x v="0"/>
    <s v="Imported"/>
    <x v="23"/>
    <n v="53"/>
    <n v="53"/>
    <n v="0"/>
    <m/>
    <n v="24783.544303797466"/>
    <n v="24783.544303797466"/>
    <n v="0"/>
    <x v="1424"/>
    <n v="0"/>
    <n v="467.61404346787668"/>
    <n v="467.61404346787668"/>
    <n v="0"/>
    <n v="295.53207547169814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46"/>
    <x v="1"/>
    <s v="Native "/>
    <x v="24"/>
    <n v="24"/>
    <n v="24"/>
    <n v="0"/>
    <m/>
    <n v="1250"/>
    <n v="1242"/>
    <n v="8"/>
    <x v="1425"/>
    <n v="0"/>
    <n v="52.083333333333336"/>
    <n v="51.75"/>
    <n v="0.33333333333333331"/>
    <n v="30.400000000000002"/>
    <n v="0"/>
    <n v="25"/>
    <n v="0"/>
    <n v="49.666666666666671"/>
    <n v="10"/>
    <n v="8.5"/>
    <n v="6.3999999999999994E-3"/>
    <n v="0.9966666666666667"/>
    <n v="0.58367999999999998"/>
    <n v="0.93166666666666675"/>
    <m/>
    <m/>
    <m/>
    <m/>
    <m/>
    <m/>
    <m/>
    <m/>
    <m/>
  </r>
  <r>
    <x v="1146"/>
    <x v="0"/>
    <s v="Imported"/>
    <x v="5"/>
    <n v="51"/>
    <n v="51"/>
    <n v="0"/>
    <m/>
    <n v="26136"/>
    <n v="25140"/>
    <n v="996"/>
    <x v="1426"/>
    <n v="405"/>
    <n v="512.47058823529414"/>
    <n v="492.94117647058823"/>
    <n v="19.529411764705884"/>
    <n v="314.36274509803923"/>
    <n v="7.9411764705882355"/>
    <n v="25"/>
    <n v="0"/>
    <n v="48.686274509803923"/>
    <n v="10"/>
    <n v="8.5"/>
    <n v="3.8108356290174471E-2"/>
    <n v="0.98686274509803917"/>
    <n v="0.61342592592592593"/>
    <n v="0.92186274509803923"/>
    <m/>
    <m/>
    <m/>
    <m/>
    <m/>
    <m/>
    <m/>
    <m/>
    <m/>
  </r>
  <r>
    <x v="1147"/>
    <x v="0"/>
    <s v="Imported"/>
    <x v="23"/>
    <n v="20"/>
    <n v="20"/>
    <n v="0"/>
    <m/>
    <n v="9615.5063291139231"/>
    <n v="9615.5063291139231"/>
    <n v="0"/>
    <x v="1427"/>
    <n v="0"/>
    <n v="480.77531645569616"/>
    <n v="480.77531645569616"/>
    <n v="0"/>
    <n v="303.8500000000000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48"/>
    <x v="0"/>
    <s v="Native "/>
    <x v="9"/>
    <n v="34"/>
    <n v="34"/>
    <n v="0"/>
    <m/>
    <n v="17355"/>
    <n v="16705"/>
    <n v="650"/>
    <x v="1428"/>
    <n v="416"/>
    <n v="510.44117647058823"/>
    <n v="491.3235294117647"/>
    <n v="19.117647058823529"/>
    <n v="311.7"/>
    <n v="12.235294117647058"/>
    <n v="24.705882352941178"/>
    <n v="0"/>
    <n v="48.25"/>
    <n v="10"/>
    <n v="8.5"/>
    <n v="3.7453183520599252E-2"/>
    <n v="0.97661764705882348"/>
    <n v="0.61064822817631803"/>
    <n v="0.91455882352941176"/>
    <m/>
    <m/>
    <m/>
    <m/>
    <m/>
    <m/>
    <n v="20"/>
    <m/>
    <m/>
  </r>
  <r>
    <x v="1149"/>
    <x v="0"/>
    <s v="Native "/>
    <x v="9"/>
    <n v="30"/>
    <n v="30"/>
    <n v="0"/>
    <m/>
    <n v="15519"/>
    <n v="14860"/>
    <n v="659"/>
    <x v="715"/>
    <n v="400"/>
    <n v="517.29999999999995"/>
    <n v="495.33333333333331"/>
    <n v="21.966666666666665"/>
    <n v="310.36666666666667"/>
    <n v="13.333333333333334"/>
    <n v="24.166666666666668"/>
    <n v="0"/>
    <n v="48.699999999999996"/>
    <n v="10"/>
    <n v="8.5"/>
    <n v="4.2464076293575619E-2"/>
    <n v="0.97033333333333327"/>
    <n v="0.59997422514337262"/>
    <n v="0.91366666666666663"/>
    <m/>
    <m/>
    <m/>
    <m/>
    <m/>
    <m/>
    <n v="19"/>
    <m/>
    <m/>
  </r>
  <r>
    <x v="1150"/>
    <x v="0"/>
    <s v="Native "/>
    <x v="14"/>
    <n v="49"/>
    <n v="48"/>
    <n v="1"/>
    <s v="Rejection of 1 carcass due to presence of c bovis in the heart "/>
    <n v="24555"/>
    <n v="23690"/>
    <n v="865"/>
    <x v="1429"/>
    <n v="566"/>
    <n v="511.5625"/>
    <n v="493.54166666666669"/>
    <n v="18.020833333333332"/>
    <n v="313.23750000000001"/>
    <n v="11.791666666666666"/>
    <n v="24.6875"/>
    <n v="0"/>
    <n v="45.979166666666664"/>
    <n v="10"/>
    <n v="8.5"/>
    <n v="3.5227041335776824E-2"/>
    <n v="0.95354166666666673"/>
    <n v="0.61231521075137441"/>
    <n v="0.89166666666666661"/>
    <m/>
    <m/>
    <m/>
    <m/>
    <m/>
    <m/>
    <n v="19"/>
    <m/>
    <m/>
  </r>
  <r>
    <x v="1151"/>
    <x v="0"/>
    <s v="Imported"/>
    <x v="23"/>
    <n v="47"/>
    <n v="47"/>
    <n v="0"/>
    <m/>
    <n v="21959.113924050631"/>
    <n v="21959.113924050631"/>
    <n v="0"/>
    <x v="1430"/>
    <n v="0"/>
    <n v="467.21518987341767"/>
    <n v="467.21518987341767"/>
    <n v="0"/>
    <n v="295.27999999999997"/>
    <n v="0"/>
    <n v="25"/>
    <n v="4"/>
    <n v="45"/>
    <n v="10"/>
    <n v="8.5"/>
    <n v="0"/>
    <n v="0.95"/>
    <n v="0.63200000000000001"/>
    <n v="0.92500000000000004"/>
    <m/>
    <m/>
    <m/>
    <m/>
    <m/>
    <m/>
    <m/>
    <m/>
    <m/>
  </r>
  <r>
    <x v="1152"/>
    <x v="0"/>
    <s v="Imported"/>
    <x v="23"/>
    <n v="20"/>
    <n v="20"/>
    <n v="0"/>
    <m/>
    <n v="9344.3037974683539"/>
    <n v="9344.3037974683539"/>
    <n v="0"/>
    <x v="1431"/>
    <n v="0"/>
    <n v="467.21518987341767"/>
    <n v="467.21518987341767"/>
    <n v="0"/>
    <n v="295.28000000000003"/>
    <n v="0"/>
    <n v="25"/>
    <n v="4"/>
    <n v="48"/>
    <n v="10"/>
    <n v="8.5"/>
    <n v="0"/>
    <n v="0.98"/>
    <n v="0.63200000000000012"/>
    <n v="0.95499999999999996"/>
    <m/>
    <m/>
    <m/>
    <m/>
    <m/>
    <m/>
    <m/>
    <m/>
    <m/>
  </r>
  <r>
    <x v="1153"/>
    <x v="0"/>
    <s v="Imported"/>
    <x v="5"/>
    <n v="32"/>
    <n v="32"/>
    <n v="0"/>
    <m/>
    <n v="16073"/>
    <n v="15360"/>
    <n v="713"/>
    <x v="1432"/>
    <n v="230"/>
    <n v="502.28125"/>
    <n v="480"/>
    <n v="22.28125"/>
    <n v="307.72812499999998"/>
    <n v="7.1875"/>
    <n v="25"/>
    <n v="0"/>
    <n v="48.46875"/>
    <n v="10"/>
    <n v="8.5"/>
    <n v="4.4360107011758854E-2"/>
    <n v="0.98468749999999994"/>
    <n v="0.61266098425931681"/>
    <n v="0.91968749999999999"/>
    <m/>
    <m/>
    <m/>
    <m/>
    <m/>
    <m/>
    <m/>
    <m/>
    <m/>
  </r>
  <r>
    <x v="1154"/>
    <x v="0"/>
    <s v="Native "/>
    <x v="14"/>
    <n v="38"/>
    <n v="37"/>
    <n v="1"/>
    <s v="Rejection of 1 carcass due to presence of c bovis in the heart."/>
    <n v="17855"/>
    <n v="17375"/>
    <n v="480"/>
    <x v="1433"/>
    <n v="369"/>
    <n v="482.56756756756755"/>
    <n v="469.59459459459458"/>
    <n v="12.972972972972974"/>
    <n v="291.91891891891891"/>
    <n v="9.9729729729729737"/>
    <n v="24.594594594594597"/>
    <n v="0"/>
    <n v="47.432432432432428"/>
    <n v="10"/>
    <n v="8.5"/>
    <n v="2.6883225987118457E-2"/>
    <n v="0.96621621621621623"/>
    <n v="0.60492859143097166"/>
    <n v="0.90527027027027029"/>
    <m/>
    <m/>
    <m/>
    <m/>
    <m/>
    <m/>
    <n v="26"/>
    <m/>
    <m/>
  </r>
  <r>
    <x v="1155"/>
    <x v="0"/>
    <s v="Native "/>
    <x v="24"/>
    <n v="18"/>
    <n v="17"/>
    <n v="1"/>
    <s v="Rejection of 1 emaciated bull."/>
    <n v="7414"/>
    <n v="6939"/>
    <n v="475"/>
    <x v="1434"/>
    <n v="82"/>
    <n v="436.11764705882354"/>
    <n v="408.1764705882353"/>
    <n v="27.941176470588236"/>
    <n v="261.66470588235296"/>
    <n v="4.8235294117647056"/>
    <n v="24.705882352941178"/>
    <n v="0"/>
    <n v="44.588235294117645"/>
    <n v="10"/>
    <n v="8.5"/>
    <n v="6.4067979498246566E-2"/>
    <n v="0.94"/>
    <n v="0.59998651200431619"/>
    <n v="0.87794117647058822"/>
    <m/>
    <m/>
    <m/>
    <m/>
    <m/>
    <m/>
    <n v="13"/>
    <m/>
    <m/>
  </r>
  <r>
    <x v="1155"/>
    <x v="0"/>
    <s v="Native "/>
    <x v="5"/>
    <n v="40"/>
    <n v="38"/>
    <n v="2"/>
    <s v="Rejection of 2 carcasses due to presence of c. Bovis in a heart of a carcass and sever pyogenic granulomatous infection in other carcass due to sever infestation of sarcocystic spp."/>
    <n v="16990"/>
    <n v="16203"/>
    <n v="787"/>
    <x v="1435"/>
    <n v="403"/>
    <n v="447.10526315789474"/>
    <n v="426.39473684210526"/>
    <n v="20.710526315789473"/>
    <n v="275.27368421052631"/>
    <n v="10.605263157894736"/>
    <n v="25"/>
    <n v="0"/>
    <n v="48.73684210526315"/>
    <n v="10"/>
    <n v="8.5"/>
    <n v="4.6321365509123011E-2"/>
    <n v="0.98736842105263145"/>
    <n v="0.61567981165391406"/>
    <n v="0.9223684210526315"/>
    <m/>
    <m/>
    <m/>
    <m/>
    <m/>
    <m/>
    <n v="6"/>
    <m/>
    <m/>
  </r>
  <r>
    <x v="1156"/>
    <x v="0"/>
    <s v="Imported"/>
    <x v="23"/>
    <n v="50"/>
    <n v="50"/>
    <n v="0"/>
    <m/>
    <n v="23269.303797468354"/>
    <n v="23269.303797468354"/>
    <n v="0"/>
    <x v="1436"/>
    <n v="0"/>
    <n v="465.38607594936707"/>
    <n v="465.38607594936707"/>
    <n v="0"/>
    <n v="294.12400000000002"/>
    <n v="0"/>
    <n v="25"/>
    <n v="4"/>
    <n v="48.3"/>
    <n v="10"/>
    <n v="8.5"/>
    <n v="0"/>
    <n v="0.98299999999999998"/>
    <n v="0.63200000000000001"/>
    <n v="0.95799999999999996"/>
    <m/>
    <m/>
    <m/>
    <m/>
    <m/>
    <m/>
    <m/>
    <m/>
    <m/>
  </r>
  <r>
    <x v="1157"/>
    <x v="0"/>
    <s v="Imported"/>
    <x v="27"/>
    <n v="66"/>
    <n v="66"/>
    <n v="0"/>
    <m/>
    <n v="31881"/>
    <n v="31175"/>
    <n v="706"/>
    <x v="1437"/>
    <n v="397"/>
    <n v="483.04545454545456"/>
    <n v="472.34848484848487"/>
    <n v="10.696969696969697"/>
    <n v="289.81666666666666"/>
    <n v="6.0151515151515156"/>
    <n v="25"/>
    <n v="0"/>
    <n v="48.18181818181818"/>
    <n v="10"/>
    <n v="8.5"/>
    <n v="2.2144851165270849E-2"/>
    <n v="0.98181818181818181"/>
    <n v="0.59997804334870308"/>
    <n v="0.91681818181818187"/>
    <m/>
    <m/>
    <m/>
    <m/>
    <m/>
    <m/>
    <m/>
    <m/>
    <m/>
  </r>
  <r>
    <x v="1158"/>
    <x v="0"/>
    <s v="Native "/>
    <x v="9"/>
    <n v="47"/>
    <n v="47"/>
    <n v="0"/>
    <m/>
    <n v="24721"/>
    <n v="23300"/>
    <n v="1421"/>
    <x v="1438"/>
    <n v="541"/>
    <n v="525.97872340425533"/>
    <n v="495.74468085106383"/>
    <n v="30.23404255319149"/>
    <n v="315.56382978723406"/>
    <n v="11.51063829787234"/>
    <n v="24.574468085106382"/>
    <n v="0"/>
    <n v="46.021276595744681"/>
    <n v="10"/>
    <n v="8.5"/>
    <n v="5.7481493467092755E-2"/>
    <n v="0.95170212765957451"/>
    <n v="0.59995550341814652"/>
    <n v="0.89095744680851052"/>
    <m/>
    <m/>
    <m/>
    <m/>
    <m/>
    <m/>
    <n v="25"/>
    <m/>
    <m/>
  </r>
  <r>
    <x v="1159"/>
    <x v="0"/>
    <s v="Imported"/>
    <x v="5"/>
    <n v="64"/>
    <n v="64"/>
    <n v="0"/>
    <m/>
    <n v="32252"/>
    <n v="30740"/>
    <n v="1512"/>
    <x v="1439"/>
    <n v="476"/>
    <n v="503.9375"/>
    <n v="480.3125"/>
    <n v="23.625"/>
    <n v="304.1640625"/>
    <n v="7.4375"/>
    <n v="25"/>
    <n v="0"/>
    <n v="48.890625"/>
    <n v="10"/>
    <n v="8.5"/>
    <n v="4.6880813592955477E-2"/>
    <n v="0.98890624999999999"/>
    <n v="0.60357497209475386"/>
    <n v="0.92390625000000004"/>
    <m/>
    <m/>
    <m/>
    <m/>
    <m/>
    <m/>
    <m/>
    <m/>
    <m/>
  </r>
  <r>
    <x v="1160"/>
    <x v="0"/>
    <s v="Imported"/>
    <x v="23"/>
    <n v="72"/>
    <n v="71"/>
    <n v="1"/>
    <s v="Rejection of 1 carcass due to presence of sever blood splashes."/>
    <n v="33342.405063291139"/>
    <n v="33342.405063291139"/>
    <n v="0"/>
    <x v="1440"/>
    <n v="0"/>
    <n v="469.61133891959349"/>
    <n v="469.61133891959349"/>
    <n v="0"/>
    <n v="296.79436619718314"/>
    <n v="0"/>
    <n v="25"/>
    <n v="4"/>
    <n v="48.943661971830984"/>
    <n v="9.929577464788732"/>
    <n v="8.5"/>
    <n v="0"/>
    <n v="0.98943661971830976"/>
    <n v="0.63200000000000001"/>
    <n v="0.96373239436619718"/>
    <m/>
    <m/>
    <m/>
    <m/>
    <m/>
    <m/>
    <m/>
    <m/>
    <m/>
  </r>
  <r>
    <x v="1161"/>
    <x v="0"/>
    <s v="Imported"/>
    <x v="27"/>
    <n v="68"/>
    <n v="68"/>
    <n v="0"/>
    <m/>
    <n v="31432"/>
    <n v="31432"/>
    <n v="0"/>
    <x v="1441"/>
    <n v="369"/>
    <n v="462.23529411764707"/>
    <n v="462.23529411764707"/>
    <n v="0"/>
    <n v="277.3235294117647"/>
    <n v="5.4264705882352944"/>
    <n v="25"/>
    <n v="0"/>
    <n v="48.455882352941174"/>
    <n v="10"/>
    <n v="8.5"/>
    <n v="0"/>
    <n v="0.98455882352941182"/>
    <n v="0.59996182234665307"/>
    <n v="0.91955882352941176"/>
    <m/>
    <m/>
    <m/>
    <m/>
    <m/>
    <m/>
    <m/>
    <m/>
    <m/>
  </r>
  <r>
    <x v="1161"/>
    <x v="0"/>
    <s v="Imported"/>
    <x v="14"/>
    <n v="14"/>
    <n v="14"/>
    <n v="0"/>
    <m/>
    <n v="9134"/>
    <n v="9134"/>
    <n v="0"/>
    <x v="1442"/>
    <n v="112"/>
    <n v="652.42857142857144"/>
    <n v="652.42857142857144"/>
    <n v="0"/>
    <n v="401.25"/>
    <n v="8"/>
    <n v="22.285714285714285"/>
    <n v="0"/>
    <n v="47.928571428571431"/>
    <n v="10"/>
    <n v="8.5"/>
    <n v="0"/>
    <n v="0.92500000000000004"/>
    <n v="0.61500985329537994"/>
    <n v="0.88714285714285723"/>
    <m/>
    <m/>
    <m/>
    <m/>
    <m/>
    <m/>
    <n v="5"/>
    <m/>
    <m/>
  </r>
  <r>
    <x v="1162"/>
    <x v="0"/>
    <s v="Imported"/>
    <x v="23"/>
    <n v="36"/>
    <n v="36"/>
    <n v="0"/>
    <m/>
    <n v="16734.177215189873"/>
    <n v="16734.177215189873"/>
    <n v="0"/>
    <x v="1443"/>
    <n v="0"/>
    <n v="464.83825597749649"/>
    <n v="464.83825597749649"/>
    <n v="0"/>
    <n v="293.7777777777777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63"/>
    <x v="1"/>
    <m/>
    <x v="14"/>
    <n v="52"/>
    <n v="52"/>
    <n v="0"/>
    <m/>
    <n v="2750"/>
    <n v="2750"/>
    <n v="0"/>
    <x v="1444"/>
    <n v="0"/>
    <n v="52.884615384615387"/>
    <n v="52.884615384615387"/>
    <n v="0"/>
    <n v="29.346153846153847"/>
    <n v="0"/>
    <n v="25"/>
    <n v="0"/>
    <n v="47.076923076923066"/>
    <n v="10"/>
    <n v="8.5"/>
    <n v="0"/>
    <n v="0.97076923076923061"/>
    <n v="0.55490909090909091"/>
    <n v="0.90576923076923066"/>
    <m/>
    <m/>
    <m/>
    <m/>
    <m/>
    <m/>
    <m/>
    <m/>
    <m/>
  </r>
  <r>
    <x v="1163"/>
    <x v="0"/>
    <s v="Imported"/>
    <x v="23"/>
    <n v="58"/>
    <n v="58"/>
    <n v="0"/>
    <m/>
    <n v="26369.303797468354"/>
    <n v="26369.303797468354"/>
    <n v="0"/>
    <x v="1445"/>
    <n v="0"/>
    <n v="454.64316892186815"/>
    <n v="454.64316892186815"/>
    <n v="0"/>
    <n v="287.33448275862071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64"/>
    <x v="1"/>
    <m/>
    <x v="14"/>
    <n v="40"/>
    <n v="40"/>
    <n v="0"/>
    <m/>
    <n v="2046"/>
    <n v="2046"/>
    <n v="0"/>
    <x v="1446"/>
    <n v="0"/>
    <n v="51.15"/>
    <n v="51.15"/>
    <n v="0"/>
    <n v="27.95"/>
    <n v="0"/>
    <n v="25"/>
    <n v="0"/>
    <n v="49.65"/>
    <n v="10"/>
    <n v="8.5"/>
    <n v="0"/>
    <n v="0.99649999999999994"/>
    <n v="0.54643206256109478"/>
    <n v="0.93150000000000011"/>
    <m/>
    <m/>
    <m/>
    <m/>
    <m/>
    <m/>
    <m/>
    <m/>
    <m/>
  </r>
  <r>
    <x v="1164"/>
    <x v="0"/>
    <s v="Imported"/>
    <x v="23"/>
    <n v="71"/>
    <n v="71"/>
    <n v="0"/>
    <m/>
    <n v="34438.291139240508"/>
    <n v="34438.291139240508"/>
    <n v="0"/>
    <x v="1447"/>
    <n v="0"/>
    <n v="485.04635407380999"/>
    <n v="485.04635407380999"/>
    <n v="0"/>
    <n v="306.5492957746478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65"/>
    <x v="1"/>
    <m/>
    <x v="14"/>
    <n v="59"/>
    <n v="59"/>
    <n v="0"/>
    <m/>
    <n v="3161"/>
    <n v="3161"/>
    <n v="0"/>
    <x v="1448"/>
    <n v="0"/>
    <n v="53.576271186440678"/>
    <n v="53.576271186440678"/>
    <n v="0"/>
    <n v="29.35593220338983"/>
    <n v="0"/>
    <n v="25"/>
    <n v="0"/>
    <n v="49.525423728813557"/>
    <n v="10"/>
    <n v="8.5"/>
    <n v="0"/>
    <n v="0.99525423728813556"/>
    <n v="0.54792787092692186"/>
    <n v="0.93025423728813561"/>
    <m/>
    <m/>
    <m/>
    <m/>
    <m/>
    <m/>
    <m/>
    <m/>
    <m/>
  </r>
  <r>
    <x v="1165"/>
    <x v="0"/>
    <s v="Imported"/>
    <x v="23"/>
    <n v="60"/>
    <n v="60"/>
    <n v="0"/>
    <m/>
    <n v="29044.620253164554"/>
    <n v="29044.620253164554"/>
    <n v="0"/>
    <x v="1449"/>
    <n v="0"/>
    <n v="484.07700421940922"/>
    <n v="484.07700421940922"/>
    <n v="0"/>
    <n v="305.93666666666667"/>
    <n v="0"/>
    <n v="25"/>
    <n v="4"/>
    <n v="50"/>
    <n v="9.9166666666666661"/>
    <n v="8.5"/>
    <n v="0"/>
    <n v="1"/>
    <n v="0.63200000000000012"/>
    <n v="0.97416666666666674"/>
    <m/>
    <m/>
    <m/>
    <m/>
    <m/>
    <m/>
    <m/>
    <m/>
    <m/>
  </r>
  <r>
    <x v="1166"/>
    <x v="1"/>
    <m/>
    <x v="14"/>
    <n v="59"/>
    <n v="59"/>
    <n v="0"/>
    <m/>
    <n v="2884"/>
    <n v="2884"/>
    <n v="0"/>
    <x v="1450"/>
    <n v="0"/>
    <n v="48.881355932203391"/>
    <n v="48.881355932203391"/>
    <n v="0"/>
    <n v="25.459322033898303"/>
    <n v="0"/>
    <n v="25"/>
    <n v="0"/>
    <n v="49.254237288135592"/>
    <n v="10"/>
    <n v="8.5"/>
    <n v="0"/>
    <n v="0.99254237288135594"/>
    <n v="0.52083911234396663"/>
    <n v="0.92754237288135588"/>
    <m/>
    <m/>
    <m/>
    <m/>
    <m/>
    <m/>
    <m/>
    <m/>
    <m/>
  </r>
  <r>
    <x v="1167"/>
    <x v="1"/>
    <m/>
    <x v="28"/>
    <n v="57"/>
    <n v="57"/>
    <n v="0"/>
    <m/>
    <n v="2920"/>
    <n v="2920"/>
    <n v="0"/>
    <x v="1451"/>
    <n v="0"/>
    <n v="51.228070175438596"/>
    <n v="51.228070175438596"/>
    <n v="0"/>
    <n v="28.061403508771932"/>
    <n v="0"/>
    <n v="25"/>
    <n v="0"/>
    <n v="47.456140350877199"/>
    <n v="10"/>
    <n v="8.5"/>
    <n v="0"/>
    <n v="0.97456140350877196"/>
    <n v="0.54777397260273974"/>
    <n v="0.90956140350877202"/>
    <m/>
    <m/>
    <m/>
    <m/>
    <m/>
    <m/>
    <m/>
    <m/>
    <m/>
  </r>
  <r>
    <x v="1167"/>
    <x v="0"/>
    <s v="Imported"/>
    <x v="14"/>
    <n v="45"/>
    <n v="45"/>
    <n v="0"/>
    <m/>
    <n v="29826"/>
    <n v="29826"/>
    <n v="0"/>
    <x v="1452"/>
    <n v="302"/>
    <n v="662.8"/>
    <n v="662.8"/>
    <n v="0"/>
    <n v="405.75555555555553"/>
    <n v="6.7111111111111112"/>
    <n v="22.333333333333336"/>
    <n v="0"/>
    <n v="46.444444444444443"/>
    <n v="10"/>
    <n v="8.5"/>
    <n v="0"/>
    <n v="0.9111111111111112"/>
    <n v="0.61218400053644473"/>
    <n v="0.87277777777777776"/>
    <m/>
    <m/>
    <m/>
    <m/>
    <m/>
    <m/>
    <n v="27"/>
    <m/>
    <m/>
  </r>
  <r>
    <x v="1168"/>
    <x v="1"/>
    <m/>
    <x v="28"/>
    <n v="70"/>
    <n v="70"/>
    <n v="0"/>
    <m/>
    <n v="3690"/>
    <n v="3690"/>
    <n v="0"/>
    <x v="1453"/>
    <n v="0"/>
    <n v="52.714285714285715"/>
    <n v="52.714285714285715"/>
    <n v="0"/>
    <n v="28.981428571428573"/>
    <n v="0"/>
    <n v="25"/>
    <n v="0"/>
    <n v="47.18571428571429"/>
    <n v="10"/>
    <n v="8.5"/>
    <n v="0"/>
    <n v="0.97185714285714297"/>
    <n v="0.54978319783197838"/>
    <n v="0.90685714285714281"/>
    <m/>
    <m/>
    <m/>
    <m/>
    <m/>
    <m/>
    <m/>
    <m/>
    <m/>
  </r>
  <r>
    <x v="1168"/>
    <x v="0"/>
    <s v="Imported"/>
    <x v="14"/>
    <n v="39"/>
    <n v="39"/>
    <n v="0"/>
    <m/>
    <n v="25500"/>
    <n v="25500"/>
    <n v="0"/>
    <x v="1454"/>
    <n v="297"/>
    <n v="653.84615384615381"/>
    <n v="653.84615384615381"/>
    <n v="0"/>
    <n v="395.35384615384612"/>
    <n v="7.615384615384615"/>
    <n v="22.342105263157894"/>
    <n v="0"/>
    <n v="48.55263157894737"/>
    <n v="10"/>
    <n v="8.5"/>
    <n v="0"/>
    <n v="0.93236842105263151"/>
    <n v="0.60465882352941169"/>
    <n v="0.8939473684210526"/>
    <m/>
    <m/>
    <m/>
    <m/>
    <m/>
    <m/>
    <n v="28"/>
    <m/>
    <m/>
  </r>
  <r>
    <x v="1169"/>
    <x v="1"/>
    <m/>
    <x v="14"/>
    <n v="85"/>
    <n v="85"/>
    <n v="0"/>
    <m/>
    <n v="4468"/>
    <n v="4468"/>
    <n v="0"/>
    <x v="1455"/>
    <n v="0"/>
    <n v="52.564705882352939"/>
    <n v="52.564705882352939"/>
    <n v="0"/>
    <n v="29.955294117647057"/>
    <n v="0"/>
    <n v="25"/>
    <n v="0"/>
    <n v="49.388235294117649"/>
    <n v="10"/>
    <n v="8.5"/>
    <n v="0"/>
    <n v="0.99388235294117644"/>
    <n v="0.56987466427931954"/>
    <n v="0.92888235294117649"/>
    <m/>
    <m/>
    <m/>
    <m/>
    <m/>
    <m/>
    <m/>
    <m/>
    <m/>
  </r>
  <r>
    <x v="1169"/>
    <x v="0"/>
    <s v="Imported"/>
    <x v="14"/>
    <n v="33"/>
    <n v="33"/>
    <n v="0"/>
    <m/>
    <n v="22426"/>
    <n v="22426"/>
    <n v="0"/>
    <x v="1456"/>
    <n v="245"/>
    <n v="679.57575757575762"/>
    <n v="679.57575757575762"/>
    <n v="0"/>
    <n v="420.18181818181819"/>
    <n v="7.4242424242424239"/>
    <n v="19.666666666666664"/>
    <n v="0"/>
    <n v="46.121212121212125"/>
    <n v="10"/>
    <n v="8.5"/>
    <n v="0"/>
    <n v="0.8545454545454545"/>
    <n v="0.61830018728261837"/>
    <n v="0.84287878787878778"/>
    <m/>
    <m/>
    <m/>
    <m/>
    <m/>
    <m/>
    <n v="22"/>
    <m/>
    <m/>
  </r>
  <r>
    <x v="1170"/>
    <x v="1"/>
    <m/>
    <x v="14"/>
    <n v="88"/>
    <n v="88"/>
    <n v="0"/>
    <m/>
    <n v="4827"/>
    <n v="4827"/>
    <n v="0"/>
    <x v="1457"/>
    <n v="0"/>
    <n v="54.852272727272727"/>
    <n v="54.852272727272727"/>
    <n v="0"/>
    <n v="30.268181818181816"/>
    <n v="0"/>
    <n v="25"/>
    <n v="0"/>
    <n v="49.272727272727273"/>
    <n v="10"/>
    <n v="8.5"/>
    <n v="0"/>
    <n v="0.99272727272727268"/>
    <n v="0.55181272011601412"/>
    <n v="0.92772727272727284"/>
    <m/>
    <m/>
    <m/>
    <m/>
    <m/>
    <m/>
    <m/>
    <m/>
    <m/>
  </r>
  <r>
    <x v="1170"/>
    <x v="0"/>
    <s v="Imported"/>
    <x v="14"/>
    <n v="36"/>
    <n v="36"/>
    <n v="0"/>
    <m/>
    <n v="24054"/>
    <n v="24054"/>
    <n v="0"/>
    <x v="1458"/>
    <n v="264"/>
    <n v="668.16666666666663"/>
    <n v="668.16666666666663"/>
    <n v="0"/>
    <n v="406.76944444444445"/>
    <n v="7.333333333333333"/>
    <n v="19.666666666666664"/>
    <n v="0"/>
    <n v="46.694444444444443"/>
    <n v="10"/>
    <n v="8.5"/>
    <n v="0"/>
    <n v="0.8602777777777777"/>
    <n v="0.60878440176270066"/>
    <n v="0.84861111111111109"/>
    <m/>
    <m/>
    <m/>
    <m/>
    <m/>
    <m/>
    <n v="24"/>
    <m/>
    <m/>
  </r>
  <r>
    <x v="1171"/>
    <x v="0"/>
    <s v="Imported"/>
    <x v="23"/>
    <n v="43"/>
    <n v="42"/>
    <n v="1"/>
    <s v="Rejection of 1 carcass due to presence of miliary TB."/>
    <n v="20065.189873417723"/>
    <n v="20065.189873417723"/>
    <n v="0"/>
    <x v="1459"/>
    <n v="0"/>
    <n v="477.74261603375533"/>
    <n v="477.74261603375533"/>
    <n v="0"/>
    <n v="301.93333333333334"/>
    <n v="0"/>
    <n v="25"/>
    <n v="4"/>
    <n v="49.285714285714285"/>
    <n v="10"/>
    <n v="8.5"/>
    <n v="0"/>
    <n v="0.99285714285714288"/>
    <n v="0.63200000000000001"/>
    <n v="0.96785714285714275"/>
    <m/>
    <m/>
    <m/>
    <m/>
    <m/>
    <m/>
    <m/>
    <m/>
    <m/>
  </r>
  <r>
    <x v="1172"/>
    <x v="0"/>
    <s v="Imported"/>
    <x v="23"/>
    <n v="45"/>
    <n v="45"/>
    <n v="0"/>
    <m/>
    <n v="21573.101265822785"/>
    <n v="21573.101265822785"/>
    <n v="0"/>
    <x v="1460"/>
    <n v="0"/>
    <n v="479.40225035161745"/>
    <n v="479.40225035161745"/>
    <n v="0"/>
    <n v="302.98222222222222"/>
    <n v="0"/>
    <n v="25"/>
    <n v="4"/>
    <n v="50"/>
    <n v="9.8888888888888893"/>
    <n v="8.5"/>
    <n v="0"/>
    <n v="1"/>
    <n v="0.63200000000000001"/>
    <n v="0.9738888888888888"/>
    <m/>
    <m/>
    <m/>
    <m/>
    <m/>
    <m/>
    <m/>
    <m/>
    <m/>
  </r>
  <r>
    <x v="1173"/>
    <x v="0"/>
    <s v="Imported"/>
    <x v="23"/>
    <n v="56"/>
    <n v="56"/>
    <n v="0"/>
    <m/>
    <n v="26370.569620253165"/>
    <n v="26370.569620253165"/>
    <n v="0"/>
    <x v="1461"/>
    <n v="0"/>
    <n v="470.90302893309223"/>
    <n v="470.90302893309223"/>
    <n v="0"/>
    <n v="297.61071428571432"/>
    <n v="0"/>
    <n v="25"/>
    <n v="4"/>
    <n v="48.571428571428569"/>
    <n v="9.9107142857142847"/>
    <n v="8.5"/>
    <n v="0"/>
    <n v="0.98571428571428577"/>
    <n v="0.63200000000000001"/>
    <n v="0.9598214285714286"/>
    <m/>
    <m/>
    <m/>
    <m/>
    <m/>
    <m/>
    <m/>
    <m/>
    <m/>
  </r>
  <r>
    <x v="1174"/>
    <x v="0"/>
    <s v="Imported"/>
    <x v="23"/>
    <n v="30"/>
    <n v="30"/>
    <n v="0"/>
    <m/>
    <n v="14077.531645569619"/>
    <n v="14077.531645569619"/>
    <n v="0"/>
    <x v="1462"/>
    <n v="0"/>
    <n v="469.25105485232064"/>
    <n v="469.25105485232064"/>
    <n v="0"/>
    <n v="296.56666666666666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75"/>
    <x v="0"/>
    <s v="Imported"/>
    <x v="23"/>
    <n v="69"/>
    <n v="69"/>
    <n v="0"/>
    <m/>
    <n v="32075.632911392404"/>
    <n v="32075.632911392404"/>
    <n v="0"/>
    <x v="1463"/>
    <m/>
    <n v="464.86424509264356"/>
    <n v="464.86424509264356"/>
    <n v="0"/>
    <n v="293.7942028985507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76"/>
    <x v="0"/>
    <s v="Imported"/>
    <x v="23"/>
    <n v="60"/>
    <n v="60"/>
    <n v="0"/>
    <m/>
    <n v="26725.949367088608"/>
    <n v="26725.949367088608"/>
    <n v="0"/>
    <x v="1464"/>
    <m/>
    <n v="445.43248945147678"/>
    <n v="445.43248945147678"/>
    <n v="0"/>
    <n v="281.5133333333333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77"/>
    <x v="0"/>
    <s v="Imported"/>
    <x v="23"/>
    <n v="62"/>
    <n v="60"/>
    <n v="2"/>
    <s v="Rejection of 2 carcasses due to presence of generalized granulomatous esinophilic myositis associated with sarcocystic infestation."/>
    <n v="27929.430379746838"/>
    <n v="27929.430379746838"/>
    <n v="0"/>
    <x v="1465"/>
    <n v="0"/>
    <n v="465.490506329114"/>
    <n v="465.490506329114"/>
    <n v="0"/>
    <n v="294.1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78"/>
    <x v="0"/>
    <s v="Imported"/>
    <x v="23"/>
    <n v="68"/>
    <n v="68"/>
    <n v="0"/>
    <m/>
    <n v="31817.088607594938"/>
    <n v="31817.088607594938"/>
    <n v="0"/>
    <x v="1466"/>
    <n v="0"/>
    <n v="467.89836187639617"/>
    <n v="467.89836187639617"/>
    <n v="0"/>
    <n v="295.7117647058823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79"/>
    <x v="0"/>
    <s v="Imported"/>
    <x v="23"/>
    <n v="37"/>
    <n v="37"/>
    <n v="0"/>
    <m/>
    <n v="17723.101265822785"/>
    <n v="17723.101265822785"/>
    <n v="0"/>
    <x v="1467"/>
    <n v="0"/>
    <n v="479.00273691412929"/>
    <n v="479.00273691412929"/>
    <n v="0"/>
    <n v="302.7297297297297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80"/>
    <x v="1"/>
    <m/>
    <x v="14"/>
    <n v="1"/>
    <n v="1"/>
    <n v="0"/>
    <m/>
    <n v="56"/>
    <n v="56"/>
    <n v="0"/>
    <x v="1468"/>
    <m/>
    <n v="56"/>
    <n v="56"/>
    <n v="0"/>
    <n v="31.9"/>
    <n v="0"/>
    <n v="25"/>
    <n v="0"/>
    <n v="50"/>
    <n v="10"/>
    <n v="8.5"/>
    <n v="0"/>
    <n v="1"/>
    <n v="0.56964285714285712"/>
    <n v="0.93500000000000005"/>
    <m/>
    <m/>
    <m/>
    <m/>
    <m/>
    <m/>
    <m/>
    <m/>
    <m/>
  </r>
  <r>
    <x v="1180"/>
    <x v="0"/>
    <s v="Imported"/>
    <x v="14"/>
    <n v="43"/>
    <n v="43"/>
    <n v="0"/>
    <m/>
    <n v="29324"/>
    <n v="28075"/>
    <n v="1249"/>
    <x v="1469"/>
    <n v="430"/>
    <n v="681.95348837209303"/>
    <n v="652.90697674418607"/>
    <n v="29.046511627906977"/>
    <n v="413.45813953488374"/>
    <n v="10"/>
    <n v="19.046511627906977"/>
    <n v="0"/>
    <n v="46.325581395348834"/>
    <n v="10"/>
    <n v="8.5"/>
    <n v="4.259309780384668E-2"/>
    <n v="0.84418604651162787"/>
    <n v="0.60628495430364204"/>
    <n v="0.83872093023255812"/>
    <m/>
    <m/>
    <m/>
    <m/>
    <m/>
    <m/>
    <n v="34"/>
    <m/>
    <m/>
  </r>
  <r>
    <x v="1181"/>
    <x v="0"/>
    <s v="Imported"/>
    <x v="23"/>
    <n v="39"/>
    <n v="39"/>
    <n v="0"/>
    <m/>
    <n v="20647.151898734177"/>
    <n v="20647.151898734177"/>
    <n v="0"/>
    <x v="1470"/>
    <n v="0"/>
    <n v="529.41415124959428"/>
    <n v="529.41415124959428"/>
    <n v="0"/>
    <n v="334.5897435897435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82"/>
    <x v="0"/>
    <s v="Imported"/>
    <x v="14"/>
    <n v="44"/>
    <n v="44"/>
    <n v="0"/>
    <m/>
    <n v="28900"/>
    <n v="27400"/>
    <n v="1500"/>
    <x v="1471"/>
    <n v="410"/>
    <n v="656.81818181818187"/>
    <n v="622.72727272727275"/>
    <n v="34.090909090909093"/>
    <n v="394.90909090909093"/>
    <n v="9.3181818181818183"/>
    <n v="18.454545454545453"/>
    <n v="0"/>
    <n v="45.818181818181813"/>
    <n v="10"/>
    <n v="8.5"/>
    <n v="5.1903114186851208E-2"/>
    <n v="0.82727272727272716"/>
    <n v="0.6012456747404844"/>
    <n v="0.82772727272727264"/>
    <m/>
    <m/>
    <m/>
    <m/>
    <m/>
    <m/>
    <n v="40"/>
    <m/>
    <m/>
  </r>
  <r>
    <x v="1183"/>
    <x v="0"/>
    <s v="Native "/>
    <x v="9"/>
    <n v="16"/>
    <n v="16"/>
    <n v="0"/>
    <m/>
    <n v="10608"/>
    <n v="10608"/>
    <n v="0"/>
    <x v="1472"/>
    <n v="111"/>
    <n v="663"/>
    <n v="663"/>
    <n v="0"/>
    <n v="397.8125"/>
    <n v="6.9375"/>
    <n v="22.0625"/>
    <n v="0"/>
    <n v="46.5625"/>
    <n v="10"/>
    <n v="8.5"/>
    <n v="0"/>
    <n v="0.90687499999999999"/>
    <n v="0.60001885369532426"/>
    <n v="0.87124999999999997"/>
    <m/>
    <m/>
    <m/>
    <m/>
    <m/>
    <m/>
    <n v="15"/>
    <m/>
    <m/>
  </r>
  <r>
    <x v="1183"/>
    <x v="0"/>
    <s v="Imported"/>
    <x v="23"/>
    <n v="49"/>
    <n v="49"/>
    <n v="0"/>
    <m/>
    <n v="22998.734177215189"/>
    <n v="22998.734177215189"/>
    <n v="0"/>
    <x v="1473"/>
    <n v="0"/>
    <n v="469.36192198398345"/>
    <n v="469.36192198398345"/>
    <n v="0"/>
    <n v="296.63673469387754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84"/>
    <x v="1"/>
    <m/>
    <x v="28"/>
    <n v="24"/>
    <n v="24"/>
    <n v="0"/>
    <m/>
    <n v="1150.9090909090901"/>
    <n v="1140"/>
    <n v="10.909090909090082"/>
    <x v="1474"/>
    <n v="0"/>
    <n v="47.954545454545418"/>
    <n v="47.5"/>
    <n v="0.45454545454542011"/>
    <n v="25.958333333333332"/>
    <n v="0"/>
    <n v="25"/>
    <n v="0"/>
    <n v="46.666666666666657"/>
    <n v="10"/>
    <n v="8.5"/>
    <n v="9.47867298578128E-3"/>
    <n v="0.96666666666666656"/>
    <n v="0.54131121642970026"/>
    <n v="0.90166666666666662"/>
    <m/>
    <m/>
    <m/>
    <m/>
    <m/>
    <m/>
    <m/>
    <m/>
    <m/>
  </r>
  <r>
    <x v="1184"/>
    <x v="0"/>
    <s v="Imported"/>
    <x v="14"/>
    <n v="33"/>
    <n v="33"/>
    <n v="0"/>
    <m/>
    <n v="17490"/>
    <n v="17490"/>
    <n v="0"/>
    <x v="1475"/>
    <n v="213"/>
    <n v="530"/>
    <n v="530"/>
    <n v="0"/>
    <n v="328.90000000000003"/>
    <n v="6.4545454545454541"/>
    <n v="25"/>
    <n v="0"/>
    <n v="49.272727272727273"/>
    <n v="10"/>
    <n v="8.5"/>
    <n v="0"/>
    <n v="0.99272727272727268"/>
    <n v="0.62056603773584906"/>
    <n v="0.92772727272727284"/>
    <m/>
    <m/>
    <m/>
    <m/>
    <m/>
    <m/>
    <n v="7"/>
    <m/>
    <m/>
  </r>
  <r>
    <x v="1184"/>
    <x v="0"/>
    <s v="Imported"/>
    <x v="29"/>
    <n v="7"/>
    <n v="7"/>
    <n v="0"/>
    <m/>
    <n v="4404"/>
    <n v="4215"/>
    <n v="189"/>
    <x v="1476"/>
    <n v="0"/>
    <n v="629.14285714285711"/>
    <n v="602.14285714285711"/>
    <n v="27"/>
    <n v="405.17142857142852"/>
    <n v="0"/>
    <n v="25"/>
    <n v="0"/>
    <n v="49"/>
    <n v="10"/>
    <n v="8.5"/>
    <n v="4.2915531335149866E-2"/>
    <n v="0.99"/>
    <n v="0.64400544959128059"/>
    <n v="0.92500000000000004"/>
    <m/>
    <m/>
    <m/>
    <m/>
    <m/>
    <m/>
    <m/>
    <m/>
    <m/>
  </r>
  <r>
    <x v="1185"/>
    <x v="0"/>
    <s v="Imported"/>
    <x v="23"/>
    <n v="30"/>
    <n v="30"/>
    <n v="0"/>
    <m/>
    <n v="13854.746835443"/>
    <n v="13854.746835443"/>
    <n v="0"/>
    <x v="1477"/>
    <m/>
    <n v="461.8248945147667"/>
    <n v="461.8248945147667"/>
    <n v="0"/>
    <n v="291.87333333333333"/>
    <n v="0"/>
    <n v="25"/>
    <n v="4"/>
    <n v="50"/>
    <n v="10"/>
    <n v="8.5"/>
    <n v="0"/>
    <n v="1"/>
    <n v="0.63200000000000178"/>
    <n v="0.97499999999999998"/>
    <m/>
    <m/>
    <m/>
    <m/>
    <m/>
    <m/>
    <m/>
    <m/>
    <m/>
  </r>
  <r>
    <x v="1186"/>
    <x v="1"/>
    <m/>
    <x v="28"/>
    <n v="21"/>
    <n v="21"/>
    <n v="0"/>
    <m/>
    <n v="1090"/>
    <n v="1080"/>
    <n v="10"/>
    <x v="1478"/>
    <n v="0"/>
    <n v="51.904761904761905"/>
    <n v="51.428571428571431"/>
    <n v="0.47619047619047616"/>
    <n v="28.971428571428572"/>
    <n v="0"/>
    <n v="25"/>
    <n v="0"/>
    <n v="47.238095238095234"/>
    <n v="10"/>
    <n v="8.5"/>
    <n v="9.1743119266055034E-3"/>
    <n v="0.97238095238095235"/>
    <n v="0.5581651376146789"/>
    <n v="0.9073809523809524"/>
    <m/>
    <m/>
    <m/>
    <m/>
    <m/>
    <m/>
    <m/>
    <m/>
    <m/>
  </r>
  <r>
    <x v="1186"/>
    <x v="0"/>
    <s v="Imported"/>
    <x v="14"/>
    <n v="13"/>
    <n v="13"/>
    <n v="0"/>
    <m/>
    <n v="6890"/>
    <n v="6890"/>
    <n v="0"/>
    <x v="1479"/>
    <n v="84"/>
    <n v="530"/>
    <n v="530"/>
    <n v="0"/>
    <n v="328.9"/>
    <n v="6.4615384615384617"/>
    <n v="25"/>
    <n v="0"/>
    <n v="46.692307692307701"/>
    <n v="10"/>
    <n v="8.5"/>
    <n v="0"/>
    <n v="0.966923076923077"/>
    <n v="0.62056603773584906"/>
    <n v="0.90192307692307705"/>
    <m/>
    <m/>
    <m/>
    <m/>
    <m/>
    <m/>
    <n v="3"/>
    <m/>
    <m/>
  </r>
  <r>
    <x v="1186"/>
    <x v="0"/>
    <s v="Imported"/>
    <x v="29"/>
    <n v="7"/>
    <n v="7"/>
    <n v="0"/>
    <m/>
    <n v="4404"/>
    <n v="4215"/>
    <n v="189"/>
    <x v="1476"/>
    <n v="0"/>
    <n v="629.14285714285711"/>
    <n v="602.14285714285711"/>
    <n v="27"/>
    <n v="405.17142857142852"/>
    <n v="0"/>
    <n v="25"/>
    <n v="0"/>
    <n v="49"/>
    <n v="10"/>
    <n v="8.5"/>
    <n v="4.2915531335149866E-2"/>
    <n v="0.99"/>
    <n v="0.64400544959128059"/>
    <n v="0.92500000000000004"/>
    <m/>
    <m/>
    <m/>
    <m/>
    <m/>
    <m/>
    <m/>
    <m/>
    <m/>
  </r>
  <r>
    <x v="1187"/>
    <x v="0"/>
    <s v="Imported"/>
    <x v="23"/>
    <n v="30"/>
    <n v="30"/>
    <n v="0"/>
    <m/>
    <n v="13343.987341772152"/>
    <n v="13343.987341772152"/>
    <n v="0"/>
    <x v="1480"/>
    <n v="0"/>
    <n v="444.79957805907173"/>
    <n v="444.79957805907173"/>
    <n v="0"/>
    <n v="281.1133333333333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88"/>
    <x v="1"/>
    <m/>
    <x v="28"/>
    <n v="22"/>
    <n v="22"/>
    <n v="0"/>
    <m/>
    <n v="1055"/>
    <n v="1045"/>
    <n v="10"/>
    <x v="1481"/>
    <n v="0"/>
    <n v="47.954545454545453"/>
    <n v="47.5"/>
    <n v="0.45454545454545453"/>
    <n v="25.963636363636365"/>
    <n v="0"/>
    <n v="25"/>
    <n v="0"/>
    <n v="46.36363636363636"/>
    <n v="10"/>
    <n v="8.5"/>
    <n v="9.4786729857819912E-3"/>
    <n v="0.96363636363636362"/>
    <n v="0.54142180094786729"/>
    <n v="0.89863636363636357"/>
    <m/>
    <m/>
    <m/>
    <m/>
    <m/>
    <m/>
    <m/>
    <m/>
    <m/>
  </r>
  <r>
    <x v="1188"/>
    <x v="0"/>
    <s v="Imported"/>
    <x v="14"/>
    <n v="48"/>
    <n v="48"/>
    <n v="0"/>
    <m/>
    <n v="25900"/>
    <n v="24905"/>
    <n v="995"/>
    <x v="1482"/>
    <n v="324"/>
    <n v="539.58333333333337"/>
    <n v="518.85416666666663"/>
    <n v="20.729166666666668"/>
    <n v="334.64375000000001"/>
    <n v="6.75"/>
    <n v="24.645833333333332"/>
    <n v="0"/>
    <n v="47.770833333333336"/>
    <n v="10"/>
    <n v="8.5"/>
    <n v="3.8416988416988415E-2"/>
    <n v="0.97062500000000007"/>
    <n v="0.62018918918918919"/>
    <n v="0.90916666666666668"/>
    <m/>
    <m/>
    <m/>
    <m/>
    <m/>
    <m/>
    <n v="13"/>
    <m/>
    <m/>
  </r>
  <r>
    <x v="1189"/>
    <x v="0"/>
    <s v="Imported"/>
    <x v="23"/>
    <n v="47"/>
    <n v="47"/>
    <n v="0"/>
    <m/>
    <n v="21467.721518987342"/>
    <n v="21467.721518987342"/>
    <n v="0"/>
    <x v="1483"/>
    <n v="0"/>
    <n v="456.76003231887961"/>
    <n v="456.76003231887961"/>
    <n v="0"/>
    <n v="288.672340425531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90"/>
    <x v="0"/>
    <s v="Imported"/>
    <x v="23"/>
    <n v="20"/>
    <n v="20"/>
    <n v="0"/>
    <m/>
    <n v="9062.3417721518981"/>
    <n v="9062.3417721518981"/>
    <n v="0"/>
    <x v="1484"/>
    <n v="0"/>
    <n v="453.11708860759489"/>
    <n v="453.11708860759489"/>
    <n v="0"/>
    <n v="286.3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191"/>
    <x v="0"/>
    <s v="Imported"/>
    <x v="14"/>
    <n v="36"/>
    <n v="36"/>
    <n v="0"/>
    <m/>
    <n v="18500"/>
    <n v="17850"/>
    <n v="650"/>
    <x v="1485"/>
    <n v="210"/>
    <n v="513.88888888888891"/>
    <n v="495.83333333333331"/>
    <n v="18.055555555555557"/>
    <n v="318.48611111111109"/>
    <n v="5.833333333333333"/>
    <n v="25"/>
    <n v="0"/>
    <n v="49.138888888888893"/>
    <n v="10"/>
    <n v="8.5"/>
    <n v="3.5135135135135137E-2"/>
    <n v="0.99138888888888888"/>
    <n v="0.61975675675675679"/>
    <n v="0.92638888888888882"/>
    <m/>
    <m/>
    <m/>
    <m/>
    <m/>
    <m/>
    <n v="8"/>
    <m/>
    <m/>
  </r>
  <r>
    <x v="1192"/>
    <x v="0"/>
    <s v="Native "/>
    <x v="10"/>
    <n v="42"/>
    <n v="42"/>
    <n v="0"/>
    <m/>
    <n v="17923"/>
    <n v="17615"/>
    <n v="308"/>
    <x v="1486"/>
    <n v="239"/>
    <n v="426.73809523809524"/>
    <n v="419.40476190476193"/>
    <n v="7.333333333333333"/>
    <n v="256.03095238095239"/>
    <n v="5.6904761904761907"/>
    <n v="25"/>
    <n v="0"/>
    <n v="49.476190476190474"/>
    <n v="10"/>
    <n v="8.5"/>
    <n v="1.7184623109970428E-2"/>
    <n v="0.99476190476190474"/>
    <n v="0.59997210288456171"/>
    <n v="0.92976190476190479"/>
    <m/>
    <m/>
    <m/>
    <m/>
    <m/>
    <m/>
    <n v="7"/>
    <m/>
    <m/>
  </r>
  <r>
    <x v="1192"/>
    <x v="0"/>
    <s v="Imported"/>
    <x v="23"/>
    <n v="51"/>
    <n v="51"/>
    <n v="0"/>
    <m/>
    <n v="23922.784810126581"/>
    <n v="23922.784810126581"/>
    <n v="0"/>
    <x v="1487"/>
    <n v="0"/>
    <n v="469.07421196326629"/>
    <n v="469.07421196326629"/>
    <n v="0"/>
    <n v="296.45490196078435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93"/>
    <x v="1"/>
    <m/>
    <x v="14"/>
    <n v="25"/>
    <n v="25"/>
    <n v="0"/>
    <m/>
    <n v="1297"/>
    <n v="1297"/>
    <n v="0"/>
    <x v="531"/>
    <n v="0"/>
    <n v="51.88"/>
    <n v="51.88"/>
    <n v="0"/>
    <n v="28.58"/>
    <n v="0"/>
    <n v="25"/>
    <n v="0"/>
    <n v="48.48"/>
    <n v="10"/>
    <n v="8.5"/>
    <n v="0"/>
    <n v="0.9847999999999999"/>
    <n v="0.55088666152659982"/>
    <n v="0.91979999999999995"/>
    <m/>
    <m/>
    <m/>
    <m/>
    <m/>
    <m/>
    <m/>
    <m/>
    <m/>
  </r>
  <r>
    <x v="1193"/>
    <x v="0"/>
    <s v="Imported"/>
    <x v="14"/>
    <n v="30"/>
    <n v="30"/>
    <n v="0"/>
    <m/>
    <n v="16200"/>
    <n v="15270"/>
    <n v="930"/>
    <x v="1488"/>
    <n v="191"/>
    <n v="540"/>
    <n v="509"/>
    <n v="31"/>
    <n v="337.31666666666666"/>
    <n v="6.3666666666666663"/>
    <n v="24.833333333333332"/>
    <n v="0"/>
    <n v="48.966666666666676"/>
    <n v="10"/>
    <n v="8.5"/>
    <n v="5.7407407407407407E-2"/>
    <n v="0.9863333333333334"/>
    <n v="0.62466049382716049"/>
    <n v="0.92300000000000015"/>
    <m/>
    <m/>
    <m/>
    <m/>
    <m/>
    <m/>
    <n v="11"/>
    <m/>
    <m/>
  </r>
  <r>
    <x v="1194"/>
    <x v="0"/>
    <s v="Imported"/>
    <x v="29"/>
    <n v="30"/>
    <n v="30"/>
    <n v="0"/>
    <m/>
    <n v="17325.1582278481"/>
    <n v="17325.1582278481"/>
    <n v="0"/>
    <x v="1489"/>
    <n v="0"/>
    <n v="577.50527426160329"/>
    <n v="577.50527426160329"/>
    <n v="0"/>
    <n v="364.98333333333335"/>
    <n v="0"/>
    <n v="25"/>
    <n v="0"/>
    <n v="50"/>
    <n v="10"/>
    <n v="8.5"/>
    <n v="0"/>
    <n v="1"/>
    <n v="0.63200000000000001"/>
    <n v="0.93500000000000005"/>
    <m/>
    <m/>
    <m/>
    <m/>
    <m/>
    <m/>
    <n v="4"/>
    <m/>
    <m/>
  </r>
  <r>
    <x v="1195"/>
    <x v="0"/>
    <s v="Native "/>
    <x v="10"/>
    <n v="55"/>
    <n v="55"/>
    <n v="0"/>
    <m/>
    <n v="24145"/>
    <n v="23300"/>
    <n v="845"/>
    <x v="1490"/>
    <n v="411"/>
    <n v="439"/>
    <n v="423.63636363636363"/>
    <n v="15.363636363636363"/>
    <n v="263.39999999999998"/>
    <n v="7.4727272727272727"/>
    <n v="25"/>
    <n v="0"/>
    <n v="49.672727272727265"/>
    <n v="10"/>
    <n v="8.5"/>
    <n v="3.4996893766825431E-2"/>
    <n v="0.99672727272727268"/>
    <n v="0.6"/>
    <n v="0.93172727272727263"/>
    <m/>
    <m/>
    <m/>
    <m/>
    <m/>
    <m/>
    <n v="5"/>
    <m/>
    <m/>
  </r>
  <r>
    <x v="1195"/>
    <x v="0"/>
    <s v="Native "/>
    <x v="30"/>
    <n v="8"/>
    <n v="6"/>
    <n v="2"/>
    <s v="tb + esinophilic myositis"/>
    <n v="2679"/>
    <n v="2679"/>
    <n v="0"/>
    <x v="1491"/>
    <n v="39"/>
    <n v="446.5"/>
    <n v="446.5"/>
    <n v="0"/>
    <n v="272.58333333333331"/>
    <n v="6.5"/>
    <n v="25"/>
    <n v="0"/>
    <n v="49.166666666666671"/>
    <n v="10"/>
    <n v="8.5"/>
    <n v="0"/>
    <n v="0.9916666666666667"/>
    <n v="0.61048898842851806"/>
    <n v="0.92666666666666675"/>
    <m/>
    <m/>
    <m/>
    <m/>
    <m/>
    <m/>
    <m/>
    <m/>
    <m/>
  </r>
  <r>
    <x v="1195"/>
    <x v="0"/>
    <s v="Imported"/>
    <x v="31"/>
    <n v="6"/>
    <n v="6"/>
    <n v="0"/>
    <m/>
    <n v="4379"/>
    <n v="4240"/>
    <n v="139"/>
    <x v="1492"/>
    <n v="17"/>
    <n v="729.83333333333337"/>
    <n v="706.66666666666663"/>
    <n v="23.166666666666668"/>
    <n v="475.58333333333331"/>
    <n v="2.8333333333333335"/>
    <n v="25"/>
    <n v="0"/>
    <n v="46.666666666666671"/>
    <n v="10"/>
    <n v="8.5"/>
    <n v="3.1742406942224251E-2"/>
    <n v="0.96666666666666679"/>
    <n v="0.65163279287508569"/>
    <n v="0.90166666666666673"/>
    <m/>
    <m/>
    <m/>
    <m/>
    <m/>
    <m/>
    <n v="2"/>
    <m/>
    <m/>
  </r>
  <r>
    <x v="1196"/>
    <x v="1"/>
    <m/>
    <x v="14"/>
    <n v="28"/>
    <n v="28"/>
    <n v="0"/>
    <m/>
    <n v="1416"/>
    <n v="1390"/>
    <n v="26"/>
    <x v="1493"/>
    <n v="0"/>
    <n v="50.571428571428569"/>
    <n v="49.642857142857146"/>
    <n v="0.9285714285714286"/>
    <n v="28.839285714285715"/>
    <n v="0"/>
    <n v="25"/>
    <n v="0"/>
    <n v="47.892857142857146"/>
    <n v="10"/>
    <n v="8.5"/>
    <n v="1.8361581920903956E-2"/>
    <n v="0.97892857142857148"/>
    <n v="0.57026836158192096"/>
    <n v="0.91392857142857142"/>
    <m/>
    <m/>
    <m/>
    <m/>
    <m/>
    <m/>
    <m/>
    <m/>
    <m/>
  </r>
  <r>
    <x v="1196"/>
    <x v="0"/>
    <s v="Imported"/>
    <x v="14"/>
    <n v="27"/>
    <n v="27"/>
    <n v="0"/>
    <m/>
    <n v="14230"/>
    <n v="13620"/>
    <n v="610"/>
    <x v="1494"/>
    <n v="181"/>
    <n v="527.03703703703707"/>
    <n v="504.44444444444446"/>
    <n v="22.592592592592592"/>
    <n v="329.88888888888891"/>
    <n v="6.7037037037037033"/>
    <n v="25"/>
    <n v="0"/>
    <n v="47.629629629629633"/>
    <n v="10"/>
    <n v="8.5"/>
    <n v="4.2867182009838363E-2"/>
    <n v="0.97629629629629633"/>
    <n v="0.62593113141250878"/>
    <n v="0.91129629629629638"/>
    <m/>
    <m/>
    <m/>
    <m/>
    <m/>
    <m/>
    <n v="6"/>
    <m/>
    <m/>
  </r>
  <r>
    <x v="1196"/>
    <x v="0"/>
    <s v="Imported"/>
    <x v="23"/>
    <n v="59"/>
    <n v="59"/>
    <n v="0"/>
    <m/>
    <n v="27645.569620253162"/>
    <n v="27645.569620253162"/>
    <n v="0"/>
    <x v="1495"/>
    <n v="0"/>
    <n v="468.56897661446038"/>
    <n v="468.56897661446038"/>
    <n v="0"/>
    <n v="296.13559322033899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197"/>
    <x v="0"/>
    <s v="Native "/>
    <x v="9"/>
    <n v="60"/>
    <n v="58"/>
    <n v="2"/>
    <s v="2 miliary tb "/>
    <n v="24576"/>
    <n v="24576"/>
    <n v="0"/>
    <x v="1496"/>
    <n v="0"/>
    <n v="423.72413793103448"/>
    <n v="423.72413793103448"/>
    <n v="0"/>
    <n v="254.25"/>
    <n v="0"/>
    <n v="24.655172413793103"/>
    <n v="0"/>
    <n v="49.086206896551715"/>
    <n v="10"/>
    <n v="8.5"/>
    <n v="0"/>
    <n v="0.98396551724137926"/>
    <n v="0.60003662109375"/>
    <n v="0.92241379310344829"/>
    <m/>
    <m/>
    <m/>
    <m/>
    <m/>
    <m/>
    <n v="25"/>
    <m/>
    <m/>
  </r>
  <r>
    <x v="1198"/>
    <x v="0"/>
    <s v="Imported"/>
    <x v="14"/>
    <n v="64"/>
    <n v="64"/>
    <n v="0"/>
    <m/>
    <n v="31104"/>
    <n v="29900"/>
    <n v="1204"/>
    <x v="1497"/>
    <n v="361"/>
    <n v="486"/>
    <n v="467.1875"/>
    <n v="18.8125"/>
    <n v="301.578125"/>
    <n v="5.640625"/>
    <n v="25"/>
    <n v="0"/>
    <n v="49.015625"/>
    <n v="10"/>
    <n v="8.5"/>
    <n v="3.8708847736625515E-2"/>
    <n v="0.99015625000000007"/>
    <n v="0.62053112139917699"/>
    <n v="0.92515625000000001"/>
    <m/>
    <m/>
    <m/>
    <m/>
    <m/>
    <m/>
    <n v="12"/>
    <m/>
    <m/>
  </r>
  <r>
    <x v="1199"/>
    <x v="0"/>
    <s v="Native "/>
    <x v="9"/>
    <n v="45"/>
    <n v="45"/>
    <n v="0"/>
    <m/>
    <n v="21710"/>
    <n v="20730"/>
    <n v="980"/>
    <x v="1498"/>
    <n v="466"/>
    <n v="482.44444444444446"/>
    <n v="460.66666666666669"/>
    <n v="21.777777777777779"/>
    <n v="289.48222222222222"/>
    <n v="10.355555555555556"/>
    <n v="24.888888888888889"/>
    <n v="0"/>
    <n v="46.82222222222223"/>
    <n v="10"/>
    <n v="8.5"/>
    <n v="4.5140488254260709E-2"/>
    <n v="0.96600000000000008"/>
    <n v="0.60003224320589599"/>
    <n v="0.9021111111111112"/>
    <m/>
    <m/>
    <m/>
    <m/>
    <m/>
    <m/>
    <n v="5"/>
    <m/>
    <m/>
  </r>
  <r>
    <x v="1199"/>
    <x v="0"/>
    <s v="Imported"/>
    <x v="23"/>
    <n v="48"/>
    <n v="48"/>
    <n v="0"/>
    <m/>
    <n v="21750.949367088608"/>
    <n v="21750.949367088608"/>
    <n v="0"/>
    <x v="1499"/>
    <n v="0"/>
    <n v="453.14477848101268"/>
    <n v="453.14477848101268"/>
    <n v="0"/>
    <n v="286.3874999999999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00"/>
    <x v="0"/>
    <s v="Imported"/>
    <x v="23"/>
    <n v="33"/>
    <n v="33"/>
    <n v="0"/>
    <m/>
    <n v="14953.777689873419"/>
    <n v="14953.777689873419"/>
    <n v="0"/>
    <x v="1500"/>
    <n v="0"/>
    <n v="453.14477848101268"/>
    <n v="453.14477848101268"/>
    <n v="0"/>
    <n v="286.3874999999999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01"/>
    <x v="0"/>
    <s v="Imported"/>
    <x v="29"/>
    <n v="30"/>
    <n v="30"/>
    <n v="0"/>
    <m/>
    <n v="18250"/>
    <n v="18250"/>
    <n v="0"/>
    <x v="1501"/>
    <n v="0"/>
    <n v="608.33333333333337"/>
    <n v="608.33333333333337"/>
    <n v="0"/>
    <n v="384.46666666666664"/>
    <n v="0"/>
    <n v="25"/>
    <n v="0"/>
    <n v="49.233333333333327"/>
    <n v="10"/>
    <n v="8.5"/>
    <n v="0"/>
    <n v="0.99233333333333329"/>
    <n v="0.63200000000000001"/>
    <n v="0.92733333333333323"/>
    <m/>
    <m/>
    <m/>
    <m/>
    <m/>
    <m/>
    <m/>
    <m/>
    <m/>
  </r>
  <r>
    <x v="1202"/>
    <x v="0"/>
    <s v="Imported"/>
    <x v="14"/>
    <n v="64"/>
    <n v="63"/>
    <n v="1"/>
    <s v="c. bovis in the heart "/>
    <n v="31145"/>
    <n v="31145"/>
    <n v="0"/>
    <x v="1502"/>
    <n v="386"/>
    <n v="494.36507936507934"/>
    <n v="494.36507936507934"/>
    <n v="0"/>
    <n v="308.75555555555553"/>
    <n v="6.1269841269841274"/>
    <n v="25"/>
    <n v="0"/>
    <n v="49.031746031746032"/>
    <n v="10"/>
    <n v="8.5"/>
    <n v="0"/>
    <n v="0.99031746031746026"/>
    <n v="0.62454968694814572"/>
    <n v="0.92531746031746021"/>
    <m/>
    <m/>
    <m/>
    <m/>
    <m/>
    <m/>
    <n v="12"/>
    <m/>
    <m/>
  </r>
  <r>
    <x v="1203"/>
    <x v="0"/>
    <s v="Imported"/>
    <x v="27"/>
    <n v="46"/>
    <n v="46"/>
    <n v="0"/>
    <m/>
    <n v="22485"/>
    <n v="21525"/>
    <n v="960"/>
    <x v="1503"/>
    <n v="461"/>
    <n v="488.80434782608694"/>
    <n v="467.93478260869563"/>
    <n v="20.869565217391305"/>
    <n v="298.4717391304348"/>
    <n v="10.021739130434783"/>
    <n v="24.891304347826086"/>
    <n v="0"/>
    <n v="49.456521739130437"/>
    <n v="10"/>
    <n v="8.5"/>
    <n v="4.2695130086724487E-2"/>
    <n v="0.99239130434782608"/>
    <n v="0.61061596619968872"/>
    <n v="0.92847826086956531"/>
    <m/>
    <m/>
    <m/>
    <m/>
    <m/>
    <m/>
    <n v="22"/>
    <m/>
    <m/>
  </r>
  <r>
    <x v="1204"/>
    <x v="0"/>
    <s v="Imported"/>
    <x v="23"/>
    <n v="45"/>
    <n v="45"/>
    <n v="0"/>
    <m/>
    <n v="20832.278481012658"/>
    <n v="20832.278481012658"/>
    <n v="0"/>
    <x v="1504"/>
    <n v="0"/>
    <n v="462.93952180028128"/>
    <n v="462.93952180028128"/>
    <n v="0"/>
    <n v="292.5777777777777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05"/>
    <x v="0"/>
    <s v="Imported"/>
    <x v="14"/>
    <n v="58"/>
    <n v="58"/>
    <n v="0"/>
    <m/>
    <n v="31610"/>
    <n v="29925"/>
    <n v="1685"/>
    <x v="1505"/>
    <n v="424"/>
    <n v="545"/>
    <n v="515.94827586206895"/>
    <n v="29.051724137931036"/>
    <n v="341.83620689655174"/>
    <n v="7.3103448275862073"/>
    <n v="25"/>
    <n v="0"/>
    <n v="49.206896551724135"/>
    <n v="10"/>
    <n v="8.5"/>
    <n v="5.3305915849414742E-2"/>
    <n v="0.99206896551724133"/>
    <n v="0.62722239797532431"/>
    <n v="0.92706896551724127"/>
    <m/>
    <m/>
    <m/>
    <m/>
    <m/>
    <m/>
    <n v="19"/>
    <m/>
    <m/>
  </r>
  <r>
    <x v="1206"/>
    <x v="1"/>
    <m/>
    <x v="30"/>
    <n v="33"/>
    <n v="33"/>
    <n v="0"/>
    <m/>
    <n v="1590"/>
    <n v="1590"/>
    <n v="0"/>
    <x v="1506"/>
    <n v="0"/>
    <n v="48.18181818181818"/>
    <n v="48.18181818181818"/>
    <n v="0"/>
    <n v="26.015151515151516"/>
    <n v="0"/>
    <n v="25"/>
    <n v="0"/>
    <n v="47.969696969696962"/>
    <n v="10"/>
    <n v="8.5"/>
    <n v="0"/>
    <n v="0.97969696969696962"/>
    <n v="0.53993710691823904"/>
    <n v="0.91469696969696968"/>
    <m/>
    <m/>
    <m/>
    <m/>
    <m/>
    <m/>
    <m/>
    <m/>
    <m/>
  </r>
  <r>
    <x v="1206"/>
    <x v="0"/>
    <s v="Native "/>
    <x v="9"/>
    <n v="35"/>
    <n v="35"/>
    <n v="0"/>
    <m/>
    <n v="16598"/>
    <n v="16080"/>
    <n v="518"/>
    <x v="1507"/>
    <n v="328"/>
    <n v="474.22857142857146"/>
    <n v="459.42857142857144"/>
    <n v="14.8"/>
    <n v="284.54285714285714"/>
    <n v="9.3714285714285719"/>
    <n v="24.285714285714285"/>
    <n v="0"/>
    <n v="48.485714285714288"/>
    <n v="10"/>
    <n v="8.5"/>
    <n v="3.1208579346909265E-2"/>
    <n v="0.97057142857142864"/>
    <n v="0.60001204964453547"/>
    <n v="0.9127142857142857"/>
    <m/>
    <m/>
    <m/>
    <m/>
    <m/>
    <m/>
    <n v="20"/>
    <m/>
    <m/>
  </r>
  <r>
    <x v="1207"/>
    <x v="0"/>
    <s v="Native "/>
    <x v="30"/>
    <n v="16"/>
    <n v="16"/>
    <n v="0"/>
    <m/>
    <n v="7072"/>
    <n v="6720"/>
    <n v="352"/>
    <x v="1508"/>
    <n v="87"/>
    <n v="442"/>
    <n v="420"/>
    <n v="22"/>
    <n v="268.9375"/>
    <n v="5.4375"/>
    <n v="25"/>
    <n v="0"/>
    <n v="46.5"/>
    <n v="10"/>
    <n v="8.5"/>
    <n v="4.9773755656108594E-2"/>
    <n v="0.96500000000000008"/>
    <n v="0.60845588235294112"/>
    <n v="0.9"/>
    <m/>
    <m/>
    <m/>
    <m/>
    <m/>
    <m/>
    <n v="6"/>
    <m/>
    <m/>
  </r>
  <r>
    <x v="1207"/>
    <x v="0"/>
    <s v="Native "/>
    <x v="27"/>
    <n v="52"/>
    <n v="49"/>
    <n v="3"/>
    <s v="3 c. boivis in the hearts"/>
    <n v="22702"/>
    <n v="21746"/>
    <n v="956"/>
    <x v="1509"/>
    <n v="401"/>
    <n v="463.30612244897958"/>
    <n v="443.79591836734693"/>
    <n v="19.510204081632654"/>
    <n v="286.5204081632653"/>
    <n v="8.183673469387756"/>
    <n v="25"/>
    <n v="0"/>
    <n v="49.061224489795919"/>
    <n v="10"/>
    <n v="8.5"/>
    <n v="4.2110827239890763E-2"/>
    <n v="0.99061224489795918"/>
    <n v="0.6184256893665756"/>
    <n v="0.92561224489795924"/>
    <m/>
    <m/>
    <m/>
    <m/>
    <m/>
    <m/>
    <n v="26"/>
    <m/>
    <m/>
  </r>
  <r>
    <x v="1208"/>
    <x v="0"/>
    <s v="Imported"/>
    <x v="14"/>
    <n v="40"/>
    <n v="40"/>
    <n v="0"/>
    <m/>
    <n v="22005"/>
    <n v="21075"/>
    <n v="930"/>
    <x v="1510"/>
    <n v="242"/>
    <n v="550.125"/>
    <n v="526.875"/>
    <n v="23.25"/>
    <n v="349"/>
    <n v="6.05"/>
    <n v="24.75"/>
    <n v="0"/>
    <n v="47"/>
    <n v="10"/>
    <n v="8.5"/>
    <n v="4.2263122017723247E-2"/>
    <n v="0.96499999999999997"/>
    <n v="0.63440127243808231"/>
    <n v="0.90249999999999997"/>
    <m/>
    <m/>
    <m/>
    <m/>
    <m/>
    <m/>
    <n v="19"/>
    <m/>
    <m/>
  </r>
  <r>
    <x v="1209"/>
    <x v="0"/>
    <s v="Imported"/>
    <x v="14"/>
    <n v="18"/>
    <n v="18"/>
    <n v="0"/>
    <m/>
    <n v="7630"/>
    <n v="7380"/>
    <n v="250"/>
    <x v="1511"/>
    <n v="108"/>
    <n v="423.88888888888891"/>
    <n v="410"/>
    <n v="13.888888888888889"/>
    <n v="274.44444444444446"/>
    <n v="6"/>
    <n v="25"/>
    <n v="0"/>
    <n v="49.333333333333329"/>
    <n v="10"/>
    <n v="8.5"/>
    <n v="3.2765399737876802E-2"/>
    <n v="0.99333333333333329"/>
    <n v="0.64744429882044563"/>
    <n v="0.92833333333333323"/>
    <m/>
    <m/>
    <m/>
    <m/>
    <m/>
    <m/>
    <n v="6"/>
    <m/>
    <m/>
  </r>
  <r>
    <x v="1210"/>
    <x v="0"/>
    <s v="Imported"/>
    <x v="29"/>
    <n v="54"/>
    <n v="54"/>
    <n v="0"/>
    <m/>
    <n v="33522.151898734177"/>
    <n v="33522.151898734177"/>
    <n v="0"/>
    <x v="1512"/>
    <n v="0"/>
    <n v="620.78059071729956"/>
    <n v="620.78059071729956"/>
    <n v="0"/>
    <n v="392.33333333333331"/>
    <n v="0"/>
    <n v="25"/>
    <n v="0"/>
    <n v="49.388888888888893"/>
    <n v="9.9074074074074083"/>
    <n v="8.5"/>
    <n v="0"/>
    <n v="0.99388888888888893"/>
    <n v="0.63200000000000001"/>
    <n v="0.92796296296296288"/>
    <m/>
    <m/>
    <m/>
    <m/>
    <m/>
    <m/>
    <n v="4"/>
    <m/>
    <m/>
  </r>
  <r>
    <x v="1211"/>
    <x v="0"/>
    <s v="Imported"/>
    <x v="14"/>
    <n v="18"/>
    <n v="18"/>
    <n v="0"/>
    <m/>
    <n v="9865"/>
    <n v="9430"/>
    <n v="435"/>
    <x v="1513"/>
    <n v="115"/>
    <n v="548.05555555555554"/>
    <n v="523.88888888888891"/>
    <n v="24.166666666666668"/>
    <n v="346.63888888888891"/>
    <n v="6.3888888888888893"/>
    <n v="25"/>
    <n v="0"/>
    <n v="47.666666666666664"/>
    <n v="10"/>
    <n v="8.5"/>
    <n v="4.4095286365940199E-2"/>
    <n v="0.97666666666666657"/>
    <n v="0.63248859604662955"/>
    <n v="0.91166666666666663"/>
    <m/>
    <m/>
    <m/>
    <m/>
    <m/>
    <m/>
    <n v="4"/>
    <m/>
    <m/>
  </r>
  <r>
    <x v="1212"/>
    <x v="0"/>
    <s v="Imported"/>
    <x v="14"/>
    <n v="55"/>
    <n v="55"/>
    <n v="0"/>
    <m/>
    <n v="30050"/>
    <n v="28665"/>
    <n v="1385"/>
    <x v="1514"/>
    <n v="348"/>
    <n v="546.36363636363637"/>
    <n v="521.18181818181813"/>
    <n v="25.181818181818183"/>
    <n v="345.75454545454545"/>
    <n v="6.3272727272727272"/>
    <n v="25"/>
    <n v="0"/>
    <n v="48.727272727272727"/>
    <n v="10"/>
    <n v="8.5"/>
    <n v="4.6089850249584029E-2"/>
    <n v="0.9872727272727273"/>
    <n v="0.63282861896838605"/>
    <n v="0.92227272727272724"/>
    <m/>
    <m/>
    <m/>
    <m/>
    <m/>
    <m/>
    <n v="26"/>
    <m/>
    <m/>
  </r>
  <r>
    <x v="1213"/>
    <x v="0"/>
    <s v="Imported"/>
    <x v="29"/>
    <n v="45"/>
    <n v="45"/>
    <n v="0"/>
    <m/>
    <n v="28198.417721518992"/>
    <n v="28198.417721518992"/>
    <n v="0"/>
    <x v="1515"/>
    <n v="0"/>
    <n v="626.63150492264424"/>
    <n v="626.63150492264424"/>
    <n v="0"/>
    <n v="396.03111111111116"/>
    <n v="0"/>
    <n v="25"/>
    <n v="0"/>
    <n v="48.555555555555557"/>
    <n v="10"/>
    <n v="8.5"/>
    <n v="0"/>
    <n v="0.98555555555555552"/>
    <n v="0.6319999999999999"/>
    <n v="0.92055555555555557"/>
    <m/>
    <m/>
    <m/>
    <m/>
    <m/>
    <m/>
    <n v="4"/>
    <m/>
    <m/>
  </r>
  <r>
    <x v="1214"/>
    <x v="0"/>
    <s v="Imported"/>
    <x v="14"/>
    <n v="58"/>
    <n v="58"/>
    <n v="0"/>
    <m/>
    <n v="32480"/>
    <n v="31195"/>
    <n v="1285"/>
    <x v="1516"/>
    <n v="423"/>
    <n v="560"/>
    <n v="537.84482758620686"/>
    <n v="22.155172413793103"/>
    <n v="352.31034482758622"/>
    <n v="7.2931034482758621"/>
    <n v="25"/>
    <n v="0"/>
    <n v="48.431034482758619"/>
    <n v="10"/>
    <n v="8.5"/>
    <n v="3.9562807881773396E-2"/>
    <n v="0.98431034482758617"/>
    <n v="0.62912561576354675"/>
    <n v="0.91931034482758622"/>
    <m/>
    <m/>
    <m/>
    <m/>
    <m/>
    <m/>
    <n v="18"/>
    <m/>
    <m/>
  </r>
  <r>
    <x v="1215"/>
    <x v="0"/>
    <s v="Native "/>
    <x v="9"/>
    <n v="27"/>
    <n v="25"/>
    <n v="2"/>
    <s v="Rejection of 2 carcasses due to presence of Drug residues "/>
    <n v="11812"/>
    <n v="11812"/>
    <n v="0"/>
    <x v="1517"/>
    <n v="272"/>
    <n v="472.48"/>
    <n v="472.48"/>
    <n v="0"/>
    <n v="283.50799999999998"/>
    <n v="10.88"/>
    <n v="25"/>
    <n v="0"/>
    <n v="47.4"/>
    <n v="10"/>
    <n v="8.5"/>
    <n v="0"/>
    <n v="0.97399999999999998"/>
    <n v="0.60004232983406702"/>
    <n v="0.90900000000000003"/>
    <m/>
    <m/>
    <m/>
    <m/>
    <m/>
    <m/>
    <n v="15"/>
    <m/>
    <m/>
  </r>
  <r>
    <x v="1215"/>
    <x v="0"/>
    <s v="Native "/>
    <x v="30"/>
    <n v="16"/>
    <n v="16"/>
    <n v="0"/>
    <m/>
    <n v="7176"/>
    <n v="7176"/>
    <n v="0"/>
    <x v="1518"/>
    <n v="123"/>
    <n v="448.5"/>
    <n v="448.5"/>
    <n v="0"/>
    <n v="279.75625000000002"/>
    <n v="7.6875"/>
    <n v="25"/>
    <n v="0"/>
    <n v="47.5625"/>
    <n v="10"/>
    <n v="8.5"/>
    <n v="0"/>
    <n v="0.97562499999999996"/>
    <n v="0.6237597547380157"/>
    <n v="0.91062500000000002"/>
    <m/>
    <m/>
    <m/>
    <m/>
    <m/>
    <m/>
    <n v="4"/>
    <m/>
    <m/>
  </r>
  <r>
    <x v="1216"/>
    <x v="1"/>
    <m/>
    <x v="28"/>
    <n v="25"/>
    <n v="25"/>
    <n v="0"/>
    <m/>
    <n v="1320"/>
    <n v="1300"/>
    <n v="20"/>
    <x v="1519"/>
    <n v="0"/>
    <n v="52.8"/>
    <n v="52"/>
    <n v="0.8"/>
    <n v="30.956"/>
    <n v="0"/>
    <n v="25"/>
    <n v="0"/>
    <n v="44.96"/>
    <n v="10"/>
    <n v="8.5"/>
    <n v="1.5151515151515154E-2"/>
    <n v="0.9496"/>
    <n v="0.5862878787878788"/>
    <n v="0.88460000000000005"/>
    <m/>
    <m/>
    <m/>
    <m/>
    <m/>
    <m/>
    <n v="0"/>
    <m/>
    <m/>
  </r>
  <r>
    <x v="1216"/>
    <x v="0"/>
    <s v="Imported"/>
    <x v="14"/>
    <n v="49"/>
    <n v="47"/>
    <n v="2"/>
    <s v="1 c. bovis + 1 sarcocyst"/>
    <n v="26567"/>
    <n v="26440"/>
    <n v="127"/>
    <x v="1520"/>
    <n v="319"/>
    <n v="565.25531914893622"/>
    <n v="562.55319148936167"/>
    <n v="2.7021276595744679"/>
    <n v="355.71276595744683"/>
    <n v="6.7872340425531918"/>
    <n v="24.893617021276597"/>
    <n v="0"/>
    <n v="48.361702127659576"/>
    <n v="10"/>
    <n v="8.5"/>
    <n v="4.7803666202431584E-3"/>
    <n v="0.98148936170212775"/>
    <n v="0.62929574283886025"/>
    <n v="0.91755319148936165"/>
    <m/>
    <m/>
    <m/>
    <m/>
    <m/>
    <m/>
    <n v="20"/>
    <m/>
    <m/>
  </r>
  <r>
    <x v="1217"/>
    <x v="0"/>
    <s v="Imported"/>
    <x v="23"/>
    <n v="32"/>
    <n v="32"/>
    <n v="0"/>
    <m/>
    <n v="14814.064697609001"/>
    <n v="14814.064697609001"/>
    <n v="0"/>
    <x v="1521"/>
    <n v="0"/>
    <n v="462.93952180028128"/>
    <n v="462.93952180028128"/>
    <n v="0"/>
    <n v="292.57777777777778"/>
    <n v="0"/>
    <n v="25"/>
    <n v="4"/>
    <n v="50"/>
    <n v="10"/>
    <n v="8.5"/>
    <n v="0"/>
    <n v="1"/>
    <n v="0.63200000000000001"/>
    <n v="0.97499999999999998"/>
    <m/>
    <m/>
    <m/>
    <m/>
    <m/>
    <m/>
    <n v="0"/>
    <m/>
    <m/>
  </r>
  <r>
    <x v="1218"/>
    <x v="0"/>
    <s v="Imported"/>
    <x v="29"/>
    <n v="30"/>
    <n v="30"/>
    <n v="0"/>
    <m/>
    <n v="18962.8164556962"/>
    <n v="18962.8164556962"/>
    <n v="0"/>
    <x v="1522"/>
    <n v="0"/>
    <n v="632.09388185653995"/>
    <n v="632.09388185653995"/>
    <n v="0"/>
    <n v="399.48333333333335"/>
    <n v="0"/>
    <n v="25"/>
    <n v="0"/>
    <n v="48.266666666666666"/>
    <n v="10"/>
    <n v="8.5"/>
    <n v="0"/>
    <n v="0.98266666666666658"/>
    <n v="0.63200000000000012"/>
    <n v="0.91766666666666663"/>
    <m/>
    <m/>
    <m/>
    <m/>
    <m/>
    <m/>
    <n v="2"/>
    <m/>
    <m/>
  </r>
  <r>
    <x v="1219"/>
    <x v="1"/>
    <m/>
    <x v="28"/>
    <n v="33"/>
    <n v="33"/>
    <n v="0"/>
    <m/>
    <n v="1730"/>
    <n v="1710"/>
    <n v="20"/>
    <x v="1523"/>
    <n v="0"/>
    <n v="52.424242424242422"/>
    <n v="51.81818181818182"/>
    <n v="0.60606060606060608"/>
    <n v="30.606060606060606"/>
    <n v="0"/>
    <n v="25"/>
    <n v="0"/>
    <n v="48.393939393939398"/>
    <n v="10"/>
    <n v="8.5"/>
    <n v="1.1560693641618498E-2"/>
    <n v="0.983939393939394"/>
    <n v="0.58381502890173409"/>
    <n v="0.91893939393939406"/>
    <m/>
    <m/>
    <m/>
    <m/>
    <m/>
    <m/>
    <n v="0"/>
    <m/>
    <m/>
  </r>
  <r>
    <x v="1219"/>
    <x v="0"/>
    <s v="Native "/>
    <x v="27"/>
    <n v="66"/>
    <n v="66"/>
    <n v="0"/>
    <m/>
    <n v="31630"/>
    <n v="30745"/>
    <n v="885"/>
    <x v="1524"/>
    <n v="567"/>
    <n v="479.24242424242425"/>
    <n v="465.83333333333331"/>
    <n v="13.409090909090908"/>
    <n v="299.42272727272729"/>
    <n v="8.5909090909090917"/>
    <n v="25"/>
    <n v="0"/>
    <n v="47.666666666666664"/>
    <n v="9.9242424242424239"/>
    <n v="8.5"/>
    <n v="2.7979766044894085E-2"/>
    <n v="0.97666666666666657"/>
    <n v="0.62478343344925713"/>
    <n v="0.91090909090909078"/>
    <m/>
    <m/>
    <m/>
    <m/>
    <m/>
    <m/>
    <n v="21"/>
    <m/>
    <m/>
  </r>
  <r>
    <x v="1220"/>
    <x v="0"/>
    <s v="Native "/>
    <x v="9"/>
    <n v="18"/>
    <n v="18"/>
    <n v="0"/>
    <m/>
    <n v="8415"/>
    <n v="8295"/>
    <n v="120"/>
    <x v="1525"/>
    <n v="178"/>
    <n v="467.5"/>
    <n v="460.83333333333331"/>
    <n v="6.666666666666667"/>
    <n v="280.5"/>
    <n v="9.8888888888888893"/>
    <n v="25"/>
    <n v="0"/>
    <n v="48.055555555555557"/>
    <n v="10"/>
    <n v="8.5"/>
    <n v="1.4260249554367202E-2"/>
    <n v="0.98055555555555562"/>
    <n v="0.6"/>
    <n v="0.91555555555555557"/>
    <m/>
    <m/>
    <m/>
    <m/>
    <m/>
    <m/>
    <n v="6"/>
    <m/>
    <m/>
  </r>
  <r>
    <x v="1221"/>
    <x v="1"/>
    <m/>
    <x v="28"/>
    <n v="25"/>
    <n v="25"/>
    <n v="0"/>
    <m/>
    <n v="1310.6060606060605"/>
    <n v="1295.4545454545455"/>
    <n v="15.151515151515014"/>
    <x v="1526"/>
    <m/>
    <n v="52.424242424242422"/>
    <n v="51.81818181818182"/>
    <n v="0.60606060606060053"/>
    <n v="30.606060606060606"/>
    <n v="0"/>
    <n v="25"/>
    <n v="0"/>
    <n v="48.393939393939398"/>
    <n v="10"/>
    <n v="8.5"/>
    <n v="1.1560693641618392E-2"/>
    <n v="0.983939393939394"/>
    <n v="0.58381502890173409"/>
    <n v="0.91893939393939406"/>
    <m/>
    <m/>
    <m/>
    <m/>
    <m/>
    <m/>
    <m/>
    <m/>
    <m/>
  </r>
  <r>
    <x v="1221"/>
    <x v="0"/>
    <s v="Imported"/>
    <x v="14"/>
    <n v="50"/>
    <n v="50"/>
    <n v="0"/>
    <m/>
    <n v="28000"/>
    <n v="26892.241379310344"/>
    <n v="1107.7586206896558"/>
    <x v="1527"/>
    <n v="234.48275862068962"/>
    <n v="560"/>
    <n v="537.84482758620686"/>
    <n v="22.155172413793117"/>
    <n v="352.31034482758622"/>
    <n v="4.6896551724137927"/>
    <n v="25"/>
    <n v="0"/>
    <n v="48.431034482758619"/>
    <n v="10"/>
    <n v="8.5"/>
    <n v="3.9562807881773424E-2"/>
    <n v="0.98431034482758617"/>
    <n v="0.62912561576354686"/>
    <n v="0.91931034482758622"/>
    <m/>
    <m/>
    <m/>
    <m/>
    <m/>
    <m/>
    <n v="23"/>
    <m/>
    <m/>
  </r>
  <r>
    <x v="1222"/>
    <x v="0"/>
    <s v="Imported"/>
    <x v="23"/>
    <n v="29"/>
    <n v="29"/>
    <n v="0"/>
    <m/>
    <n v="13093.354430379746"/>
    <n v="13093.354430379746"/>
    <n v="0"/>
    <x v="1528"/>
    <n v="0"/>
    <n v="451.49498035792226"/>
    <n v="451.49498035792226"/>
    <n v="0"/>
    <n v="285.3448275862069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23"/>
    <x v="0"/>
    <s v="Native "/>
    <x v="5"/>
    <n v="36"/>
    <n v="36"/>
    <n v="0"/>
    <m/>
    <n v="15537.025316455696"/>
    <n v="15537.025316455696"/>
    <n v="0"/>
    <x v="1529"/>
    <n v="0"/>
    <n v="431.58403656821378"/>
    <n v="431.58403656821378"/>
    <n v="0"/>
    <n v="272.76111111111112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24"/>
    <x v="0"/>
    <s v="Imported"/>
    <x v="23"/>
    <n v="25"/>
    <n v="25"/>
    <n v="0"/>
    <m/>
    <n v="11325.632911392404"/>
    <n v="11325.632911392404"/>
    <n v="0"/>
    <x v="1530"/>
    <n v="0"/>
    <n v="453.02531645569616"/>
    <n v="453.02531645569616"/>
    <n v="0"/>
    <n v="286.31200000000001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225"/>
    <x v="1"/>
    <m/>
    <x v="28"/>
    <n v="30"/>
    <n v="30"/>
    <n v="0"/>
    <m/>
    <n v="1540"/>
    <n v="1525"/>
    <n v="15"/>
    <x v="1531"/>
    <n v="0"/>
    <n v="51.333333333333336"/>
    <n v="50.833333333333336"/>
    <n v="0.5"/>
    <n v="29.966666666666665"/>
    <n v="0"/>
    <n v="25"/>
    <n v="0"/>
    <n v="47.466666666666661"/>
    <n v="10"/>
    <n v="8.5"/>
    <n v="9.74025974025974E-3"/>
    <n v="0.97466666666666657"/>
    <n v="0.58376623376623371"/>
    <n v="0.90966666666666673"/>
    <m/>
    <m/>
    <m/>
    <m/>
    <m/>
    <m/>
    <m/>
    <m/>
    <m/>
  </r>
  <r>
    <x v="1225"/>
    <x v="0"/>
    <s v="Imported"/>
    <x v="29"/>
    <n v="34"/>
    <n v="34"/>
    <n v="0"/>
    <m/>
    <n v="21271.835443037973"/>
    <n v="21271.835443037973"/>
    <n v="0"/>
    <x v="1532"/>
    <n v="0"/>
    <n v="625.64221891288162"/>
    <n v="625.64221891288162"/>
    <n v="0"/>
    <n v="395.40588235294115"/>
    <n v="0"/>
    <n v="25"/>
    <n v="0"/>
    <n v="49.382352941176471"/>
    <n v="10"/>
    <n v="8.5"/>
    <n v="0"/>
    <n v="0.99382352941176477"/>
    <n v="0.63200000000000001"/>
    <n v="0.9288235294117646"/>
    <m/>
    <m/>
    <m/>
    <m/>
    <m/>
    <m/>
    <n v="3"/>
    <m/>
    <m/>
  </r>
  <r>
    <x v="1226"/>
    <x v="0"/>
    <s v="Imported"/>
    <x v="14"/>
    <n v="20"/>
    <n v="20"/>
    <n v="0"/>
    <m/>
    <n v="11536"/>
    <n v="10985"/>
    <n v="551"/>
    <x v="1533"/>
    <n v="152"/>
    <n v="576.79999999999995"/>
    <n v="549.25"/>
    <n v="27.55"/>
    <n v="363.95500000000004"/>
    <n v="7.6"/>
    <n v="25"/>
    <n v="0"/>
    <n v="46.8"/>
    <n v="10"/>
    <n v="8.5"/>
    <n v="4.7763522884882115E-2"/>
    <n v="0.96799999999999997"/>
    <n v="0.63098994452149793"/>
    <n v="0.90300000000000002"/>
    <m/>
    <m/>
    <m/>
    <m/>
    <m/>
    <m/>
    <n v="7"/>
    <m/>
    <m/>
  </r>
  <r>
    <x v="1227"/>
    <x v="1"/>
    <m/>
    <x v="28"/>
    <n v="23"/>
    <n v="23"/>
    <n v="0"/>
    <m/>
    <n v="1180"/>
    <n v="1175"/>
    <n v="5"/>
    <x v="1534"/>
    <n v="0"/>
    <n v="51.304347826086953"/>
    <n v="51.086956521739133"/>
    <n v="0.21739130434782608"/>
    <n v="29.660869565217393"/>
    <n v="0"/>
    <n v="25"/>
    <n v="0"/>
    <n v="43.434782608695649"/>
    <n v="10"/>
    <n v="8.5"/>
    <n v="4.2372881355932203E-3"/>
    <n v="0.93434782608695643"/>
    <n v="0.57813559322033903"/>
    <n v="0.8693478260869566"/>
    <m/>
    <m/>
    <m/>
    <m/>
    <m/>
    <m/>
    <m/>
    <m/>
    <m/>
  </r>
  <r>
    <x v="1227"/>
    <x v="0"/>
    <s v="Imported"/>
    <x v="14"/>
    <n v="46"/>
    <n v="46"/>
    <n v="0"/>
    <m/>
    <n v="24840"/>
    <n v="24070"/>
    <n v="770"/>
    <x v="1535"/>
    <n v="284"/>
    <n v="540"/>
    <n v="523.26086956521738"/>
    <n v="16.739130434782609"/>
    <n v="338.77391304347827"/>
    <n v="6.1739130434782608"/>
    <n v="25"/>
    <n v="0"/>
    <n v="47.891304347826086"/>
    <n v="10"/>
    <n v="8.5"/>
    <n v="3.099838969404187E-2"/>
    <n v="0.97891304347826091"/>
    <n v="0.62735909822866343"/>
    <n v="0.91391304347826097"/>
    <m/>
    <m/>
    <m/>
    <m/>
    <m/>
    <m/>
    <n v="26"/>
    <m/>
    <m/>
  </r>
  <r>
    <x v="1228"/>
    <x v="0"/>
    <s v="Imported"/>
    <x v="23"/>
    <n v="23"/>
    <n v="23"/>
    <n v="0"/>
    <m/>
    <n v="10806.962025316456"/>
    <n v="10806.962025316456"/>
    <n v="0"/>
    <x v="1536"/>
    <n v="0"/>
    <n v="469.86791414419372"/>
    <n v="469.86791414419372"/>
    <n v="0"/>
    <n v="296.9565217391304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29"/>
    <x v="0"/>
    <s v="Native "/>
    <x v="5"/>
    <n v="30"/>
    <n v="30"/>
    <n v="0"/>
    <m/>
    <n v="12767.879746835442"/>
    <n v="12767.879746835442"/>
    <n v="0"/>
    <x v="1537"/>
    <n v="0"/>
    <n v="425.59599156118139"/>
    <n v="425.59599156118139"/>
    <n v="0"/>
    <n v="268.97666666666669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30"/>
    <x v="1"/>
    <m/>
    <x v="28"/>
    <n v="32"/>
    <n v="32"/>
    <n v="0"/>
    <m/>
    <n v="1605"/>
    <n v="1590"/>
    <n v="15"/>
    <x v="1538"/>
    <n v="0"/>
    <n v="50.15625"/>
    <n v="49.6875"/>
    <n v="0.46875"/>
    <n v="29.53125"/>
    <n v="0"/>
    <n v="25"/>
    <n v="0"/>
    <n v="44.0625"/>
    <n v="10"/>
    <n v="8.5"/>
    <n v="9.3457943925233638E-3"/>
    <n v="0.94062500000000004"/>
    <n v="0.58878504672897192"/>
    <n v="0.87562499999999999"/>
    <m/>
    <m/>
    <m/>
    <m/>
    <m/>
    <m/>
    <m/>
    <m/>
    <m/>
  </r>
  <r>
    <x v="1230"/>
    <x v="0"/>
    <s v="Imported"/>
    <x v="27"/>
    <n v="60"/>
    <n v="58"/>
    <n v="2"/>
    <s v="1 miliary TB + 1 c. bovis in heart"/>
    <n v="29400"/>
    <n v="28942"/>
    <n v="458"/>
    <x v="1539"/>
    <n v="495"/>
    <n v="506.89655172413791"/>
    <n v="499"/>
    <n v="7.8965517241379306"/>
    <n v="307.0051724137931"/>
    <n v="8.5344827586206904"/>
    <n v="25"/>
    <n v="0"/>
    <n v="47.172413793103445"/>
    <n v="9.9137931034482758"/>
    <n v="8.5"/>
    <n v="1.5578231292517007E-2"/>
    <n v="0.9717241379310344"/>
    <n v="0.60565646258503403"/>
    <n v="0.90586206896551713"/>
    <m/>
    <m/>
    <m/>
    <m/>
    <m/>
    <m/>
    <n v="32"/>
    <m/>
    <m/>
  </r>
  <r>
    <x v="1231"/>
    <x v="0"/>
    <s v="Native "/>
    <x v="24"/>
    <n v="9"/>
    <n v="9"/>
    <n v="0"/>
    <m/>
    <n v="3652"/>
    <n v="3652"/>
    <n v="0"/>
    <x v="1540"/>
    <n v="48"/>
    <n v="405.77777777777777"/>
    <n v="405.77777777777777"/>
    <n v="0"/>
    <n v="243.51111111111109"/>
    <n v="5.333333333333333"/>
    <n v="25"/>
    <n v="0"/>
    <n v="48.44444444444445"/>
    <n v="10"/>
    <n v="8.5"/>
    <n v="0"/>
    <n v="0.98444444444444446"/>
    <n v="0.60010952902519166"/>
    <n v="0.91944444444444462"/>
    <m/>
    <m/>
    <m/>
    <m/>
    <m/>
    <m/>
    <n v="2"/>
    <m/>
    <m/>
  </r>
  <r>
    <x v="1231"/>
    <x v="0"/>
    <s v="Native "/>
    <x v="30"/>
    <n v="26"/>
    <n v="24"/>
    <n v="2"/>
    <s v="1  TB + 1 c. bovis in heart"/>
    <n v="10509"/>
    <n v="10509"/>
    <n v="0"/>
    <x v="1541"/>
    <n v="145"/>
    <n v="437.875"/>
    <n v="437.875"/>
    <n v="0"/>
    <n v="267.01666666666665"/>
    <n v="6.041666666666667"/>
    <n v="25"/>
    <n v="0"/>
    <n v="49.291666666666664"/>
    <n v="10"/>
    <n v="8.5"/>
    <n v="0"/>
    <n v="0.99291666666666667"/>
    <n v="0.60980112284708343"/>
    <n v="0.92791666666666661"/>
    <m/>
    <m/>
    <m/>
    <m/>
    <m/>
    <m/>
    <n v="5"/>
    <m/>
    <m/>
  </r>
  <r>
    <x v="1232"/>
    <x v="1"/>
    <m/>
    <x v="28"/>
    <n v="25"/>
    <n v="25"/>
    <n v="0"/>
    <m/>
    <n v="1240"/>
    <n v="1235"/>
    <n v="5"/>
    <x v="1542"/>
    <n v="0"/>
    <n v="49.6"/>
    <n v="49.4"/>
    <n v="0.2"/>
    <n v="28.76"/>
    <n v="0"/>
    <n v="25"/>
    <n v="0"/>
    <n v="41.72"/>
    <n v="10"/>
    <n v="8.5"/>
    <n v="4.0322580645161289E-3"/>
    <n v="0.91720000000000002"/>
    <n v="0.57983870967741935"/>
    <n v="0.85219999999999996"/>
    <m/>
    <m/>
    <m/>
    <m/>
    <m/>
    <m/>
    <m/>
    <m/>
    <m/>
  </r>
  <r>
    <x v="1232"/>
    <x v="0"/>
    <s v="Imported"/>
    <x v="14"/>
    <n v="56"/>
    <n v="56"/>
    <n v="0"/>
    <m/>
    <n v="33300"/>
    <n v="33300"/>
    <n v="0"/>
    <x v="1543"/>
    <n v="419"/>
    <n v="594.64285714285711"/>
    <n v="594.64285714285711"/>
    <n v="0"/>
    <n v="373.82678571428568"/>
    <n v="7.4821428571428568"/>
    <n v="24.732142857142858"/>
    <n v="0"/>
    <n v="46.732142857142854"/>
    <n v="10"/>
    <n v="8.5"/>
    <n v="0"/>
    <n v="0.96196428571428572"/>
    <n v="0.62865765765765769"/>
    <n v="0.89964285714285708"/>
    <m/>
    <m/>
    <m/>
    <m/>
    <m/>
    <m/>
    <n v="37"/>
    <m/>
    <m/>
  </r>
  <r>
    <x v="1233"/>
    <x v="0"/>
    <s v="Imported"/>
    <x v="23"/>
    <n v="58"/>
    <n v="58"/>
    <n v="0"/>
    <m/>
    <n v="26098.101265822785"/>
    <n v="26098.101265822785"/>
    <n v="0"/>
    <x v="1544"/>
    <n v="0"/>
    <n v="449.96726320384113"/>
    <n v="449.96726320384113"/>
    <n v="0"/>
    <n v="284.37931034482756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34"/>
    <x v="0"/>
    <s v="Native "/>
    <x v="5"/>
    <n v="80"/>
    <n v="80"/>
    <n v="0"/>
    <m/>
    <n v="34560.284810126577"/>
    <n v="34560.284810126577"/>
    <n v="0"/>
    <x v="1545"/>
    <n v="0"/>
    <n v="432.00356012658222"/>
    <n v="432.00356012658222"/>
    <n v="0"/>
    <n v="273.02625"/>
    <n v="0"/>
    <n v="25"/>
    <n v="5"/>
    <n v="49.9375"/>
    <n v="10"/>
    <n v="8.5"/>
    <n v="0"/>
    <n v="0.99937500000000001"/>
    <n v="0.63200000000000001"/>
    <n v="0.984375"/>
    <m/>
    <m/>
    <m/>
    <m/>
    <m/>
    <m/>
    <m/>
    <m/>
    <m/>
  </r>
  <r>
    <x v="1235"/>
    <x v="0"/>
    <s v="Imported"/>
    <x v="14"/>
    <n v="46"/>
    <n v="46"/>
    <n v="0"/>
    <m/>
    <n v="28474"/>
    <n v="27210"/>
    <n v="1264"/>
    <x v="1546"/>
    <n v="425"/>
    <n v="619"/>
    <n v="591.52173913043475"/>
    <n v="27.478260869565219"/>
    <n v="390.94565217391306"/>
    <n v="9.2391304347826093"/>
    <n v="24.782608695652172"/>
    <n v="0"/>
    <n v="48.695652173913039"/>
    <n v="10"/>
    <n v="8.5"/>
    <n v="4.4391374587342838E-2"/>
    <n v="0.98260869565217379"/>
    <n v="0.63157617475591765"/>
    <n v="0.9197826086956522"/>
    <m/>
    <m/>
    <m/>
    <m/>
    <m/>
    <m/>
    <n v="29"/>
    <m/>
    <m/>
  </r>
  <r>
    <x v="1236"/>
    <x v="1"/>
    <m/>
    <x v="28"/>
    <n v="31"/>
    <n v="31"/>
    <n v="0"/>
    <m/>
    <n v="1580"/>
    <n v="1568"/>
    <n v="12"/>
    <x v="1547"/>
    <n v="0"/>
    <n v="50.967741935483872"/>
    <n v="50.58064516129032"/>
    <n v="0.38709677419354838"/>
    <n v="29.658064516129031"/>
    <n v="0"/>
    <n v="25"/>
    <n v="0"/>
    <n v="43.225806451612897"/>
    <n v="10"/>
    <n v="8.5"/>
    <n v="7.5949367088607592E-3"/>
    <n v="0.93225806451612891"/>
    <n v="0.58189873417721516"/>
    <n v="0.86725806451612897"/>
    <m/>
    <m/>
    <m/>
    <m/>
    <m/>
    <m/>
    <m/>
    <m/>
    <m/>
  </r>
  <r>
    <x v="1236"/>
    <x v="0"/>
    <s v="Imported"/>
    <x v="14"/>
    <n v="71"/>
    <n v="70"/>
    <n v="1"/>
    <s v="1 miliary TB "/>
    <n v="40442"/>
    <n v="39005"/>
    <n v="1437"/>
    <x v="1548"/>
    <n v="558"/>
    <n v="577.74285714285713"/>
    <n v="557.21428571428567"/>
    <n v="20.528571428571428"/>
    <n v="363.33"/>
    <n v="7.9714285714285715"/>
    <n v="24.857142857142858"/>
    <n v="0"/>
    <n v="47.542857142857144"/>
    <n v="10"/>
    <n v="8.5"/>
    <n v="3.5532367340883241E-2"/>
    <n v="0.97257142857142864"/>
    <n v="0.62887839374907273"/>
    <n v="0.90900000000000003"/>
    <m/>
    <m/>
    <m/>
    <m/>
    <m/>
    <m/>
    <n v="36"/>
    <m/>
    <m/>
  </r>
  <r>
    <x v="1237"/>
    <x v="0"/>
    <s v="Imported"/>
    <x v="23"/>
    <n v="23"/>
    <n v="23"/>
    <n v="0"/>
    <m/>
    <n v="10179.430379746835"/>
    <n v="10179.430379746835"/>
    <n v="0"/>
    <x v="1549"/>
    <n v="0"/>
    <n v="442.58392955421021"/>
    <n v="442.58392955421021"/>
    <n v="0"/>
    <n v="279.71304347826083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38"/>
    <x v="2"/>
    <m/>
    <x v="30"/>
    <n v="8"/>
    <n v="8"/>
    <n v="0"/>
    <m/>
    <n v="293"/>
    <n v="285"/>
    <n v="8"/>
    <x v="1550"/>
    <m/>
    <n v="36.625"/>
    <n v="35.625"/>
    <n v="1"/>
    <n v="22.1"/>
    <n v="0"/>
    <n v="25"/>
    <n v="0"/>
    <n v="49.125"/>
    <n v="10"/>
    <n v="8.5"/>
    <n v="2.7303754266211604E-2"/>
    <n v="0.99124999999999996"/>
    <n v="0.60341296928327648"/>
    <n v="0.92625000000000002"/>
    <m/>
    <m/>
    <m/>
    <m/>
    <m/>
    <m/>
    <m/>
    <m/>
    <m/>
  </r>
  <r>
    <x v="1238"/>
    <x v="0"/>
    <s v="Native "/>
    <x v="30"/>
    <n v="24"/>
    <n v="23"/>
    <n v="1"/>
    <s v="Rejection of 1 carcass due to presence of c. Bovis in the heart."/>
    <n v="10193"/>
    <n v="9744"/>
    <n v="449"/>
    <x v="1551"/>
    <n v="139"/>
    <n v="443.17391304347825"/>
    <n v="423.6521739130435"/>
    <n v="19.521739130434781"/>
    <n v="270.99130434782609"/>
    <n v="6.0434782608695654"/>
    <n v="24.565217391304348"/>
    <n v="0"/>
    <n v="49.260869565217391"/>
    <n v="10"/>
    <n v="8.5"/>
    <n v="4.4049838124202885E-2"/>
    <n v="0.98391304347826081"/>
    <n v="0.61147846561365649"/>
    <n v="0.92326086956521736"/>
    <m/>
    <m/>
    <m/>
    <m/>
    <m/>
    <m/>
    <n v="6"/>
    <m/>
    <m/>
  </r>
  <r>
    <x v="1239"/>
    <x v="1"/>
    <m/>
    <x v="28"/>
    <n v="32"/>
    <n v="32"/>
    <n v="0"/>
    <m/>
    <n v="1620"/>
    <n v="1605"/>
    <n v="15"/>
    <x v="1552"/>
    <n v="0"/>
    <n v="50.625"/>
    <n v="50.15625"/>
    <n v="0.46875"/>
    <n v="28.881250000000001"/>
    <n v="0"/>
    <n v="25"/>
    <n v="0"/>
    <n v="44.375"/>
    <n v="10"/>
    <n v="8.5"/>
    <n v="9.2592592592592587E-3"/>
    <n v="0.94374999999999998"/>
    <n v="0.5704938271604939"/>
    <n v="0.87875000000000003"/>
    <m/>
    <m/>
    <m/>
    <m/>
    <m/>
    <m/>
    <m/>
    <m/>
    <m/>
  </r>
  <r>
    <x v="1239"/>
    <x v="0"/>
    <s v="Imported"/>
    <x v="27"/>
    <n v="78"/>
    <n v="78"/>
    <n v="0"/>
    <m/>
    <n v="37319"/>
    <n v="36035"/>
    <n v="1284"/>
    <x v="1553"/>
    <n v="584"/>
    <n v="478.44871794871796"/>
    <n v="461.9871794871795"/>
    <n v="16.46153846153846"/>
    <n v="294.27564102564105"/>
    <n v="7.4871794871794872"/>
    <n v="25"/>
    <n v="0"/>
    <n v="47.5"/>
    <n v="10"/>
    <n v="8.5"/>
    <n v="3.4406066614861057E-2"/>
    <n v="0.97499999999999998"/>
    <n v="0.61506203274471449"/>
    <n v="0.91"/>
    <m/>
    <m/>
    <m/>
    <m/>
    <m/>
    <m/>
    <n v="49"/>
    <m/>
    <m/>
  </r>
  <r>
    <x v="1240"/>
    <x v="0"/>
    <s v="Imported"/>
    <x v="9"/>
    <n v="15"/>
    <n v="15"/>
    <n v="0"/>
    <m/>
    <n v="10342"/>
    <n v="9950"/>
    <n v="392"/>
    <x v="1554"/>
    <n v="53"/>
    <n v="689.4666666666667"/>
    <n v="663.33333333333337"/>
    <n v="26.133333333333333"/>
    <n v="448.77333333333337"/>
    <n v="3.5333333333333332"/>
    <n v="24.333333333333336"/>
    <n v="0"/>
    <n v="48"/>
    <n v="10"/>
    <n v="8.5"/>
    <n v="3.7903693676271513E-2"/>
    <n v="0.96666666666666667"/>
    <n v="0.65089924579385039"/>
    <n v="0.90833333333333344"/>
    <m/>
    <m/>
    <m/>
    <m/>
    <m/>
    <m/>
    <n v="8"/>
    <m/>
    <m/>
  </r>
  <r>
    <x v="1241"/>
    <x v="1"/>
    <m/>
    <x v="28"/>
    <n v="18"/>
    <n v="18"/>
    <n v="0"/>
    <m/>
    <n v="890"/>
    <n v="880"/>
    <n v="10"/>
    <x v="1555"/>
    <n v="0"/>
    <n v="49.444444444444443"/>
    <n v="48.888888888888886"/>
    <n v="0.55555555555555558"/>
    <n v="28.511111111111113"/>
    <n v="0"/>
    <n v="25"/>
    <n v="0"/>
    <n v="41.333333333333336"/>
    <n v="10"/>
    <n v="8.5"/>
    <n v="1.1235955056179777E-2"/>
    <n v="0.91333333333333333"/>
    <n v="0.57662921348314611"/>
    <n v="0.84833333333333338"/>
    <m/>
    <m/>
    <m/>
    <m/>
    <m/>
    <m/>
    <m/>
    <m/>
    <m/>
  </r>
  <r>
    <x v="1241"/>
    <x v="0"/>
    <s v="Imported"/>
    <x v="14"/>
    <n v="55"/>
    <n v="55"/>
    <n v="0"/>
    <m/>
    <n v="32670"/>
    <n v="31220"/>
    <n v="1450"/>
    <x v="1556"/>
    <n v="411"/>
    <n v="594"/>
    <n v="567.63636363636363"/>
    <n v="26.363636363636363"/>
    <n v="371.59090909090907"/>
    <n v="7.4727272727272727"/>
    <n v="25"/>
    <n v="0"/>
    <n v="45.963636363636368"/>
    <n v="10"/>
    <n v="8.5"/>
    <n v="4.438322620140802E-2"/>
    <n v="0.95963636363636362"/>
    <n v="0.62557392102846643"/>
    <n v="0.89463636363636367"/>
    <m/>
    <m/>
    <m/>
    <m/>
    <m/>
    <m/>
    <n v="33"/>
    <m/>
    <m/>
  </r>
  <r>
    <x v="1242"/>
    <x v="0"/>
    <s v="Native "/>
    <x v="5"/>
    <n v="55"/>
    <n v="55"/>
    <n v="0"/>
    <m/>
    <n v="24307.753164556962"/>
    <n v="24307.753164556962"/>
    <n v="0"/>
    <x v="1557"/>
    <n v="0"/>
    <n v="441.95914844649019"/>
    <n v="441.95914844649019"/>
    <n v="0"/>
    <n v="279.31818181818181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43"/>
    <x v="0"/>
    <s v="Imported"/>
    <x v="23"/>
    <n v="26"/>
    <n v="25"/>
    <n v="1"/>
    <s v="1 blood splashes "/>
    <n v="12323.417721518987"/>
    <n v="12323.417721518987"/>
    <n v="0"/>
    <x v="1558"/>
    <n v="0"/>
    <n v="492.93670886075944"/>
    <n v="492.93670886075944"/>
    <n v="0"/>
    <n v="311.536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44"/>
    <x v="1"/>
    <m/>
    <x v="28"/>
    <n v="28"/>
    <n v="28"/>
    <n v="0"/>
    <m/>
    <n v="1425"/>
    <n v="1420"/>
    <n v="5"/>
    <x v="1559"/>
    <n v="0"/>
    <n v="50.892857142857146"/>
    <n v="50.714285714285715"/>
    <n v="0.17857142857142858"/>
    <n v="29.460714285714285"/>
    <n v="0"/>
    <n v="25"/>
    <n v="0"/>
    <n v="44.5"/>
    <n v="10"/>
    <n v="8.5"/>
    <n v="3.5087719298245615E-3"/>
    <n v="0.94500000000000006"/>
    <n v="0.5788771929824561"/>
    <n v="0.88"/>
    <m/>
    <m/>
    <m/>
    <m/>
    <m/>
    <m/>
    <m/>
    <m/>
    <m/>
  </r>
  <r>
    <x v="1244"/>
    <x v="0"/>
    <s v="Imported"/>
    <x v="14"/>
    <n v="25"/>
    <n v="25"/>
    <n v="0"/>
    <m/>
    <n v="14270"/>
    <n v="13740"/>
    <n v="530"/>
    <x v="1560"/>
    <n v="173"/>
    <n v="570.79999999999995"/>
    <n v="549.6"/>
    <n v="21.2"/>
    <n v="353.34"/>
    <n v="6.92"/>
    <n v="25"/>
    <n v="0"/>
    <n v="46.239999999999995"/>
    <n v="10"/>
    <n v="8.5"/>
    <n v="3.7140854940434481E-2"/>
    <n v="0.96239999999999992"/>
    <n v="0.6190259285213735"/>
    <n v="0.89739999999999998"/>
    <m/>
    <m/>
    <m/>
    <m/>
    <m/>
    <m/>
    <n v="16"/>
    <m/>
    <m/>
  </r>
  <r>
    <x v="1245"/>
    <x v="0"/>
    <s v="Native "/>
    <x v="9"/>
    <n v="29"/>
    <n v="29"/>
    <n v="0"/>
    <m/>
    <n v="12894"/>
    <n v="12765"/>
    <n v="129"/>
    <x v="1561"/>
    <n v="293"/>
    <n v="444.62068965517244"/>
    <n v="440.17241379310343"/>
    <n v="4.4482758620689653"/>
    <n v="275.15172413793101"/>
    <n v="10.103448275862069"/>
    <n v="23.275862068965516"/>
    <n v="0"/>
    <n v="49.758620689655174"/>
    <n v="10"/>
    <n v="8.5"/>
    <n v="1.0004653327128896E-2"/>
    <n v="0.96310344827586203"/>
    <n v="0.61884597487203352"/>
    <n v="0.91534482758620694"/>
    <m/>
    <m/>
    <m/>
    <m/>
    <m/>
    <m/>
    <n v="24"/>
    <m/>
    <m/>
  </r>
  <r>
    <x v="1246"/>
    <x v="1"/>
    <m/>
    <x v="28"/>
    <n v="23"/>
    <n v="23"/>
    <n v="0"/>
    <m/>
    <n v="1160"/>
    <n v="1135"/>
    <n v="25"/>
    <x v="1562"/>
    <n v="0"/>
    <n v="50.434782608695649"/>
    <n v="49.347826086956523"/>
    <n v="1.0869565217391304"/>
    <n v="28.739130434782609"/>
    <n v="0"/>
    <n v="25"/>
    <n v="0"/>
    <n v="43.956521739130437"/>
    <n v="10"/>
    <n v="8.5"/>
    <n v="2.1551724137931036E-2"/>
    <n v="0.93956521739130439"/>
    <n v="0.56982758620689655"/>
    <n v="0.87456521739130433"/>
    <m/>
    <m/>
    <m/>
    <m/>
    <m/>
    <m/>
    <m/>
    <m/>
    <m/>
  </r>
  <r>
    <x v="1246"/>
    <x v="0"/>
    <s v="Imported"/>
    <x v="14"/>
    <n v="56"/>
    <n v="56"/>
    <n v="0"/>
    <m/>
    <n v="31920"/>
    <n v="26849"/>
    <n v="5071"/>
    <x v="1563"/>
    <n v="368"/>
    <n v="570"/>
    <n v="479.44642857142856"/>
    <n v="90.553571428571431"/>
    <n v="349.77500000000003"/>
    <n v="6.5714285714285712"/>
    <n v="25"/>
    <n v="0"/>
    <n v="47.446428571428569"/>
    <n v="10"/>
    <n v="8.5"/>
    <n v="0.15886591478696743"/>
    <n v="0.97446428571428567"/>
    <n v="0.61364035087719304"/>
    <n v="0.90946428571428573"/>
    <m/>
    <m/>
    <m/>
    <m/>
    <m/>
    <m/>
    <n v="37"/>
    <m/>
    <m/>
  </r>
  <r>
    <x v="1247"/>
    <x v="0"/>
    <s v="Native "/>
    <x v="5"/>
    <n v="40"/>
    <n v="39"/>
    <n v="1"/>
    <s v="1 carcass tb "/>
    <n v="16996.044303797469"/>
    <n v="16996.044303797469"/>
    <n v="0"/>
    <x v="1564"/>
    <n v="0"/>
    <n v="435.7960077896787"/>
    <n v="435.7960077896787"/>
    <n v="0"/>
    <n v="275.42307692307691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48"/>
    <x v="0"/>
    <s v="Native "/>
    <x v="9"/>
    <n v="26"/>
    <n v="24"/>
    <n v="2"/>
    <s v="2 bulls older than 3 years "/>
    <n v="11299"/>
    <n v="11005"/>
    <n v="294"/>
    <x v="1565"/>
    <n v="222"/>
    <n v="470.79166666666669"/>
    <n v="458.54166666666669"/>
    <n v="12.25"/>
    <n v="282.45833333333331"/>
    <n v="9.25"/>
    <n v="25"/>
    <n v="0"/>
    <n v="48.041666666666664"/>
    <n v="10"/>
    <n v="8.5"/>
    <n v="2.6020001770068146E-2"/>
    <n v="0.98041666666666671"/>
    <n v="0.59996459863704754"/>
    <n v="0.91541666666666655"/>
    <m/>
    <m/>
    <m/>
    <m/>
    <m/>
    <m/>
    <n v="14"/>
    <m/>
    <m/>
  </r>
  <r>
    <x v="1249"/>
    <x v="1"/>
    <m/>
    <x v="14"/>
    <n v="35"/>
    <n v="35"/>
    <n v="0"/>
    <m/>
    <n v="1732"/>
    <n v="1680"/>
    <n v="52"/>
    <x v="1566"/>
    <n v="0"/>
    <n v="49.485714285714288"/>
    <n v="48"/>
    <n v="1.4857142857142858"/>
    <n v="27.848571428571429"/>
    <n v="0"/>
    <n v="25"/>
    <n v="0"/>
    <n v="48.6"/>
    <n v="10"/>
    <n v="8.5"/>
    <n v="3.0023094688221709E-2"/>
    <n v="0.98599999999999999"/>
    <n v="0.5627598152424943"/>
    <n v="0.92099999999999993"/>
    <m/>
    <m/>
    <m/>
    <m/>
    <m/>
    <m/>
    <m/>
    <m/>
    <m/>
  </r>
  <r>
    <x v="1249"/>
    <x v="0"/>
    <s v="Imported"/>
    <x v="14"/>
    <n v="57"/>
    <n v="57"/>
    <n v="0"/>
    <m/>
    <n v="33801"/>
    <n v="32660"/>
    <n v="1141"/>
    <x v="1567"/>
    <n v="407"/>
    <n v="593"/>
    <n v="572.98245614035091"/>
    <n v="20.017543859649123"/>
    <n v="368.14385964912282"/>
    <n v="7.1403508771929829"/>
    <n v="25"/>
    <n v="0"/>
    <n v="47.263157894736842"/>
    <n v="9.8245614035087723"/>
    <n v="8.5"/>
    <n v="3.3756397739711841E-2"/>
    <n v="0.9726315789473684"/>
    <n v="0.62081595219076358"/>
    <n v="0.90587719298245617"/>
    <m/>
    <m/>
    <m/>
    <m/>
    <m/>
    <m/>
    <n v="41"/>
    <m/>
    <m/>
  </r>
  <r>
    <x v="1250"/>
    <x v="0"/>
    <s v="Native "/>
    <x v="9"/>
    <n v="24"/>
    <n v="24"/>
    <n v="0"/>
    <m/>
    <n v="12482"/>
    <n v="12045"/>
    <n v="437"/>
    <x v="1568"/>
    <n v="312"/>
    <n v="520.08333333333337"/>
    <n v="501.875"/>
    <n v="18.208333333333332"/>
    <n v="312.07499999999999"/>
    <n v="13"/>
    <n v="25"/>
    <n v="0"/>
    <n v="44.416666666666664"/>
    <n v="10"/>
    <n v="8.5"/>
    <n v="3.5010414997596537E-2"/>
    <n v="0.9441666666666666"/>
    <n v="0.60004806921967635"/>
    <n v="0.87916666666666654"/>
    <m/>
    <m/>
    <m/>
    <m/>
    <m/>
    <m/>
    <n v="16"/>
    <m/>
    <m/>
  </r>
  <r>
    <x v="1251"/>
    <x v="1"/>
    <m/>
    <x v="14"/>
    <n v="33"/>
    <n v="33"/>
    <n v="0"/>
    <m/>
    <n v="1700"/>
    <n v="1690"/>
    <n v="10"/>
    <x v="1569"/>
    <n v="0"/>
    <n v="51.515151515151516"/>
    <n v="51.212121212121211"/>
    <n v="0.30303030303030304"/>
    <n v="31.218181818181819"/>
    <n v="0"/>
    <n v="25"/>
    <n v="0"/>
    <n v="47.060606060606055"/>
    <n v="10"/>
    <n v="8.5"/>
    <n v="5.8823529411764705E-3"/>
    <n v="0.97060606060606047"/>
    <n v="0.60599999999999998"/>
    <n v="0.90560606060606064"/>
    <m/>
    <m/>
    <m/>
    <m/>
    <m/>
    <m/>
    <m/>
    <m/>
    <m/>
  </r>
  <r>
    <x v="1251"/>
    <x v="0"/>
    <s v="Imported"/>
    <x v="14"/>
    <n v="53"/>
    <n v="53"/>
    <n v="0"/>
    <m/>
    <n v="32012"/>
    <n v="31271"/>
    <n v="741"/>
    <x v="1570"/>
    <n v="433"/>
    <n v="604"/>
    <n v="590.01886792452831"/>
    <n v="13.981132075471699"/>
    <n v="379.42264150943402"/>
    <n v="8.1698113207547163"/>
    <n v="24.622641509433961"/>
    <n v="0"/>
    <n v="45.509433962264154"/>
    <n v="10"/>
    <n v="8.5"/>
    <n v="2.3147569661376984E-2"/>
    <n v="0.94754716981132081"/>
    <n v="0.6281831813070099"/>
    <n v="0.88632075471698113"/>
    <m/>
    <m/>
    <m/>
    <m/>
    <m/>
    <m/>
    <n v="41"/>
    <m/>
    <m/>
  </r>
  <r>
    <x v="1252"/>
    <x v="0"/>
    <s v="Native "/>
    <x v="5"/>
    <n v="35"/>
    <n v="35"/>
    <n v="0"/>
    <m/>
    <n v="15560.443037974685"/>
    <n v="15560.443037974685"/>
    <n v="0"/>
    <x v="1571"/>
    <n v="0"/>
    <n v="444.58408679927669"/>
    <n v="444.58408679927669"/>
    <n v="0"/>
    <n v="280.97714285714289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53"/>
    <x v="0"/>
    <s v="Imported"/>
    <x v="23"/>
    <n v="28"/>
    <n v="28"/>
    <n v="0"/>
    <m/>
    <n v="13664.240506329112"/>
    <n v="13664.240506329112"/>
    <n v="0"/>
    <x v="1057"/>
    <n v="0"/>
    <n v="488.008589511754"/>
    <n v="488.008589511754"/>
    <n v="0"/>
    <n v="308.42142857142852"/>
    <n v="0"/>
    <n v="25"/>
    <n v="4"/>
    <n v="50"/>
    <n v="9.8214285714285712"/>
    <n v="8.5"/>
    <n v="0"/>
    <n v="1"/>
    <n v="0.63200000000000001"/>
    <n v="0.9732142857142857"/>
    <m/>
    <m/>
    <m/>
    <m/>
    <m/>
    <m/>
    <m/>
    <m/>
    <m/>
  </r>
  <r>
    <x v="1254"/>
    <x v="1"/>
    <m/>
    <x v="28"/>
    <n v="28"/>
    <n v="28"/>
    <n v="0"/>
    <m/>
    <n v="1435"/>
    <n v="1430"/>
    <n v="5"/>
    <x v="1572"/>
    <n v="0"/>
    <n v="51.25"/>
    <n v="51.071428571428569"/>
    <n v="0.17857142857142858"/>
    <n v="29.63214285714286"/>
    <n v="0"/>
    <n v="25"/>
    <n v="0"/>
    <n v="44.25"/>
    <n v="10"/>
    <n v="8.5"/>
    <n v="3.4843205574912892E-3"/>
    <n v="0.9425"/>
    <n v="0.57818815331010454"/>
    <n v="0.87749999999999995"/>
    <m/>
    <m/>
    <m/>
    <m/>
    <m/>
    <m/>
    <m/>
    <m/>
    <m/>
  </r>
  <r>
    <x v="1254"/>
    <x v="0"/>
    <s v="Imported"/>
    <x v="14"/>
    <n v="54"/>
    <n v="54"/>
    <n v="0"/>
    <m/>
    <n v="31482"/>
    <n v="30107"/>
    <n v="1375"/>
    <x v="1573"/>
    <n v="360"/>
    <n v="583"/>
    <n v="557.53703703703707"/>
    <n v="25.462962962962962"/>
    <n v="362.02407407407406"/>
    <n v="6.666666666666667"/>
    <n v="24.814814814814817"/>
    <n v="0"/>
    <n v="46.722222222222221"/>
    <n v="10"/>
    <n v="8.5"/>
    <n v="4.3675751222921035E-2"/>
    <n v="0.96351851851851855"/>
    <n v="0.62096753700527285"/>
    <n v="0.90037037037037038"/>
    <m/>
    <m/>
    <m/>
    <m/>
    <m/>
    <m/>
    <n v="31"/>
    <m/>
    <m/>
  </r>
  <r>
    <x v="1255"/>
    <x v="0"/>
    <s v="Native "/>
    <x v="9"/>
    <n v="35"/>
    <n v="35"/>
    <n v="0"/>
    <m/>
    <n v="18568"/>
    <n v="17710"/>
    <n v="858"/>
    <x v="1574"/>
    <n v="405"/>
    <n v="530.51428571428573"/>
    <n v="506"/>
    <n v="24.514285714285716"/>
    <n v="318.29142857142858"/>
    <n v="11.571428571428571"/>
    <n v="25"/>
    <n v="0"/>
    <n v="46.3"/>
    <n v="10"/>
    <n v="8.5"/>
    <n v="4.6208530805687202E-2"/>
    <n v="0.96299999999999997"/>
    <n v="0.59996768634209396"/>
    <n v="0.89800000000000002"/>
    <m/>
    <m/>
    <m/>
    <m/>
    <m/>
    <m/>
    <n v="18"/>
    <m/>
    <m/>
  </r>
  <r>
    <x v="1256"/>
    <x v="1"/>
    <m/>
    <x v="14"/>
    <n v="30"/>
    <n v="30"/>
    <n v="0"/>
    <m/>
    <n v="1408"/>
    <n v="1384.5"/>
    <n v="23.5"/>
    <x v="1276"/>
    <n v="0"/>
    <n v="46.93333333333333"/>
    <n v="46.15"/>
    <n v="0.78333333333333333"/>
    <n v="26.686666666666667"/>
    <n v="0"/>
    <n v="25"/>
    <n v="0"/>
    <n v="48.466666666666669"/>
    <n v="10"/>
    <n v="8.5"/>
    <n v="1.6690340909090912E-2"/>
    <n v="0.98466666666666669"/>
    <n v="0.56860795454545454"/>
    <n v="0.91966666666666663"/>
    <m/>
    <m/>
    <m/>
    <m/>
    <m/>
    <m/>
    <m/>
    <m/>
    <m/>
  </r>
  <r>
    <x v="1256"/>
    <x v="0"/>
    <s v="Native "/>
    <x v="14"/>
    <n v="28"/>
    <n v="28"/>
    <n v="0"/>
    <m/>
    <n v="13895"/>
    <n v="13560"/>
    <n v="335"/>
    <x v="1575"/>
    <n v="312"/>
    <n v="496.25"/>
    <n v="484.28571428571428"/>
    <n v="11.964285714285714"/>
    <n v="299.62857142857143"/>
    <n v="11.142857142857142"/>
    <n v="25"/>
    <n v="0"/>
    <n v="43.821428571428569"/>
    <n v="10"/>
    <n v="8.5"/>
    <n v="2.4109391867578264E-2"/>
    <n v="0.93821428571428567"/>
    <n v="0.60378553436487947"/>
    <n v="0.87321428571428572"/>
    <m/>
    <m/>
    <m/>
    <m/>
    <m/>
    <m/>
    <n v="13"/>
    <m/>
    <m/>
  </r>
  <r>
    <x v="1256"/>
    <x v="0"/>
    <s v="Imported"/>
    <x v="14"/>
    <n v="32"/>
    <n v="32"/>
    <n v="0"/>
    <m/>
    <n v="18560"/>
    <n v="17900"/>
    <n v="660"/>
    <x v="1576"/>
    <n v="176"/>
    <n v="580"/>
    <n v="559.375"/>
    <n v="20.625"/>
    <n v="360.9"/>
    <n v="5.5"/>
    <n v="24.84375"/>
    <n v="0"/>
    <n v="44.75"/>
    <n v="10"/>
    <n v="8.5"/>
    <n v="3.5560344827586209E-2"/>
    <n v="0.94437499999999996"/>
    <n v="0.62224137931034473"/>
    <n v="0.88093750000000004"/>
    <m/>
    <m/>
    <m/>
    <m/>
    <m/>
    <m/>
    <n v="18"/>
    <m/>
    <m/>
  </r>
  <r>
    <x v="1257"/>
    <x v="0"/>
    <s v="Native "/>
    <x v="5"/>
    <n v="40"/>
    <n v="40"/>
    <n v="0"/>
    <m/>
    <n v="18004.746835443038"/>
    <n v="18004.746835443038"/>
    <n v="0"/>
    <x v="1577"/>
    <n v="0"/>
    <n v="450.11867088607596"/>
    <n v="450.11867088607596"/>
    <n v="0"/>
    <n v="284.47500000000002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58"/>
    <x v="0"/>
    <s v="Imported"/>
    <x v="23"/>
    <n v="34"/>
    <n v="34"/>
    <n v="0"/>
    <m/>
    <n v="17247.784810126581"/>
    <n v="17247.784810126581"/>
    <n v="0"/>
    <x v="1578"/>
    <n v="0"/>
    <n v="507.28778853313474"/>
    <n v="507.28778853313474"/>
    <n v="0"/>
    <n v="320.60588235294119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259"/>
    <x v="1"/>
    <m/>
    <x v="28"/>
    <n v="37"/>
    <n v="37"/>
    <n v="0"/>
    <m/>
    <n v="1950"/>
    <n v="1940"/>
    <n v="10"/>
    <x v="1579"/>
    <n v="0"/>
    <n v="52.702702702702702"/>
    <n v="52.432432432432435"/>
    <n v="0.27027027027027029"/>
    <n v="31.172972972972975"/>
    <n v="0"/>
    <n v="25"/>
    <n v="0"/>
    <n v="43.405405405405411"/>
    <n v="10"/>
    <n v="8.5"/>
    <n v="5.1282051282051282E-3"/>
    <n v="0.93405405405405406"/>
    <n v="0.59148717948717955"/>
    <n v="0.86905405405405423"/>
    <m/>
    <m/>
    <m/>
    <m/>
    <m/>
    <m/>
    <m/>
    <m/>
    <m/>
  </r>
  <r>
    <x v="1259"/>
    <x v="0"/>
    <s v="Native "/>
    <x v="9"/>
    <n v="71"/>
    <n v="67"/>
    <n v="4"/>
    <s v="1 miliary tb + 2 drug residues + 1 c. bovis in heart "/>
    <n v="34463"/>
    <n v="33520"/>
    <n v="943"/>
    <x v="1580"/>
    <n v="765"/>
    <n v="514.37313432835822"/>
    <n v="500.29850746268659"/>
    <n v="14.074626865671641"/>
    <n v="308.62835820895521"/>
    <n v="11.417910447761194"/>
    <n v="24.850746268656717"/>
    <n v="0"/>
    <n v="44.417910447761194"/>
    <n v="10"/>
    <n v="8.5"/>
    <n v="2.7362678814960972E-2"/>
    <n v="0.94119402985074629"/>
    <n v="0.60000870498795811"/>
    <n v="0.87768656716417903"/>
    <m/>
    <m/>
    <m/>
    <m/>
    <m/>
    <m/>
    <n v="48"/>
    <m/>
    <m/>
  </r>
  <r>
    <x v="1260"/>
    <x v="0"/>
    <s v="Native "/>
    <x v="14"/>
    <n v="34"/>
    <n v="31"/>
    <n v="3"/>
    <s v="3 c. bovis in hearts"/>
    <n v="17240"/>
    <n v="16725"/>
    <n v="515"/>
    <x v="1581"/>
    <n v="400"/>
    <n v="556.12903225806451"/>
    <n v="539.51612903225805"/>
    <n v="16.612903225806452"/>
    <n v="336.95161290322579"/>
    <n v="12.903225806451612"/>
    <n v="25"/>
    <n v="0"/>
    <n v="44.774193548387096"/>
    <n v="10"/>
    <n v="8.5"/>
    <n v="2.9872389791183295E-2"/>
    <n v="0.94774193548387098"/>
    <n v="0.60588747099767981"/>
    <n v="0.88274193548387103"/>
    <m/>
    <m/>
    <m/>
    <m/>
    <m/>
    <m/>
    <n v="26"/>
    <m/>
    <m/>
  </r>
  <r>
    <x v="1261"/>
    <x v="1"/>
    <m/>
    <x v="14"/>
    <n v="22"/>
    <n v="22"/>
    <n v="0"/>
    <m/>
    <n v="1035"/>
    <n v="1030"/>
    <n v="5"/>
    <x v="1582"/>
    <n v="0"/>
    <n v="47.045454545454547"/>
    <n v="46.81818181818182"/>
    <n v="0.22727272727272727"/>
    <n v="27.195454545454542"/>
    <n v="0"/>
    <n v="25"/>
    <n v="0"/>
    <n v="48.772727272727273"/>
    <n v="10"/>
    <n v="8.5"/>
    <n v="4.830917874396135E-3"/>
    <n v="0.98772727272727279"/>
    <n v="0.57806763285024154"/>
    <n v="0.92272727272727284"/>
    <m/>
    <m/>
    <m/>
    <m/>
    <m/>
    <m/>
    <m/>
    <m/>
    <m/>
  </r>
  <r>
    <x v="1261"/>
    <x v="0"/>
    <s v="Imported"/>
    <x v="14"/>
    <n v="55"/>
    <n v="55"/>
    <n v="0"/>
    <m/>
    <n v="32230"/>
    <n v="30673"/>
    <n v="1557"/>
    <x v="1583"/>
    <n v="393"/>
    <n v="586"/>
    <n v="557.69090909090914"/>
    <n v="28.309090909090909"/>
    <n v="364.53454545454548"/>
    <n v="7.1454545454545455"/>
    <n v="24.90909090909091"/>
    <n v="0"/>
    <n v="44.545454545454547"/>
    <n v="10"/>
    <n v="8.5"/>
    <n v="4.8309028855103943E-2"/>
    <n v="0.94363636363636372"/>
    <n v="0.62207260316475343"/>
    <n v="0.87954545454545452"/>
    <m/>
    <m/>
    <m/>
    <m/>
    <m/>
    <m/>
    <n v="47"/>
    <m/>
    <m/>
  </r>
  <r>
    <x v="1262"/>
    <x v="0"/>
    <s v="Native "/>
    <x v="5"/>
    <n v="45"/>
    <n v="45"/>
    <n v="0"/>
    <m/>
    <n v="19514.715189873416"/>
    <n v="19514.715189873416"/>
    <n v="0"/>
    <x v="1584"/>
    <n v="0"/>
    <n v="433.66033755274259"/>
    <n v="433.66033755274259"/>
    <n v="0"/>
    <n v="274.07333333333332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63"/>
    <x v="1"/>
    <m/>
    <x v="14"/>
    <n v="35"/>
    <n v="35"/>
    <n v="0"/>
    <m/>
    <n v="1861"/>
    <n v="1795"/>
    <n v="66"/>
    <x v="1585"/>
    <n v="0"/>
    <n v="53.171428571428571"/>
    <n v="51.285714285714285"/>
    <n v="1.8857142857142857"/>
    <n v="28.885714285714286"/>
    <n v="0"/>
    <n v="25"/>
    <n v="0"/>
    <n v="49.685714285714283"/>
    <n v="10"/>
    <n v="8.5"/>
    <n v="3.5464803868887694E-2"/>
    <n v="0.99685714285714289"/>
    <n v="0.54325631380977968"/>
    <n v="0.93185714285714283"/>
    <m/>
    <m/>
    <m/>
    <m/>
    <m/>
    <m/>
    <m/>
    <m/>
    <m/>
  </r>
  <r>
    <x v="1263"/>
    <x v="0"/>
    <s v="Native "/>
    <x v="27"/>
    <n v="66"/>
    <n v="65"/>
    <n v="1"/>
    <s v="1 sarcocyst"/>
    <n v="31589"/>
    <n v="30618"/>
    <n v="971"/>
    <x v="1586"/>
    <n v="548"/>
    <n v="485.98461538461538"/>
    <n v="471.04615384615386"/>
    <n v="14.938461538461539"/>
    <n v="301.92615384615385"/>
    <n v="8.430769230769231"/>
    <n v="25"/>
    <n v="0"/>
    <n v="47.969230769230769"/>
    <n v="10"/>
    <n v="8.5"/>
    <n v="3.073854822881383E-2"/>
    <n v="0.97969230769230764"/>
    <n v="0.62126689670454904"/>
    <n v="0.91469230769230758"/>
    <m/>
    <m/>
    <m/>
    <m/>
    <m/>
    <m/>
    <n v="43"/>
    <m/>
    <m/>
  </r>
  <r>
    <x v="1264"/>
    <x v="0"/>
    <s v="Native "/>
    <x v="9"/>
    <n v="40"/>
    <n v="40"/>
    <n v="0"/>
    <m/>
    <n v="21330"/>
    <n v="20730"/>
    <n v="600"/>
    <x v="1587"/>
    <n v="547"/>
    <n v="533.25"/>
    <n v="518.25"/>
    <n v="15"/>
    <n v="319.95500000000004"/>
    <n v="13.675000000000001"/>
    <n v="25"/>
    <n v="0"/>
    <n v="43.149999999999991"/>
    <n v="10"/>
    <n v="8.5"/>
    <n v="2.8129395218002812E-2"/>
    <n v="0.93149999999999999"/>
    <n v="0.60000937646507269"/>
    <n v="0.86649999999999994"/>
    <m/>
    <m/>
    <m/>
    <m/>
    <m/>
    <m/>
    <n v="27"/>
    <m/>
    <m/>
  </r>
  <r>
    <x v="1265"/>
    <x v="1"/>
    <m/>
    <x v="14"/>
    <n v="21"/>
    <n v="21"/>
    <n v="0"/>
    <m/>
    <n v="1017"/>
    <n v="1017"/>
    <n v="0"/>
    <x v="1588"/>
    <n v="0"/>
    <n v="48.428571428571431"/>
    <n v="48.428571428571431"/>
    <n v="0"/>
    <n v="27.700000000000003"/>
    <n v="0"/>
    <n v="25"/>
    <n v="0"/>
    <n v="49.449999999999996"/>
    <n v="10"/>
    <n v="8.5"/>
    <n v="0"/>
    <n v="0.99449999999999994"/>
    <n v="0.57197640117994109"/>
    <n v="0.92949999999999988"/>
    <m/>
    <m/>
    <m/>
    <m/>
    <m/>
    <m/>
    <m/>
    <m/>
    <m/>
  </r>
  <r>
    <x v="1265"/>
    <x v="0"/>
    <s v="Imported"/>
    <x v="14"/>
    <n v="53"/>
    <n v="53"/>
    <n v="0"/>
    <m/>
    <n v="31025"/>
    <n v="29798"/>
    <n v="1227"/>
    <x v="1589"/>
    <n v="353"/>
    <n v="585.37735849056605"/>
    <n v="562.22641509433959"/>
    <n v="23.150943396226417"/>
    <n v="357.72830188679245"/>
    <n v="6.6603773584905657"/>
    <n v="25"/>
    <n v="0"/>
    <n v="46.018867924528308"/>
    <n v="10"/>
    <n v="8.5"/>
    <n v="3.954875100725222E-2"/>
    <n v="0.96018867924528306"/>
    <n v="0.61110717163577755"/>
    <n v="0.89518867924528311"/>
    <m/>
    <m/>
    <m/>
    <m/>
    <m/>
    <m/>
    <n v="34"/>
    <m/>
    <m/>
  </r>
  <r>
    <x v="1266"/>
    <x v="0"/>
    <s v="Native "/>
    <x v="5"/>
    <n v="30"/>
    <n v="30"/>
    <n v="0"/>
    <m/>
    <n v="12679.113924050633"/>
    <n v="12679.113924050633"/>
    <n v="0"/>
    <x v="1590"/>
    <n v="0"/>
    <n v="422.63713080168776"/>
    <n v="422.63713080168776"/>
    <n v="0"/>
    <n v="267.10666666666668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67"/>
    <x v="0"/>
    <s v="Native "/>
    <x v="24"/>
    <n v="16"/>
    <n v="15"/>
    <n v="1"/>
    <s v="1 c. bovis in heart "/>
    <n v="6698"/>
    <n v="6698"/>
    <n v="0"/>
    <x v="1591"/>
    <n v="84.5"/>
    <n v="446.53333333333336"/>
    <n v="446.53333333333336"/>
    <n v="0"/>
    <n v="267.92"/>
    <n v="5.6333333333333337"/>
    <n v="25"/>
    <n v="0"/>
    <n v="49.06666666666667"/>
    <n v="10"/>
    <n v="8.5"/>
    <n v="0"/>
    <n v="0.9906666666666667"/>
    <n v="0.6"/>
    <n v="0.92566666666666664"/>
    <m/>
    <m/>
    <m/>
    <m/>
    <m/>
    <m/>
    <n v="6"/>
    <m/>
    <m/>
  </r>
  <r>
    <x v="1267"/>
    <x v="0"/>
    <s v="Native "/>
    <x v="30"/>
    <n v="20"/>
    <n v="20"/>
    <n v="0"/>
    <m/>
    <n v="9244"/>
    <n v="9244"/>
    <n v="0"/>
    <x v="1592"/>
    <n v="126.5"/>
    <n v="462.2"/>
    <n v="462.2"/>
    <n v="0"/>
    <n v="281.815"/>
    <n v="6.3250000000000002"/>
    <n v="25"/>
    <n v="0"/>
    <n v="46.65"/>
    <n v="10"/>
    <n v="8.5"/>
    <n v="0"/>
    <n v="0.96649999999999991"/>
    <n v="0.60972522717438338"/>
    <n v="0.90150000000000008"/>
    <m/>
    <m/>
    <m/>
    <m/>
    <m/>
    <m/>
    <n v="8"/>
    <m/>
    <m/>
  </r>
  <r>
    <x v="1268"/>
    <x v="1"/>
    <m/>
    <x v="14"/>
    <n v="32"/>
    <n v="32"/>
    <n v="0"/>
    <m/>
    <n v="1545"/>
    <n v="1520"/>
    <n v="25"/>
    <x v="1593"/>
    <n v="0"/>
    <n v="48.28125"/>
    <n v="47.5"/>
    <n v="0.78125"/>
    <n v="27.190625000000001"/>
    <n v="0"/>
    <n v="25"/>
    <n v="0"/>
    <n v="49.28125"/>
    <n v="10"/>
    <n v="8.5"/>
    <n v="1.6181229773462782E-2"/>
    <n v="0.99281249999999999"/>
    <n v="0.56317152103559875"/>
    <n v="0.92781250000000004"/>
    <m/>
    <m/>
    <m/>
    <m/>
    <m/>
    <m/>
    <m/>
    <m/>
    <m/>
  </r>
  <r>
    <x v="1268"/>
    <x v="0"/>
    <s v="Native "/>
    <x v="9"/>
    <n v="56"/>
    <n v="56"/>
    <n v="0"/>
    <m/>
    <n v="27530"/>
    <n v="27110"/>
    <n v="420"/>
    <x v="1594"/>
    <n v="583"/>
    <n v="491.60714285714283"/>
    <n v="484.10714285714283"/>
    <n v="7.5"/>
    <n v="294.95714285714286"/>
    <n v="10.410714285714286"/>
    <n v="25"/>
    <n v="0"/>
    <n v="44.053571428571431"/>
    <n v="10"/>
    <n v="8.5"/>
    <n v="1.5256084271703597E-2"/>
    <n v="0.94053571428571425"/>
    <n v="0.59998547039593164"/>
    <n v="0.87553571428571431"/>
    <m/>
    <m/>
    <m/>
    <m/>
    <m/>
    <m/>
    <n v="49"/>
    <m/>
    <m/>
  </r>
  <r>
    <x v="1269"/>
    <x v="0"/>
    <s v="Native "/>
    <x v="9"/>
    <n v="30"/>
    <n v="29"/>
    <n v="1"/>
    <s v="1 c. bovis"/>
    <n v="14520"/>
    <n v="14230"/>
    <n v="290"/>
    <x v="1595"/>
    <n v="300"/>
    <n v="500.68965517241378"/>
    <n v="490.68965517241378"/>
    <n v="10"/>
    <n v="301.84137931034479"/>
    <n v="10.344827586206897"/>
    <n v="25"/>
    <n v="0"/>
    <n v="48.655172413793096"/>
    <n v="10"/>
    <n v="8.5"/>
    <n v="1.9972451790633609E-2"/>
    <n v="0.98655172413793091"/>
    <n v="0.60285123966942145"/>
    <n v="0.92155172413793096"/>
    <m/>
    <m/>
    <m/>
    <m/>
    <m/>
    <m/>
    <n v="24"/>
    <m/>
    <m/>
  </r>
  <r>
    <x v="1270"/>
    <x v="1"/>
    <m/>
    <x v="14"/>
    <n v="33"/>
    <n v="33"/>
    <n v="0"/>
    <m/>
    <n v="1660"/>
    <n v="1620"/>
    <n v="40"/>
    <x v="1596"/>
    <n v="0"/>
    <n v="50.303030303030305"/>
    <n v="49.090909090909093"/>
    <n v="1.2121212121212122"/>
    <n v="29.636666666666667"/>
    <n v="0"/>
    <n v="25"/>
    <n v="0"/>
    <n v="49.484848484848484"/>
    <n v="10"/>
    <n v="8.5"/>
    <n v="2.4096385542168676E-2"/>
    <n v="0.99484848484848487"/>
    <n v="0.58916265060240969"/>
    <n v="0.92984848484848481"/>
    <m/>
    <m/>
    <m/>
    <m/>
    <m/>
    <m/>
    <m/>
    <m/>
    <m/>
  </r>
  <r>
    <x v="1270"/>
    <x v="0"/>
    <s v="Imported"/>
    <x v="14"/>
    <n v="65"/>
    <n v="64"/>
    <n v="1"/>
    <s v="1 c. bovis in heart "/>
    <n v="32128"/>
    <n v="32128"/>
    <n v="0"/>
    <x v="1597"/>
    <n v="689"/>
    <n v="502"/>
    <n v="502"/>
    <n v="0"/>
    <n v="306.34687500000001"/>
    <n v="10.765625"/>
    <n v="25"/>
    <n v="0"/>
    <n v="46.515625"/>
    <n v="10"/>
    <n v="8.5"/>
    <n v="0"/>
    <n v="0.96515624999999994"/>
    <n v="0.61025273904382471"/>
    <n v="0.90015624999999999"/>
    <m/>
    <m/>
    <m/>
    <m/>
    <m/>
    <m/>
    <n v="41"/>
    <m/>
    <m/>
  </r>
  <r>
    <x v="1271"/>
    <x v="0"/>
    <s v="Native "/>
    <x v="5"/>
    <n v="37"/>
    <n v="35"/>
    <n v="2"/>
    <s v="2 sarcocystic myositis"/>
    <n v="14608.860759493668"/>
    <n v="14608.860759493668"/>
    <n v="0"/>
    <x v="1598"/>
    <n v="0"/>
    <n v="417.39602169981907"/>
    <n v="417.39602169981907"/>
    <n v="0"/>
    <n v="263.79428571428571"/>
    <n v="0"/>
    <n v="25"/>
    <n v="5"/>
    <n v="49.142857142857139"/>
    <n v="10"/>
    <n v="8.5"/>
    <n v="0"/>
    <n v="0.99142857142857133"/>
    <n v="0.63200000000000012"/>
    <n v="0.97642857142857142"/>
    <m/>
    <m/>
    <m/>
    <m/>
    <m/>
    <m/>
    <m/>
    <m/>
    <m/>
  </r>
  <r>
    <x v="1272"/>
    <x v="0"/>
    <s v="Native "/>
    <x v="14"/>
    <n v="38"/>
    <n v="38"/>
    <n v="0"/>
    <m/>
    <n v="18400"/>
    <n v="18400"/>
    <n v="0"/>
    <x v="1599"/>
    <n v="348"/>
    <n v="484.21052631578948"/>
    <n v="484.21052631578948"/>
    <n v="0"/>
    <n v="292.56315789473683"/>
    <n v="9.1578947368421044"/>
    <n v="25"/>
    <n v="0"/>
    <n v="47.868421052631575"/>
    <n v="10"/>
    <n v="8.5"/>
    <n v="0"/>
    <n v="0.97868421052631582"/>
    <n v="0.60420652173913036"/>
    <n v="0.91368421052631577"/>
    <m/>
    <m/>
    <m/>
    <m/>
    <m/>
    <m/>
    <n v="24"/>
    <m/>
    <m/>
  </r>
  <r>
    <x v="1273"/>
    <x v="0"/>
    <s v="Native "/>
    <x v="9"/>
    <n v="72"/>
    <n v="70"/>
    <n v="2"/>
    <s v="1 bull older age + 1 c. bovis in heart "/>
    <n v="33451"/>
    <n v="32146"/>
    <n v="1305"/>
    <x v="1600"/>
    <n v="696"/>
    <n v="477.87142857142857"/>
    <n v="459.22857142857146"/>
    <n v="18.642857142857142"/>
    <n v="286.72142857142859"/>
    <n v="9.9428571428571431"/>
    <n v="25"/>
    <n v="0"/>
    <n v="48.728571428571428"/>
    <n v="10"/>
    <n v="8.5"/>
    <n v="3.9012286628202442E-2"/>
    <n v="0.98728571428571432"/>
    <n v="0.59999701055274879"/>
    <n v="0.92228571428571426"/>
    <m/>
    <m/>
    <m/>
    <m/>
    <m/>
    <m/>
    <n v="26"/>
    <m/>
    <m/>
  </r>
  <r>
    <x v="1273"/>
    <x v="1"/>
    <m/>
    <x v="14"/>
    <n v="33"/>
    <n v="33"/>
    <n v="0"/>
    <m/>
    <n v="1710"/>
    <n v="1710"/>
    <n v="0"/>
    <x v="1601"/>
    <n v="0"/>
    <n v="51.81818181818182"/>
    <n v="51.81818181818182"/>
    <n v="0"/>
    <n v="32.390909090909091"/>
    <n v="0"/>
    <n v="25"/>
    <n v="0"/>
    <n v="49.303030303030305"/>
    <n v="10"/>
    <n v="8.5"/>
    <n v="0"/>
    <n v="0.99303030303030304"/>
    <n v="0.62508771929824569"/>
    <n v="0.92803030303030309"/>
    <m/>
    <m/>
    <m/>
    <m/>
    <m/>
    <m/>
    <m/>
    <m/>
    <m/>
  </r>
  <r>
    <x v="1274"/>
    <x v="0"/>
    <s v="Native "/>
    <x v="32"/>
    <n v="36"/>
    <n v="36"/>
    <n v="0"/>
    <m/>
    <n v="16156"/>
    <n v="15490"/>
    <n v="666"/>
    <x v="1602"/>
    <n v="288"/>
    <n v="448.77777777777777"/>
    <n v="430.27777777777777"/>
    <n v="18.5"/>
    <n v="269.25833333333333"/>
    <n v="8"/>
    <n v="25"/>
    <n v="0"/>
    <n v="47.416666666666664"/>
    <n v="10"/>
    <n v="8.5"/>
    <n v="4.122307501856895E-2"/>
    <n v="0.97416666666666663"/>
    <n v="0.59998143104728885"/>
    <n v="0.90916666666666657"/>
    <m/>
    <m/>
    <m/>
    <m/>
    <m/>
    <m/>
    <m/>
    <m/>
    <m/>
  </r>
  <r>
    <x v="1275"/>
    <x v="1"/>
    <m/>
    <x v="14"/>
    <n v="33"/>
    <n v="32"/>
    <n v="1"/>
    <s v="Antibiotic residues"/>
    <n v="1550"/>
    <n v="1550"/>
    <n v="0"/>
    <x v="1603"/>
    <n v="0"/>
    <n v="48.4375"/>
    <n v="48.4375"/>
    <n v="0"/>
    <n v="27.234375"/>
    <n v="0"/>
    <n v="25"/>
    <n v="0"/>
    <n v="47.38"/>
    <n v="10"/>
    <n v="8.5"/>
    <n v="0"/>
    <n v="0.9738"/>
    <n v="0.56225806451612903"/>
    <n v="0.90879999999999994"/>
    <m/>
    <m/>
    <m/>
    <m/>
    <m/>
    <m/>
    <m/>
    <m/>
    <m/>
  </r>
  <r>
    <x v="1275"/>
    <x v="0"/>
    <s v="Imported"/>
    <x v="14"/>
    <n v="37"/>
    <n v="37"/>
    <n v="0"/>
    <m/>
    <n v="16095"/>
    <n v="16095"/>
    <n v="0"/>
    <x v="1604"/>
    <n v="339"/>
    <n v="435"/>
    <n v="435"/>
    <n v="0"/>
    <n v="262.08648648648648"/>
    <n v="9.1621621621621614"/>
    <n v="25"/>
    <n v="0"/>
    <n v="48.513513513513509"/>
    <n v="10"/>
    <n v="8.5"/>
    <n v="0"/>
    <n v="0.98513513513513506"/>
    <n v="0.602497670083877"/>
    <n v="0.92013513513513512"/>
    <m/>
    <m/>
    <m/>
    <m/>
    <m/>
    <m/>
    <n v="9"/>
    <m/>
    <m/>
  </r>
  <r>
    <x v="1275"/>
    <x v="0"/>
    <s v="Imported"/>
    <x v="23"/>
    <n v="26"/>
    <n v="26"/>
    <n v="0"/>
    <m/>
    <n v="14088.924050632913"/>
    <n v="14088.924050632913"/>
    <n v="0"/>
    <x v="1605"/>
    <n v="0"/>
    <n v="541.88169425511205"/>
    <n v="541.88169425511205"/>
    <n v="0"/>
    <n v="342.4692307692308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76"/>
    <x v="0"/>
    <s v="Native "/>
    <x v="5"/>
    <n v="54"/>
    <n v="53"/>
    <n v="1"/>
    <s v="c. bovis in the heart "/>
    <n v="20944.303797468354"/>
    <n v="20944.303797468354"/>
    <n v="0"/>
    <x v="1606"/>
    <n v="0"/>
    <n v="395.17554334845948"/>
    <n v="395.17554334845948"/>
    <n v="0"/>
    <n v="249.7509433962264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77"/>
    <x v="0"/>
    <s v="Native "/>
    <x v="9"/>
    <n v="60"/>
    <n v="57"/>
    <n v="3"/>
    <s v="Rejection of 3 carcasses due to presence of miliary TB."/>
    <n v="24844"/>
    <n v="23452"/>
    <n v="1392"/>
    <x v="1607"/>
    <n v="444"/>
    <n v="435.85964912280701"/>
    <n v="411.43859649122805"/>
    <n v="24.421052631578949"/>
    <n v="263.9140350877193"/>
    <n v="7.7894736842105265"/>
    <n v="25"/>
    <n v="0"/>
    <n v="49.84210526315789"/>
    <n v="10"/>
    <n v="8.5"/>
    <n v="5.602962485912092E-2"/>
    <n v="0.99842105263157888"/>
    <n v="0.60550233456770253"/>
    <n v="0.93342105263157893"/>
    <m/>
    <m/>
    <m/>
    <m/>
    <m/>
    <m/>
    <n v="10"/>
    <m/>
    <m/>
  </r>
  <r>
    <x v="1278"/>
    <x v="1"/>
    <m/>
    <x v="14"/>
    <n v="37"/>
    <n v="37"/>
    <n v="0"/>
    <m/>
    <n v="1871"/>
    <n v="1871"/>
    <n v="0"/>
    <x v="1608"/>
    <n v="0"/>
    <n v="50.567567567567565"/>
    <n v="50.567567567567565"/>
    <n v="0"/>
    <n v="28.516216216216215"/>
    <n v="0"/>
    <n v="25"/>
    <n v="0"/>
    <n v="48.891891891891888"/>
    <n v="10"/>
    <n v="8.5"/>
    <n v="0"/>
    <n v="0.98891891891891892"/>
    <n v="0.56392303580972736"/>
    <n v="0.92391891891891886"/>
    <m/>
    <m/>
    <m/>
    <m/>
    <m/>
    <m/>
    <m/>
    <m/>
    <m/>
  </r>
  <r>
    <x v="1278"/>
    <x v="0"/>
    <s v="Native "/>
    <x v="14"/>
    <n v="46"/>
    <n v="45"/>
    <n v="1"/>
    <s v="Rejection of 1 carcass due to presence of  C.bovis in heart."/>
    <n v="20917"/>
    <n v="20917"/>
    <n v="0"/>
    <x v="1609"/>
    <n v="352"/>
    <n v="464.82222222222219"/>
    <n v="464.82222222222219"/>
    <n v="0"/>
    <n v="284.50444444444446"/>
    <n v="7.822222222222222"/>
    <n v="25"/>
    <n v="0"/>
    <n v="47.36666666666666"/>
    <n v="10"/>
    <n v="8.5"/>
    <n v="0"/>
    <n v="0.97366666666666668"/>
    <n v="0.61207152077257732"/>
    <n v="0.90866666666666662"/>
    <m/>
    <m/>
    <m/>
    <m/>
    <m/>
    <m/>
    <n v="19"/>
    <m/>
    <m/>
  </r>
  <r>
    <x v="1278"/>
    <x v="0"/>
    <s v="Native "/>
    <x v="27"/>
    <n v="32"/>
    <n v="30"/>
    <n v="2"/>
    <s v="Rejection of 2 carcasses due to presence of miliary TB and c. bovis in a heart."/>
    <n v="15836"/>
    <n v="15836"/>
    <n v="0"/>
    <x v="1610"/>
    <n v="327"/>
    <n v="527.86666666666667"/>
    <n v="527.86666666666667"/>
    <n v="0"/>
    <n v="330.26666666666665"/>
    <n v="10.9"/>
    <n v="25"/>
    <n v="0"/>
    <n v="45.566666666666663"/>
    <n v="10"/>
    <n v="8.5"/>
    <n v="0"/>
    <n v="0.95566666666666666"/>
    <n v="0.62566304622379387"/>
    <n v="0.89066666666666661"/>
    <m/>
    <m/>
    <m/>
    <m/>
    <m/>
    <m/>
    <n v="13"/>
    <m/>
    <m/>
  </r>
  <r>
    <x v="1279"/>
    <x v="0"/>
    <s v="Native "/>
    <x v="32"/>
    <n v="34"/>
    <n v="33"/>
    <n v="1"/>
    <s v="1 miliary TB "/>
    <n v="14709"/>
    <n v="14349"/>
    <n v="360"/>
    <x v="1611"/>
    <n v="300"/>
    <n v="445.72727272727275"/>
    <n v="434.81818181818181"/>
    <n v="10.909090909090908"/>
    <n v="267.42121212121214"/>
    <n v="9.0909090909090917"/>
    <n v="25"/>
    <n v="0"/>
    <n v="46.621212121212118"/>
    <n v="9.8484848484848477"/>
    <n v="8.5"/>
    <n v="2.4474811339995919E-2"/>
    <n v="0.96621212121212119"/>
    <n v="0.5999660072064722"/>
    <n v="0.89969696969696966"/>
    <m/>
    <m/>
    <m/>
    <m/>
    <m/>
    <m/>
    <m/>
    <m/>
    <m/>
  </r>
  <r>
    <x v="1280"/>
    <x v="1"/>
    <m/>
    <x v="14"/>
    <n v="27"/>
    <n v="27"/>
    <n v="0"/>
    <m/>
    <n v="1376"/>
    <n v="1352"/>
    <n v="24"/>
    <x v="1612"/>
    <n v="0.58209999999999995"/>
    <n v="50.962962962962962"/>
    <n v="50.074074074074076"/>
    <n v="0.88888888888888884"/>
    <n v="29.666666666666668"/>
    <n v="2.1559259259259257E-2"/>
    <n v="25"/>
    <n v="0"/>
    <n v="48.777777777777779"/>
    <n v="10"/>
    <n v="8.5"/>
    <n v="1.7441860465116279E-2"/>
    <n v="0.98777777777777787"/>
    <n v="0.58212209302325579"/>
    <n v="0.9227777777777777"/>
    <m/>
    <m/>
    <m/>
    <m/>
    <m/>
    <m/>
    <m/>
    <m/>
    <m/>
  </r>
  <r>
    <x v="1280"/>
    <x v="0"/>
    <s v="Native "/>
    <x v="14"/>
    <n v="35"/>
    <n v="35"/>
    <n v="0"/>
    <m/>
    <n v="15774"/>
    <n v="15774"/>
    <n v="0"/>
    <x v="1613"/>
    <n v="352"/>
    <n v="450.68571428571431"/>
    <n v="450.68571428571431"/>
    <n v="0"/>
    <n v="272.22285714285709"/>
    <n v="10.057142857142857"/>
    <n v="25"/>
    <n v="0"/>
    <n v="49.071428571428569"/>
    <n v="10"/>
    <n v="8.5"/>
    <n v="0"/>
    <n v="0.99071428571428566"/>
    <n v="0.60401927222010898"/>
    <n v="0.92571428571428571"/>
    <m/>
    <m/>
    <m/>
    <m/>
    <m/>
    <m/>
    <n v="13"/>
    <m/>
    <m/>
  </r>
  <r>
    <x v="1280"/>
    <x v="0"/>
    <s v="Native "/>
    <x v="27"/>
    <n v="31"/>
    <n v="31"/>
    <n v="0"/>
    <m/>
    <n v="15375"/>
    <n v="15375"/>
    <n v="0"/>
    <x v="1614"/>
    <n v="268"/>
    <n v="495.96774193548384"/>
    <n v="495.96774193548384"/>
    <n v="0"/>
    <n v="308.5774193548387"/>
    <n v="8.6451612903225801"/>
    <n v="25"/>
    <n v="0"/>
    <n v="49.435483870967737"/>
    <n v="10"/>
    <n v="8.5"/>
    <n v="0"/>
    <n v="0.99435483870967745"/>
    <n v="0.62217235772357726"/>
    <n v="0.92935483870967739"/>
    <m/>
    <m/>
    <m/>
    <m/>
    <m/>
    <m/>
    <n v="6"/>
    <m/>
    <m/>
  </r>
  <r>
    <x v="1281"/>
    <x v="0"/>
    <s v="Native "/>
    <x v="5"/>
    <n v="32"/>
    <n v="30"/>
    <n v="2"/>
    <s v="1 bruises + 1 esinophilic myoitis"/>
    <n v="12224.050632911392"/>
    <n v="12224.050632911392"/>
    <n v="0"/>
    <x v="1615"/>
    <n v="0"/>
    <n v="407.46835443037975"/>
    <n v="407.46835443037975"/>
    <n v="0"/>
    <n v="257.52000000000004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82"/>
    <x v="0"/>
    <s v="Native "/>
    <x v="14"/>
    <n v="36"/>
    <n v="36"/>
    <n v="0"/>
    <m/>
    <n v="17435"/>
    <n v="17435"/>
    <n v="0"/>
    <x v="1616"/>
    <n v="330"/>
    <n v="484.30555555555554"/>
    <n v="484.30555555555554"/>
    <n v="0"/>
    <n v="292.55555555555554"/>
    <n v="9.1666666666666661"/>
    <n v="25"/>
    <n v="0"/>
    <n v="48.666666666666664"/>
    <n v="10"/>
    <n v="8.5"/>
    <n v="0"/>
    <n v="0.98666666666666658"/>
    <n v="0.60407226842558071"/>
    <n v="0.92166666666666652"/>
    <m/>
    <m/>
    <m/>
    <m/>
    <m/>
    <m/>
    <n v="2"/>
    <m/>
    <m/>
  </r>
  <r>
    <x v="1283"/>
    <x v="1"/>
    <m/>
    <x v="14"/>
    <n v="37"/>
    <n v="37"/>
    <n v="0"/>
    <m/>
    <n v="1947"/>
    <n v="1940"/>
    <n v="7"/>
    <x v="1617"/>
    <n v="0"/>
    <n v="52.621621621621621"/>
    <n v="52.432432432432435"/>
    <n v="0.1891891891891892"/>
    <n v="29.164864864864864"/>
    <n v="0"/>
    <n v="25"/>
    <n v="0"/>
    <n v="48.891891891891895"/>
    <n v="10"/>
    <n v="8.5"/>
    <n v="3.59527478171546E-3"/>
    <n v="0.98891891891891892"/>
    <n v="0.55423728813559314"/>
    <n v="0.92391891891891897"/>
    <m/>
    <m/>
    <m/>
    <m/>
    <m/>
    <m/>
    <m/>
    <m/>
    <m/>
  </r>
  <r>
    <x v="1283"/>
    <x v="0"/>
    <s v="Native "/>
    <x v="9"/>
    <n v="46"/>
    <n v="46"/>
    <n v="0"/>
    <m/>
    <n v="21758"/>
    <n v="21758"/>
    <n v="0"/>
    <x v="1618"/>
    <n v="408.88888888888891"/>
    <n v="473"/>
    <n v="473"/>
    <n v="0"/>
    <n v="284.02407407407406"/>
    <n v="8.8888888888888893"/>
    <n v="25"/>
    <n v="0"/>
    <n v="48.5"/>
    <n v="10"/>
    <n v="8.5"/>
    <n v="0"/>
    <n v="0.98499999999999999"/>
    <n v="0.60047372954349698"/>
    <n v="0.92"/>
    <m/>
    <m/>
    <m/>
    <m/>
    <m/>
    <m/>
    <m/>
    <m/>
    <m/>
  </r>
  <r>
    <x v="1283"/>
    <x v="0"/>
    <s v="Native "/>
    <x v="10"/>
    <n v="24"/>
    <n v="23"/>
    <n v="1"/>
    <s v="Rejection of 1 bull older than 3 years. "/>
    <n v="11382"/>
    <n v="10887"/>
    <n v="495"/>
    <x v="1619"/>
    <n v="196"/>
    <n v="494.86956521739131"/>
    <n v="473.3478260869565"/>
    <n v="21.521739130434781"/>
    <n v="297.95652173913044"/>
    <n v="8.5217391304347831"/>
    <n v="25"/>
    <n v="0"/>
    <n v="46.608695652173914"/>
    <n v="10"/>
    <n v="8.5"/>
    <n v="4.3489720611491825E-2"/>
    <n v="0.96608695652173915"/>
    <n v="0.60209102091020905"/>
    <n v="0.90108695652173909"/>
    <m/>
    <m/>
    <m/>
    <m/>
    <m/>
    <m/>
    <n v="7"/>
    <m/>
    <m/>
  </r>
  <r>
    <x v="1284"/>
    <x v="0"/>
    <s v="Native "/>
    <x v="32"/>
    <n v="36"/>
    <n v="36"/>
    <n v="0"/>
    <m/>
    <n v="15127"/>
    <n v="14450"/>
    <n v="677"/>
    <x v="1620"/>
    <n v="272"/>
    <n v="420.19444444444446"/>
    <n v="401.38888888888891"/>
    <n v="18.805555555555557"/>
    <n v="252.12222222222221"/>
    <n v="7.5555555555555554"/>
    <n v="22.222222222222221"/>
    <n v="0"/>
    <n v="45.027777777777771"/>
    <n v="10"/>
    <n v="8.5"/>
    <n v="4.4754412639650958E-2"/>
    <n v="0.8947222222222222"/>
    <n v="0.60001322139221258"/>
    <n v="0.85750000000000004"/>
    <m/>
    <m/>
    <m/>
    <m/>
    <m/>
    <m/>
    <m/>
    <m/>
    <m/>
  </r>
  <r>
    <x v="1285"/>
    <x v="1"/>
    <m/>
    <x v="14"/>
    <n v="29"/>
    <n v="29"/>
    <n v="0"/>
    <m/>
    <n v="1459"/>
    <n v="1440"/>
    <n v="19"/>
    <x v="1621"/>
    <n v="0"/>
    <n v="50.310344827586206"/>
    <n v="49.655172413793103"/>
    <n v="0.65517241379310343"/>
    <n v="29.337931034482757"/>
    <n v="0"/>
    <n v="25"/>
    <n v="0"/>
    <n v="47.241379310344826"/>
    <n v="10"/>
    <n v="8.5"/>
    <n v="1.3022618231665523E-2"/>
    <n v="0.97241379310344822"/>
    <n v="0.58313913639479087"/>
    <n v="0.90741379310344827"/>
    <m/>
    <m/>
    <m/>
    <m/>
    <m/>
    <m/>
    <m/>
    <m/>
    <m/>
  </r>
  <r>
    <x v="1285"/>
    <x v="0"/>
    <s v="Native "/>
    <x v="14"/>
    <n v="50"/>
    <n v="50"/>
    <n v="0"/>
    <m/>
    <n v="21900"/>
    <n v="20820"/>
    <n v="1080"/>
    <x v="1622"/>
    <n v="409"/>
    <n v="438"/>
    <n v="416.4"/>
    <n v="21.6"/>
    <n v="263.22800000000001"/>
    <n v="8.18"/>
    <n v="25"/>
    <n v="0"/>
    <n v="48.34"/>
    <n v="10"/>
    <n v="8.5"/>
    <n v="4.9315068493150691E-2"/>
    <n v="0.98340000000000005"/>
    <n v="0.60097716894977171"/>
    <n v="0.91839999999999999"/>
    <m/>
    <m/>
    <m/>
    <m/>
    <m/>
    <m/>
    <n v="3"/>
    <m/>
    <m/>
  </r>
  <r>
    <x v="1286"/>
    <x v="0"/>
    <s v="Native "/>
    <x v="10"/>
    <n v="36"/>
    <n v="36"/>
    <n v="0"/>
    <m/>
    <n v="17073"/>
    <n v="16330"/>
    <n v="743"/>
    <x v="1623"/>
    <n v="294"/>
    <n v="474.25"/>
    <n v="453.61111111111109"/>
    <n v="20.638888888888889"/>
    <n v="285.55277777777775"/>
    <n v="8.1666666666666661"/>
    <n v="25"/>
    <n v="0"/>
    <n v="48.277777777777779"/>
    <n v="10"/>
    <n v="8.5"/>
    <n v="4.3519006618637612E-2"/>
    <n v="0.98277777777777775"/>
    <n v="0.60211444971592576"/>
    <n v="0.91777777777777769"/>
    <m/>
    <m/>
    <m/>
    <m/>
    <m/>
    <m/>
    <n v="4"/>
    <m/>
    <m/>
  </r>
  <r>
    <x v="1286"/>
    <x v="0"/>
    <s v="Imported"/>
    <x v="23"/>
    <n v="31"/>
    <n v="30"/>
    <n v="1"/>
    <s v="tb"/>
    <n v="15859.493670886077"/>
    <n v="15859.493670886077"/>
    <n v="0"/>
    <x v="1624"/>
    <n v="0"/>
    <n v="528.6497890295359"/>
    <n v="528.6497890295359"/>
    <n v="0"/>
    <n v="334.1066666666666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287"/>
    <x v="0"/>
    <s v="Native "/>
    <x v="9"/>
    <n v="20"/>
    <n v="20"/>
    <n v="0"/>
    <m/>
    <n v="8281.3333333333339"/>
    <n v="7817.333333333333"/>
    <n v="464.00000000000091"/>
    <x v="1625"/>
    <n v="148"/>
    <n v="414.06666666666672"/>
    <n v="390.86666666666667"/>
    <n v="23.200000000000045"/>
    <n v="250.71833333333333"/>
    <n v="7.4"/>
    <n v="25"/>
    <n v="0"/>
    <n v="49.84210526315789"/>
    <n v="10"/>
    <n v="8.5"/>
    <n v="5.6029624859121017E-2"/>
    <n v="0.99842105263157888"/>
    <n v="0.60550233456770242"/>
    <n v="0.93342105263157893"/>
    <m/>
    <m/>
    <m/>
    <m/>
    <m/>
    <m/>
    <m/>
    <m/>
    <m/>
  </r>
  <r>
    <x v="1287"/>
    <x v="0"/>
    <s v="Native "/>
    <x v="5"/>
    <n v="35"/>
    <n v="35"/>
    <n v="0"/>
    <m/>
    <n v="14104.430379746835"/>
    <n v="14104.430379746835"/>
    <n v="0"/>
    <x v="1626"/>
    <m/>
    <n v="402.98372513562384"/>
    <n v="402.98372513562384"/>
    <n v="0"/>
    <n v="254.68571428571428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88"/>
    <x v="1"/>
    <m/>
    <x v="14"/>
    <n v="38"/>
    <n v="38"/>
    <n v="0"/>
    <m/>
    <n v="1871"/>
    <n v="1871"/>
    <n v="0"/>
    <x v="1608"/>
    <n v="0"/>
    <n v="49.236842105263158"/>
    <n v="49.236842105263158"/>
    <n v="0"/>
    <n v="27.765789473684208"/>
    <n v="0"/>
    <n v="25"/>
    <n v="0"/>
    <n v="48.891891891891888"/>
    <n v="10"/>
    <n v="8.5"/>
    <n v="0"/>
    <n v="0.98891891891891892"/>
    <n v="0.56392303580972736"/>
    <n v="0.92391891891891886"/>
    <m/>
    <m/>
    <m/>
    <m/>
    <m/>
    <m/>
    <m/>
    <m/>
    <m/>
  </r>
  <r>
    <x v="1288"/>
    <x v="0"/>
    <s v="Imported"/>
    <x v="14"/>
    <n v="54"/>
    <n v="54"/>
    <n v="0"/>
    <m/>
    <n v="20563"/>
    <n v="20563"/>
    <n v="0"/>
    <x v="1627"/>
    <n v="465.2"/>
    <n v="380.7962962962963"/>
    <n v="380.7962962962963"/>
    <n v="0"/>
    <n v="240.66666666666666"/>
    <n v="8.6148148148148138"/>
    <n v="24.907407407407408"/>
    <n v="0"/>
    <n v="48.425925925925924"/>
    <n v="10"/>
    <n v="8.5"/>
    <n v="0"/>
    <n v="0.9824074074074074"/>
    <n v="0.6320089481106842"/>
    <n v="0.91833333333333333"/>
    <m/>
    <m/>
    <m/>
    <m/>
    <m/>
    <m/>
    <n v="40"/>
    <m/>
    <m/>
  </r>
  <r>
    <x v="1289"/>
    <x v="0"/>
    <s v="Native "/>
    <x v="9"/>
    <n v="23"/>
    <n v="22"/>
    <n v="1"/>
    <s v="Rejection of 1 carcass due to presence of c. bovis in the heart."/>
    <n v="11243"/>
    <n v="10840"/>
    <n v="403"/>
    <x v="1628"/>
    <n v="255"/>
    <n v="511.04545454545456"/>
    <n v="492.72727272727275"/>
    <n v="18.318181818181817"/>
    <n v="306.62272727272727"/>
    <n v="11.590909090909092"/>
    <n v="25"/>
    <n v="0"/>
    <n v="46.86363636363636"/>
    <n v="10"/>
    <n v="8.5"/>
    <n v="3.5844525482522455E-2"/>
    <n v="0.96863636363636352"/>
    <n v="0.59999110557680335"/>
    <n v="0.90363636363636357"/>
    <m/>
    <m/>
    <m/>
    <m/>
    <m/>
    <m/>
    <n v="8"/>
    <m/>
    <m/>
  </r>
  <r>
    <x v="1290"/>
    <x v="1"/>
    <m/>
    <x v="24"/>
    <n v="34"/>
    <n v="34"/>
    <n v="0"/>
    <m/>
    <n v="1660"/>
    <n v="1615"/>
    <n v="45"/>
    <x v="1629"/>
    <n v="0"/>
    <n v="48.823529411764703"/>
    <n v="47.5"/>
    <n v="1.3235294117647058"/>
    <n v="26.811764705882354"/>
    <n v="0"/>
    <n v="25"/>
    <n v="0"/>
    <n v="45.294117647058826"/>
    <n v="10"/>
    <n v="8.5"/>
    <n v="2.710843373493976E-2"/>
    <n v="0.95294117647058818"/>
    <n v="0.54915662650602415"/>
    <n v="0.88794117647058823"/>
    <m/>
    <m/>
    <m/>
    <m/>
    <m/>
    <m/>
    <m/>
    <m/>
    <m/>
  </r>
  <r>
    <x v="1290"/>
    <x v="0"/>
    <s v="Native "/>
    <x v="9"/>
    <n v="56"/>
    <n v="54"/>
    <n v="2"/>
    <s v="Rejection of 2 bulls older thans 3 years. "/>
    <n v="25542"/>
    <n v="25542"/>
    <n v="0"/>
    <x v="1630"/>
    <n v="480"/>
    <n v="473"/>
    <n v="473"/>
    <n v="0"/>
    <n v="284.02407407407406"/>
    <n v="8.8888888888888893"/>
    <n v="25"/>
    <n v="0"/>
    <n v="48.203703703703695"/>
    <n v="10"/>
    <n v="8.5"/>
    <n v="0"/>
    <n v="0.98203703703703693"/>
    <n v="0.60047372954349698"/>
    <n v="0.91703703703703698"/>
    <m/>
    <m/>
    <m/>
    <m/>
    <m/>
    <m/>
    <n v="21"/>
    <m/>
    <m/>
  </r>
  <r>
    <x v="1291"/>
    <x v="0"/>
    <s v="Native "/>
    <x v="5"/>
    <n v="36"/>
    <n v="35"/>
    <n v="1"/>
    <s v="Rejection of 1 carcass due to presence of sever infestation of sarcocystic myositis"/>
    <n v="14873.73417721519"/>
    <n v="14873.73417721519"/>
    <n v="0"/>
    <x v="1631"/>
    <n v="0"/>
    <n v="424.96383363471972"/>
    <n v="424.96383363471972"/>
    <n v="0"/>
    <n v="268.57714285714286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292"/>
    <x v="0"/>
    <s v="Native "/>
    <x v="32"/>
    <n v="26"/>
    <n v="26"/>
    <n v="0"/>
    <m/>
    <n v="11557"/>
    <n v="11557"/>
    <n v="0"/>
    <x v="1632"/>
    <n v="200"/>
    <n v="444.5"/>
    <n v="444.5"/>
    <n v="0"/>
    <n v="267.91923076923075"/>
    <n v="7.6923076923076925"/>
    <n v="25"/>
    <n v="0"/>
    <n v="48.46153846153846"/>
    <n v="9.8076923076923066"/>
    <n v="8.5"/>
    <n v="0"/>
    <n v="0.98461538461538467"/>
    <n v="0.60274292636497362"/>
    <n v="0.91769230769230759"/>
    <m/>
    <m/>
    <m/>
    <m/>
    <m/>
    <m/>
    <m/>
    <m/>
    <m/>
  </r>
  <r>
    <x v="1292"/>
    <x v="0"/>
    <s v="Native "/>
    <x v="30"/>
    <n v="8"/>
    <n v="6"/>
    <n v="2"/>
    <s v="tb + c. bovis heart "/>
    <n v="2794"/>
    <n v="2687"/>
    <n v="107"/>
    <x v="1633"/>
    <n v="42"/>
    <n v="465.66666666666669"/>
    <n v="447.83333333333331"/>
    <n v="17.833333333333332"/>
    <n v="286.5"/>
    <n v="7"/>
    <n v="25"/>
    <n v="0"/>
    <n v="50"/>
    <n v="10"/>
    <n v="8.5"/>
    <n v="3.8296349319971362E-2"/>
    <n v="1"/>
    <n v="0.61524695776664284"/>
    <n v="0.93500000000000005"/>
    <m/>
    <m/>
    <m/>
    <m/>
    <m/>
    <m/>
    <m/>
    <m/>
    <m/>
  </r>
  <r>
    <x v="1293"/>
    <x v="1"/>
    <m/>
    <x v="14"/>
    <n v="37"/>
    <n v="37"/>
    <n v="0"/>
    <m/>
    <n v="1947"/>
    <n v="1940"/>
    <n v="7"/>
    <x v="1617"/>
    <n v="0"/>
    <n v="52.621621621621621"/>
    <n v="52.432432432432435"/>
    <n v="0.1891891891891892"/>
    <n v="29.164864864864864"/>
    <n v="0"/>
    <n v="25"/>
    <n v="0"/>
    <n v="48.702702702702709"/>
    <n v="10"/>
    <n v="8.5"/>
    <n v="3.59527478171546E-3"/>
    <n v="0.98702702702702716"/>
    <n v="0.55423728813559314"/>
    <n v="0.9220270270270271"/>
    <m/>
    <m/>
    <m/>
    <m/>
    <m/>
    <m/>
    <m/>
    <m/>
    <m/>
  </r>
  <r>
    <x v="1293"/>
    <x v="0"/>
    <s v="Imported"/>
    <x v="14"/>
    <n v="67"/>
    <n v="67"/>
    <n v="0"/>
    <m/>
    <n v="41316"/>
    <n v="39576"/>
    <n v="1740"/>
    <x v="1634"/>
    <n v="479"/>
    <n v="616.6567164179105"/>
    <n v="590.68656716417911"/>
    <n v="25.970149253731343"/>
    <n v="386.20000000000005"/>
    <n v="7.1492537313432836"/>
    <n v="24.701492537313435"/>
    <n v="0"/>
    <n v="49.089552238805972"/>
    <n v="9.9253731343283569"/>
    <n v="8.5"/>
    <n v="4.2114435085681086E-2"/>
    <n v="0.98492537313432837"/>
    <n v="0.62628037564139805"/>
    <n v="0.92216417910447757"/>
    <m/>
    <m/>
    <m/>
    <m/>
    <m/>
    <m/>
    <n v="46"/>
    <m/>
    <m/>
  </r>
  <r>
    <x v="1294"/>
    <x v="0"/>
    <s v="Native "/>
    <x v="32"/>
    <n v="32"/>
    <n v="32"/>
    <n v="0"/>
    <m/>
    <n v="13911"/>
    <n v="13375"/>
    <n v="536"/>
    <x v="1635"/>
    <n v="245"/>
    <n v="434.71875"/>
    <n v="417.96875"/>
    <n v="16.75"/>
    <n v="263.07499999999999"/>
    <n v="7.65625"/>
    <n v="25"/>
    <n v="0"/>
    <n v="49.3125"/>
    <n v="10"/>
    <n v="8.5"/>
    <n v="3.8530659190568611E-2"/>
    <n v="0.99312500000000004"/>
    <n v="0.6051613830781396"/>
    <n v="0.92812499999999998"/>
    <m/>
    <m/>
    <m/>
    <m/>
    <m/>
    <m/>
    <m/>
    <m/>
    <m/>
  </r>
  <r>
    <x v="1295"/>
    <x v="1"/>
    <m/>
    <x v="30"/>
    <n v="42"/>
    <n v="42"/>
    <n v="0"/>
    <m/>
    <n v="2067"/>
    <n v="1950"/>
    <n v="117"/>
    <x v="1636"/>
    <n v="0"/>
    <n v="49.214285714285715"/>
    <n v="46.428571428571431"/>
    <n v="2.7857142857142856"/>
    <n v="26.923809523809524"/>
    <n v="0"/>
    <n v="25"/>
    <n v="0"/>
    <n v="47.666666666666664"/>
    <n v="10"/>
    <n v="8.5"/>
    <n v="5.6603773584905655E-2"/>
    <n v="0.97666666666666657"/>
    <n v="0.5470730527334301"/>
    <n v="0.91166666666666663"/>
    <m/>
    <m/>
    <m/>
    <m/>
    <m/>
    <m/>
    <m/>
    <m/>
    <m/>
  </r>
  <r>
    <x v="1295"/>
    <x v="0"/>
    <s v="Native "/>
    <x v="9"/>
    <n v="50"/>
    <n v="47"/>
    <n v="3"/>
    <s v="2 older + 1 c. bovis "/>
    <n v="25390"/>
    <n v="25225"/>
    <n v="165"/>
    <x v="1637"/>
    <n v="553"/>
    <n v="540.21276595744678"/>
    <n v="536.70212765957444"/>
    <n v="3.5106382978723403"/>
    <n v="324.14680851063827"/>
    <n v="11.76595744680851"/>
    <n v="25"/>
    <n v="0"/>
    <n v="47.574468085106382"/>
    <n v="10"/>
    <n v="8.5"/>
    <n v="6.4986215045293423E-3"/>
    <n v="0.97574468085106381"/>
    <n v="0.60003544702638834"/>
    <n v="0.91074468085106386"/>
    <m/>
    <m/>
    <m/>
    <m/>
    <m/>
    <m/>
    <n v="35"/>
    <m/>
    <m/>
  </r>
  <r>
    <x v="1296"/>
    <x v="0"/>
    <s v="Native "/>
    <x v="9"/>
    <n v="32"/>
    <n v="30"/>
    <n v="2"/>
    <s v="Rejection of 2 carcasses due to presence of c bovis in a heart and a head. "/>
    <n v="15014"/>
    <n v="14618"/>
    <n v="396"/>
    <x v="1638"/>
    <n v="332"/>
    <n v="500.46666666666664"/>
    <n v="487.26666666666665"/>
    <n v="13.2"/>
    <n v="300.29000000000002"/>
    <n v="11.066666666666666"/>
    <n v="25"/>
    <n v="0"/>
    <n v="47.233333333333327"/>
    <n v="10"/>
    <n v="8.5"/>
    <n v="2.6375382975889171E-2"/>
    <n v="0.97233333333333327"/>
    <n v="0.60001998135073931"/>
    <n v="0.90733333333333321"/>
    <m/>
    <m/>
    <m/>
    <m/>
    <m/>
    <m/>
    <n v="16"/>
    <m/>
    <m/>
  </r>
  <r>
    <x v="1297"/>
    <x v="0"/>
    <s v="Native "/>
    <x v="32"/>
    <n v="40"/>
    <n v="40"/>
    <n v="0"/>
    <m/>
    <n v="16859"/>
    <n v="16185"/>
    <n v="674"/>
    <x v="1639"/>
    <n v="301"/>
    <n v="421.47500000000002"/>
    <n v="404.625"/>
    <n v="16.850000000000001"/>
    <n v="253.48000000000002"/>
    <n v="7.5250000000000004"/>
    <n v="25"/>
    <n v="0"/>
    <n v="48.475000000000001"/>
    <n v="9.875"/>
    <n v="8.5"/>
    <n v="3.9978646420309627E-2"/>
    <n v="0.98475000000000001"/>
    <n v="0.60141170887953022"/>
    <n v="0.91849999999999998"/>
    <m/>
    <m/>
    <m/>
    <m/>
    <m/>
    <m/>
    <m/>
    <m/>
    <m/>
  </r>
  <r>
    <x v="1298"/>
    <x v="0"/>
    <s v="Native "/>
    <x v="14"/>
    <n v="32"/>
    <n v="32"/>
    <n v="0"/>
    <m/>
    <n v="14927"/>
    <n v="14385"/>
    <n v="542"/>
    <x v="1640"/>
    <n v="281"/>
    <n v="466.46875"/>
    <n v="449.53125"/>
    <n v="16.9375"/>
    <n v="280.453125"/>
    <n v="8.78125"/>
    <n v="25"/>
    <n v="0"/>
    <n v="48.71875"/>
    <n v="10"/>
    <n v="8.5"/>
    <n v="3.6310042205399615E-2"/>
    <n v="0.9871875"/>
    <n v="0.60122596636966574"/>
    <n v="0.92218750000000005"/>
    <m/>
    <m/>
    <m/>
    <m/>
    <m/>
    <m/>
    <n v="10"/>
    <m/>
    <m/>
  </r>
  <r>
    <x v="1299"/>
    <x v="1"/>
    <m/>
    <x v="14"/>
    <n v="41"/>
    <n v="41"/>
    <n v="0"/>
    <m/>
    <n v="2159"/>
    <n v="2135"/>
    <n v="24"/>
    <x v="1641"/>
    <n v="0"/>
    <n v="52.658536585365852"/>
    <n v="52.073170731707314"/>
    <n v="0.58536585365853655"/>
    <n v="30.007317073170732"/>
    <n v="0"/>
    <n v="25"/>
    <n v="0"/>
    <n v="47.975609756097569"/>
    <n v="10"/>
    <n v="8.5"/>
    <n v="1.11162575266327E-2"/>
    <n v="0.9797560975609757"/>
    <n v="0.56984715145900877"/>
    <n v="0.91475609756097565"/>
    <m/>
    <m/>
    <m/>
    <m/>
    <m/>
    <m/>
    <m/>
    <m/>
    <m/>
  </r>
  <r>
    <x v="1299"/>
    <x v="0"/>
    <s v="Imported"/>
    <x v="14"/>
    <n v="58"/>
    <n v="57"/>
    <n v="1"/>
    <s v="c. bovis in the heart "/>
    <n v="35623"/>
    <n v="34271"/>
    <n v="1352"/>
    <x v="1642"/>
    <n v="401"/>
    <n v="624.96491228070181"/>
    <n v="601.24561403508767"/>
    <n v="23.719298245614034"/>
    <n v="390.51929824561398"/>
    <n v="7.0350877192982457"/>
    <n v="24.649122807017545"/>
    <n v="0"/>
    <n v="48.614035087719294"/>
    <n v="10"/>
    <n v="8.5"/>
    <n v="3.7953007888162138E-2"/>
    <n v="0.97912280701754384"/>
    <n v="0.62486595738708139"/>
    <n v="0.91763157894736835"/>
    <m/>
    <m/>
    <m/>
    <m/>
    <m/>
    <m/>
    <n v="42"/>
    <m/>
    <m/>
  </r>
  <r>
    <x v="1300"/>
    <x v="0"/>
    <s v="Native "/>
    <x v="9"/>
    <n v="52"/>
    <n v="52"/>
    <n v="0"/>
    <m/>
    <n v="27665"/>
    <n v="26785"/>
    <n v="880"/>
    <x v="1643"/>
    <n v="609"/>
    <n v="532.01923076923072"/>
    <n v="515.09615384615381"/>
    <n v="16.923076923076923"/>
    <n v="319.19615384615383"/>
    <n v="11.711538461538462"/>
    <n v="25"/>
    <n v="0"/>
    <n v="46.59615384615384"/>
    <n v="10"/>
    <n v="8.5"/>
    <n v="3.1809145129224656E-2"/>
    <n v="0.96596153846153832"/>
    <n v="0.59997108259533705"/>
    <n v="0.90096153846153837"/>
    <m/>
    <m/>
    <m/>
    <m/>
    <m/>
    <m/>
    <n v="26"/>
    <m/>
    <m/>
  </r>
  <r>
    <x v="1301"/>
    <x v="1"/>
    <m/>
    <x v="30"/>
    <n v="44"/>
    <n v="44"/>
    <n v="0"/>
    <m/>
    <n v="1968"/>
    <n v="1935"/>
    <n v="33"/>
    <x v="1644"/>
    <n v="0"/>
    <n v="44.727272727272727"/>
    <n v="43.977272727272727"/>
    <n v="0.75"/>
    <n v="24.940909090909091"/>
    <n v="0"/>
    <n v="25"/>
    <n v="0"/>
    <n v="47.318181818181813"/>
    <n v="10"/>
    <n v="8.5"/>
    <n v="1.676829268292683E-2"/>
    <n v="0.97318181818181815"/>
    <n v="0.55762195121951219"/>
    <n v="0.90818181818181809"/>
    <m/>
    <m/>
    <m/>
    <m/>
    <m/>
    <m/>
    <m/>
    <m/>
    <m/>
  </r>
  <r>
    <x v="1301"/>
    <x v="0"/>
    <s v="Native "/>
    <x v="32"/>
    <n v="60"/>
    <n v="60"/>
    <n v="0"/>
    <m/>
    <n v="27167"/>
    <n v="25920"/>
    <n v="1247"/>
    <x v="1645"/>
    <n v="467"/>
    <n v="452.78333333333336"/>
    <n v="432"/>
    <n v="20.783333333333335"/>
    <n v="271.66166666666669"/>
    <n v="7.7833333333333332"/>
    <n v="25"/>
    <n v="0"/>
    <n v="49.349999999999994"/>
    <n v="10"/>
    <n v="8.5"/>
    <n v="4.590127728494129E-2"/>
    <n v="0.99349999999999994"/>
    <n v="0.59998159531784889"/>
    <n v="0.92849999999999999"/>
    <m/>
    <m/>
    <m/>
    <m/>
    <m/>
    <m/>
    <m/>
    <m/>
    <m/>
  </r>
  <r>
    <x v="1302"/>
    <x v="0"/>
    <s v="Native "/>
    <x v="32"/>
    <n v="32"/>
    <n v="32"/>
    <n v="0"/>
    <m/>
    <n v="14510"/>
    <n v="13875"/>
    <n v="635"/>
    <x v="1646"/>
    <n v="248"/>
    <n v="453.4375"/>
    <n v="433.59375"/>
    <n v="19.84375"/>
    <n v="272.55937499999999"/>
    <n v="7.75"/>
    <n v="25"/>
    <n v="0"/>
    <n v="49.349999999999994"/>
    <n v="10"/>
    <n v="8.5"/>
    <n v="4.3762922122674019E-2"/>
    <n v="0.99349999999999994"/>
    <n v="0.60109579600275664"/>
    <n v="0.92849999999999999"/>
    <m/>
    <m/>
    <m/>
    <m/>
    <m/>
    <m/>
    <m/>
    <m/>
    <m/>
  </r>
  <r>
    <x v="1302"/>
    <x v="0"/>
    <s v="Native "/>
    <x v="5"/>
    <n v="45"/>
    <n v="45"/>
    <n v="0"/>
    <m/>
    <n v="20156.661316211877"/>
    <n v="20156.661316211877"/>
    <n v="0"/>
    <x v="1647"/>
    <n v="0"/>
    <n v="447.92580702693061"/>
    <n v="447.92580702693061"/>
    <n v="0"/>
    <n v="279.0577777777778"/>
    <n v="0"/>
    <n v="25"/>
    <n v="5"/>
    <n v="49.888888888888886"/>
    <n v="10"/>
    <n v="8.5"/>
    <n v="0"/>
    <n v="0.99888888888888894"/>
    <n v="0.623"/>
    <n v="0.98388888888888881"/>
    <m/>
    <m/>
    <m/>
    <m/>
    <m/>
    <m/>
    <m/>
    <m/>
    <m/>
  </r>
  <r>
    <x v="1303"/>
    <x v="0"/>
    <s v="Imported"/>
    <x v="14"/>
    <n v="28"/>
    <n v="28"/>
    <n v="0"/>
    <m/>
    <n v="17500"/>
    <n v="17500"/>
    <n v="0"/>
    <x v="1648"/>
    <n v="227"/>
    <n v="625"/>
    <n v="625"/>
    <n v="0"/>
    <n v="402.08214285714286"/>
    <n v="8.1071428571428577"/>
    <n v="23.928571428571431"/>
    <n v="0"/>
    <n v="48.142857142857146"/>
    <n v="10"/>
    <n v="8.5"/>
    <n v="0"/>
    <n v="0.96000000000000008"/>
    <n v="0.64333142857142855"/>
    <n v="0.90571428571428581"/>
    <m/>
    <m/>
    <m/>
    <m/>
    <m/>
    <m/>
    <n v="26"/>
    <m/>
    <m/>
  </r>
  <r>
    <x v="1304"/>
    <x v="1"/>
    <m/>
    <x v="14"/>
    <n v="41"/>
    <n v="41"/>
    <n v="0"/>
    <m/>
    <n v="2155"/>
    <n v="2113"/>
    <n v="42"/>
    <x v="1649"/>
    <n v="0"/>
    <n v="52.560975609756099"/>
    <n v="51.536585365853661"/>
    <n v="1.024390243902439"/>
    <n v="30.765853658536589"/>
    <n v="0"/>
    <n v="25"/>
    <n v="0"/>
    <n v="47.780487804878042"/>
    <n v="10"/>
    <n v="8.5"/>
    <n v="1.9489559164733179E-2"/>
    <n v="0.97780487804878047"/>
    <n v="0.58533642691415322"/>
    <n v="0.91280487804878052"/>
    <m/>
    <m/>
    <m/>
    <m/>
    <m/>
    <m/>
    <m/>
    <m/>
    <m/>
  </r>
  <r>
    <x v="1304"/>
    <x v="0"/>
    <s v="Native "/>
    <x v="14"/>
    <n v="70"/>
    <n v="70"/>
    <n v="0"/>
    <m/>
    <n v="30975"/>
    <n v="29955"/>
    <n v="1020"/>
    <x v="1650"/>
    <n v="544"/>
    <n v="442.5"/>
    <n v="427.92857142857144"/>
    <n v="14.571428571428571"/>
    <n v="265.62"/>
    <n v="7.7714285714285714"/>
    <n v="25"/>
    <n v="0"/>
    <n v="48.614285714285721"/>
    <n v="10"/>
    <n v="8.5"/>
    <n v="3.2929782082324457E-2"/>
    <n v="0.98614285714285721"/>
    <n v="0.60027118644067801"/>
    <n v="0.92114285714285726"/>
    <m/>
    <m/>
    <m/>
    <m/>
    <m/>
    <m/>
    <n v="23"/>
    <m/>
    <m/>
  </r>
  <r>
    <x v="1305"/>
    <x v="0"/>
    <s v="Native "/>
    <x v="24"/>
    <n v="14"/>
    <n v="14"/>
    <n v="0"/>
    <m/>
    <n v="6741"/>
    <n v="6585"/>
    <n v="156"/>
    <x v="1651"/>
    <n v="115"/>
    <n v="481.5"/>
    <n v="470.35714285714283"/>
    <n v="11.142857142857142"/>
    <n v="293.35714285714283"/>
    <n v="8.2142857142857135"/>
    <n v="25"/>
    <n v="0"/>
    <n v="43.571428571428569"/>
    <n v="10"/>
    <n v="8.5"/>
    <n v="2.314196706720071E-2"/>
    <n v="0.93571428571428572"/>
    <n v="0.60925678682688034"/>
    <n v="0.87071428571428566"/>
    <m/>
    <m/>
    <m/>
    <m/>
    <m/>
    <m/>
    <n v="11"/>
    <m/>
    <m/>
  </r>
  <r>
    <x v="1305"/>
    <x v="0"/>
    <s v="Native "/>
    <x v="30"/>
    <n v="14"/>
    <n v="14"/>
    <n v="0"/>
    <m/>
    <n v="6459"/>
    <n v="6245"/>
    <n v="214"/>
    <x v="1652"/>
    <n v="101"/>
    <n v="461.35714285714283"/>
    <n v="446.07142857142856"/>
    <n v="15.285714285714286"/>
    <n v="285.25714285714287"/>
    <n v="7.2142857142857144"/>
    <n v="25"/>
    <n v="0"/>
    <n v="46.428571428571431"/>
    <n v="10"/>
    <n v="8.5"/>
    <n v="3.3132063786963928E-2"/>
    <n v="0.9642857142857143"/>
    <n v="0.61830004644681835"/>
    <n v="0.89928571428571435"/>
    <m/>
    <m/>
    <m/>
    <m/>
    <m/>
    <m/>
    <n v="9"/>
    <m/>
    <m/>
  </r>
  <r>
    <x v="1306"/>
    <x v="1"/>
    <m/>
    <x v="28"/>
    <n v="37"/>
    <n v="37"/>
    <n v="0"/>
    <m/>
    <n v="1975"/>
    <n v="1960"/>
    <n v="15"/>
    <x v="1653"/>
    <n v="0"/>
    <n v="53.378378378378379"/>
    <n v="52.972972972972975"/>
    <n v="0.40540540540540543"/>
    <n v="31.191891891891888"/>
    <n v="0"/>
    <n v="25"/>
    <n v="0"/>
    <n v="44.864864864864863"/>
    <n v="10"/>
    <n v="8.5"/>
    <n v="7.5949367088607601E-3"/>
    <n v="0.94864864864864862"/>
    <n v="0.58435443037974677"/>
    <n v="0.88364864864864867"/>
    <m/>
    <m/>
    <m/>
    <m/>
    <m/>
    <m/>
    <m/>
    <m/>
    <m/>
  </r>
  <r>
    <x v="1306"/>
    <x v="0"/>
    <s v="Native "/>
    <x v="32"/>
    <n v="45"/>
    <n v="45"/>
    <n v="0"/>
    <m/>
    <n v="19058"/>
    <n v="18195"/>
    <n v="863"/>
    <x v="1654"/>
    <n v="335"/>
    <n v="423.51111111111112"/>
    <n v="404.33333333333331"/>
    <n v="19.177777777777777"/>
    <n v="255.26222222222219"/>
    <n v="7.4444444444444446"/>
    <n v="25"/>
    <n v="0"/>
    <n v="49.844444444444441"/>
    <n v="10"/>
    <n v="8.5"/>
    <n v="4.5282820862629865E-2"/>
    <n v="0.99844444444444447"/>
    <n v="0.6027285129604365"/>
    <n v="0.9334444444444443"/>
    <m/>
    <m/>
    <m/>
    <m/>
    <m/>
    <m/>
    <m/>
    <m/>
    <m/>
  </r>
  <r>
    <x v="1307"/>
    <x v="0"/>
    <s v="Native "/>
    <x v="32"/>
    <n v="32"/>
    <n v="32"/>
    <n v="0"/>
    <m/>
    <n v="13874"/>
    <n v="13310"/>
    <n v="564"/>
    <x v="1655"/>
    <n v="212"/>
    <n v="433.5625"/>
    <n v="415.9375"/>
    <n v="17.625"/>
    <n v="261.25625000000002"/>
    <n v="6.625"/>
    <n v="25"/>
    <n v="0"/>
    <n v="48.46875"/>
    <n v="10"/>
    <n v="8.5"/>
    <n v="4.0651578492143577E-2"/>
    <n v="0.98468749999999994"/>
    <n v="0.60258036615251553"/>
    <n v="0.91968749999999999"/>
    <m/>
    <m/>
    <m/>
    <m/>
    <m/>
    <m/>
    <m/>
    <m/>
    <m/>
  </r>
  <r>
    <x v="1308"/>
    <x v="0"/>
    <s v="Native "/>
    <x v="9"/>
    <n v="32"/>
    <n v="29"/>
    <n v="3"/>
    <s v=" Rejection  of 3 carcasses due to presense of cysticercus bovis in their hearts"/>
    <n v="15014"/>
    <n v="14349"/>
    <n v="665"/>
    <x v="1656"/>
    <n v="293"/>
    <n v="517.72413793103453"/>
    <n v="494.79310344827587"/>
    <n v="22.931034482758619"/>
    <n v="310.62758620689658"/>
    <n v="10.103448275862069"/>
    <n v="25"/>
    <n v="0"/>
    <n v="47.724137931034484"/>
    <n v="10"/>
    <n v="8.5"/>
    <n v="4.4291994138803775E-2"/>
    <n v="0.97724137931034483"/>
    <n v="0.5999866790995072"/>
    <n v="0.91224137931034477"/>
    <m/>
    <m/>
    <m/>
    <m/>
    <m/>
    <m/>
    <n v="11"/>
    <m/>
    <m/>
  </r>
  <r>
    <x v="1309"/>
    <x v="1"/>
    <m/>
    <x v="24"/>
    <n v="42"/>
    <n v="42"/>
    <n v="0"/>
    <m/>
    <n v="2026"/>
    <n v="1911"/>
    <n v="115"/>
    <x v="1657"/>
    <n v="0"/>
    <n v="48.238095238095241"/>
    <n v="45.5"/>
    <n v="2.7380952380952381"/>
    <n v="24.9"/>
    <n v="0"/>
    <n v="25"/>
    <n v="0"/>
    <n v="43.095238095238102"/>
    <n v="10"/>
    <n v="8.5"/>
    <n v="5.6762092793682127E-2"/>
    <n v="0.93095238095238098"/>
    <n v="0.51618953603158935"/>
    <n v="0.86595238095238103"/>
    <m/>
    <m/>
    <m/>
    <m/>
    <m/>
    <m/>
    <m/>
    <m/>
    <m/>
  </r>
  <r>
    <x v="1309"/>
    <x v="0"/>
    <s v="Native "/>
    <x v="14"/>
    <n v="66"/>
    <n v="66"/>
    <n v="0"/>
    <m/>
    <n v="42009"/>
    <n v="41910"/>
    <n v="99"/>
    <x v="1658"/>
    <n v="615"/>
    <n v="636.5"/>
    <n v="635"/>
    <n v="1.5"/>
    <n v="409.43030303030304"/>
    <n v="9.3181818181818183"/>
    <n v="24.848484848484848"/>
    <n v="0"/>
    <n v="49.13636363636364"/>
    <n v="10"/>
    <n v="8.5"/>
    <n v="2.3566378633150041E-3"/>
    <n v="0.98833333333333329"/>
    <n v="0.64325263633983198"/>
    <n v="0.92484848484848481"/>
    <m/>
    <m/>
    <m/>
    <m/>
    <m/>
    <m/>
    <n v="60"/>
    <m/>
    <m/>
  </r>
  <r>
    <x v="1310"/>
    <x v="0"/>
    <s v="Native "/>
    <x v="9"/>
    <n v="27"/>
    <n v="24"/>
    <n v="3"/>
    <s v="3 older than 3 years "/>
    <n v="13470"/>
    <n v="12980"/>
    <n v="490"/>
    <x v="1659"/>
    <n v="329"/>
    <n v="561.25"/>
    <n v="540.83333333333337"/>
    <n v="20.416666666666668"/>
    <n v="341.1875"/>
    <n v="13.708333333333334"/>
    <n v="24.791666666666668"/>
    <n v="0"/>
    <n v="47.5"/>
    <n v="10"/>
    <n v="8.5"/>
    <n v="3.6377134372680031E-2"/>
    <n v="0.97083333333333333"/>
    <n v="0.60790645879732741"/>
    <n v="0.90791666666666671"/>
    <m/>
    <m/>
    <m/>
    <m/>
    <m/>
    <m/>
    <n v="17"/>
    <m/>
    <m/>
  </r>
  <r>
    <x v="1311"/>
    <x v="1"/>
    <m/>
    <x v="28"/>
    <n v="35"/>
    <n v="35"/>
    <n v="0"/>
    <m/>
    <n v="1830"/>
    <n v="1820"/>
    <n v="10"/>
    <x v="1660"/>
    <n v="0"/>
    <n v="52.285714285714285"/>
    <n v="52"/>
    <n v="0.2857142857142857"/>
    <n v="27.92285714285714"/>
    <n v="0"/>
    <n v="25"/>
    <n v="0"/>
    <n v="42.428571428571431"/>
    <n v="10"/>
    <n v="8.5"/>
    <n v="5.4644808743169399E-3"/>
    <n v="0.92428571428571438"/>
    <n v="0.5340437158469945"/>
    <n v="0.85928571428571432"/>
    <m/>
    <m/>
    <m/>
    <m/>
    <m/>
    <m/>
    <m/>
    <m/>
    <m/>
  </r>
  <r>
    <x v="1311"/>
    <x v="0"/>
    <s v="Native "/>
    <x v="32"/>
    <n v="57"/>
    <n v="57"/>
    <n v="0"/>
    <m/>
    <n v="23839"/>
    <n v="22985"/>
    <n v="854"/>
    <x v="1661"/>
    <n v="367"/>
    <n v="418.22807017543857"/>
    <n v="403.24561403508773"/>
    <n v="14.982456140350877"/>
    <n v="250.92105263157896"/>
    <n v="6.4385964912280702"/>
    <n v="25"/>
    <n v="0"/>
    <n v="49.035087719298247"/>
    <n v="10"/>
    <n v="8.5"/>
    <n v="3.5823650320902727E-2"/>
    <n v="0.99035087719298254"/>
    <n v="0.59996224673853771"/>
    <n v="0.92535087719298248"/>
    <m/>
    <m/>
    <m/>
    <m/>
    <m/>
    <m/>
    <m/>
    <m/>
    <m/>
  </r>
  <r>
    <x v="1312"/>
    <x v="0"/>
    <s v="Native "/>
    <x v="5"/>
    <n v="63"/>
    <n v="60"/>
    <n v="3"/>
    <s v="2 c. bovis + 1 esinophilic myositis"/>
    <n v="22693.98734177215"/>
    <n v="22693.98734177215"/>
    <n v="0"/>
    <x v="1662"/>
    <n v="0"/>
    <n v="378.23312236286915"/>
    <n v="378.23312236286915"/>
    <n v="0"/>
    <n v="239.04333333333335"/>
    <n v="0"/>
    <n v="25"/>
    <n v="5"/>
    <n v="50"/>
    <n v="10"/>
    <n v="8.5"/>
    <n v="0"/>
    <n v="1"/>
    <n v="0.63200000000000012"/>
    <n v="0.98499999999999999"/>
    <m/>
    <m/>
    <m/>
    <m/>
    <m/>
    <m/>
    <m/>
    <m/>
    <m/>
  </r>
  <r>
    <x v="1313"/>
    <x v="0"/>
    <s v="Native "/>
    <x v="24"/>
    <n v="16"/>
    <n v="16"/>
    <n v="0"/>
    <m/>
    <n v="7646"/>
    <n v="7210"/>
    <n v="436"/>
    <x v="1663"/>
    <n v="95"/>
    <n v="477.875"/>
    <n v="450.625"/>
    <n v="27.25"/>
    <n v="286.72500000000002"/>
    <n v="5.9375"/>
    <n v="25"/>
    <n v="0"/>
    <n v="48"/>
    <n v="10"/>
    <n v="8.5"/>
    <n v="5.7023280146481822E-2"/>
    <n v="0.98"/>
    <n v="0.60000000000000009"/>
    <n v="0.91500000000000004"/>
    <m/>
    <m/>
    <m/>
    <m/>
    <m/>
    <m/>
    <n v="12"/>
    <m/>
    <m/>
  </r>
  <r>
    <x v="1313"/>
    <x v="0"/>
    <s v="Native "/>
    <x v="30"/>
    <n v="15"/>
    <n v="15"/>
    <n v="0"/>
    <m/>
    <n v="6834"/>
    <n v="6555"/>
    <n v="279"/>
    <x v="1664"/>
    <n v="105"/>
    <n v="455.6"/>
    <n v="437"/>
    <n v="18.600000000000001"/>
    <n v="277.9133333333333"/>
    <n v="7"/>
    <n v="25"/>
    <n v="0"/>
    <n v="49.733333333333334"/>
    <n v="10"/>
    <n v="8.5"/>
    <n v="4.0825285338015806E-2"/>
    <n v="0.9973333333333334"/>
    <n v="0.60999414691249632"/>
    <n v="0.93233333333333335"/>
    <m/>
    <m/>
    <m/>
    <m/>
    <m/>
    <m/>
    <n v="6"/>
    <m/>
    <m/>
  </r>
  <r>
    <x v="1314"/>
    <x v="1"/>
    <m/>
    <x v="14"/>
    <n v="41"/>
    <n v="41"/>
    <n v="0"/>
    <m/>
    <n v="2176"/>
    <n v="2165"/>
    <n v="11"/>
    <x v="1665"/>
    <n v="0"/>
    <n v="53.073170731707314"/>
    <n v="52.804878048780488"/>
    <n v="0.26829268292682928"/>
    <n v="30.758536585365853"/>
    <n v="0"/>
    <n v="25"/>
    <n v="0"/>
    <n v="46.902439024390254"/>
    <n v="10"/>
    <n v="8.5"/>
    <n v="5.0551470588235297E-3"/>
    <n v="0.96902439024390252"/>
    <n v="0.5795496323529411"/>
    <n v="0.90402439024390246"/>
    <m/>
    <m/>
    <m/>
    <m/>
    <m/>
    <m/>
    <m/>
    <m/>
    <m/>
  </r>
  <r>
    <x v="1314"/>
    <x v="0"/>
    <s v="Native "/>
    <x v="14"/>
    <n v="68"/>
    <n v="67"/>
    <n v="1"/>
    <s v="Rejection of 1carcass due to presence of esinophilic myositis."/>
    <n v="31085"/>
    <n v="30436"/>
    <n v="649"/>
    <x v="1666"/>
    <n v="578"/>
    <n v="463.95522388059703"/>
    <n v="454.26865671641792"/>
    <n v="9.6865671641791042"/>
    <n v="278.65074626865669"/>
    <n v="8.6268656716417915"/>
    <n v="25"/>
    <n v="0"/>
    <n v="46.298507462686572"/>
    <n v="10"/>
    <n v="8.5"/>
    <n v="2.0878237091844939E-2"/>
    <n v="0.96298507462686578"/>
    <n v="0.60059835933730088"/>
    <n v="0.89798507462686572"/>
    <m/>
    <m/>
    <m/>
    <m/>
    <m/>
    <m/>
    <n v="18"/>
    <m/>
    <m/>
  </r>
  <r>
    <x v="1315"/>
    <x v="0"/>
    <s v="Native "/>
    <x v="9"/>
    <n v="34"/>
    <n v="33"/>
    <n v="1"/>
    <s v="1 bull older than 3 years "/>
    <n v="18587"/>
    <n v="17662"/>
    <n v="925"/>
    <x v="1667"/>
    <n v="476"/>
    <n v="563.24242424242425"/>
    <n v="535.21212121212125"/>
    <n v="28.030303030303031"/>
    <n v="337.9606060606061"/>
    <n v="14.424242424242424"/>
    <n v="25"/>
    <n v="0"/>
    <n v="48.515151515151516"/>
    <n v="10"/>
    <n v="8.5"/>
    <n v="4.9765965459729923E-2"/>
    <n v="0.98515151515151511"/>
    <n v="0.60002690052187013"/>
    <n v="0.92015151515151516"/>
    <m/>
    <m/>
    <m/>
    <m/>
    <m/>
    <m/>
    <n v="17"/>
    <m/>
    <m/>
  </r>
  <r>
    <x v="1316"/>
    <x v="1"/>
    <m/>
    <x v="28"/>
    <n v="40"/>
    <n v="39"/>
    <n v="1"/>
    <s v=" 1 carcass due to presence of pyelonephritis "/>
    <n v="2071"/>
    <n v="2061"/>
    <n v="10"/>
    <x v="1668"/>
    <n v="0"/>
    <n v="53.102564102564102"/>
    <n v="52.846153846153847"/>
    <n v="0.25641025641025639"/>
    <n v="29.456410256410255"/>
    <n v="0"/>
    <n v="25"/>
    <n v="0"/>
    <n v="41.230769230769234"/>
    <n v="10"/>
    <n v="8.5"/>
    <n v="4.8285852245292128E-3"/>
    <n v="0.91230769230769226"/>
    <n v="0.55470787059391591"/>
    <n v="0.84730769230769232"/>
    <m/>
    <m/>
    <m/>
    <m/>
    <m/>
    <m/>
    <m/>
    <m/>
    <m/>
  </r>
  <r>
    <x v="1316"/>
    <x v="0"/>
    <s v="Native "/>
    <x v="32"/>
    <n v="48"/>
    <n v="48"/>
    <n v="0"/>
    <m/>
    <n v="20913"/>
    <n v="19875"/>
    <n v="1038"/>
    <x v="1669"/>
    <n v="353"/>
    <n v="435.6875"/>
    <n v="414.0625"/>
    <n v="21.625"/>
    <n v="261.43125000000003"/>
    <n v="7.354166666666667"/>
    <n v="25"/>
    <n v="0"/>
    <n v="48.541666666666671"/>
    <n v="10"/>
    <n v="8.5"/>
    <n v="4.9634198823698177E-2"/>
    <n v="0.98541666666666672"/>
    <n v="0.60004303543250614"/>
    <n v="0.92041666666666666"/>
    <m/>
    <m/>
    <m/>
    <m/>
    <m/>
    <m/>
    <m/>
    <m/>
    <m/>
  </r>
  <r>
    <x v="1317"/>
    <x v="0"/>
    <s v="Native "/>
    <x v="32"/>
    <n v="32"/>
    <n v="32"/>
    <n v="0"/>
    <m/>
    <n v="14170"/>
    <n v="13635"/>
    <n v="535"/>
    <x v="1670"/>
    <n v="234"/>
    <n v="442.8125"/>
    <n v="426.09375"/>
    <n v="16.71875"/>
    <n v="268.70937500000002"/>
    <n v="7.3125"/>
    <n v="25"/>
    <n v="0"/>
    <n v="46.671875"/>
    <n v="10"/>
    <n v="8.5"/>
    <n v="3.7755822159491886E-2"/>
    <n v="0.96671875000000007"/>
    <n v="0.60682427664079042"/>
    <n v="0.90171875000000001"/>
    <m/>
    <m/>
    <m/>
    <m/>
    <m/>
    <m/>
    <m/>
    <m/>
    <m/>
  </r>
  <r>
    <x v="1317"/>
    <x v="0"/>
    <s v="Native "/>
    <x v="5"/>
    <n v="36"/>
    <n v="35"/>
    <n v="1"/>
    <s v="1 carcass due to presence of sever blood splashes "/>
    <n v="14283.549552661343"/>
    <n v="14283.549552661343"/>
    <n v="0"/>
    <x v="1671"/>
    <m/>
    <n v="408.1014157903241"/>
    <n v="408.1014157903241"/>
    <n v="0"/>
    <n v="256.19238095238097"/>
    <n v="0"/>
    <n v="25"/>
    <n v="5"/>
    <n v="50"/>
    <n v="10"/>
    <n v="8.5"/>
    <n v="0"/>
    <n v="1"/>
    <n v="0.6277664596096586"/>
    <n v="0.98499999999999999"/>
    <m/>
    <m/>
    <m/>
    <m/>
    <m/>
    <m/>
    <m/>
    <m/>
    <m/>
  </r>
  <r>
    <x v="1318"/>
    <x v="0"/>
    <s v="Native "/>
    <x v="0"/>
    <n v="50"/>
    <n v="49"/>
    <n v="1"/>
    <s v="1 bull of age older than 3 years"/>
    <n v="22990"/>
    <n v="22165"/>
    <n v="825"/>
    <x v="1672"/>
    <n v="457"/>
    <n v="469.18367346938777"/>
    <n v="452.34693877551018"/>
    <n v="16.836734693877553"/>
    <n v="283.03469387755104"/>
    <n v="9.3265306122448983"/>
    <n v="25"/>
    <n v="0"/>
    <n v="45.755102040816325"/>
    <n v="10"/>
    <n v="8.5"/>
    <n v="3.5885167464114832E-2"/>
    <n v="0.9575510204081632"/>
    <n v="0.60324923879947812"/>
    <n v="0.89255102040816325"/>
    <m/>
    <m/>
    <m/>
    <m/>
    <m/>
    <m/>
    <n v="34"/>
    <m/>
    <m/>
  </r>
  <r>
    <x v="1319"/>
    <x v="1"/>
    <m/>
    <x v="14"/>
    <n v="40"/>
    <n v="40"/>
    <n v="0"/>
    <m/>
    <n v="2130"/>
    <n v="2090"/>
    <n v="40"/>
    <x v="1673"/>
    <n v="0"/>
    <n v="53.25"/>
    <n v="52.25"/>
    <n v="1"/>
    <n v="31.094999999999999"/>
    <n v="0"/>
    <n v="25"/>
    <n v="0"/>
    <n v="47.75"/>
    <n v="10"/>
    <n v="8.5"/>
    <n v="1.8779342723004695E-2"/>
    <n v="0.97750000000000004"/>
    <n v="0.58394366197183101"/>
    <n v="0.91249999999999998"/>
    <m/>
    <m/>
    <m/>
    <m/>
    <m/>
    <m/>
    <m/>
    <m/>
    <m/>
  </r>
  <r>
    <x v="1319"/>
    <x v="0"/>
    <s v="Native "/>
    <x v="14"/>
    <n v="57"/>
    <n v="56"/>
    <n v="1"/>
    <s v="1 carcass due to presence of cysticercus bovis"/>
    <n v="29238"/>
    <n v="28660"/>
    <n v="578"/>
    <x v="1674"/>
    <n v="571"/>
    <n v="522.10714285714289"/>
    <n v="511.78571428571428"/>
    <n v="10.321428571428571"/>
    <n v="314.03571428571428"/>
    <n v="10.196428571428571"/>
    <n v="25"/>
    <n v="0"/>
    <n v="48.285714285714285"/>
    <n v="10"/>
    <n v="8.5"/>
    <n v="1.9768794035159722E-2"/>
    <n v="0.98285714285714287"/>
    <n v="0.60147752924276632"/>
    <n v="0.91785714285714282"/>
    <m/>
    <m/>
    <m/>
    <m/>
    <m/>
    <m/>
    <n v="38"/>
    <m/>
    <m/>
  </r>
  <r>
    <x v="1320"/>
    <x v="0"/>
    <s v="Native "/>
    <x v="0"/>
    <n v="24"/>
    <n v="23"/>
    <n v="1"/>
    <s v="1 miliary tb "/>
    <n v="10768"/>
    <n v="10178"/>
    <n v="590"/>
    <x v="1675"/>
    <n v="221"/>
    <n v="468.17391304347825"/>
    <n v="442.52173913043481"/>
    <n v="25.652173913043477"/>
    <n v="280.89565217391305"/>
    <n v="9.6086956521739122"/>
    <n v="25"/>
    <n v="0"/>
    <n v="44.391304347826086"/>
    <n v="10"/>
    <n v="8.5"/>
    <n v="5.4791976225854383E-2"/>
    <n v="0.94391304347826088"/>
    <n v="0.59998142644873709"/>
    <n v="0.87891304347826094"/>
    <m/>
    <m/>
    <m/>
    <m/>
    <m/>
    <m/>
    <n v="9"/>
    <m/>
    <m/>
  </r>
  <r>
    <x v="1320"/>
    <x v="0"/>
    <s v="Imported"/>
    <x v="25"/>
    <n v="16"/>
    <n v="16"/>
    <n v="0"/>
    <m/>
    <n v="8250"/>
    <n v="8015"/>
    <n v="235"/>
    <x v="1676"/>
    <n v="140"/>
    <n v="515.625"/>
    <n v="500.9375"/>
    <n v="14.6875"/>
    <n v="323.2"/>
    <n v="8.75"/>
    <n v="25"/>
    <n v="0"/>
    <n v="46.375"/>
    <n v="10"/>
    <n v="8.5"/>
    <n v="2.8484848484848484E-2"/>
    <n v="0.96375"/>
    <n v="0.62681212121212115"/>
    <n v="0.89875000000000005"/>
    <m/>
    <m/>
    <m/>
    <m/>
    <m/>
    <m/>
    <m/>
    <m/>
    <m/>
  </r>
  <r>
    <x v="1321"/>
    <x v="1"/>
    <m/>
    <x v="14"/>
    <n v="41"/>
    <n v="41"/>
    <n v="0"/>
    <m/>
    <n v="2104"/>
    <n v="2095"/>
    <n v="9"/>
    <x v="1677"/>
    <n v="0"/>
    <n v="51.31707317073171"/>
    <n v="51.097560975609753"/>
    <n v="0.21951219512195122"/>
    <n v="29.068292682926828"/>
    <n v="0"/>
    <n v="25"/>
    <n v="0"/>
    <n v="47.585365853658537"/>
    <n v="10"/>
    <n v="8.5"/>
    <n v="4.2775665399239545E-3"/>
    <n v="0.97585365853658534"/>
    <n v="0.56644486692015206"/>
    <n v="0.9108536585365854"/>
    <m/>
    <m/>
    <m/>
    <m/>
    <m/>
    <m/>
    <m/>
    <m/>
    <m/>
  </r>
  <r>
    <x v="1321"/>
    <x v="0"/>
    <s v="Native "/>
    <x v="32"/>
    <n v="48"/>
    <n v="48"/>
    <n v="0"/>
    <m/>
    <n v="21630"/>
    <n v="20905"/>
    <n v="725"/>
    <x v="1678"/>
    <n v="365"/>
    <n v="450.625"/>
    <n v="435.52083333333331"/>
    <n v="15.104166666666666"/>
    <n v="270.37291666666664"/>
    <n v="7.604166666666667"/>
    <n v="25"/>
    <n v="0"/>
    <n v="45.208333333333336"/>
    <n v="10"/>
    <n v="8.5"/>
    <n v="3.3518261673601481E-2"/>
    <n v="0.95208333333333339"/>
    <n v="0.59999537679149328"/>
    <n v="0.88708333333333345"/>
    <m/>
    <m/>
    <m/>
    <m/>
    <m/>
    <m/>
    <m/>
    <m/>
    <m/>
  </r>
  <r>
    <x v="1322"/>
    <x v="0"/>
    <s v="Native "/>
    <x v="32"/>
    <n v="38"/>
    <n v="37"/>
    <n v="1"/>
    <s v="1 miliary tb "/>
    <n v="17386"/>
    <n v="16861"/>
    <n v="525"/>
    <x v="1679"/>
    <n v="360"/>
    <n v="469.89189189189187"/>
    <n v="455.70270270270271"/>
    <n v="14.189189189189189"/>
    <n v="288.55405405405406"/>
    <n v="9.7297297297297298"/>
    <n v="25"/>
    <n v="0"/>
    <n v="45.702702702702702"/>
    <n v="10"/>
    <n v="8.5"/>
    <n v="3.019670999654895E-2"/>
    <n v="0.95702702702702702"/>
    <n v="0.61408604624410446"/>
    <n v="0.89202702702702708"/>
    <m/>
    <m/>
    <m/>
    <m/>
    <m/>
    <m/>
    <m/>
    <m/>
    <m/>
  </r>
  <r>
    <x v="1322"/>
    <x v="0"/>
    <s v="Native "/>
    <x v="5"/>
    <n v="30"/>
    <n v="30"/>
    <n v="0"/>
    <m/>
    <n v="8479.1930379746827"/>
    <n v="8479.1930379746827"/>
    <n v="0"/>
    <x v="1680"/>
    <n v="0"/>
    <n v="282.63976793248941"/>
    <n v="282.63976793248941"/>
    <n v="0"/>
    <n v="178.62833333333336"/>
    <n v="0"/>
    <n v="25"/>
    <n v="5"/>
    <n v="50"/>
    <n v="10"/>
    <n v="8.5"/>
    <n v="0"/>
    <n v="1"/>
    <n v="0.63200000000000012"/>
    <n v="0.98499999999999999"/>
    <m/>
    <m/>
    <m/>
    <m/>
    <m/>
    <m/>
    <m/>
    <m/>
    <m/>
  </r>
  <r>
    <x v="1323"/>
    <x v="0"/>
    <s v="Imported"/>
    <x v="27"/>
    <n v="50"/>
    <n v="50"/>
    <n v="0"/>
    <m/>
    <n v="27248"/>
    <n v="26395"/>
    <n v="853"/>
    <x v="1681"/>
    <n v="519"/>
    <n v="544.96"/>
    <n v="527.9"/>
    <n v="17.059999999999999"/>
    <n v="340.29400000000004"/>
    <n v="10.38"/>
    <n v="25"/>
    <n v="0"/>
    <n v="44.22"/>
    <n v="10"/>
    <n v="8.5"/>
    <n v="3.1305049911920138E-2"/>
    <n v="0.94219999999999993"/>
    <n v="0.62443849089841463"/>
    <n v="0.87719999999999998"/>
    <m/>
    <m/>
    <m/>
    <m/>
    <m/>
    <m/>
    <n v="47"/>
    <m/>
    <m/>
  </r>
  <r>
    <x v="1324"/>
    <x v="0"/>
    <s v="Native "/>
    <x v="9"/>
    <n v="39"/>
    <n v="38"/>
    <n v="1"/>
    <s v="Rejection 1 bull older than 3 years"/>
    <n v="20715"/>
    <n v="19685"/>
    <n v="1030"/>
    <x v="1682"/>
    <n v="508"/>
    <n v="545.13157894736844"/>
    <n v="518.02631578947364"/>
    <n v="27.105263157894736"/>
    <n v="327.05263157894734"/>
    <n v="13.368421052631579"/>
    <n v="25"/>
    <n v="0"/>
    <n v="42.710526315789473"/>
    <n v="10"/>
    <n v="8.5"/>
    <n v="4.9722423364711561E-2"/>
    <n v="0.92710526315789465"/>
    <n v="0.59995172580255851"/>
    <n v="0.86210526315789482"/>
    <m/>
    <m/>
    <m/>
    <m/>
    <m/>
    <m/>
    <n v="32"/>
    <m/>
    <m/>
  </r>
  <r>
    <x v="1325"/>
    <x v="1"/>
    <m/>
    <x v="14"/>
    <n v="45"/>
    <n v="44"/>
    <n v="1"/>
    <s v="jaundice "/>
    <n v="2396"/>
    <n v="2363"/>
    <n v="33"/>
    <x v="1683"/>
    <n v="0"/>
    <n v="54.454545454545453"/>
    <n v="53.704545454545453"/>
    <n v="0.75"/>
    <n v="32.268181818181816"/>
    <n v="0"/>
    <n v="25"/>
    <n v="0"/>
    <n v="49.068181818181813"/>
    <n v="10"/>
    <n v="8.5"/>
    <n v="1.3772954924874792E-2"/>
    <n v="0.99068181818181811"/>
    <n v="0.59257095158597661"/>
    <n v="0.92568181818181816"/>
    <m/>
    <m/>
    <m/>
    <m/>
    <m/>
    <m/>
    <m/>
    <m/>
    <m/>
  </r>
  <r>
    <x v="1325"/>
    <x v="0"/>
    <s v="Imported"/>
    <x v="25"/>
    <n v="62"/>
    <n v="62"/>
    <n v="0"/>
    <m/>
    <n v="33340"/>
    <n v="32575"/>
    <n v="765"/>
    <x v="1684"/>
    <n v="493"/>
    <n v="537.74193548387098"/>
    <n v="525.40322580645159"/>
    <n v="12.338709677419354"/>
    <n v="334.48387096774195"/>
    <n v="7.9516129032258061"/>
    <n v="25"/>
    <n v="0"/>
    <n v="48.209677419354833"/>
    <n v="10"/>
    <n v="8.5"/>
    <n v="2.2945410917816433E-2"/>
    <n v="0.98209677419354835"/>
    <n v="0.62201559688062391"/>
    <n v="0.91709677419354829"/>
    <m/>
    <m/>
    <m/>
    <m/>
    <m/>
    <m/>
    <m/>
    <m/>
    <m/>
  </r>
  <r>
    <x v="1326"/>
    <x v="0"/>
    <s v="Native "/>
    <x v="0"/>
    <n v="24"/>
    <n v="23"/>
    <n v="1"/>
    <s v="generalized tb "/>
    <n v="11403"/>
    <n v="10598"/>
    <n v="805"/>
    <x v="1685"/>
    <n v="278"/>
    <n v="495.78260869565219"/>
    <n v="460.78260869565219"/>
    <n v="35"/>
    <n v="298.66956521739127"/>
    <n v="12.086956521739131"/>
    <n v="25"/>
    <n v="0"/>
    <n v="43.782608695652172"/>
    <n v="10"/>
    <n v="8.5"/>
    <n v="7.0595457335788828E-2"/>
    <n v="0.9378260869565217"/>
    <n v="0.6024204156800842"/>
    <n v="0.87282608695652175"/>
    <m/>
    <m/>
    <m/>
    <m/>
    <m/>
    <m/>
    <n v="4"/>
    <m/>
    <m/>
  </r>
  <r>
    <x v="1327"/>
    <x v="1"/>
    <m/>
    <x v="14"/>
    <n v="42"/>
    <n v="42"/>
    <n v="0"/>
    <m/>
    <n v="2255"/>
    <n v="2210"/>
    <n v="45"/>
    <x v="1686"/>
    <n v="0"/>
    <n v="53.69047619047619"/>
    <n v="52.61904761904762"/>
    <n v="1.0714285714285714"/>
    <n v="31.55952380952381"/>
    <n v="0"/>
    <n v="25"/>
    <n v="0"/>
    <n v="48.88095238095238"/>
    <n v="10"/>
    <n v="8.5"/>
    <n v="1.9955654101995565E-2"/>
    <n v="0.9888095238095238"/>
    <n v="0.58780487804878045"/>
    <n v="0.92380952380952375"/>
    <m/>
    <m/>
    <m/>
    <m/>
    <m/>
    <m/>
    <m/>
    <m/>
    <m/>
  </r>
  <r>
    <x v="1327"/>
    <x v="0"/>
    <s v="Native "/>
    <x v="14"/>
    <n v="62"/>
    <n v="61"/>
    <n v="1"/>
    <s v="1 c. bovis in the heart "/>
    <n v="28780"/>
    <n v="27840"/>
    <n v="940"/>
    <x v="1687"/>
    <n v="458"/>
    <n v="471.80327868852459"/>
    <n v="456.39344262295083"/>
    <n v="15.409836065573771"/>
    <n v="284.5"/>
    <n v="7.5081967213114753"/>
    <n v="25"/>
    <n v="0"/>
    <n v="48.049180327868847"/>
    <n v="10"/>
    <n v="8.5"/>
    <n v="3.2661570535093817E-2"/>
    <n v="0.98049180327868846"/>
    <n v="0.60300555941626133"/>
    <n v="0.9154918032786884"/>
    <m/>
    <m/>
    <m/>
    <m/>
    <m/>
    <m/>
    <n v="13"/>
    <m/>
    <m/>
  </r>
  <r>
    <x v="1328"/>
    <x v="0"/>
    <s v="Imported"/>
    <x v="23"/>
    <n v="30"/>
    <n v="30"/>
    <n v="0"/>
    <m/>
    <n v="14093.354430379746"/>
    <n v="14093.354430379746"/>
    <n v="0"/>
    <x v="1494"/>
    <n v="0"/>
    <n v="469.77848101265823"/>
    <n v="469.77848101265823"/>
    <n v="0"/>
    <n v="296.89999999999998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29"/>
    <x v="0"/>
    <s v="Imported"/>
    <x v="9"/>
    <n v="32"/>
    <n v="32"/>
    <n v="0"/>
    <m/>
    <n v="17602"/>
    <n v="16735"/>
    <n v="867"/>
    <x v="1688"/>
    <n v="215"/>
    <n v="550.0625"/>
    <n v="522.96875"/>
    <n v="27.09375"/>
    <n v="336.1"/>
    <n v="6.71875"/>
    <n v="25"/>
    <n v="0"/>
    <n v="48.15625"/>
    <n v="10"/>
    <n v="8.5"/>
    <n v="4.9255766390182934E-2"/>
    <n v="0.9815625"/>
    <n v="0.61102147483240543"/>
    <n v="0.91656249999999995"/>
    <m/>
    <m/>
    <m/>
    <m/>
    <m/>
    <m/>
    <m/>
    <m/>
    <m/>
  </r>
  <r>
    <x v="1329"/>
    <x v="0"/>
    <s v="Native "/>
    <x v="5"/>
    <n v="40"/>
    <n v="40"/>
    <n v="0"/>
    <m/>
    <n v="12155.06329113924"/>
    <n v="12155.06329113924"/>
    <n v="0"/>
    <x v="1689"/>
    <n v="0"/>
    <n v="303.87658227848101"/>
    <n v="303.87658227848101"/>
    <n v="0"/>
    <n v="192.05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30"/>
    <x v="0"/>
    <s v="Native "/>
    <x v="32"/>
    <n v="82"/>
    <n v="80"/>
    <n v="2"/>
    <s v="1 c. bovis + 1 tb "/>
    <n v="36146"/>
    <n v="34744"/>
    <n v="1402"/>
    <x v="1690"/>
    <n v="639"/>
    <n v="451.82499999999999"/>
    <n v="434.3"/>
    <n v="17.524999999999999"/>
    <n v="272.01750000000004"/>
    <n v="7.9874999999999998"/>
    <n v="25"/>
    <n v="0"/>
    <n v="48.962499999999999"/>
    <n v="10"/>
    <n v="8.5"/>
    <n v="3.8787141039119129E-2"/>
    <n v="0.98962499999999998"/>
    <n v="0.60204171969235876"/>
    <n v="0.92462500000000003"/>
    <m/>
    <m/>
    <m/>
    <m/>
    <m/>
    <m/>
    <m/>
    <m/>
    <m/>
  </r>
  <r>
    <x v="1330"/>
    <x v="1"/>
    <m/>
    <x v="14"/>
    <n v="47"/>
    <n v="46"/>
    <n v="1"/>
    <s v="jaundice "/>
    <n v="2467"/>
    <n v="2432"/>
    <n v="35"/>
    <x v="1691"/>
    <n v="0"/>
    <n v="53.630434782608695"/>
    <n v="52.869565217391305"/>
    <n v="0.76086956521739135"/>
    <n v="32.934782608695649"/>
    <n v="0"/>
    <n v="25"/>
    <n v="0"/>
    <n v="48.717391304347828"/>
    <n v="10"/>
    <n v="8.5"/>
    <n v="1.4187271990271587E-2"/>
    <n v="0.98717391304347823"/>
    <n v="0.61410620186461284"/>
    <n v="0.92217391304347829"/>
    <m/>
    <m/>
    <m/>
    <m/>
    <m/>
    <m/>
    <m/>
    <m/>
    <m/>
  </r>
  <r>
    <x v="1331"/>
    <x v="1"/>
    <m/>
    <x v="14"/>
    <n v="22"/>
    <n v="22"/>
    <n v="0"/>
    <m/>
    <n v="1168"/>
    <n v="1168"/>
    <n v="0"/>
    <x v="1692"/>
    <n v="0"/>
    <n v="53.090909090909093"/>
    <n v="53.090909090909093"/>
    <n v="0"/>
    <n v="31.713636363636365"/>
    <n v="0"/>
    <n v="25"/>
    <n v="0"/>
    <n v="48.181818181818187"/>
    <n v="10"/>
    <n v="8.5"/>
    <n v="0"/>
    <n v="0.98181818181818192"/>
    <n v="0.59734589041095898"/>
    <n v="0.91681818181818187"/>
    <m/>
    <m/>
    <m/>
    <m/>
    <m/>
    <m/>
    <m/>
    <m/>
    <m/>
  </r>
  <r>
    <x v="1331"/>
    <x v="0"/>
    <s v="Native "/>
    <x v="0"/>
    <n v="45"/>
    <n v="45"/>
    <n v="0"/>
    <m/>
    <n v="20596"/>
    <n v="19260"/>
    <n v="1336"/>
    <x v="1693"/>
    <n v="336"/>
    <n v="457.68888888888887"/>
    <n v="428"/>
    <n v="29.68888888888889"/>
    <n v="274.60666666666663"/>
    <n v="7.4666666666666668"/>
    <n v="25"/>
    <n v="0"/>
    <n v="48.62222222222222"/>
    <n v="10"/>
    <n v="8.5"/>
    <n v="6.4866964459118284E-2"/>
    <n v="0.98622222222222222"/>
    <n v="0.59998543406486693"/>
    <n v="0.92122222222222216"/>
    <m/>
    <m/>
    <m/>
    <m/>
    <m/>
    <m/>
    <n v="15"/>
    <m/>
    <m/>
  </r>
  <r>
    <x v="1332"/>
    <x v="0"/>
    <s v="Imported"/>
    <x v="9"/>
    <n v="48"/>
    <n v="48"/>
    <n v="0"/>
    <m/>
    <n v="26546"/>
    <n v="24965"/>
    <n v="1581"/>
    <x v="1694"/>
    <n v="345"/>
    <n v="553.04166666666663"/>
    <n v="520.10416666666663"/>
    <n v="32.9375"/>
    <n v="336.76458333333335"/>
    <n v="7.1875"/>
    <n v="25"/>
    <n v="0"/>
    <n v="48.5625"/>
    <n v="10"/>
    <n v="8.5"/>
    <n v="5.9556995404204026E-2"/>
    <n v="0.98562499999999997"/>
    <n v="0.60893166578768931"/>
    <n v="0.92062500000000003"/>
    <m/>
    <m/>
    <m/>
    <m/>
    <m/>
    <m/>
    <m/>
    <m/>
    <m/>
  </r>
  <r>
    <x v="1333"/>
    <x v="0"/>
    <s v="Imported"/>
    <x v="9"/>
    <n v="48"/>
    <n v="48"/>
    <n v="0"/>
    <m/>
    <n v="26471"/>
    <n v="26471"/>
    <n v="0"/>
    <x v="1695"/>
    <n v="384"/>
    <n v="551.47916666666663"/>
    <n v="551.47916666666663"/>
    <n v="0"/>
    <n v="330.88333333333333"/>
    <n v="8"/>
    <n v="25"/>
    <n v="0"/>
    <n v="48.166666666666671"/>
    <n v="10"/>
    <n v="8.5"/>
    <n v="0"/>
    <n v="0.98166666666666669"/>
    <n v="0.59999244456197343"/>
    <n v="0.91666666666666674"/>
    <m/>
    <m/>
    <m/>
    <m/>
    <m/>
    <m/>
    <m/>
    <m/>
    <m/>
  </r>
  <r>
    <x v="1333"/>
    <x v="0"/>
    <s v="Imported"/>
    <x v="23"/>
    <n v="30"/>
    <n v="30"/>
    <n v="0"/>
    <m/>
    <n v="14318.354430379748"/>
    <n v="14318.354430379748"/>
    <n v="0"/>
    <x v="1696"/>
    <n v="0"/>
    <n v="477.27848101265829"/>
    <n v="477.27848101265829"/>
    <n v="0"/>
    <n v="301.6400000000000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34"/>
    <x v="1"/>
    <m/>
    <x v="14"/>
    <n v="31"/>
    <n v="29"/>
    <n v="2"/>
    <s v="sever parasitic infestation "/>
    <n v="1537"/>
    <n v="1537"/>
    <n v="0"/>
    <x v="1697"/>
    <n v="0"/>
    <n v="53"/>
    <n v="53"/>
    <n v="0"/>
    <n v="31.468965517241379"/>
    <n v="0"/>
    <n v="25"/>
    <n v="0"/>
    <n v="45.724137931034484"/>
    <n v="10"/>
    <n v="8.5"/>
    <n v="0"/>
    <n v="0.95724137931034492"/>
    <n v="0.59375406636304495"/>
    <n v="0.89224137931034475"/>
    <m/>
    <m/>
    <m/>
    <m/>
    <m/>
    <m/>
    <m/>
    <m/>
    <m/>
  </r>
  <r>
    <x v="1334"/>
    <x v="0"/>
    <s v="Native "/>
    <x v="14"/>
    <n v="16"/>
    <n v="16"/>
    <n v="0"/>
    <m/>
    <n v="7440"/>
    <n v="7135"/>
    <n v="305"/>
    <x v="1698"/>
    <n v="132"/>
    <n v="465"/>
    <n v="445.9375"/>
    <n v="19.0625"/>
    <n v="284.4375"/>
    <n v="8.25"/>
    <n v="25"/>
    <n v="0"/>
    <n v="48.0625"/>
    <n v="10"/>
    <n v="8.5"/>
    <n v="4.0994623655913977E-2"/>
    <n v="0.98062500000000008"/>
    <n v="0.61169354838709677"/>
    <n v="0.91562500000000002"/>
    <m/>
    <m/>
    <m/>
    <m/>
    <m/>
    <m/>
    <m/>
    <m/>
    <m/>
  </r>
  <r>
    <x v="1334"/>
    <x v="0"/>
    <s v="Native "/>
    <x v="5"/>
    <n v="40"/>
    <n v="40"/>
    <n v="0"/>
    <m/>
    <n v="12219.382911392404"/>
    <n v="12219.382911392404"/>
    <n v="0"/>
    <x v="1699"/>
    <n v="0"/>
    <n v="305.4845727848101"/>
    <n v="305.4845727848101"/>
    <n v="0"/>
    <n v="193.06625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35"/>
    <x v="0"/>
    <s v="Native "/>
    <x v="14"/>
    <n v="36"/>
    <n v="35"/>
    <n v="1"/>
    <s v="Rejection 1 bull older than 3 years"/>
    <n v="16400"/>
    <n v="16125"/>
    <n v="275"/>
    <x v="1700"/>
    <n v="293"/>
    <n v="468.57142857142856"/>
    <n v="460.71428571428572"/>
    <n v="7.8571428571428568"/>
    <n v="281.92857142857144"/>
    <n v="8.3714285714285719"/>
    <n v="25"/>
    <n v="0"/>
    <n v="49.257142857142853"/>
    <n v="10"/>
    <n v="8.5"/>
    <n v="1.676829268292683E-2"/>
    <n v="0.99257142857142855"/>
    <n v="0.60167682926829269"/>
    <n v="0.92757142857142849"/>
    <m/>
    <m/>
    <m/>
    <m/>
    <m/>
    <m/>
    <n v="7"/>
    <m/>
    <m/>
  </r>
  <r>
    <x v="1336"/>
    <x v="1"/>
    <m/>
    <x v="24"/>
    <n v="37"/>
    <n v="37"/>
    <n v="0"/>
    <m/>
    <n v="1867"/>
    <n v="1700"/>
    <n v="167"/>
    <x v="1701"/>
    <n v="0"/>
    <n v="50.45945945945946"/>
    <n v="45.945945945945944"/>
    <n v="4.5135135135135132"/>
    <n v="26.681081081081082"/>
    <n v="0"/>
    <n v="25"/>
    <n v="0"/>
    <n v="42.567567567567565"/>
    <n v="10"/>
    <n v="8.5"/>
    <n v="8.9448312801285471E-2"/>
    <n v="0.92567567567567566"/>
    <n v="0.52876272094268884"/>
    <n v="0.8606756756756756"/>
    <m/>
    <m/>
    <m/>
    <m/>
    <m/>
    <m/>
    <m/>
    <m/>
    <m/>
  </r>
  <r>
    <x v="1336"/>
    <x v="0"/>
    <s v="Native "/>
    <x v="32"/>
    <n v="74"/>
    <n v="74"/>
    <n v="0"/>
    <m/>
    <n v="31958"/>
    <n v="31958"/>
    <n v="0"/>
    <x v="1702"/>
    <n v="470"/>
    <n v="431.86486486486484"/>
    <n v="431.86486486486484"/>
    <n v="0"/>
    <n v="263.61756756756756"/>
    <n v="6.3513513513513518"/>
    <n v="25"/>
    <n v="0"/>
    <n v="49"/>
    <n v="10"/>
    <n v="8.5"/>
    <n v="0"/>
    <n v="0.99"/>
    <n v="0.61041679704612306"/>
    <n v="0.92500000000000004"/>
    <m/>
    <m/>
    <m/>
    <m/>
    <m/>
    <m/>
    <n v="4"/>
    <m/>
    <m/>
  </r>
  <r>
    <x v="1337"/>
    <x v="1"/>
    <m/>
    <x v="30"/>
    <n v="32"/>
    <n v="32"/>
    <n v="0"/>
    <m/>
    <n v="1556"/>
    <n v="1475"/>
    <n v="81"/>
    <x v="1703"/>
    <n v="0"/>
    <n v="48.625"/>
    <n v="46.09375"/>
    <n v="2.53125"/>
    <n v="26.524999999999999"/>
    <n v="0"/>
    <n v="25"/>
    <n v="0"/>
    <n v="42.5"/>
    <n v="10"/>
    <n v="8.5"/>
    <n v="5.205655526992288E-2"/>
    <n v="0.92500000000000004"/>
    <n v="0.54550128534704367"/>
    <n v="0.86"/>
    <m/>
    <m/>
    <m/>
    <m/>
    <m/>
    <m/>
    <m/>
    <m/>
    <m/>
  </r>
  <r>
    <x v="1337"/>
    <x v="0"/>
    <s v="Native "/>
    <x v="9"/>
    <n v="38"/>
    <n v="35"/>
    <n v="3"/>
    <s v="2 older + 1 tb "/>
    <n v="20065"/>
    <n v="20450"/>
    <n v="-385"/>
    <x v="1704"/>
    <n v="505"/>
    <n v="573.28571428571433"/>
    <n v="584.28571428571433"/>
    <n v="-11"/>
    <n v="343.94285714285712"/>
    <n v="14.428571428571429"/>
    <n v="25"/>
    <n v="0"/>
    <n v="47.657142857142858"/>
    <n v="10"/>
    <n v="8.5"/>
    <n v="-1.9187640169449287E-2"/>
    <n v="0.97657142857142865"/>
    <n v="0.59995016197358586"/>
    <n v="0.91157142857142859"/>
    <m/>
    <m/>
    <m/>
    <m/>
    <m/>
    <m/>
    <n v="31"/>
    <m/>
    <m/>
  </r>
  <r>
    <x v="1337"/>
    <x v="0"/>
    <s v="Imported"/>
    <x v="23"/>
    <n v="37"/>
    <n v="37"/>
    <n v="0"/>
    <m/>
    <n v="16869.936708860758"/>
    <n v="16869.936708860758"/>
    <n v="0"/>
    <x v="1705"/>
    <n v="0"/>
    <n v="455.94423537461506"/>
    <n v="455.94423537461506"/>
    <n v="0"/>
    <n v="288.15675675675675"/>
    <n v="0"/>
    <n v="25"/>
    <n v="4"/>
    <n v="49.864864864864863"/>
    <n v="10"/>
    <n v="8.5"/>
    <n v="0"/>
    <n v="0.99864864864864855"/>
    <n v="0.63200000000000001"/>
    <n v="0.97364864864864875"/>
    <m/>
    <m/>
    <m/>
    <m/>
    <m/>
    <m/>
    <m/>
    <m/>
    <m/>
  </r>
  <r>
    <x v="1338"/>
    <x v="0"/>
    <s v="Imported"/>
    <x v="9"/>
    <n v="10"/>
    <n v="10"/>
    <n v="0"/>
    <m/>
    <n v="5746"/>
    <n v="5746"/>
    <n v="0"/>
    <x v="1706"/>
    <n v="0"/>
    <n v="574.6"/>
    <n v="574.6"/>
    <n v="0"/>
    <n v="344.57"/>
    <n v="0"/>
    <n v="25"/>
    <n v="0"/>
    <n v="48.7"/>
    <n v="10"/>
    <n v="8.5"/>
    <n v="0"/>
    <n v="0.9870000000000001"/>
    <n v="0.59966933518969712"/>
    <n v="0.92200000000000004"/>
    <m/>
    <m/>
    <m/>
    <m/>
    <m/>
    <m/>
    <m/>
    <m/>
    <m/>
  </r>
  <r>
    <x v="1338"/>
    <x v="0"/>
    <s v="Native "/>
    <x v="9"/>
    <n v="16"/>
    <n v="16"/>
    <n v="0"/>
    <m/>
    <n v="8363"/>
    <n v="8363"/>
    <n v="0"/>
    <x v="1707"/>
    <n v="159"/>
    <n v="522.6875"/>
    <n v="522.6875"/>
    <n v="0"/>
    <n v="314.89999999999998"/>
    <n v="9.9375"/>
    <n v="25"/>
    <n v="0"/>
    <n v="48.1875"/>
    <n v="10"/>
    <n v="8.5"/>
    <n v="0"/>
    <n v="0.98187500000000005"/>
    <n v="0.60246323089800302"/>
    <n v="0.916875"/>
    <m/>
    <m/>
    <m/>
    <m/>
    <m/>
    <m/>
    <n v="4"/>
    <m/>
    <m/>
  </r>
  <r>
    <x v="1338"/>
    <x v="0"/>
    <s v="Imported"/>
    <x v="23"/>
    <n v="45"/>
    <n v="45"/>
    <n v="0"/>
    <m/>
    <n v="20960.126582278481"/>
    <n v="20960.126582278481"/>
    <n v="0"/>
    <x v="1708"/>
    <n v="0"/>
    <n v="465.78059071729956"/>
    <n v="465.78059071729956"/>
    <n v="0"/>
    <n v="294.37333333333333"/>
    <n v="0"/>
    <n v="25"/>
    <n v="4"/>
    <n v="49.777777777777779"/>
    <n v="10"/>
    <n v="8.5"/>
    <n v="0"/>
    <n v="0.99777777777777776"/>
    <n v="0.63200000000000001"/>
    <n v="0.97277777777777774"/>
    <m/>
    <m/>
    <m/>
    <m/>
    <m/>
    <m/>
    <m/>
    <m/>
    <m/>
  </r>
  <r>
    <x v="1339"/>
    <x v="0"/>
    <s v="Native "/>
    <x v="9"/>
    <n v="24"/>
    <n v="24"/>
    <n v="0"/>
    <m/>
    <n v="11804"/>
    <n v="11280"/>
    <n v="524"/>
    <x v="1709"/>
    <n v="211"/>
    <n v="491.83333333333331"/>
    <n v="470"/>
    <n v="21.833333333333332"/>
    <n v="295.10833333333335"/>
    <n v="8.7916666666666661"/>
    <n v="25"/>
    <n v="0"/>
    <n v="48.458333333333336"/>
    <n v="10"/>
    <n v="8.5"/>
    <n v="4.4391731616401219E-2"/>
    <n v="0.98458333333333337"/>
    <n v="0.6000169434090139"/>
    <n v="0.91958333333333342"/>
    <m/>
    <m/>
    <m/>
    <m/>
    <m/>
    <m/>
    <n v="5"/>
    <m/>
    <m/>
  </r>
  <r>
    <x v="1339"/>
    <x v="0"/>
    <s v="Native "/>
    <x v="5"/>
    <n v="35"/>
    <n v="35"/>
    <n v="0"/>
    <m/>
    <n v="10637.183544303796"/>
    <n v="10637.183544303796"/>
    <n v="0"/>
    <x v="1710"/>
    <n v="0"/>
    <n v="303.91952983725133"/>
    <n v="303.91952983725133"/>
    <n v="0"/>
    <n v="192.07714285714286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40"/>
    <x v="1"/>
    <m/>
    <x v="14"/>
    <n v="62"/>
    <n v="62"/>
    <n v="0"/>
    <m/>
    <n v="3400"/>
    <n v="3370"/>
    <n v="30"/>
    <x v="1711"/>
    <n v="0"/>
    <n v="54.838709677419352"/>
    <n v="54.354838709677416"/>
    <n v="0.4838709677419355"/>
    <n v="30.780645161290323"/>
    <n v="0"/>
    <n v="25"/>
    <n v="0"/>
    <n v="47.064516129032256"/>
    <n v="10"/>
    <n v="8.5"/>
    <n v="8.8235294117647058E-3"/>
    <n v="0.97064516129032263"/>
    <n v="0.56129411764705883"/>
    <n v="0.90564516129032258"/>
    <m/>
    <m/>
    <m/>
    <m/>
    <m/>
    <m/>
    <m/>
    <m/>
    <m/>
  </r>
  <r>
    <x v="1340"/>
    <x v="0"/>
    <s v="Native "/>
    <x v="14"/>
    <n v="64"/>
    <n v="60"/>
    <n v="4"/>
    <s v="3 older + 1 c. bovis "/>
    <n v="30150"/>
    <n v="28855"/>
    <n v="1295"/>
    <x v="1712"/>
    <n v="495"/>
    <n v="502.5"/>
    <n v="480.91666666666669"/>
    <n v="21.583333333333332"/>
    <n v="302.88499999999999"/>
    <n v="8.25"/>
    <n v="25"/>
    <n v="0"/>
    <n v="46.949999999999996"/>
    <n v="10"/>
    <n v="8.5"/>
    <n v="4.2951907131011609E-2"/>
    <n v="0.96950000000000003"/>
    <n v="0.6027562189054726"/>
    <n v="0.90449999999999986"/>
    <m/>
    <m/>
    <m/>
    <m/>
    <m/>
    <m/>
    <n v="31"/>
    <m/>
    <m/>
  </r>
  <r>
    <x v="1341"/>
    <x v="0"/>
    <s v="Native "/>
    <x v="24"/>
    <n v="21"/>
    <n v="21"/>
    <n v="0"/>
    <m/>
    <n v="9323"/>
    <n v="9323"/>
    <n v="0"/>
    <x v="1713"/>
    <n v="134"/>
    <n v="443.95238095238096"/>
    <n v="443.95238095238096"/>
    <n v="0"/>
    <n v="266.36666666666667"/>
    <n v="6.3809523809523814"/>
    <n v="25"/>
    <n v="0"/>
    <n v="48.904761904761905"/>
    <n v="10"/>
    <n v="8.5"/>
    <n v="0.98904761904761906"/>
    <n v="0.92404761904761901"/>
    <n v="0.599989273838893"/>
    <n v="0.92404761904761901"/>
    <s v="2 hearts - 1 liver"/>
    <m/>
    <m/>
    <m/>
    <m/>
    <m/>
    <n v="8"/>
    <m/>
    <m/>
  </r>
  <r>
    <x v="1341"/>
    <x v="0"/>
    <s v="Native "/>
    <x v="24"/>
    <n v="18"/>
    <n v="18"/>
    <n v="0"/>
    <m/>
    <n v="8887"/>
    <n v="8887"/>
    <n v="0"/>
    <x v="1714"/>
    <n v="122"/>
    <n v="493.72222222222223"/>
    <n v="493.72222222222223"/>
    <n v="0"/>
    <n v="296.25555555555559"/>
    <n v="6.7777777777777777"/>
    <n v="25"/>
    <n v="0"/>
    <n v="45.055555555555557"/>
    <n v="10"/>
    <n v="8.5"/>
    <n v="0"/>
    <n v="0.9505555555555556"/>
    <n v="0.60004500956453255"/>
    <n v="0.88555555555555554"/>
    <m/>
    <m/>
    <m/>
    <m/>
    <m/>
    <m/>
    <n v="10"/>
    <m/>
    <m/>
  </r>
  <r>
    <x v="1341"/>
    <x v="0"/>
    <s v="Native "/>
    <x v="27"/>
    <n v="45"/>
    <n v="45"/>
    <n v="0"/>
    <m/>
    <n v="23698"/>
    <n v="23698"/>
    <n v="0"/>
    <x v="1715"/>
    <n v="392"/>
    <n v="526.62222222222226"/>
    <n v="526.62222222222226"/>
    <n v="0"/>
    <n v="325.71111111111111"/>
    <n v="8.7111111111111104"/>
    <n v="25"/>
    <n v="0"/>
    <n v="45.111111111111114"/>
    <n v="10"/>
    <n v="8.5"/>
    <n v="0"/>
    <n v="0.95111111111111113"/>
    <n v="0.61849101189973843"/>
    <n v="0.88611111111111118"/>
    <m/>
    <m/>
    <m/>
    <m/>
    <m/>
    <m/>
    <n v="30"/>
    <m/>
    <m/>
  </r>
  <r>
    <x v="1342"/>
    <x v="1"/>
    <m/>
    <x v="33"/>
    <n v="68"/>
    <n v="68"/>
    <n v="0"/>
    <m/>
    <n v="3726"/>
    <n v="3726"/>
    <n v="0"/>
    <x v="1716"/>
    <n v="0"/>
    <n v="54.794117647058826"/>
    <n v="54.794117647058826"/>
    <n v="0"/>
    <n v="30.713235294117649"/>
    <n v="0"/>
    <n v="25"/>
    <n v="0"/>
    <n v="46.705882352941174"/>
    <n v="10"/>
    <n v="8.5"/>
    <n v="0"/>
    <n v="0.96705882352941175"/>
    <n v="0.56052066559312941"/>
    <n v="0.90205882352941169"/>
    <m/>
    <m/>
    <m/>
    <m/>
    <m/>
    <m/>
    <m/>
    <m/>
    <m/>
  </r>
  <r>
    <x v="1342"/>
    <x v="0"/>
    <s v="Native "/>
    <x v="32"/>
    <n v="80"/>
    <n v="76"/>
    <n v="4"/>
    <s v="4 c. bovis in the heart"/>
    <n v="32227"/>
    <n v="32227"/>
    <n v="0"/>
    <x v="1717"/>
    <n v="0"/>
    <n v="424.03947368421052"/>
    <n v="424.03947368421052"/>
    <n v="0"/>
    <n v="255.19473684210524"/>
    <n v="0"/>
    <n v="25"/>
    <n v="0"/>
    <n v="48.802631578947363"/>
    <n v="10"/>
    <n v="8.5"/>
    <n v="0"/>
    <n v="0.98802631578947364"/>
    <n v="0.60181835107208237"/>
    <n v="0.92302631578947369"/>
    <m/>
    <m/>
    <m/>
    <m/>
    <m/>
    <m/>
    <m/>
    <m/>
    <m/>
  </r>
  <r>
    <x v="1343"/>
    <x v="0"/>
    <s v="Native "/>
    <x v="9"/>
    <n v="39"/>
    <n v="39"/>
    <n v="0"/>
    <m/>
    <n v="21063"/>
    <n v="21063"/>
    <n v="0"/>
    <x v="1718"/>
    <n v="0"/>
    <n v="540.07692307692309"/>
    <n v="540.07692307692309"/>
    <n v="0"/>
    <n v="324.04358974358973"/>
    <n v="0"/>
    <n v="25"/>
    <n v="0"/>
    <n v="48.448717948717942"/>
    <n v="10"/>
    <n v="8.5"/>
    <n v="0"/>
    <n v="0.98448717948717945"/>
    <n v="0.59999525233822348"/>
    <n v="0.9194871794871794"/>
    <m/>
    <m/>
    <m/>
    <m/>
    <m/>
    <m/>
    <n v="20"/>
    <m/>
    <m/>
  </r>
  <r>
    <x v="1343"/>
    <x v="0"/>
    <s v="Native "/>
    <x v="0"/>
    <n v="48"/>
    <n v="47"/>
    <n v="1"/>
    <s v="1 c. bovis"/>
    <n v="23114"/>
    <n v="23114"/>
    <n v="0"/>
    <x v="1719"/>
    <n v="0"/>
    <n v="491.78723404255317"/>
    <n v="491.78723404255317"/>
    <n v="0"/>
    <n v="295.07021276595742"/>
    <n v="0"/>
    <n v="25"/>
    <n v="0"/>
    <n v="49.063829787234042"/>
    <n v="10"/>
    <n v="8.5"/>
    <n v="0"/>
    <n v="0.99063829787234048"/>
    <n v="0.59999567361772088"/>
    <n v="0.92563829787234042"/>
    <m/>
    <m/>
    <m/>
    <m/>
    <m/>
    <m/>
    <n v="17"/>
    <m/>
    <m/>
  </r>
  <r>
    <x v="1344"/>
    <x v="0"/>
    <s v="Imported"/>
    <x v="23"/>
    <n v="40"/>
    <n v="40"/>
    <n v="0"/>
    <m/>
    <n v="18515.569823434991"/>
    <n v="18515.569823434991"/>
    <n v="0"/>
    <x v="1720"/>
    <n v="0"/>
    <n v="462.88924558587479"/>
    <n v="462.88924558587479"/>
    <n v="0"/>
    <n v="288.38"/>
    <n v="0"/>
    <n v="25"/>
    <n v="4"/>
    <n v="50"/>
    <n v="10"/>
    <n v="8.5"/>
    <n v="0"/>
    <n v="1"/>
    <n v="0.62300000000000011"/>
    <n v="0.97499999999999998"/>
    <m/>
    <m/>
    <m/>
    <m/>
    <m/>
    <m/>
    <m/>
    <m/>
    <m/>
  </r>
  <r>
    <x v="1345"/>
    <x v="1"/>
    <m/>
    <x v="14"/>
    <n v="46"/>
    <n v="46"/>
    <n v="0"/>
    <m/>
    <n v="2416"/>
    <n v="2395"/>
    <n v="21"/>
    <x v="1721"/>
    <n v="0"/>
    <n v="52.521739130434781"/>
    <n v="52.065217391304351"/>
    <n v="0.45652173913043476"/>
    <n v="30.734782608695649"/>
    <n v="0"/>
    <n v="25"/>
    <n v="0"/>
    <n v="46.826086956521742"/>
    <n v="10"/>
    <n v="8.5"/>
    <n v="8.6920529801324496E-3"/>
    <n v="0.9682608695652174"/>
    <n v="0.58518211920529795"/>
    <n v="0.90326086956521745"/>
    <m/>
    <m/>
    <m/>
    <m/>
    <m/>
    <m/>
    <m/>
    <m/>
    <m/>
  </r>
  <r>
    <x v="1345"/>
    <x v="0"/>
    <s v="Imported"/>
    <x v="14"/>
    <n v="55"/>
    <n v="55"/>
    <n v="0"/>
    <m/>
    <n v="31570"/>
    <n v="30440"/>
    <n v="1130"/>
    <x v="1722"/>
    <n v="0"/>
    <n v="574"/>
    <n v="553.4545454545455"/>
    <n v="20.545454545454547"/>
    <n v="357.98363636363632"/>
    <n v="0"/>
    <n v="24.636363636363637"/>
    <n v="0"/>
    <n v="47.027272727272731"/>
    <n v="10"/>
    <n v="8.5"/>
    <n v="3.5793474817865066E-2"/>
    <n v="0.96300000000000008"/>
    <n v="0.62366487171365215"/>
    <n v="0.90163636363636368"/>
    <m/>
    <m/>
    <m/>
    <m/>
    <m/>
    <m/>
    <n v="22"/>
    <m/>
    <m/>
  </r>
  <r>
    <x v="1346"/>
    <x v="0"/>
    <s v="Native "/>
    <x v="0"/>
    <n v="56"/>
    <n v="56"/>
    <n v="0"/>
    <m/>
    <n v="27917"/>
    <n v="27917"/>
    <n v="0"/>
    <x v="1723"/>
    <n v="0"/>
    <n v="498.51785714285717"/>
    <n v="498.51785714285717"/>
    <n v="0"/>
    <n v="299.10535714285714"/>
    <n v="0"/>
    <n v="22.946428571428569"/>
    <n v="0"/>
    <n v="47.857142857142861"/>
    <n v="10"/>
    <n v="8.5"/>
    <n v="0"/>
    <n v="0.9375"/>
    <n v="0.59998925385965551"/>
    <n v="0.89303571428571427"/>
    <m/>
    <m/>
    <m/>
    <m/>
    <m/>
    <m/>
    <n v="23"/>
    <m/>
    <m/>
  </r>
  <r>
    <x v="1346"/>
    <x v="0"/>
    <m/>
    <x v="5"/>
    <n v="40"/>
    <n v="40"/>
    <n v="0"/>
    <m/>
    <n v="12481.977848101265"/>
    <n v="12481.977848101265"/>
    <n v="0"/>
    <x v="1724"/>
    <n v="0"/>
    <n v="312.04944620253161"/>
    <n v="312.04944620253161"/>
    <n v="0"/>
    <n v="197.21525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47"/>
    <x v="0"/>
    <s v="Native "/>
    <x v="9"/>
    <n v="40"/>
    <n v="39"/>
    <n v="1"/>
    <s v="1 carcass due to presence of cysticercus bovis in the heart "/>
    <n v="21340"/>
    <n v="20050"/>
    <n v="1290"/>
    <x v="1725"/>
    <m/>
    <n v="547.17948717948718"/>
    <n v="514.10256410256409"/>
    <n v="33.07692307692308"/>
    <n v="328.31282051282051"/>
    <n v="0"/>
    <n v="25"/>
    <n v="0"/>
    <n v="46.653846153846153"/>
    <n v="10"/>
    <n v="8.5"/>
    <n v="6.0449859418931592E-2"/>
    <n v="0.96653846153846157"/>
    <n v="0.60000937207122773"/>
    <n v="0.90153846153846162"/>
    <m/>
    <m/>
    <m/>
    <m/>
    <m/>
    <m/>
    <n v="35"/>
    <m/>
    <m/>
  </r>
  <r>
    <x v="1348"/>
    <x v="1"/>
    <m/>
    <x v="33"/>
    <n v="62"/>
    <n v="62"/>
    <n v="0"/>
    <m/>
    <n v="3710"/>
    <n v="3540"/>
    <n v="170"/>
    <x v="1726"/>
    <n v="0"/>
    <n v="59.838709677419352"/>
    <n v="57.096774193548384"/>
    <n v="2.7419354838709675"/>
    <n v="34.272580645161291"/>
    <n v="0"/>
    <n v="25"/>
    <n v="0"/>
    <n v="47.741935483870968"/>
    <n v="10"/>
    <n v="8.5"/>
    <n v="4.5822102425876012E-2"/>
    <n v="0.97741935483870968"/>
    <n v="0.57274932614555263"/>
    <n v="0.91241935483870973"/>
    <m/>
    <m/>
    <m/>
    <m/>
    <m/>
    <m/>
    <m/>
    <m/>
    <m/>
  </r>
  <r>
    <x v="1348"/>
    <x v="0"/>
    <s v="Native "/>
    <x v="32"/>
    <n v="63"/>
    <n v="57"/>
    <n v="6"/>
    <s v="c. bovis in their hearts "/>
    <n v="24157"/>
    <n v="23277"/>
    <n v="880"/>
    <x v="1727"/>
    <n v="0"/>
    <n v="423.80701754385967"/>
    <n v="408.36842105263156"/>
    <n v="15.43859649122807"/>
    <n v="254.33684210526317"/>
    <n v="0"/>
    <n v="25"/>
    <n v="0"/>
    <n v="47.344827586206897"/>
    <n v="10"/>
    <n v="8.5"/>
    <n v="3.6428364449227965E-2"/>
    <n v="0.97344827586206895"/>
    <n v="0.600124187606077"/>
    <n v="0.90844827586206889"/>
    <m/>
    <m/>
    <m/>
    <m/>
    <m/>
    <m/>
    <m/>
    <m/>
    <m/>
  </r>
  <r>
    <x v="1349"/>
    <x v="0"/>
    <s v="Native "/>
    <x v="9"/>
    <n v="45"/>
    <n v="33"/>
    <n v="12"/>
    <s v="11 c. bovis + 1 sever bruises"/>
    <n v="17457"/>
    <n v="17457"/>
    <n v="0"/>
    <x v="1047"/>
    <n v="285"/>
    <n v="529"/>
    <n v="529"/>
    <n v="0"/>
    <n v="317.39393939393938"/>
    <n v="8.6363636363636367"/>
    <n v="25"/>
    <n v="0"/>
    <n v="47.909090909090899"/>
    <n v="10"/>
    <n v="8.5"/>
    <n v="0"/>
    <n v="0.97909090909090901"/>
    <n v="0.59998854327776818"/>
    <n v="0.91409090909090907"/>
    <m/>
    <m/>
    <m/>
    <m/>
    <m/>
    <m/>
    <n v="36"/>
    <m/>
    <m/>
  </r>
  <r>
    <x v="1349"/>
    <x v="0"/>
    <s v="Imported"/>
    <x v="23"/>
    <n v="48"/>
    <n v="48"/>
    <n v="0"/>
    <m/>
    <n v="22317.721518987342"/>
    <n v="22317.721518987342"/>
    <n v="0"/>
    <x v="1728"/>
    <n v="0"/>
    <n v="464.95253164556965"/>
    <n v="464.95253164556965"/>
    <n v="0"/>
    <n v="293.8499999999999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50"/>
    <x v="1"/>
    <m/>
    <x v="14"/>
    <n v="56"/>
    <n v="56"/>
    <n v="0"/>
    <m/>
    <n v="3085"/>
    <n v="3025"/>
    <n v="60"/>
    <x v="1729"/>
    <n v="0"/>
    <n v="55.089285714285715"/>
    <n v="54.017857142857146"/>
    <n v="1.0714285714285714"/>
    <n v="31.498214285714287"/>
    <n v="0"/>
    <n v="25"/>
    <n v="0"/>
    <n v="47.642857142857139"/>
    <n v="10"/>
    <n v="8.5"/>
    <n v="1.9448946515397081E-2"/>
    <n v="0.97642857142857142"/>
    <n v="0.57176661264181527"/>
    <n v="0.91142857142857137"/>
    <m/>
    <m/>
    <m/>
    <m/>
    <m/>
    <m/>
    <m/>
    <m/>
    <m/>
  </r>
  <r>
    <x v="1350"/>
    <x v="0"/>
    <s v="Imported"/>
    <x v="14"/>
    <n v="34"/>
    <n v="34"/>
    <n v="0"/>
    <m/>
    <n v="18700"/>
    <n v="18309"/>
    <n v="391"/>
    <x v="1730"/>
    <m/>
    <n v="550"/>
    <n v="538.5"/>
    <n v="11.5"/>
    <n v="340.01176470588234"/>
    <n v="0"/>
    <n v="25"/>
    <n v="0"/>
    <n v="47.352941176470587"/>
    <n v="10"/>
    <n v="8.5"/>
    <n v="2.0909090909090908E-2"/>
    <n v="0.97352941176470587"/>
    <n v="0.61820320855614974"/>
    <n v="0.90852941176470581"/>
    <m/>
    <m/>
    <m/>
    <m/>
    <m/>
    <m/>
    <n v="1"/>
    <m/>
    <m/>
  </r>
  <r>
    <x v="1351"/>
    <x v="0"/>
    <s v="Native "/>
    <x v="32"/>
    <n v="44"/>
    <n v="44"/>
    <n v="0"/>
    <m/>
    <n v="18525"/>
    <n v="17910"/>
    <n v="615"/>
    <x v="1731"/>
    <m/>
    <n v="421.02272727272725"/>
    <n v="407.04545454545456"/>
    <n v="13.977272727272727"/>
    <n v="256.50454545454545"/>
    <n v="0"/>
    <n v="25"/>
    <n v="0"/>
    <n v="49.636363636363633"/>
    <n v="10"/>
    <n v="8.5"/>
    <n v="3.3198380566801619E-2"/>
    <n v="0.99636363636363634"/>
    <n v="0.60924156545209185"/>
    <n v="0.93136363636363628"/>
    <m/>
    <m/>
    <m/>
    <m/>
    <m/>
    <m/>
    <m/>
    <m/>
    <m/>
  </r>
  <r>
    <x v="1351"/>
    <x v="0"/>
    <s v="Native "/>
    <x v="5"/>
    <n v="59"/>
    <n v="59"/>
    <n v="0"/>
    <m/>
    <n v="16878.844936708861"/>
    <n v="16878.844936708861"/>
    <n v="0"/>
    <x v="1732"/>
    <n v="0"/>
    <n v="286.08211757133665"/>
    <n v="286.08211757133665"/>
    <n v="0"/>
    <n v="180.80389830508474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52"/>
    <x v="0"/>
    <s v="Native "/>
    <x v="0"/>
    <n v="37"/>
    <n v="37"/>
    <n v="0"/>
    <m/>
    <n v="21436"/>
    <n v="21436"/>
    <n v="0"/>
    <x v="1733"/>
    <n v="489"/>
    <n v="579.35135135135135"/>
    <n v="579.35135135135135"/>
    <n v="0"/>
    <n v="350.51621621621621"/>
    <n v="13.216216216216216"/>
    <n v="25"/>
    <n v="0"/>
    <n v="48.972972972972968"/>
    <n v="10"/>
    <n v="8.5"/>
    <n v="0"/>
    <n v="0.98972972972972961"/>
    <n v="0.60501492815823854"/>
    <n v="0.92472972972972967"/>
    <m/>
    <m/>
    <m/>
    <m/>
    <m/>
    <m/>
    <n v="24"/>
    <m/>
    <m/>
  </r>
  <r>
    <x v="1352"/>
    <x v="0"/>
    <s v="Imported"/>
    <x v="23"/>
    <n v="20"/>
    <n v="20"/>
    <n v="0"/>
    <m/>
    <n v="9263.6075949367078"/>
    <n v="9263.6075949367078"/>
    <n v="0"/>
    <x v="1734"/>
    <n v="0"/>
    <n v="463.1803797468354"/>
    <n v="463.1803797468354"/>
    <n v="0"/>
    <n v="292.73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353"/>
    <x v="1"/>
    <m/>
    <x v="14"/>
    <n v="71"/>
    <n v="71"/>
    <n v="0"/>
    <m/>
    <n v="3582"/>
    <n v="3590"/>
    <n v="-8"/>
    <x v="1735"/>
    <n v="0"/>
    <n v="50.450704225352112"/>
    <n v="50.563380281690144"/>
    <n v="-0.11267605633802817"/>
    <n v="28.325352112676054"/>
    <n v="0"/>
    <n v="25"/>
    <n v="0"/>
    <n v="46.845070422535215"/>
    <n v="10"/>
    <n v="8.5"/>
    <n v="-2.2333891680625349E-3"/>
    <n v="0.96845070422535218"/>
    <n v="0.56144611948632051"/>
    <n v="0.90345070422535212"/>
    <m/>
    <m/>
    <m/>
    <m/>
    <m/>
    <m/>
    <m/>
    <m/>
    <m/>
  </r>
  <r>
    <x v="1353"/>
    <x v="0"/>
    <s v="Imported"/>
    <x v="14"/>
    <n v="40"/>
    <n v="40"/>
    <n v="0"/>
    <m/>
    <n v="23060"/>
    <n v="22352"/>
    <n v="708"/>
    <x v="1736"/>
    <n v="276"/>
    <n v="576.5"/>
    <n v="558.79999999999995"/>
    <n v="17.7"/>
    <n v="358.05250000000001"/>
    <n v="6.9"/>
    <n v="25"/>
    <n v="0"/>
    <n v="48.824999999999996"/>
    <n v="10"/>
    <n v="8.5"/>
    <n v="3.0702515177797051E-2"/>
    <n v="0.98824999999999996"/>
    <n v="0.62107979184735473"/>
    <n v="0.9232499999999999"/>
    <m/>
    <m/>
    <m/>
    <m/>
    <m/>
    <m/>
    <n v="2"/>
    <m/>
    <m/>
  </r>
  <r>
    <x v="1354"/>
    <x v="0"/>
    <s v="Native "/>
    <x v="32"/>
    <n v="37"/>
    <n v="37"/>
    <n v="0"/>
    <m/>
    <n v="15721"/>
    <n v="15156"/>
    <n v="565"/>
    <x v="1737"/>
    <n v="251"/>
    <n v="424.89189189189187"/>
    <n v="409.62162162162161"/>
    <n v="15.27027027027027"/>
    <n v="254.93783783783786"/>
    <n v="6.7837837837837842"/>
    <n v="25"/>
    <n v="0"/>
    <n v="48.486486486486484"/>
    <n v="10"/>
    <n v="8.5"/>
    <n v="3.5939189618980981E-2"/>
    <n v="0.9848648648648648"/>
    <n v="0.60000636091851667"/>
    <n v="0.91986486486486485"/>
    <m/>
    <m/>
    <m/>
    <m/>
    <m/>
    <m/>
    <m/>
    <m/>
    <m/>
  </r>
  <r>
    <x v="1354"/>
    <x v="1"/>
    <m/>
    <x v="33"/>
    <n v="32"/>
    <n v="32"/>
    <n v="0"/>
    <m/>
    <n v="1732"/>
    <n v="1690"/>
    <n v="42"/>
    <x v="1738"/>
    <n v="0"/>
    <n v="54.125"/>
    <n v="52.8125"/>
    <n v="1.3125"/>
    <n v="32.78125"/>
    <n v="0"/>
    <n v="25"/>
    <n v="0"/>
    <n v="48.078125"/>
    <n v="10"/>
    <n v="8.5"/>
    <n v="2.4249422632794459E-2"/>
    <n v="0.98078124999999994"/>
    <n v="0.60565819861431869"/>
    <n v="0.91578124999999999"/>
    <m/>
    <m/>
    <m/>
    <m/>
    <m/>
    <m/>
    <m/>
    <m/>
    <m/>
  </r>
  <r>
    <x v="1354"/>
    <x v="0"/>
    <s v="Imported"/>
    <x v="23"/>
    <n v="32"/>
    <n v="32"/>
    <n v="0"/>
    <m/>
    <n v="14998.73417721519"/>
    <n v="14998.73417721519"/>
    <n v="0"/>
    <x v="1739"/>
    <n v="0"/>
    <n v="468.7104430379747"/>
    <n v="468.7104430379747"/>
    <n v="0"/>
    <n v="296.2250000000000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55"/>
    <x v="0"/>
    <s v="Native "/>
    <x v="9"/>
    <n v="36"/>
    <n v="34"/>
    <n v="2"/>
    <s v="2 older than 3 years "/>
    <n v="19085"/>
    <n v="17910"/>
    <n v="1175"/>
    <x v="1740"/>
    <n v="462"/>
    <n v="561.32352941176475"/>
    <n v="526.76470588235293"/>
    <n v="34.558823529411768"/>
    <n v="340.02647058823527"/>
    <n v="13.588235294117647"/>
    <n v="25"/>
    <n v="0"/>
    <n v="47.911764705882348"/>
    <n v="10"/>
    <n v="8.5"/>
    <n v="6.1566675399528425E-2"/>
    <n v="0.97911764705882343"/>
    <n v="0.60575844904375165"/>
    <n v="0.91411764705882348"/>
    <m/>
    <m/>
    <m/>
    <m/>
    <m/>
    <m/>
    <n v="31"/>
    <m/>
    <m/>
  </r>
  <r>
    <x v="1356"/>
    <x v="1"/>
    <m/>
    <x v="14"/>
    <n v="34"/>
    <n v="34"/>
    <n v="0"/>
    <m/>
    <n v="1794"/>
    <n v="1790"/>
    <n v="4"/>
    <x v="1741"/>
    <n v="0"/>
    <n v="52.764705882352942"/>
    <n v="52.647058823529413"/>
    <n v="0.11764705882352941"/>
    <n v="29.497058823529411"/>
    <n v="0"/>
    <n v="25"/>
    <n v="0"/>
    <n v="47.764705882352942"/>
    <n v="10"/>
    <n v="8.5"/>
    <n v="2.229654403567447E-3"/>
    <n v="0.97764705882352942"/>
    <n v="0.55903010033444811"/>
    <n v="0.91264705882352937"/>
    <m/>
    <m/>
    <m/>
    <m/>
    <m/>
    <m/>
    <m/>
    <m/>
    <m/>
  </r>
  <r>
    <x v="1356"/>
    <x v="0"/>
    <s v="Native "/>
    <x v="27"/>
    <n v="44"/>
    <n v="44"/>
    <n v="0"/>
    <m/>
    <n v="23579"/>
    <n v="22835"/>
    <n v="744"/>
    <x v="1742"/>
    <n v="451"/>
    <n v="535.88636363636363"/>
    <n v="518.97727272727275"/>
    <n v="16.90909090909091"/>
    <n v="332.84772727272724"/>
    <n v="10.25"/>
    <n v="25"/>
    <n v="0"/>
    <n v="48.454545454545453"/>
    <n v="10"/>
    <n v="8.5"/>
    <n v="3.1553500996649567E-2"/>
    <n v="0.98454545454545461"/>
    <n v="0.62111624750837602"/>
    <n v="0.91954545454545455"/>
    <m/>
    <m/>
    <m/>
    <m/>
    <m/>
    <m/>
    <n v="14"/>
    <m/>
    <m/>
  </r>
  <r>
    <x v="1356"/>
    <x v="0"/>
    <s v="Native "/>
    <x v="5"/>
    <n v="40"/>
    <n v="39"/>
    <n v="1"/>
    <s v="1 sever blood splashes"/>
    <n v="11852.626582278481"/>
    <n v="11852.626582278481"/>
    <n v="0"/>
    <x v="1743"/>
    <n v="0"/>
    <n v="303.91350210970461"/>
    <n v="303.91350210970461"/>
    <n v="0"/>
    <n v="192.07333333333332"/>
    <n v="0"/>
    <n v="25"/>
    <n v="5"/>
    <n v="50"/>
    <n v="10"/>
    <n v="8.5"/>
    <n v="0"/>
    <n v="1"/>
    <n v="0.63200000000000001"/>
    <n v="0.98499999999999999"/>
    <m/>
    <m/>
    <m/>
    <m/>
    <m/>
    <m/>
    <m/>
    <m/>
    <m/>
  </r>
  <r>
    <x v="1357"/>
    <x v="1"/>
    <m/>
    <x v="30"/>
    <n v="30"/>
    <n v="30"/>
    <n v="0"/>
    <m/>
    <n v="1478"/>
    <n v="1430"/>
    <n v="48"/>
    <x v="1744"/>
    <n v="0"/>
    <n v="49.266666666666666"/>
    <n v="47.666666666666664"/>
    <n v="1.6"/>
    <n v="28.029999999999998"/>
    <n v="0"/>
    <n v="25"/>
    <n v="0"/>
    <n v="44.466666666666669"/>
    <n v="10"/>
    <n v="8.5"/>
    <n v="3.2476319350473612E-2"/>
    <n v="0.94466666666666677"/>
    <n v="0.56894451962110959"/>
    <n v="0.87966666666666671"/>
    <m/>
    <m/>
    <m/>
    <m/>
    <m/>
    <m/>
    <m/>
    <m/>
    <m/>
  </r>
  <r>
    <x v="1357"/>
    <x v="0"/>
    <s v="Native "/>
    <x v="0"/>
    <n v="30"/>
    <n v="30"/>
    <n v="0"/>
    <m/>
    <n v="14277"/>
    <n v="13175"/>
    <n v="1102"/>
    <x v="1745"/>
    <n v="300"/>
    <n v="475.9"/>
    <n v="439.16666666666669"/>
    <n v="36.733333333333334"/>
    <n v="285.54666666666668"/>
    <n v="10"/>
    <n v="25"/>
    <n v="0"/>
    <n v="49.13333333333334"/>
    <n v="10"/>
    <n v="8.5"/>
    <n v="7.7187084121314004E-2"/>
    <n v="0.9913333333333334"/>
    <n v="0.60001400854521258"/>
    <n v="0.92633333333333345"/>
    <m/>
    <m/>
    <m/>
    <m/>
    <m/>
    <m/>
    <n v="12"/>
    <m/>
    <m/>
  </r>
  <r>
    <x v="1357"/>
    <x v="0"/>
    <s v="Imported"/>
    <x v="23"/>
    <n v="22"/>
    <n v="20"/>
    <n v="2"/>
    <s v="2 C. bovis in the masseter ms"/>
    <n v="9387.3417721518981"/>
    <n v="9387.3417721518981"/>
    <n v="0"/>
    <x v="1746"/>
    <n v="0"/>
    <n v="469.36708860759489"/>
    <n v="469.36708860759489"/>
    <n v="0"/>
    <n v="296.6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58"/>
    <x v="1"/>
    <m/>
    <x v="14"/>
    <n v="48"/>
    <n v="48"/>
    <n v="0"/>
    <m/>
    <n v="2556"/>
    <n v="2490"/>
    <n v="66"/>
    <x v="1747"/>
    <n v="0"/>
    <n v="53.25"/>
    <n v="51.875"/>
    <n v="1.375"/>
    <n v="29.193749999999998"/>
    <n v="0"/>
    <n v="25"/>
    <n v="0"/>
    <n v="47.375"/>
    <n v="10"/>
    <n v="8.5"/>
    <n v="2.5821596244131457E-2"/>
    <n v="0.97375"/>
    <n v="0.5482394366197183"/>
    <n v="0.90874999999999995"/>
    <m/>
    <m/>
    <m/>
    <m/>
    <m/>
    <m/>
    <m/>
    <m/>
    <m/>
  </r>
  <r>
    <x v="1358"/>
    <x v="0"/>
    <s v="Imported"/>
    <x v="14"/>
    <n v="38"/>
    <n v="38"/>
    <n v="0"/>
    <m/>
    <n v="21370"/>
    <n v="20914"/>
    <n v="456"/>
    <x v="1748"/>
    <n v="219"/>
    <n v="562.36842105263156"/>
    <n v="550.36842105263156"/>
    <n v="12"/>
    <n v="349.26578947368421"/>
    <n v="5.7631578947368425"/>
    <n v="24"/>
    <n v="0"/>
    <n v="48.868421052631575"/>
    <n v="10"/>
    <n v="8.5"/>
    <n v="2.1338324754328498E-2"/>
    <n v="0.96868421052631581"/>
    <n v="0.62106223678053352"/>
    <n v="0.91368421052631577"/>
    <m/>
    <m/>
    <m/>
    <m/>
    <m/>
    <m/>
    <n v="2"/>
    <m/>
    <m/>
  </r>
  <r>
    <x v="1359"/>
    <x v="1"/>
    <m/>
    <x v="14"/>
    <n v="30"/>
    <n v="30"/>
    <n v="0"/>
    <m/>
    <n v="1582"/>
    <n v="1565"/>
    <n v="17"/>
    <x v="1749"/>
    <n v="0"/>
    <n v="52.733333333333334"/>
    <n v="52.166666666666664"/>
    <n v="0.56666666666666665"/>
    <n v="30.436666666666667"/>
    <n v="0"/>
    <n v="25"/>
    <n v="0"/>
    <n v="47.800000000000004"/>
    <n v="10"/>
    <n v="8.5"/>
    <n v="1.0745891276864728E-2"/>
    <n v="0.97799999999999998"/>
    <n v="0.57718078381795201"/>
    <n v="0.91300000000000014"/>
    <m/>
    <m/>
    <m/>
    <m/>
    <m/>
    <m/>
    <m/>
    <m/>
    <m/>
  </r>
  <r>
    <x v="1359"/>
    <x v="0"/>
    <s v="Imported"/>
    <x v="14"/>
    <n v="22"/>
    <n v="22"/>
    <n v="0"/>
    <m/>
    <n v="12570"/>
    <n v="12207"/>
    <n v="363"/>
    <x v="1750"/>
    <n v="163"/>
    <n v="571.36363636363637"/>
    <n v="554.86363636363637"/>
    <n v="16.5"/>
    <n v="354.72727272727275"/>
    <n v="7.4090909090909092"/>
    <n v="25"/>
    <n v="0"/>
    <n v="48.63636363636364"/>
    <n v="10"/>
    <n v="8.5"/>
    <n v="2.8878281622911693E-2"/>
    <n v="0.98636363636363633"/>
    <n v="0.62084327764518699"/>
    <n v="0.92136363636363638"/>
    <m/>
    <m/>
    <m/>
    <m/>
    <m/>
    <m/>
    <n v="5"/>
    <m/>
    <m/>
  </r>
  <r>
    <x v="1359"/>
    <x v="0"/>
    <s v="Imported"/>
    <x v="23"/>
    <n v="30"/>
    <n v="30"/>
    <n v="0"/>
    <m/>
    <n v="13578.481012658227"/>
    <n v="13578.481012658227"/>
    <n v="0"/>
    <x v="1751"/>
    <n v="0"/>
    <n v="452.61603375527426"/>
    <n v="452.61603375527426"/>
    <n v="0"/>
    <n v="286.05333333333334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360"/>
    <x v="0"/>
    <s v="Native "/>
    <x v="0"/>
    <n v="24"/>
    <n v="24"/>
    <n v="0"/>
    <m/>
    <n v="11267"/>
    <n v="10495"/>
    <n v="772"/>
    <x v="1752"/>
    <n v="188"/>
    <n v="469.45833333333331"/>
    <n v="437.29166666666669"/>
    <n v="32.166666666666664"/>
    <n v="281.6875"/>
    <n v="7.833333333333333"/>
    <n v="25"/>
    <n v="0"/>
    <n v="49.000000000000007"/>
    <n v="10"/>
    <n v="8.5"/>
    <n v="6.8518682879204748E-2"/>
    <n v="0.99"/>
    <n v="0.60002662643117066"/>
    <n v="0.92500000000000004"/>
    <m/>
    <m/>
    <m/>
    <m/>
    <m/>
    <m/>
    <m/>
    <m/>
    <m/>
  </r>
  <r>
    <x v="1361"/>
    <x v="1"/>
    <m/>
    <x v="33"/>
    <n v="52"/>
    <n v="52"/>
    <n v="0"/>
    <m/>
    <n v="2720"/>
    <n v="2625"/>
    <n v="95"/>
    <x v="1753"/>
    <n v="0"/>
    <n v="52.307692307692307"/>
    <n v="50.480769230769234"/>
    <n v="1.8269230769230769"/>
    <n v="30.73076923076923"/>
    <n v="0"/>
    <n v="25"/>
    <n v="0"/>
    <n v="48.749999999999993"/>
    <n v="10"/>
    <n v="8.5"/>
    <n v="3.4926470588235295E-2"/>
    <n v="0.98749999999999993"/>
    <n v="0.58750000000000002"/>
    <n v="0.92249999999999999"/>
    <m/>
    <m/>
    <m/>
    <m/>
    <m/>
    <m/>
    <m/>
    <m/>
    <m/>
  </r>
  <r>
    <x v="1361"/>
    <x v="0"/>
    <s v="Native "/>
    <x v="32"/>
    <n v="35"/>
    <n v="35"/>
    <n v="0"/>
    <m/>
    <n v="16157"/>
    <n v="15540"/>
    <n v="617"/>
    <x v="1754"/>
    <n v="235"/>
    <n v="461.62857142857143"/>
    <n v="444"/>
    <n v="17.62857142857143"/>
    <n v="282.27142857142854"/>
    <n v="6.7142857142857144"/>
    <n v="25"/>
    <n v="0"/>
    <n v="48.828571428571429"/>
    <n v="10"/>
    <n v="8.5"/>
    <n v="3.8187782385343816E-2"/>
    <n v="0.98828571428571421"/>
    <n v="0.61146871325122243"/>
    <n v="0.92328571428571427"/>
    <m/>
    <m/>
    <m/>
    <m/>
    <m/>
    <m/>
    <m/>
    <m/>
    <m/>
  </r>
  <r>
    <x v="1361"/>
    <x v="0"/>
    <s v="Native "/>
    <x v="5"/>
    <n v="62"/>
    <n v="60"/>
    <n v="2"/>
    <s v="2 c. ovis in the heart "/>
    <n v="16960.142405063289"/>
    <n v="16960.142405063289"/>
    <n v="0"/>
    <x v="1755"/>
    <n v="0"/>
    <n v="282.66904008438814"/>
    <n v="282.66904008438814"/>
    <n v="0"/>
    <n v="178.64683333333332"/>
    <n v="0"/>
    <n v="24.833333333333332"/>
    <n v="5"/>
    <n v="50"/>
    <n v="10"/>
    <n v="8.5"/>
    <n v="0"/>
    <n v="0.99666666666666659"/>
    <n v="0.63200000000000012"/>
    <n v="0.98333333333333328"/>
    <m/>
    <m/>
    <m/>
    <m/>
    <m/>
    <m/>
    <m/>
    <m/>
    <m/>
  </r>
  <r>
    <x v="1362"/>
    <x v="0"/>
    <s v="Native "/>
    <x v="0"/>
    <n v="30"/>
    <n v="29"/>
    <n v="1"/>
    <s v="1 drug residues "/>
    <n v="14038"/>
    <n v="13550"/>
    <n v="488"/>
    <x v="1756"/>
    <n v="251"/>
    <n v="484.06896551724139"/>
    <n v="467.24137931034483"/>
    <n v="16.827586206896552"/>
    <n v="290.44482758620688"/>
    <n v="8.6551724137931032"/>
    <n v="25"/>
    <n v="0"/>
    <n v="49.862068965517238"/>
    <n v="9.8275862068965516"/>
    <n v="8.5"/>
    <n v="3.4762786721755236E-2"/>
    <n v="0.99862068965517237"/>
    <n v="0.60000712352186913"/>
    <n v="0.93189655172413799"/>
    <m/>
    <m/>
    <m/>
    <m/>
    <m/>
    <m/>
    <n v="6"/>
    <m/>
    <m/>
  </r>
  <r>
    <x v="1362"/>
    <x v="0"/>
    <s v="Imported"/>
    <x v="23"/>
    <n v="20"/>
    <n v="20"/>
    <n v="0"/>
    <m/>
    <n v="8960.1265822784808"/>
    <n v="8960.1265822784808"/>
    <n v="0"/>
    <x v="1757"/>
    <n v="0"/>
    <n v="448.00632911392404"/>
    <n v="448.00632911392404"/>
    <n v="0"/>
    <n v="283.1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63"/>
    <x v="1"/>
    <m/>
    <x v="14"/>
    <n v="55"/>
    <n v="51"/>
    <n v="4"/>
    <s v="3 parasitic + 1 fat tumor"/>
    <n v="2863"/>
    <n v="2863"/>
    <n v="0"/>
    <x v="1758"/>
    <n v="0"/>
    <n v="56.137254901960787"/>
    <n v="56.137254901960787"/>
    <n v="0"/>
    <n v="32.713725490196083"/>
    <n v="0"/>
    <n v="25"/>
    <n v="0"/>
    <n v="45.529411764705884"/>
    <n v="10"/>
    <n v="8.5"/>
    <n v="0"/>
    <n v="0.95529411764705885"/>
    <n v="0.58274537198742582"/>
    <n v="0.89029411764705879"/>
    <m/>
    <m/>
    <m/>
    <m/>
    <m/>
    <m/>
    <m/>
    <m/>
    <m/>
  </r>
  <r>
    <x v="1363"/>
    <x v="0"/>
    <s v="Imported"/>
    <x v="14"/>
    <n v="35"/>
    <n v="35"/>
    <n v="0"/>
    <m/>
    <n v="21175"/>
    <n v="20760"/>
    <n v="415"/>
    <x v="1759"/>
    <n v="253"/>
    <n v="605"/>
    <n v="593.14285714285711"/>
    <n v="11.857142857142858"/>
    <n v="373.64571428571429"/>
    <n v="7.2285714285714286"/>
    <n v="25"/>
    <n v="0"/>
    <n v="47.800000000000004"/>
    <n v="10"/>
    <n v="8.5"/>
    <n v="1.9598583234946874E-2"/>
    <n v="0.97799999999999998"/>
    <n v="0.6175962219598583"/>
    <n v="0.91300000000000014"/>
    <m/>
    <m/>
    <m/>
    <m/>
    <m/>
    <m/>
    <n v="11"/>
    <m/>
    <m/>
  </r>
  <r>
    <x v="1364"/>
    <x v="1"/>
    <m/>
    <x v="14"/>
    <n v="30"/>
    <n v="29"/>
    <n v="1"/>
    <s v="1 pyelonephritis"/>
    <n v="1648"/>
    <n v="1648"/>
    <n v="0"/>
    <x v="1760"/>
    <n v="0"/>
    <n v="56.827586206896555"/>
    <n v="56.827586206896555"/>
    <n v="0"/>
    <n v="33.044827586206893"/>
    <n v="0"/>
    <n v="25"/>
    <n v="0"/>
    <n v="46.689655172413794"/>
    <n v="10"/>
    <n v="8.5"/>
    <n v="0"/>
    <n v="0.96689655172413791"/>
    <n v="0.58149271844660189"/>
    <n v="0.90189655172413796"/>
    <m/>
    <m/>
    <m/>
    <m/>
    <m/>
    <m/>
    <m/>
    <m/>
    <m/>
  </r>
  <r>
    <x v="1364"/>
    <x v="0"/>
    <s v="Imported"/>
    <x v="14"/>
    <n v="39"/>
    <n v="39"/>
    <n v="0"/>
    <m/>
    <n v="23100"/>
    <n v="19127"/>
    <n v="3973"/>
    <x v="1761"/>
    <n v="0"/>
    <n v="592.30769230769226"/>
    <n v="490.43589743589746"/>
    <n v="101.87179487179488"/>
    <n v="365.87435897435898"/>
    <n v="0"/>
    <n v="24.871794871794872"/>
    <n v="0"/>
    <n v="48.794871794871788"/>
    <n v="10"/>
    <n v="8.5"/>
    <n v="0.171991341991342"/>
    <n v="0.9853846153846153"/>
    <n v="0.61770995670995676"/>
    <n v="0.92166666666666652"/>
    <m/>
    <m/>
    <m/>
    <m/>
    <m/>
    <m/>
    <n v="13"/>
    <m/>
    <m/>
  </r>
  <r>
    <x v="1365"/>
    <x v="0"/>
    <s v="Native "/>
    <x v="27"/>
    <n v="74"/>
    <n v="74"/>
    <n v="0"/>
    <m/>
    <n v="37874"/>
    <n v="37874"/>
    <n v="0"/>
    <x v="1762"/>
    <n v="675"/>
    <n v="511.81081081081084"/>
    <n v="511.81081081081084"/>
    <n v="0"/>
    <n v="317.64459459459459"/>
    <n v="9.121621621621621"/>
    <n v="25"/>
    <m/>
    <n v="49.8"/>
    <n v="10"/>
    <n v="10"/>
    <n v="0"/>
    <n v="0.998"/>
    <n v="0.62062892749643561"/>
    <n v="0.94799999999999995"/>
    <m/>
    <m/>
    <m/>
    <m/>
    <m/>
    <m/>
    <m/>
    <m/>
    <m/>
  </r>
  <r>
    <x v="1366"/>
    <x v="0"/>
    <s v="Imported"/>
    <x v="23"/>
    <n v="19"/>
    <n v="19"/>
    <n v="0"/>
    <m/>
    <n v="8708.1861958266454"/>
    <n v="8708.1861958266454"/>
    <n v="0"/>
    <x v="1763"/>
    <n v="0"/>
    <n v="458.32558925403396"/>
    <n v="458.32558925403396"/>
    <n v="0"/>
    <n v="285.53684210526313"/>
    <n v="0"/>
    <n v="25"/>
    <n v="4"/>
    <n v="50"/>
    <n v="10"/>
    <n v="8.5"/>
    <n v="0"/>
    <n v="1"/>
    <n v="0.623"/>
    <n v="0.97499999999999998"/>
    <m/>
    <m/>
    <m/>
    <m/>
    <m/>
    <m/>
    <m/>
    <m/>
    <m/>
  </r>
  <r>
    <x v="1367"/>
    <x v="0"/>
    <s v="Imported"/>
    <x v="9"/>
    <n v="39"/>
    <n v="39"/>
    <n v="0"/>
    <m/>
    <n v="24453"/>
    <n v="22925"/>
    <n v="1528"/>
    <x v="1764"/>
    <n v="0"/>
    <n v="627"/>
    <n v="587.82051282051282"/>
    <n v="39.179487179487182"/>
    <n v="384.94615384615383"/>
    <n v="0"/>
    <n v="20"/>
    <n v="0"/>
    <n v="46.794871794871796"/>
    <n v="10"/>
    <n v="8.5"/>
    <n v="6.2487220381957226E-2"/>
    <n v="0.86794871794871797"/>
    <n v="0.61394920868605074"/>
    <n v="0.85294871794871796"/>
    <m/>
    <m/>
    <m/>
    <m/>
    <m/>
    <m/>
    <n v="14"/>
    <m/>
    <m/>
  </r>
  <r>
    <x v="1367"/>
    <x v="0"/>
    <s v="Imported"/>
    <x v="23"/>
    <n v="48"/>
    <n v="48"/>
    <n v="0"/>
    <m/>
    <n v="21706.012658227846"/>
    <n v="21706.012658227846"/>
    <n v="0"/>
    <x v="1765"/>
    <n v="0"/>
    <n v="452.20859704641344"/>
    <n v="452.20859704641344"/>
    <n v="0"/>
    <n v="285.79583333333335"/>
    <n v="0"/>
    <n v="25"/>
    <n v="4"/>
    <n v="49.895833333333329"/>
    <n v="10"/>
    <n v="8.5"/>
    <n v="0"/>
    <n v="0.99895833333333328"/>
    <n v="0.63200000000000012"/>
    <n v="0.97395833333333326"/>
    <m/>
    <m/>
    <m/>
    <m/>
    <m/>
    <m/>
    <m/>
    <m/>
    <m/>
  </r>
  <r>
    <x v="1368"/>
    <x v="0"/>
    <s v="Imported"/>
    <x v="23"/>
    <n v="45"/>
    <n v="45"/>
    <n v="0"/>
    <m/>
    <n v="20283.227848101265"/>
    <n v="20283.227848101265"/>
    <n v="0"/>
    <x v="1766"/>
    <n v="0"/>
    <n v="450.73839662447256"/>
    <n v="450.73839662447256"/>
    <n v="0"/>
    <n v="284.86666666666667"/>
    <n v="0"/>
    <n v="24.888888888888889"/>
    <n v="4"/>
    <n v="50"/>
    <n v="9.6666666666666679"/>
    <n v="8.5"/>
    <n v="0"/>
    <n v="0.99777777777777776"/>
    <n v="0.63200000000000001"/>
    <n v="0.97055555555555562"/>
    <m/>
    <m/>
    <m/>
    <m/>
    <m/>
    <m/>
    <m/>
    <m/>
    <m/>
  </r>
  <r>
    <x v="1369"/>
    <x v="1"/>
    <m/>
    <x v="33"/>
    <n v="33"/>
    <n v="33"/>
    <n v="0"/>
    <m/>
    <n v="1770"/>
    <n v="1740"/>
    <n v="30"/>
    <x v="1767"/>
    <n v="0"/>
    <n v="53.636363636363633"/>
    <n v="52.727272727272727"/>
    <n v="0.90909090909090906"/>
    <n v="29.651515151515152"/>
    <n v="0"/>
    <n v="25"/>
    <n v="0"/>
    <n v="46.212121212121211"/>
    <n v="10"/>
    <n v="8.5"/>
    <n v="1.6949152542372881E-2"/>
    <n v="0.96212121212121215"/>
    <n v="0.55282485875706211"/>
    <n v="0.89712121212121221"/>
    <m/>
    <m/>
    <m/>
    <m/>
    <m/>
    <m/>
    <m/>
    <m/>
    <m/>
  </r>
  <r>
    <x v="1369"/>
    <x v="0"/>
    <s v="Native "/>
    <x v="32"/>
    <n v="52"/>
    <n v="52"/>
    <n v="0"/>
    <m/>
    <n v="23317"/>
    <n v="22630"/>
    <n v="687"/>
    <x v="1768"/>
    <n v="389"/>
    <n v="448.40384615384613"/>
    <n v="435.19230769230768"/>
    <n v="13.211538461538462"/>
    <n v="269.03846153846155"/>
    <n v="7.4807692307692308"/>
    <n v="25"/>
    <n v="0"/>
    <n v="48.326923076923073"/>
    <n v="10"/>
    <n v="8.5"/>
    <n v="2.9463481579963119E-2"/>
    <n v="0.98326923076923078"/>
    <n v="0.5999914225672256"/>
    <n v="0.91826923076923062"/>
    <m/>
    <m/>
    <m/>
    <m/>
    <m/>
    <m/>
    <m/>
    <m/>
    <m/>
  </r>
  <r>
    <x v="1370"/>
    <x v="1"/>
    <m/>
    <x v="33"/>
    <n v="32"/>
    <n v="32"/>
    <n v="0"/>
    <m/>
    <n v="1755"/>
    <n v="1755"/>
    <n v="0"/>
    <x v="1769"/>
    <n v="0"/>
    <n v="54.84375"/>
    <n v="54.84375"/>
    <n v="0"/>
    <n v="30.709375000000001"/>
    <n v="0"/>
    <n v="25"/>
    <n v="0"/>
    <n v="46.6875"/>
    <n v="10"/>
    <n v="8.5"/>
    <n v="0"/>
    <n v="0.96687499999999993"/>
    <n v="0.55994301994301998"/>
    <n v="0.90187499999999998"/>
    <m/>
    <m/>
    <m/>
    <m/>
    <m/>
    <m/>
    <m/>
    <m/>
    <m/>
  </r>
  <r>
    <x v="1370"/>
    <x v="0"/>
    <s v="Native "/>
    <x v="32"/>
    <n v="34"/>
    <n v="32"/>
    <n v="2"/>
    <s v="Rejection of 2 carcasses due to presence of C. Bovis at the"/>
    <n v="13793"/>
    <n v="13098"/>
    <n v="695"/>
    <x v="1770"/>
    <n v="0"/>
    <n v="431.03125"/>
    <n v="409.3125"/>
    <n v="21.71875"/>
    <n v="258.86874999999998"/>
    <n v="0"/>
    <n v="25"/>
    <n v="0"/>
    <n v="49.09375"/>
    <n v="10"/>
    <n v="8.5"/>
    <n v="5.0387877909084319E-2"/>
    <n v="0.99093750000000003"/>
    <n v="0.60058000435003256"/>
    <n v="0.92593749999999997"/>
    <m/>
    <m/>
    <m/>
    <m/>
    <m/>
    <m/>
    <m/>
    <m/>
    <m/>
  </r>
  <r>
    <x v="1371"/>
    <x v="1"/>
    <m/>
    <x v="14"/>
    <n v="35"/>
    <n v="35"/>
    <n v="0"/>
    <m/>
    <n v="1995"/>
    <n v="1980"/>
    <n v="15"/>
    <x v="1771"/>
    <n v="0"/>
    <n v="57"/>
    <n v="56.571428571428569"/>
    <n v="0.42857142857142855"/>
    <n v="32.694285714285712"/>
    <n v="0"/>
    <n v="25"/>
    <n v="0"/>
    <n v="48.257142857142853"/>
    <n v="10"/>
    <n v="8.5"/>
    <n v="7.5187969924812026E-3"/>
    <n v="0.98257142857142854"/>
    <n v="0.57358395989974931"/>
    <n v="0.91757142857142848"/>
    <m/>
    <m/>
    <m/>
    <m/>
    <m/>
    <m/>
    <m/>
    <m/>
    <m/>
  </r>
  <r>
    <x v="1371"/>
    <x v="0"/>
    <s v="Imported"/>
    <x v="14"/>
    <n v="60"/>
    <n v="60"/>
    <n v="0"/>
    <m/>
    <n v="36000"/>
    <n v="35252"/>
    <n v="748"/>
    <x v="1772"/>
    <n v="478"/>
    <n v="600"/>
    <n v="587.5333333333333"/>
    <n v="12.466666666666667"/>
    <n v="371.21333333333331"/>
    <n v="7.9666666666666668"/>
    <n v="20"/>
    <n v="0"/>
    <n v="49.283333333333331"/>
    <n v="10"/>
    <n v="8.5"/>
    <n v="2.0777777777777777E-2"/>
    <n v="0.89283333333333337"/>
    <n v="0.61868888888888884"/>
    <n v="0.87783333333333335"/>
    <m/>
    <m/>
    <m/>
    <m/>
    <m/>
    <m/>
    <n v="7"/>
    <m/>
    <m/>
  </r>
  <r>
    <x v="1372"/>
    <x v="1"/>
    <m/>
    <x v="30"/>
    <n v="27"/>
    <n v="27"/>
    <n v="0"/>
    <m/>
    <n v="1321"/>
    <n v="1321"/>
    <n v="0"/>
    <x v="1773"/>
    <n v="0"/>
    <n v="48.925925925925924"/>
    <n v="48.925925925925924"/>
    <n v="0"/>
    <n v="27.7"/>
    <n v="0"/>
    <n v="25"/>
    <n v="0"/>
    <n v="47.481481481481481"/>
    <n v="10"/>
    <n v="8.5"/>
    <n v="0"/>
    <n v="0.9748148148148148"/>
    <n v="0.56616199848599547"/>
    <n v="0.90981481481481485"/>
    <m/>
    <m/>
    <m/>
    <m/>
    <m/>
    <m/>
    <m/>
    <m/>
    <m/>
  </r>
  <r>
    <x v="1372"/>
    <x v="0"/>
    <s v="Native "/>
    <x v="0"/>
    <n v="25"/>
    <n v="24"/>
    <n v="1"/>
    <s v="Rejection of 1 bull older than 3 years "/>
    <n v="12744"/>
    <n v="12744"/>
    <n v="0"/>
    <x v="1774"/>
    <n v="262"/>
    <n v="531"/>
    <n v="531"/>
    <n v="0"/>
    <n v="318.60416666666669"/>
    <n v="10.916666666666666"/>
    <n v="25"/>
    <n v="0"/>
    <n v="49.208333333333329"/>
    <n v="10"/>
    <n v="8.5"/>
    <n v="0"/>
    <n v="0.99208333333333321"/>
    <n v="0.60000784682988073"/>
    <n v="0.92708333333333326"/>
    <m/>
    <m/>
    <m/>
    <m/>
    <m/>
    <m/>
    <n v="6"/>
    <m/>
    <m/>
  </r>
  <r>
    <x v="1372"/>
    <x v="0"/>
    <s v="Imported"/>
    <x v="23"/>
    <n v="48"/>
    <n v="48"/>
    <n v="0"/>
    <m/>
    <n v="21869.936708860758"/>
    <n v="21869.936708860758"/>
    <n v="0"/>
    <x v="1775"/>
    <n v="0"/>
    <n v="455.62368143459912"/>
    <n v="455.62368143459912"/>
    <n v="0"/>
    <n v="287.95416666666665"/>
    <n v="0"/>
    <n v="25"/>
    <n v="4"/>
    <n v="50"/>
    <n v="9.8958333333333321"/>
    <n v="8.5"/>
    <n v="0"/>
    <n v="1"/>
    <n v="0.63200000000000001"/>
    <n v="0.97395833333333326"/>
    <m/>
    <m/>
    <m/>
    <m/>
    <m/>
    <m/>
    <n v="3"/>
    <m/>
    <m/>
  </r>
  <r>
    <x v="1373"/>
    <x v="0"/>
    <s v="Imported"/>
    <x v="9"/>
    <n v="28"/>
    <n v="28"/>
    <n v="0"/>
    <m/>
    <n v="16472"/>
    <n v="15580"/>
    <n v="892"/>
    <x v="1776"/>
    <n v="230"/>
    <n v="588.28571428571433"/>
    <n v="556.42857142857144"/>
    <n v="31.857142857142858"/>
    <n v="366.26428571428568"/>
    <n v="8.2142857142857135"/>
    <n v="25"/>
    <n v="0"/>
    <n v="46.142857142857146"/>
    <n v="10"/>
    <n v="8.5"/>
    <n v="5.4152501214181636E-2"/>
    <n v="0.96142857142857152"/>
    <n v="0.62259592034968425"/>
    <n v="0.89642857142857135"/>
    <m/>
    <m/>
    <m/>
    <m/>
    <m/>
    <m/>
    <n v="7"/>
    <m/>
    <m/>
  </r>
  <r>
    <x v="1374"/>
    <x v="1"/>
    <m/>
    <x v="33"/>
    <n v="33"/>
    <n v="33"/>
    <n v="0"/>
    <m/>
    <n v="1812"/>
    <n v="1805"/>
    <n v="7"/>
    <x v="1777"/>
    <n v="0"/>
    <n v="54.909090909090907"/>
    <n v="54.696969696969695"/>
    <n v="0.21212121212121213"/>
    <n v="30.924242424242426"/>
    <n v="0"/>
    <n v="25"/>
    <n v="0"/>
    <n v="46.848484848484851"/>
    <n v="10"/>
    <n v="8.5"/>
    <n v="3.8631346578366448E-3"/>
    <n v="0.9684848484848485"/>
    <n v="0.5631898454746137"/>
    <n v="0.90348484848484845"/>
    <m/>
    <m/>
    <m/>
    <m/>
    <m/>
    <m/>
    <m/>
    <m/>
    <m/>
  </r>
  <r>
    <x v="1374"/>
    <x v="0"/>
    <s v="Imported"/>
    <x v="9"/>
    <n v="40"/>
    <n v="35"/>
    <n v="5"/>
    <s v="Rejection of 5 carcasses due to presence of drug residues."/>
    <n v="21835"/>
    <n v="20540"/>
    <n v="1295"/>
    <x v="1778"/>
    <n v="324"/>
    <n v="623.85714285714289"/>
    <n v="586.85714285714289"/>
    <n v="37"/>
    <n v="384.07142857142856"/>
    <n v="9.257142857142858"/>
    <n v="24.857142857142858"/>
    <n v="0"/>
    <n v="41.714285714285715"/>
    <n v="10"/>
    <n v="8.5"/>
    <n v="5.9308449736661321E-2"/>
    <n v="0.91428571428571437"/>
    <n v="0.61564002747881841"/>
    <n v="0.85071428571428565"/>
    <m/>
    <m/>
    <m/>
    <m/>
    <m/>
    <m/>
    <n v="16"/>
    <m/>
    <m/>
  </r>
  <r>
    <x v="1375"/>
    <x v="0"/>
    <s v="Native "/>
    <x v="32"/>
    <n v="30"/>
    <n v="30"/>
    <n v="0"/>
    <m/>
    <n v="13052"/>
    <n v="12385"/>
    <n v="667"/>
    <x v="1779"/>
    <n v="201"/>
    <n v="435.06666666666666"/>
    <n v="412.83333333333331"/>
    <n v="22.233333333333334"/>
    <n v="262.07499999999999"/>
    <n v="6.7"/>
    <n v="25"/>
    <n v="0"/>
    <n v="49.833333333333336"/>
    <n v="10"/>
    <n v="8.5"/>
    <n v="5.1103279190928594E-2"/>
    <n v="0.99833333333333329"/>
    <n v="0.60237894575543982"/>
    <n v="0.93333333333333346"/>
    <m/>
    <m/>
    <m/>
    <m/>
    <m/>
    <m/>
    <m/>
    <m/>
    <m/>
  </r>
  <r>
    <x v="1375"/>
    <x v="0"/>
    <s v="Imported"/>
    <x v="23"/>
    <n v="21"/>
    <n v="21"/>
    <n v="0"/>
    <m/>
    <n v="9381.32911392405"/>
    <n v="9381.32911392405"/>
    <n v="0"/>
    <x v="1780"/>
    <n v="0"/>
    <n v="446.72995780590713"/>
    <n v="446.72995780590713"/>
    <n v="0"/>
    <n v="282.3333333333333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76"/>
    <x v="1"/>
    <m/>
    <x v="14"/>
    <n v="36"/>
    <n v="36"/>
    <n v="0"/>
    <m/>
    <n v="1972"/>
    <n v="1960"/>
    <n v="12"/>
    <x v="1781"/>
    <n v="0"/>
    <n v="54.777777777777779"/>
    <n v="54.444444444444443"/>
    <n v="0.33333333333333331"/>
    <n v="30.922222222222224"/>
    <n v="0"/>
    <n v="25"/>
    <n v="0"/>
    <n v="47.666666666666657"/>
    <n v="10"/>
    <n v="8.5"/>
    <n v="6.0851926977687626E-3"/>
    <n v="0.97666666666666657"/>
    <n v="0.56450304259634887"/>
    <n v="0.91166666666666663"/>
    <m/>
    <m/>
    <m/>
    <m/>
    <m/>
    <m/>
    <m/>
    <m/>
    <m/>
  </r>
  <r>
    <x v="1376"/>
    <x v="0"/>
    <s v="Imported"/>
    <x v="14"/>
    <n v="40"/>
    <n v="39"/>
    <n v="1"/>
    <s v="Rejection of 1 carcasses due to presence of drug"/>
    <n v="25412"/>
    <n v="24813"/>
    <n v="599"/>
    <x v="1782"/>
    <n v="329"/>
    <n v="651.58974358974353"/>
    <n v="636.23076923076928"/>
    <n v="15.358974358974359"/>
    <n v="398.25641025641028"/>
    <n v="8.4358974358974361"/>
    <n v="25"/>
    <n v="0"/>
    <n v="43.256410256410255"/>
    <n v="10"/>
    <n v="8.5"/>
    <n v="2.3571541004249963E-2"/>
    <n v="0.93256410256410249"/>
    <n v="0.61120730363607745"/>
    <n v="0.86756410256410244"/>
    <m/>
    <m/>
    <m/>
    <m/>
    <m/>
    <m/>
    <n v="7"/>
    <m/>
    <m/>
  </r>
  <r>
    <x v="1377"/>
    <x v="1"/>
    <m/>
    <x v="33"/>
    <n v="28"/>
    <n v="27"/>
    <n v="1"/>
    <s v="Rejection of 1 carcass due to sever parasitic infestation. "/>
    <n v="1485"/>
    <n v="1485"/>
    <n v="0"/>
    <x v="1783"/>
    <n v="0"/>
    <n v="55"/>
    <n v="55"/>
    <n v="0"/>
    <n v="32.662962962962965"/>
    <n v="0"/>
    <n v="25"/>
    <n v="0"/>
    <n v="46.296296296296298"/>
    <n v="10"/>
    <n v="8.5"/>
    <n v="0"/>
    <n v="0.96296296296296302"/>
    <n v="0.59387205387205388"/>
    <n v="0.89796296296296307"/>
    <m/>
    <m/>
    <m/>
    <m/>
    <m/>
    <m/>
    <m/>
    <m/>
    <m/>
  </r>
  <r>
    <x v="1377"/>
    <x v="0"/>
    <s v="Native "/>
    <x v="32"/>
    <n v="23"/>
    <n v="22"/>
    <n v="1"/>
    <s v="Rejection of 1 carcass due to presence of C.Bovis in"/>
    <n v="9493"/>
    <n v="9016"/>
    <n v="477"/>
    <x v="1784"/>
    <n v="154"/>
    <n v="431.5"/>
    <n v="409.81818181818181"/>
    <n v="21.681818181818183"/>
    <n v="258.90000000000003"/>
    <n v="7"/>
    <n v="25"/>
    <n v="0"/>
    <n v="50"/>
    <n v="10"/>
    <n v="8.5"/>
    <n v="5.0247550826925107E-2"/>
    <n v="1"/>
    <n v="0.6"/>
    <n v="0.93500000000000005"/>
    <m/>
    <m/>
    <m/>
    <m/>
    <m/>
    <m/>
    <n v="3"/>
    <m/>
    <m/>
  </r>
  <r>
    <x v="1377"/>
    <x v="0"/>
    <s v="Imported"/>
    <x v="23"/>
    <n v="45"/>
    <n v="45"/>
    <n v="0"/>
    <m/>
    <n v="20444.303797468354"/>
    <n v="20444.303797468354"/>
    <n v="0"/>
    <x v="1785"/>
    <n v="0"/>
    <n v="454.31786216596345"/>
    <n v="454.31786216596345"/>
    <n v="0"/>
    <n v="287.12888888888887"/>
    <n v="0"/>
    <n v="25"/>
    <n v="4"/>
    <n v="50"/>
    <n v="9.8888888888888893"/>
    <n v="8.5"/>
    <n v="0"/>
    <n v="1"/>
    <n v="0.63200000000000001"/>
    <n v="0.9738888888888888"/>
    <m/>
    <m/>
    <m/>
    <m/>
    <m/>
    <m/>
    <m/>
    <m/>
    <m/>
  </r>
  <r>
    <x v="1378"/>
    <x v="0"/>
    <s v="Imported"/>
    <x v="9"/>
    <n v="24"/>
    <n v="20"/>
    <n v="4"/>
    <s v="Rejection of 4 carcasses due to presence of drug"/>
    <n v="11603"/>
    <n v="10548"/>
    <n v="1055"/>
    <x v="1786"/>
    <n v="0"/>
    <n v="580.15"/>
    <n v="527.4"/>
    <n v="52.75"/>
    <n v="348.09499999999997"/>
    <n v="0"/>
    <n v="25"/>
    <n v="0"/>
    <n v="42.95"/>
    <n v="10"/>
    <n v="8.5"/>
    <n v="9.0924760837714391E-2"/>
    <n v="0.92949999999999999"/>
    <n v="0.60000861846074283"/>
    <n v="0.86450000000000005"/>
    <m/>
    <m/>
    <m/>
    <m/>
    <m/>
    <m/>
    <n v="2"/>
    <m/>
    <m/>
  </r>
  <r>
    <x v="1379"/>
    <x v="1"/>
    <m/>
    <x v="33"/>
    <n v="40"/>
    <n v="40"/>
    <n v="0"/>
    <m/>
    <n v="2152"/>
    <n v="2125"/>
    <n v="27"/>
    <x v="1787"/>
    <n v="0"/>
    <n v="53.8"/>
    <n v="53.125"/>
    <n v="0.67500000000000004"/>
    <n v="32.202500000000001"/>
    <n v="0"/>
    <n v="25"/>
    <n v="0"/>
    <n v="48.75"/>
    <n v="10"/>
    <n v="8.5"/>
    <n v="1.2546468401486991E-2"/>
    <n v="0.98750000000000004"/>
    <n v="0.59855947955390332"/>
    <n v="0.92249999999999999"/>
    <m/>
    <m/>
    <m/>
    <m/>
    <m/>
    <m/>
    <m/>
    <m/>
    <m/>
  </r>
  <r>
    <x v="1379"/>
    <x v="0"/>
    <s v="Native "/>
    <x v="32"/>
    <n v="42"/>
    <n v="42"/>
    <n v="0"/>
    <m/>
    <n v="17678"/>
    <n v="17285"/>
    <n v="393"/>
    <x v="1788"/>
    <n v="243"/>
    <n v="420.90476190476193"/>
    <n v="411.54761904761904"/>
    <n v="9.3571428571428577"/>
    <n v="252.54523809523809"/>
    <n v="5.7857142857142856"/>
    <n v="25"/>
    <n v="0"/>
    <n v="49.952380952380949"/>
    <n v="10"/>
    <n v="8.5"/>
    <n v="2.2231021608779274E-2"/>
    <n v="0.99952380952380948"/>
    <n v="0.60000565674850093"/>
    <n v="0.93452380952380953"/>
    <m/>
    <m/>
    <m/>
    <m/>
    <m/>
    <m/>
    <m/>
    <m/>
    <m/>
  </r>
  <r>
    <x v="1379"/>
    <x v="0"/>
    <s v="Imported"/>
    <x v="23"/>
    <n v="24"/>
    <n v="23"/>
    <n v="1"/>
    <s v="Rejection of 1 carcass due to presence of sever blood"/>
    <n v="10473.101265822785"/>
    <n v="10473.101265822785"/>
    <n v="0"/>
    <x v="1789"/>
    <n v="0"/>
    <n v="455.35222894881673"/>
    <n v="455.35222894881673"/>
    <n v="0"/>
    <n v="287.78260869565219"/>
    <n v="0"/>
    <n v="25"/>
    <n v="4"/>
    <n v="50"/>
    <n v="10"/>
    <n v="8.5"/>
    <n v="0"/>
    <n v="1"/>
    <n v="0.63200000000000001"/>
    <n v="0.97499999999999998"/>
    <m/>
    <m/>
    <m/>
    <m/>
    <m/>
    <m/>
    <n v="2"/>
    <m/>
    <m/>
  </r>
  <r>
    <x v="1380"/>
    <x v="0"/>
    <s v="Imported"/>
    <x v="23"/>
    <n v="35"/>
    <n v="35"/>
    <n v="0"/>
    <m/>
    <n v="15974.367088607592"/>
    <n v="15974.367088607592"/>
    <n v="0"/>
    <x v="1790"/>
    <n v="0"/>
    <n v="456.41048824593122"/>
    <n v="456.41048824593122"/>
    <n v="0"/>
    <n v="288.45142857142855"/>
    <n v="0"/>
    <n v="24.857142857142858"/>
    <n v="4"/>
    <n v="50"/>
    <n v="10"/>
    <n v="8.5"/>
    <n v="0"/>
    <n v="0.99714285714285711"/>
    <n v="0.63200000000000001"/>
    <n v="0.97357142857142864"/>
    <m/>
    <m/>
    <m/>
    <m/>
    <m/>
    <m/>
    <n v="5"/>
    <m/>
    <m/>
  </r>
  <r>
    <x v="1381"/>
    <x v="1"/>
    <m/>
    <x v="14"/>
    <n v="30"/>
    <n v="30"/>
    <n v="0"/>
    <m/>
    <n v="1643"/>
    <n v="1633"/>
    <n v="10"/>
    <x v="1791"/>
    <n v="274.16666666666669"/>
    <n v="54.766666666666666"/>
    <n v="54.43333333333333"/>
    <n v="0.33333333333333331"/>
    <n v="30.933333333333334"/>
    <n v="9.1388888888888893"/>
    <n v="25"/>
    <n v="0"/>
    <n v="48.233333333333327"/>
    <n v="10"/>
    <n v="8.5"/>
    <n v="6.0864272671941567E-3"/>
    <n v="0.98233333333333328"/>
    <n v="0.56482045039561779"/>
    <n v="0.91733333333333322"/>
    <m/>
    <m/>
    <m/>
    <m/>
    <m/>
    <m/>
    <m/>
    <m/>
    <m/>
  </r>
  <r>
    <x v="1381"/>
    <x v="0"/>
    <s v="Native "/>
    <x v="0"/>
    <n v="24"/>
    <n v="24"/>
    <n v="0"/>
    <m/>
    <n v="12305"/>
    <n v="11415"/>
    <n v="890"/>
    <x v="1792"/>
    <n v="206"/>
    <n v="512.70833333333337"/>
    <n v="475.625"/>
    <n v="37.083333333333336"/>
    <n v="307.67916666666667"/>
    <n v="8.5833333333333339"/>
    <n v="25"/>
    <n v="0"/>
    <n v="49.208333333333329"/>
    <n v="10"/>
    <n v="8.5"/>
    <n v="7.2328321820398209E-2"/>
    <n v="0.99208333333333321"/>
    <n v="0.60010564811052414"/>
    <n v="0.92708333333333326"/>
    <m/>
    <m/>
    <m/>
    <m/>
    <m/>
    <m/>
    <m/>
    <m/>
    <m/>
  </r>
  <r>
    <x v="1382"/>
    <x v="0"/>
    <s v="Imported"/>
    <x v="23"/>
    <n v="44"/>
    <n v="44"/>
    <n v="0"/>
    <m/>
    <n v="21345.569620253165"/>
    <n v="21345.569620253165"/>
    <n v="0"/>
    <x v="1793"/>
    <n v="0"/>
    <n v="485.12658227848101"/>
    <n v="485.12658227848101"/>
    <n v="0"/>
    <n v="306.59999999999997"/>
    <n v="0"/>
    <n v="25"/>
    <n v="4"/>
    <n v="50"/>
    <n v="10"/>
    <n v="8.5"/>
    <n v="0"/>
    <n v="1"/>
    <n v="0.63200000000000001"/>
    <n v="0.97499999999999998"/>
    <m/>
    <m/>
    <m/>
    <m/>
    <m/>
    <m/>
    <n v="5"/>
    <m/>
    <m/>
  </r>
  <r>
    <x v="1383"/>
    <x v="1"/>
    <m/>
    <x v="9"/>
    <n v="45"/>
    <n v="45"/>
    <n v="0"/>
    <m/>
    <n v="2139.2857142857142"/>
    <n v="2139.2857142857142"/>
    <n v="0"/>
    <x v="1794"/>
    <n v="0"/>
    <n v="47.539682539682538"/>
    <n v="47.539682539682538"/>
    <n v="0"/>
    <n v="26.622222222222224"/>
    <n v="0"/>
    <n v="25"/>
    <n v="0"/>
    <n v="49.533333333333331"/>
    <n v="10"/>
    <n v="8.5"/>
    <n v="0"/>
    <n v="0.99533333333333329"/>
    <n v="0.56000000000000005"/>
    <n v="0.93033333333333335"/>
    <m/>
    <m/>
    <m/>
    <m/>
    <m/>
    <m/>
    <m/>
    <m/>
    <m/>
  </r>
  <r>
    <x v="1383"/>
    <x v="0"/>
    <s v="Native "/>
    <x v="9"/>
    <n v="39"/>
    <n v="37"/>
    <n v="2"/>
    <s v="1 - c. bovis + 1 AB residues"/>
    <n v="19062"/>
    <n v="18375"/>
    <n v="687"/>
    <x v="1795"/>
    <n v="370"/>
    <n v="515.18918918918916"/>
    <n v="496.62162162162161"/>
    <n v="18.567567567567568"/>
    <n v="309.12972972972972"/>
    <n v="10"/>
    <n v="25"/>
    <n v="0"/>
    <n v="48"/>
    <n v="10"/>
    <n v="8.5"/>
    <n v="3.604028958136607E-2"/>
    <n v="0.98"/>
    <n v="0.60003147623544217"/>
    <n v="0.91500000000000004"/>
    <m/>
    <m/>
    <m/>
    <m/>
    <m/>
    <m/>
    <n v="11"/>
    <m/>
    <m/>
  </r>
  <r>
    <x v="1383"/>
    <x v="0"/>
    <s v="Imported"/>
    <x v="23"/>
    <n v="24"/>
    <n v="24"/>
    <n v="0"/>
    <m/>
    <n v="11118.354430379746"/>
    <n v="11118.354430379746"/>
    <n v="0"/>
    <x v="1796"/>
    <n v="0"/>
    <n v="463.26476793248941"/>
    <n v="463.26476793248941"/>
    <n v="0"/>
    <n v="292.78333333333336"/>
    <n v="0"/>
    <n v="25"/>
    <n v="4"/>
    <n v="50"/>
    <n v="10"/>
    <n v="8.5"/>
    <n v="0"/>
    <n v="1"/>
    <n v="0.63200000000000001"/>
    <n v="0.97499999999999998"/>
    <m/>
    <m/>
    <m/>
    <m/>
    <m/>
    <m/>
    <n v="3"/>
    <m/>
    <m/>
  </r>
  <r>
    <x v="1384"/>
    <x v="0"/>
    <s v="Imported"/>
    <x v="23"/>
    <n v="40"/>
    <n v="38"/>
    <n v="2"/>
    <s v="1- older - 1 blood splash "/>
    <n v="16974.683544303796"/>
    <n v="16974.683544303796"/>
    <n v="0"/>
    <x v="1797"/>
    <n v="0"/>
    <n v="446.70219853431041"/>
    <n v="446.70219853431041"/>
    <n v="0"/>
    <n v="282.3157894736842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85"/>
    <x v="0"/>
    <s v="Native "/>
    <x v="0"/>
    <n v="34"/>
    <n v="33"/>
    <n v="1"/>
    <s v="1 older "/>
    <n v="16630"/>
    <n v="16150"/>
    <n v="480"/>
    <x v="1798"/>
    <n v="297"/>
    <n v="503.93939393939394"/>
    <n v="489.39393939393938"/>
    <n v="14.545454545454545"/>
    <n v="302.36969696969697"/>
    <n v="9"/>
    <n v="25"/>
    <n v="0"/>
    <n v="48.575757575757571"/>
    <n v="9.8484848484848477"/>
    <n v="8.5"/>
    <n v="2.8863499699338543E-2"/>
    <n v="0.98575757575757572"/>
    <n v="0.60001202645820806"/>
    <n v="0.91924242424242408"/>
    <m/>
    <m/>
    <m/>
    <m/>
    <m/>
    <m/>
    <n v="12"/>
    <m/>
    <m/>
  </r>
  <r>
    <x v="1386"/>
    <x v="1"/>
    <m/>
    <x v="9"/>
    <n v="50"/>
    <n v="50"/>
    <n v="0"/>
    <m/>
    <n v="2416"/>
    <n v="2416"/>
    <n v="0"/>
    <x v="1799"/>
    <n v="0"/>
    <n v="48.32"/>
    <n v="48.32"/>
    <n v="0"/>
    <n v="26.576000000000001"/>
    <n v="0"/>
    <n v="25"/>
    <n v="0"/>
    <n v="47.12"/>
    <n v="10"/>
    <n v="8.5"/>
    <n v="0"/>
    <n v="0.97119999999999995"/>
    <n v="0.54999999999999993"/>
    <n v="0.90620000000000001"/>
    <m/>
    <m/>
    <m/>
    <m/>
    <m/>
    <m/>
    <m/>
    <m/>
    <m/>
  </r>
  <r>
    <x v="1386"/>
    <x v="0"/>
    <s v="Native "/>
    <x v="9"/>
    <n v="28"/>
    <n v="14"/>
    <n v="14"/>
    <s v="Rejection of 14 carcasses due to presence of drug residues"/>
    <n v="7356"/>
    <n v="6940"/>
    <n v="416"/>
    <x v="1800"/>
    <n v="0"/>
    <n v="525.42857142857144"/>
    <n v="495.71428571428572"/>
    <n v="29.714285714285715"/>
    <n v="315.2714285714286"/>
    <n v="0"/>
    <n v="25"/>
    <n v="0"/>
    <n v="42.785714285714285"/>
    <n v="10"/>
    <n v="8.5"/>
    <n v="5.6552474170744972E-2"/>
    <n v="0.92785714285714282"/>
    <n v="0.60002718868950522"/>
    <n v="0.86285714285714277"/>
    <m/>
    <m/>
    <m/>
    <m/>
    <m/>
    <m/>
    <n v="11"/>
    <m/>
    <m/>
  </r>
  <r>
    <x v="1386"/>
    <x v="0"/>
    <s v="Imported"/>
    <x v="23"/>
    <n v="48"/>
    <n v="48"/>
    <n v="0"/>
    <m/>
    <n v="22890.348101265823"/>
    <n v="22890.348101265823"/>
    <n v="0"/>
    <x v="1801"/>
    <n v="0"/>
    <n v="476.88225210970467"/>
    <n v="476.88225210970467"/>
    <n v="0"/>
    <n v="301.38958333333335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87"/>
    <x v="1"/>
    <m/>
    <x v="30"/>
    <n v="25"/>
    <n v="25"/>
    <n v="0"/>
    <m/>
    <n v="1148"/>
    <n v="1148"/>
    <n v="0"/>
    <x v="1802"/>
    <n v="0"/>
    <n v="45.92"/>
    <n v="45.92"/>
    <n v="0"/>
    <n v="25.616"/>
    <n v="0"/>
    <n v="25"/>
    <n v="0"/>
    <n v="47.640000000000008"/>
    <n v="10"/>
    <n v="8.5"/>
    <n v="0"/>
    <n v="0.97640000000000016"/>
    <n v="0.55783972125435544"/>
    <n v="0.9114000000000001"/>
    <m/>
    <m/>
    <m/>
    <m/>
    <m/>
    <m/>
    <m/>
    <m/>
    <m/>
  </r>
  <r>
    <x v="1387"/>
    <x v="0"/>
    <s v="Imported"/>
    <x v="23"/>
    <n v="66"/>
    <n v="65"/>
    <n v="1"/>
    <s v="Rejection of 1 carcass due to presence of sever blood splashes "/>
    <n v="26880.696202531642"/>
    <n v="26880.696202531642"/>
    <n v="0"/>
    <x v="1803"/>
    <n v="0"/>
    <n v="413.54917234664066"/>
    <n v="413.54917234664066"/>
    <n v="0"/>
    <n v="261.3630769230769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88"/>
    <x v="0"/>
    <s v="Imported"/>
    <x v="23"/>
    <n v="35"/>
    <n v="33"/>
    <n v="2"/>
    <s v="1 carcass blood splash + 1 bull older than 3 years "/>
    <n v="15467.72151898734"/>
    <n v="15467.72151898734"/>
    <n v="0"/>
    <x v="1804"/>
    <n v="0"/>
    <n v="468.71883390870727"/>
    <n v="468.71883390870727"/>
    <n v="0"/>
    <n v="296.23030303030305"/>
    <n v="0"/>
    <n v="25"/>
    <n v="4"/>
    <n v="50"/>
    <n v="9.8484848484848477"/>
    <n v="8.5"/>
    <n v="0"/>
    <n v="1"/>
    <n v="0.63200000000000012"/>
    <n v="0.9734848484848484"/>
    <m/>
    <m/>
    <m/>
    <m/>
    <m/>
    <m/>
    <m/>
    <m/>
    <m/>
  </r>
  <r>
    <x v="1389"/>
    <x v="0"/>
    <s v="Imported"/>
    <x v="23"/>
    <n v="40"/>
    <n v="40"/>
    <n v="0"/>
    <m/>
    <n v="19376.582278481012"/>
    <n v="19376.582278481012"/>
    <n v="0"/>
    <x v="1805"/>
    <n v="0"/>
    <n v="484.4145569620253"/>
    <n v="484.4145569620253"/>
    <n v="0"/>
    <n v="306.14999999999998"/>
    <n v="0"/>
    <n v="25"/>
    <n v="4"/>
    <n v="50"/>
    <n v="9.875"/>
    <n v="8.5"/>
    <n v="0"/>
    <n v="1"/>
    <n v="0.63200000000000001"/>
    <n v="0.97375"/>
    <m/>
    <m/>
    <m/>
    <m/>
    <m/>
    <m/>
    <m/>
    <m/>
    <m/>
  </r>
  <r>
    <x v="1389"/>
    <x v="0"/>
    <s v="Imported"/>
    <x v="14"/>
    <n v="45"/>
    <n v="5"/>
    <n v="40"/>
    <s v="25 carcasses + 15 bulls drug residues "/>
    <n v="2584"/>
    <n v="2584"/>
    <n v="0"/>
    <x v="1806"/>
    <m/>
    <n v="516.79999999999995"/>
    <n v="516.79999999999995"/>
    <n v="0"/>
    <n v="331.48"/>
    <n v="0"/>
    <n v="25"/>
    <n v="0"/>
    <n v="44.2"/>
    <n v="10"/>
    <n v="8.5"/>
    <n v="0"/>
    <n v="0.94199999999999995"/>
    <n v="0.64140866873065017"/>
    <n v="0.877"/>
    <m/>
    <m/>
    <m/>
    <m/>
    <m/>
    <m/>
    <m/>
    <m/>
    <m/>
  </r>
  <r>
    <x v="1390"/>
    <x v="1"/>
    <m/>
    <x v="33"/>
    <n v="44"/>
    <n v="44"/>
    <n v="0"/>
    <m/>
    <n v="2112"/>
    <n v="2112"/>
    <n v="0"/>
    <x v="1807"/>
    <n v="0"/>
    <n v="48"/>
    <n v="48"/>
    <n v="0"/>
    <n v="26.265909090909091"/>
    <n v="0"/>
    <n v="25"/>
    <n v="4"/>
    <n v="45.1"/>
    <n v="10"/>
    <n v="8.5"/>
    <n v="0"/>
    <n v="0.95100000000000007"/>
    <n v="0.54720643939393943"/>
    <n v="0.92599999999999993"/>
    <m/>
    <m/>
    <m/>
    <m/>
    <m/>
    <m/>
    <m/>
    <m/>
    <m/>
  </r>
  <r>
    <x v="1390"/>
    <x v="0"/>
    <s v="Imported"/>
    <x v="23"/>
    <n v="47"/>
    <n v="47"/>
    <n v="0"/>
    <m/>
    <n v="21378.797468354431"/>
    <n v="21378.797468354431"/>
    <n v="0"/>
    <x v="1808"/>
    <n v="0"/>
    <n v="454.86803124158365"/>
    <n v="454.86803124158365"/>
    <n v="0"/>
    <n v="287.4765957446808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91"/>
    <x v="0"/>
    <s v="Imported"/>
    <x v="23"/>
    <n v="85"/>
    <n v="83"/>
    <n v="2"/>
    <s v="1 blood splashes + 1 c. bovis"/>
    <n v="38351.265822784808"/>
    <n v="38351.265822784808"/>
    <n v="0"/>
    <x v="1809"/>
    <n v="0"/>
    <n v="462.06344364800975"/>
    <n v="462.06344364800975"/>
    <n v="0"/>
    <n v="292.02409638554218"/>
    <n v="0"/>
    <n v="25"/>
    <n v="4"/>
    <n v="50"/>
    <n v="9.9397590361445793"/>
    <n v="8.5"/>
    <n v="0"/>
    <n v="1"/>
    <n v="0.63200000000000001"/>
    <n v="0.9743975903614458"/>
    <m/>
    <m/>
    <m/>
    <m/>
    <m/>
    <m/>
    <n v="3"/>
    <m/>
    <m/>
  </r>
  <r>
    <x v="1392"/>
    <x v="1"/>
    <m/>
    <x v="14"/>
    <n v="49"/>
    <n v="49"/>
    <n v="0"/>
    <m/>
    <n v="2713"/>
    <n v="2820"/>
    <n v="-107"/>
    <x v="1810"/>
    <n v="0"/>
    <n v="55.367346938775512"/>
    <n v="57.551020408163268"/>
    <n v="-2.1836734693877551"/>
    <n v="32.048979591836734"/>
    <n v="0"/>
    <n v="25"/>
    <n v="0"/>
    <n v="49.448979591836732"/>
    <n v="10"/>
    <n v="8.5"/>
    <n v="-3.9439734611131587E-2"/>
    <n v="0.99448979591836739"/>
    <n v="0.57884260965720613"/>
    <n v="0.92948979591836733"/>
    <m/>
    <m/>
    <m/>
    <m/>
    <m/>
    <m/>
    <m/>
    <m/>
    <m/>
  </r>
  <r>
    <x v="1392"/>
    <x v="0"/>
    <s v="Native "/>
    <x v="14"/>
    <n v="32"/>
    <n v="28"/>
    <n v="4"/>
    <s v="c. bovis in their hearts "/>
    <n v="13020"/>
    <n v="14940"/>
    <n v="-1920"/>
    <x v="1811"/>
    <n v="243"/>
    <n v="465"/>
    <n v="533.57142857142856"/>
    <n v="-68.571428571428569"/>
    <n v="279.59642857142859"/>
    <n v="8.6785714285714288"/>
    <n v="24.285714285714285"/>
    <n v="0"/>
    <n v="45.821428571428569"/>
    <n v="10"/>
    <n v="8.5"/>
    <n v="-0.14746543778801843"/>
    <n v="0.94392857142857145"/>
    <n v="0.60128264208909366"/>
    <n v="0.88607142857142862"/>
    <m/>
    <m/>
    <m/>
    <m/>
    <m/>
    <m/>
    <n v="11"/>
    <m/>
    <m/>
  </r>
  <r>
    <x v="1392"/>
    <x v="0"/>
    <s v="Imported"/>
    <x v="14"/>
    <n v="3"/>
    <n v="3"/>
    <n v="0"/>
    <m/>
    <n v="1578"/>
    <n v="1496"/>
    <n v="82"/>
    <x v="1812"/>
    <m/>
    <n v="526"/>
    <n v="498.66666666666669"/>
    <n v="27.333333333333332"/>
    <n v="327"/>
    <n v="0"/>
    <n v="24.285714285714285"/>
    <n v="0"/>
    <n v="45.821428571428569"/>
    <n v="10"/>
    <n v="8.5"/>
    <n v="5.1964512040557666E-2"/>
    <n v="0.94392857142857145"/>
    <n v="0.62167300380228141"/>
    <n v="0.88607142857142862"/>
    <m/>
    <m/>
    <m/>
    <m/>
    <m/>
    <m/>
    <m/>
    <m/>
    <m/>
  </r>
  <r>
    <x v="1393"/>
    <x v="1"/>
    <m/>
    <x v="33"/>
    <n v="30"/>
    <n v="30"/>
    <n v="0"/>
    <m/>
    <n v="1785"/>
    <n v="1785"/>
    <n v="0"/>
    <x v="1813"/>
    <n v="0"/>
    <n v="59.5"/>
    <n v="59.5"/>
    <n v="0"/>
    <n v="33.046666666666667"/>
    <n v="0"/>
    <n v="25"/>
    <n v="0"/>
    <n v="47.466666666666669"/>
    <n v="10"/>
    <n v="8.5"/>
    <n v="0"/>
    <n v="0.97466666666666668"/>
    <n v="0.55540616246498598"/>
    <n v="0.90966666666666673"/>
    <m/>
    <m/>
    <m/>
    <m/>
    <m/>
    <m/>
    <m/>
    <m/>
    <m/>
  </r>
  <r>
    <x v="1393"/>
    <x v="0"/>
    <s v="Imported"/>
    <x v="23"/>
    <n v="32"/>
    <n v="30"/>
    <n v="2"/>
    <s v="1 c. bovis + 1 blood splashes "/>
    <n v="13949.683544303798"/>
    <n v="13949.683544303798"/>
    <n v="0"/>
    <x v="1814"/>
    <n v="0"/>
    <n v="464.98945147679325"/>
    <n v="464.98945147679325"/>
    <n v="0"/>
    <n v="293.87333333333333"/>
    <n v="0"/>
    <n v="25"/>
    <n v="4"/>
    <n v="49.84375"/>
    <n v="10"/>
    <n v="8.5"/>
    <n v="0"/>
    <n v="0.99843749999999998"/>
    <n v="0.63200000000000001"/>
    <n v="0.97343749999999996"/>
    <m/>
    <m/>
    <m/>
    <m/>
    <m/>
    <m/>
    <m/>
    <m/>
    <m/>
  </r>
  <r>
    <x v="1394"/>
    <x v="0"/>
    <s v="Native "/>
    <x v="9"/>
    <n v="48"/>
    <n v="47"/>
    <n v="1"/>
    <s v="1 c. bovis "/>
    <n v="24850"/>
    <n v="24850"/>
    <n v="0"/>
    <x v="1815"/>
    <n v="425"/>
    <n v="528.72340425531911"/>
    <n v="528.72340425531911"/>
    <n v="0"/>
    <n v="317.23191489361699"/>
    <n v="9.0425531914893611"/>
    <n v="25"/>
    <n v="0"/>
    <n v="47.553191489361708"/>
    <n v="10"/>
    <n v="8.5"/>
    <n v="0"/>
    <n v="0.97553191489361701"/>
    <n v="0.59999597585513076"/>
    <n v="0.91053191489361707"/>
    <m/>
    <m/>
    <m/>
    <m/>
    <m/>
    <m/>
    <n v="25"/>
    <m/>
    <m/>
  </r>
  <r>
    <x v="1395"/>
    <x v="0"/>
    <s v="Native "/>
    <x v="9"/>
    <n v="35"/>
    <n v="33"/>
    <n v="2"/>
    <s v="2 carcasses drug residues "/>
    <n v="18158"/>
    <n v="17248"/>
    <n v="910"/>
    <x v="1816"/>
    <n v="348"/>
    <n v="550.24242424242425"/>
    <n v="522.66666666666663"/>
    <n v="27.575757575757574"/>
    <n v="330.12424242424242"/>
    <n v="10.545454545454545"/>
    <n v="24.545454545454547"/>
    <n v="0"/>
    <n v="45.545454545454547"/>
    <n v="10"/>
    <n v="8.5"/>
    <n v="5.0115651503469541E-2"/>
    <n v="0.94636363636363641"/>
    <n v="0.59996144949884356"/>
    <n v="0.88590909090909098"/>
    <m/>
    <m/>
    <m/>
    <m/>
    <m/>
    <m/>
    <n v="24"/>
    <m/>
    <m/>
  </r>
  <r>
    <x v="1396"/>
    <x v="1"/>
    <m/>
    <x v="33"/>
    <n v="33"/>
    <n v="33"/>
    <n v="0"/>
    <m/>
    <n v="1850"/>
    <n v="1785"/>
    <n v="65"/>
    <x v="1817"/>
    <n v="0"/>
    <n v="56.060606060606062"/>
    <n v="54.090909090909093"/>
    <n v="1.9696969696969697"/>
    <n v="31.560606060606062"/>
    <n v="0"/>
    <n v="25"/>
    <n v="0"/>
    <n v="47.575757575757578"/>
    <n v="10"/>
    <n v="8.5"/>
    <n v="3.5135135135135137E-2"/>
    <n v="0.97575757575757582"/>
    <n v="0.562972972972973"/>
    <n v="0.91075757575757577"/>
    <m/>
    <m/>
    <m/>
    <m/>
    <m/>
    <m/>
    <m/>
    <m/>
    <m/>
  </r>
  <r>
    <x v="1396"/>
    <x v="0"/>
    <s v="Native "/>
    <x v="0"/>
    <n v="35"/>
    <n v="35"/>
    <n v="0"/>
    <m/>
    <n v="16568"/>
    <n v="15870"/>
    <n v="698"/>
    <x v="1818"/>
    <n v="292"/>
    <n v="473.37142857142857"/>
    <n v="453.42857142857144"/>
    <n v="19.942857142857143"/>
    <n v="284.02571428571429"/>
    <n v="8.3428571428571434"/>
    <n v="25"/>
    <n v="0"/>
    <n v="44.400000000000006"/>
    <n v="10"/>
    <n v="8.5"/>
    <n v="4.2129406084017385E-2"/>
    <n v="0.94400000000000006"/>
    <n v="0.60000603573153066"/>
    <n v="0.879"/>
    <m/>
    <m/>
    <m/>
    <m/>
    <m/>
    <m/>
    <n v="15"/>
    <m/>
    <m/>
  </r>
  <r>
    <x v="1396"/>
    <x v="0"/>
    <s v="Imported"/>
    <x v="23"/>
    <n v="33"/>
    <n v="31"/>
    <n v="2"/>
    <s v="2 mixed breed"/>
    <n v="13832.911392405063"/>
    <n v="13832.911392405063"/>
    <n v="0"/>
    <x v="1819"/>
    <n v="0"/>
    <n v="446.2229481420988"/>
    <n v="446.2229481420988"/>
    <n v="0"/>
    <n v="282.0129032258064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397"/>
    <x v="0"/>
    <s v="Imported"/>
    <x v="23"/>
    <n v="31"/>
    <n v="30"/>
    <n v="1"/>
    <s v="1 mixed breed "/>
    <n v="13832.911392405063"/>
    <n v="13832.911392405063"/>
    <n v="0"/>
    <x v="1819"/>
    <n v="0"/>
    <n v="461.09704641350214"/>
    <n v="461.09704641350214"/>
    <n v="0"/>
    <n v="291.4133333333333"/>
    <n v="0"/>
    <n v="25"/>
    <n v="4"/>
    <n v="50"/>
    <n v="9.8333333333333321"/>
    <n v="8.5"/>
    <n v="0"/>
    <n v="1"/>
    <n v="0.63200000000000001"/>
    <n v="0.97333333333333327"/>
    <m/>
    <m/>
    <m/>
    <m/>
    <m/>
    <m/>
    <n v="3"/>
    <m/>
    <m/>
  </r>
  <r>
    <x v="1398"/>
    <x v="1"/>
    <m/>
    <x v="14"/>
    <n v="33"/>
    <n v="33"/>
    <n v="0"/>
    <m/>
    <n v="1713"/>
    <n v="1650"/>
    <n v="63"/>
    <x v="1820"/>
    <n v="0"/>
    <n v="51.909090909090907"/>
    <n v="50"/>
    <n v="1.9090909090909092"/>
    <n v="29.539393939393939"/>
    <n v="0"/>
    <n v="25"/>
    <n v="0"/>
    <n v="48.545454545454547"/>
    <n v="10"/>
    <n v="8.5"/>
    <n v="3.6777583187390543E-2"/>
    <n v="0.98545454545454547"/>
    <n v="0.56906012842965559"/>
    <n v="0.92045454545454541"/>
    <m/>
    <m/>
    <m/>
    <m/>
    <m/>
    <m/>
    <m/>
    <m/>
    <m/>
  </r>
  <r>
    <x v="1398"/>
    <x v="0"/>
    <s v="Imported"/>
    <x v="14"/>
    <n v="37"/>
    <n v="37"/>
    <n v="0"/>
    <m/>
    <n v="19129"/>
    <n v="18367"/>
    <n v="762"/>
    <x v="1821"/>
    <n v="248"/>
    <n v="517"/>
    <n v="496.40540540540542"/>
    <n v="20.594594594594593"/>
    <n v="318.8"/>
    <n v="6.7027027027027026"/>
    <n v="25"/>
    <n v="0"/>
    <n v="44.351351351351354"/>
    <n v="9.9189189189189193"/>
    <n v="8.5"/>
    <n v="3.9834805792252598E-2"/>
    <n v="0.94351351351351354"/>
    <n v="0.61663442940038682"/>
    <n v="0.87770270270270279"/>
    <m/>
    <m/>
    <m/>
    <m/>
    <m/>
    <m/>
    <n v="4"/>
    <m/>
    <m/>
  </r>
  <r>
    <x v="1399"/>
    <x v="1"/>
    <m/>
    <x v="33"/>
    <n v="38"/>
    <n v="38"/>
    <n v="0"/>
    <m/>
    <n v="2070"/>
    <n v="2070"/>
    <n v="0"/>
    <x v="1822"/>
    <n v="0"/>
    <n v="54.473684210526315"/>
    <n v="54.473684210526315"/>
    <n v="0"/>
    <n v="29.202631578947368"/>
    <n v="0"/>
    <n v="25"/>
    <n v="3"/>
    <n v="46.710526315789465"/>
    <n v="10"/>
    <n v="8.5"/>
    <n v="0"/>
    <n v="0.96710526315789469"/>
    <n v="0.5360869565217391"/>
    <n v="0.93210526315789466"/>
    <m/>
    <m/>
    <m/>
    <m/>
    <m/>
    <m/>
    <m/>
    <m/>
    <m/>
  </r>
  <r>
    <x v="1399"/>
    <x v="0"/>
    <s v="Imported"/>
    <x v="23"/>
    <n v="60"/>
    <n v="59"/>
    <n v="1"/>
    <s v="1 blood splashes"/>
    <n v="26977.848101265823"/>
    <n v="26977.848101265823"/>
    <n v="0"/>
    <x v="1823"/>
    <n v="0"/>
    <n v="457.25166273331905"/>
    <n v="457.25166273331905"/>
    <n v="0"/>
    <n v="288.9830508474576"/>
    <n v="0"/>
    <n v="25"/>
    <n v="4"/>
    <n v="50"/>
    <n v="9.7457627118644066"/>
    <n v="8.5"/>
    <n v="0"/>
    <n v="1"/>
    <n v="0.63200000000000001"/>
    <n v="0.97245762711864403"/>
    <m/>
    <m/>
    <m/>
    <m/>
    <m/>
    <m/>
    <n v="4"/>
    <m/>
    <m/>
  </r>
  <r>
    <x v="1400"/>
    <x v="0"/>
    <s v="Imported"/>
    <x v="23"/>
    <n v="34"/>
    <n v="32"/>
    <n v="2"/>
    <s v="1 bull + 1 carcass c. bovis"/>
    <n v="15229.430379746835"/>
    <n v="15229.430379746835"/>
    <n v="0"/>
    <x v="1824"/>
    <n v="0"/>
    <n v="475.91969936708858"/>
    <n v="475.91969936708858"/>
    <n v="0"/>
    <n v="300.78125"/>
    <n v="0"/>
    <n v="25"/>
    <n v="4"/>
    <n v="50"/>
    <n v="9.53125"/>
    <n v="8.5"/>
    <n v="0"/>
    <n v="1"/>
    <n v="0.63200000000000001"/>
    <n v="0.97031250000000002"/>
    <m/>
    <m/>
    <m/>
    <m/>
    <m/>
    <m/>
    <n v="2"/>
    <m/>
    <m/>
  </r>
  <r>
    <x v="1401"/>
    <x v="1"/>
    <m/>
    <x v="14"/>
    <n v="37"/>
    <n v="37"/>
    <n v="0"/>
    <m/>
    <n v="1968"/>
    <n v="1895"/>
    <n v="73"/>
    <x v="1825"/>
    <n v="0"/>
    <n v="53.189189189189186"/>
    <n v="51.216216216216218"/>
    <n v="1.972972972972973"/>
    <n v="31.224324324324321"/>
    <n v="0"/>
    <n v="25"/>
    <n v="0"/>
    <n v="49.594594594594589"/>
    <n v="10"/>
    <n v="8.5"/>
    <n v="3.709349593495935E-2"/>
    <n v="0.99594594594594588"/>
    <n v="0.58704268292682926"/>
    <n v="0.93094594594594582"/>
    <m/>
    <m/>
    <m/>
    <m/>
    <m/>
    <m/>
    <m/>
    <m/>
    <m/>
  </r>
  <r>
    <x v="1401"/>
    <x v="0"/>
    <s v="Imported"/>
    <x v="14"/>
    <n v="16"/>
    <n v="16"/>
    <n v="0"/>
    <m/>
    <n v="8256"/>
    <n v="8088"/>
    <n v="168"/>
    <x v="1826"/>
    <n v="0"/>
    <n v="516"/>
    <n v="505.5"/>
    <n v="10.5"/>
    <n v="316.13749999999999"/>
    <n v="0"/>
    <n v="25"/>
    <n v="0"/>
    <n v="49.875"/>
    <n v="10"/>
    <n v="8.5"/>
    <n v="2.0348837209302327E-2"/>
    <n v="0.99875000000000003"/>
    <n v="0.61266957364341079"/>
    <n v="0.93374999999999997"/>
    <m/>
    <m/>
    <m/>
    <m/>
    <m/>
    <m/>
    <m/>
    <m/>
    <m/>
  </r>
  <r>
    <x v="1401"/>
    <x v="0"/>
    <s v="Imported"/>
    <x v="23"/>
    <n v="49"/>
    <n v="48"/>
    <n v="1"/>
    <s v="1 bull mixed breed "/>
    <n v="21854.430379746835"/>
    <n v="21854.430379746835"/>
    <n v="0"/>
    <x v="1827"/>
    <n v="0"/>
    <n v="455.30063291139237"/>
    <n v="455.30063291139237"/>
    <n v="0"/>
    <n v="287.75"/>
    <n v="0"/>
    <n v="25"/>
    <n v="3"/>
    <n v="50"/>
    <n v="9.8958333333333321"/>
    <n v="8.5"/>
    <n v="0"/>
    <n v="1"/>
    <n v="0.63200000000000001"/>
    <n v="0.96395833333333325"/>
    <m/>
    <m/>
    <m/>
    <m/>
    <m/>
    <m/>
    <n v="10"/>
    <m/>
    <m/>
  </r>
  <r>
    <x v="1402"/>
    <x v="1"/>
    <m/>
    <x v="14"/>
    <n v="50"/>
    <n v="50"/>
    <n v="0"/>
    <m/>
    <n v="2310"/>
    <n v="2310"/>
    <n v="0"/>
    <x v="1828"/>
    <n v="0"/>
    <n v="46.2"/>
    <n v="46.2"/>
    <n v="0"/>
    <n v="25.928000000000001"/>
    <n v="0"/>
    <n v="25"/>
    <n v="0"/>
    <n v="43.82"/>
    <n v="10"/>
    <n v="8.5"/>
    <n v="0"/>
    <n v="0.93819999999999992"/>
    <n v="0.56121212121212127"/>
    <n v="0.87319999999999998"/>
    <m/>
    <m/>
    <m/>
    <m/>
    <m/>
    <m/>
    <m/>
    <m/>
    <m/>
  </r>
  <r>
    <x v="1402"/>
    <x v="0"/>
    <s v="Imported"/>
    <x v="14"/>
    <n v="25"/>
    <n v="24"/>
    <n v="1"/>
    <s v="1 drug residues "/>
    <n v="13530"/>
    <n v="13530"/>
    <n v="0"/>
    <x v="1829"/>
    <n v="122"/>
    <n v="563.75"/>
    <n v="563.75"/>
    <n v="0"/>
    <n v="345.68333333333334"/>
    <n v="5.083333333333333"/>
    <n v="25"/>
    <n v="0"/>
    <n v="44.375"/>
    <n v="10"/>
    <n v="8.5"/>
    <n v="0"/>
    <n v="0.94374999999999998"/>
    <n v="0.61318551367331853"/>
    <n v="0.87875000000000003"/>
    <m/>
    <m/>
    <m/>
    <m/>
    <m/>
    <m/>
    <n v="3"/>
    <m/>
    <m/>
  </r>
  <r>
    <x v="1402"/>
    <x v="0"/>
    <s v="Imported"/>
    <x v="23"/>
    <n v="50"/>
    <n v="50"/>
    <n v="0"/>
    <m/>
    <n v="23018.354430379746"/>
    <n v="23018.354430379746"/>
    <n v="0"/>
    <x v="1830"/>
    <n v="0"/>
    <n v="460.36708860759495"/>
    <n v="460.36708860759495"/>
    <n v="0"/>
    <n v="290.95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03"/>
    <x v="1"/>
    <m/>
    <x v="33"/>
    <n v="55"/>
    <n v="55"/>
    <n v="0"/>
    <m/>
    <n v="2789"/>
    <n v="2789"/>
    <n v="0"/>
    <x v="1831"/>
    <n v="0"/>
    <n v="50.709090909090911"/>
    <n v="50.709090909090911"/>
    <n v="0"/>
    <n v="27.301818181818181"/>
    <n v="0"/>
    <n v="25"/>
    <n v="0"/>
    <n v="49.345454545454544"/>
    <n v="10"/>
    <n v="8.5"/>
    <n v="0"/>
    <n v="0.99345454545454537"/>
    <n v="0.53840086052348513"/>
    <n v="0.92845454545454542"/>
    <m/>
    <m/>
    <m/>
    <m/>
    <m/>
    <m/>
    <m/>
    <m/>
    <m/>
  </r>
  <r>
    <x v="1403"/>
    <x v="0"/>
    <s v="Imported"/>
    <x v="23"/>
    <n v="78"/>
    <n v="78"/>
    <n v="0"/>
    <m/>
    <n v="35992.721518987339"/>
    <n v="35992.721518987339"/>
    <n v="0"/>
    <x v="1832"/>
    <n v="0"/>
    <n v="461.44514767932486"/>
    <n v="461.44514767932486"/>
    <n v="0"/>
    <n v="291.63333333333333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404"/>
    <x v="0"/>
    <s v="Imported"/>
    <x v="23"/>
    <n v="68"/>
    <n v="64"/>
    <n v="4"/>
    <s v="2 bulls mixed breed + 2 carcass drug residues "/>
    <n v="28831.962025316454"/>
    <n v="28831.962025316454"/>
    <n v="0"/>
    <x v="1833"/>
    <n v="0"/>
    <n v="450.49940664556959"/>
    <n v="450.49940664556959"/>
    <n v="0"/>
    <n v="284.71562499999999"/>
    <n v="0"/>
    <n v="24.6875"/>
    <n v="4"/>
    <n v="50"/>
    <n v="9.6875"/>
    <n v="8.5"/>
    <n v="0"/>
    <n v="0.99375000000000002"/>
    <n v="0.63200000000000001"/>
    <n v="0.96875"/>
    <m/>
    <m/>
    <m/>
    <m/>
    <m/>
    <m/>
    <n v="19"/>
    <m/>
    <m/>
  </r>
  <r>
    <x v="1405"/>
    <x v="0"/>
    <s v="Imported"/>
    <x v="23"/>
    <n v="46"/>
    <n v="46"/>
    <n v="0"/>
    <m/>
    <n v="20621.835443037973"/>
    <n v="20621.835443037973"/>
    <n v="0"/>
    <x v="1834"/>
    <n v="0"/>
    <n v="448.30077050082548"/>
    <n v="448.30077050082548"/>
    <n v="0"/>
    <n v="283.32608695652175"/>
    <n v="0"/>
    <n v="24.782608695652172"/>
    <n v="4"/>
    <n v="50"/>
    <n v="9.891304347826086"/>
    <n v="8.5"/>
    <n v="0"/>
    <n v="0.9956521739130435"/>
    <n v="0.63200000000000001"/>
    <n v="0.97173913043478255"/>
    <m/>
    <m/>
    <m/>
    <m/>
    <m/>
    <m/>
    <n v="9"/>
    <m/>
    <m/>
  </r>
  <r>
    <x v="1406"/>
    <x v="1"/>
    <m/>
    <x v="14"/>
    <n v="80"/>
    <n v="80"/>
    <n v="0"/>
    <m/>
    <n v="3760"/>
    <n v="3760"/>
    <n v="0"/>
    <x v="1835"/>
    <n v="0"/>
    <n v="47"/>
    <n v="47"/>
    <n v="0"/>
    <n v="25.01125"/>
    <n v="0"/>
    <n v="25"/>
    <n v="0"/>
    <n v="43.6875"/>
    <n v="10"/>
    <n v="8.5"/>
    <n v="0"/>
    <n v="0.93687500000000001"/>
    <n v="0.53215425531914895"/>
    <n v="0.87187499999999996"/>
    <m/>
    <m/>
    <m/>
    <m/>
    <m/>
    <m/>
    <m/>
    <m/>
    <m/>
  </r>
  <r>
    <x v="1406"/>
    <x v="1"/>
    <m/>
    <x v="14"/>
    <n v="37"/>
    <n v="37"/>
    <n v="0"/>
    <m/>
    <n v="1830"/>
    <n v="1830"/>
    <n v="0"/>
    <x v="1836"/>
    <n v="0"/>
    <n v="49.45945945945946"/>
    <n v="49.45945945945946"/>
    <n v="0"/>
    <n v="29.83243243243243"/>
    <n v="0"/>
    <n v="25"/>
    <n v="0"/>
    <n v="49.243243243243242"/>
    <n v="10"/>
    <n v="8.5"/>
    <n v="0"/>
    <n v="0.9924324324324324"/>
    <n v="0.60316939890710375"/>
    <n v="0.92743243243243245"/>
    <m/>
    <m/>
    <m/>
    <m/>
    <m/>
    <m/>
    <m/>
    <m/>
    <m/>
  </r>
  <r>
    <x v="1406"/>
    <x v="0"/>
    <s v="Imported"/>
    <x v="23"/>
    <n v="49"/>
    <n v="49"/>
    <n v="0"/>
    <m/>
    <n v="21284.493670886073"/>
    <n v="21284.493670886073"/>
    <n v="0"/>
    <x v="1837"/>
    <n v="0"/>
    <n v="434.37742185481784"/>
    <n v="434.37742185481784"/>
    <n v="0"/>
    <n v="274.5265306122448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07"/>
    <x v="1"/>
    <m/>
    <x v="14"/>
    <n v="56"/>
    <n v="56"/>
    <n v="0"/>
    <m/>
    <n v="2762"/>
    <n v="2762"/>
    <n v="0"/>
    <x v="1838"/>
    <n v="0"/>
    <n v="49.321428571428569"/>
    <n v="49.321428571428569"/>
    <n v="0"/>
    <n v="26.25714285714286"/>
    <n v="0"/>
    <n v="25"/>
    <n v="0"/>
    <n v="49.089285714285715"/>
    <n v="10"/>
    <n v="8.5"/>
    <n v="0"/>
    <n v="0.99089285714285713"/>
    <n v="0.53236784938450399"/>
    <n v="0.92589285714285718"/>
    <m/>
    <m/>
    <m/>
    <m/>
    <m/>
    <m/>
    <m/>
    <m/>
    <m/>
  </r>
  <r>
    <x v="1407"/>
    <x v="0"/>
    <s v="Imported"/>
    <x v="23"/>
    <n v="64"/>
    <n v="64"/>
    <n v="0"/>
    <m/>
    <n v="29762.025316455693"/>
    <n v="29762.025316455693"/>
    <n v="0"/>
    <x v="1839"/>
    <n v="0"/>
    <n v="465.0316455696202"/>
    <n v="465.0316455696202"/>
    <n v="0"/>
    <n v="293.89999999999998"/>
    <n v="0"/>
    <n v="25"/>
    <n v="4"/>
    <n v="50"/>
    <n v="10"/>
    <n v="8.5"/>
    <n v="0"/>
    <n v="1"/>
    <n v="0.63200000000000001"/>
    <n v="0.97499999999999998"/>
    <m/>
    <m/>
    <m/>
    <m/>
    <m/>
    <m/>
    <n v="5"/>
    <m/>
    <m/>
  </r>
  <r>
    <x v="1408"/>
    <x v="1"/>
    <m/>
    <x v="14"/>
    <n v="80"/>
    <n v="80"/>
    <n v="0"/>
    <m/>
    <n v="3843"/>
    <n v="3843"/>
    <n v="0"/>
    <x v="1840"/>
    <n v="0"/>
    <n v="48.037500000000001"/>
    <n v="48.037500000000001"/>
    <n v="0"/>
    <n v="27.188749999999999"/>
    <n v="0"/>
    <n v="25"/>
    <n v="0"/>
    <n v="49.274999999999999"/>
    <n v="10"/>
    <n v="8.5"/>
    <n v="0"/>
    <n v="0.99275000000000002"/>
    <n v="0.56599011189175119"/>
    <n v="0.92775000000000007"/>
    <m/>
    <m/>
    <m/>
    <m/>
    <m/>
    <m/>
    <m/>
    <m/>
    <m/>
  </r>
  <r>
    <x v="1408"/>
    <x v="0"/>
    <s v="Imported"/>
    <x v="14"/>
    <n v="25"/>
    <n v="25"/>
    <n v="0"/>
    <m/>
    <n v="13325"/>
    <n v="13325"/>
    <n v="0"/>
    <x v="1841"/>
    <n v="158"/>
    <n v="533"/>
    <n v="533"/>
    <n v="0"/>
    <n v="327.31599999999997"/>
    <n v="6.32"/>
    <n v="25"/>
    <n v="0"/>
    <n v="47.14"/>
    <n v="10"/>
    <n v="8.5"/>
    <n v="0"/>
    <n v="0.97140000000000004"/>
    <n v="0.61410131332082551"/>
    <n v="0.90639999999999998"/>
    <m/>
    <m/>
    <m/>
    <m/>
    <m/>
    <m/>
    <n v="7"/>
    <m/>
    <m/>
  </r>
  <r>
    <x v="1408"/>
    <x v="0"/>
    <s v="Imported"/>
    <x v="23"/>
    <n v="39"/>
    <n v="39"/>
    <n v="0"/>
    <m/>
    <n v="17813.291139240504"/>
    <n v="17813.291139240504"/>
    <n v="0"/>
    <x v="1842"/>
    <n v="0"/>
    <n v="456.75105485232064"/>
    <n v="456.75105485232064"/>
    <n v="0"/>
    <n v="288.66666666666669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409"/>
    <x v="1"/>
    <m/>
    <x v="14"/>
    <n v="105"/>
    <n v="104"/>
    <n v="1"/>
    <s v="1 septicemia - cl"/>
    <n v="4981"/>
    <n v="4981"/>
    <n v="0"/>
    <x v="1843"/>
    <n v="0"/>
    <n v="47.894230769230766"/>
    <n v="47.894230769230766"/>
    <n v="0"/>
    <n v="25.656730769230769"/>
    <n v="0"/>
    <n v="25"/>
    <n v="0"/>
    <n v="49.067307692307693"/>
    <n v="10"/>
    <n v="8.5"/>
    <n v="0"/>
    <n v="0.99067307692307693"/>
    <n v="0.53569564344509135"/>
    <n v="0.92567307692307699"/>
    <m/>
    <m/>
    <m/>
    <m/>
    <m/>
    <m/>
    <m/>
    <m/>
    <m/>
  </r>
  <r>
    <x v="1409"/>
    <x v="0"/>
    <s v="Native "/>
    <x v="9"/>
    <n v="60"/>
    <n v="60"/>
    <n v="0"/>
    <m/>
    <n v="31710"/>
    <n v="31710"/>
    <n v="0"/>
    <x v="1844"/>
    <n v="633"/>
    <n v="528.5"/>
    <n v="528.5"/>
    <n v="0"/>
    <n v="317.08499999999998"/>
    <n v="10.55"/>
    <n v="24.333333333333336"/>
    <n v="0"/>
    <n v="48.616666666666667"/>
    <n v="10"/>
    <n v="8.5"/>
    <n v="0"/>
    <n v="0.97283333333333344"/>
    <n v="0.59997161778618724"/>
    <n v="0.91449999999999998"/>
    <m/>
    <m/>
    <m/>
    <m/>
    <m/>
    <m/>
    <n v="34"/>
    <m/>
    <m/>
  </r>
  <r>
    <x v="1409"/>
    <x v="0"/>
    <s v="Imported"/>
    <x v="14"/>
    <n v="15"/>
    <n v="15"/>
    <n v="0"/>
    <m/>
    <n v="8115"/>
    <n v="8115"/>
    <n v="0"/>
    <x v="1845"/>
    <n v="91"/>
    <n v="541"/>
    <n v="541"/>
    <n v="0"/>
    <n v="333.55333333333334"/>
    <n v="6.0666666666666664"/>
    <n v="25"/>
    <n v="0"/>
    <n v="49.06666666666667"/>
    <n v="10"/>
    <n v="8.5"/>
    <n v="0"/>
    <n v="0.9906666666666667"/>
    <n v="0.61654959950708565"/>
    <n v="0.92566666666666664"/>
    <m/>
    <m/>
    <m/>
    <m/>
    <m/>
    <m/>
    <n v="4"/>
    <m/>
    <m/>
  </r>
  <r>
    <x v="1410"/>
    <x v="1"/>
    <m/>
    <x v="33"/>
    <n v="80"/>
    <n v="80"/>
    <n v="0"/>
    <m/>
    <n v="3295"/>
    <n v="3295"/>
    <n v="0"/>
    <x v="1846"/>
    <n v="0"/>
    <n v="41.1875"/>
    <n v="41.1875"/>
    <n v="0"/>
    <n v="21.405000000000001"/>
    <n v="0"/>
    <n v="25"/>
    <n v="4"/>
    <n v="49.087500000000006"/>
    <n v="10"/>
    <n v="8.5"/>
    <n v="0"/>
    <n v="0.99087500000000006"/>
    <n v="0.51969650986342941"/>
    <n v="0.96587500000000004"/>
    <m/>
    <m/>
    <m/>
    <m/>
    <m/>
    <m/>
    <m/>
    <m/>
    <m/>
  </r>
  <r>
    <x v="1410"/>
    <x v="0"/>
    <s v="Imported"/>
    <x v="23"/>
    <n v="65"/>
    <n v="65"/>
    <n v="0"/>
    <m/>
    <n v="29085.759493670885"/>
    <n v="29085.759493670885"/>
    <n v="0"/>
    <x v="1847"/>
    <n v="0"/>
    <n v="447.47322297955208"/>
    <n v="447.47322297955208"/>
    <n v="0"/>
    <n v="282.80307692307696"/>
    <n v="0"/>
    <n v="24.76923076923077"/>
    <n v="4"/>
    <n v="50"/>
    <n v="10"/>
    <n v="8.5"/>
    <n v="0"/>
    <n v="0.99538461538461542"/>
    <n v="0.63200000000000001"/>
    <n v="0.97269230769230774"/>
    <m/>
    <m/>
    <m/>
    <m/>
    <m/>
    <m/>
    <n v="15"/>
    <m/>
    <m/>
  </r>
  <r>
    <x v="1411"/>
    <x v="1"/>
    <m/>
    <x v="33"/>
    <n v="87"/>
    <n v="86"/>
    <n v="1"/>
    <s v="Generalized edema"/>
    <n v="3476"/>
    <n v="3476"/>
    <n v="0"/>
    <x v="1848"/>
    <n v="0"/>
    <n v="40.418604651162788"/>
    <n v="40.418604651162788"/>
    <n v="0"/>
    <n v="20.659302325581397"/>
    <n v="0"/>
    <n v="25"/>
    <n v="0"/>
    <n v="48.406976744186039"/>
    <n v="10"/>
    <n v="8.5"/>
    <n v="0"/>
    <n v="0.98406976744186037"/>
    <n v="0.51113348676639814"/>
    <n v="0.91906976744186042"/>
    <m/>
    <m/>
    <m/>
    <m/>
    <m/>
    <m/>
    <m/>
    <m/>
    <m/>
  </r>
  <r>
    <x v="1411"/>
    <x v="0"/>
    <s v="Native "/>
    <x v="27"/>
    <n v="70"/>
    <n v="70"/>
    <n v="0"/>
    <m/>
    <n v="34118"/>
    <n v="34118"/>
    <n v="0"/>
    <x v="1849"/>
    <n v="487"/>
    <n v="487.4"/>
    <n v="487.4"/>
    <n v="0"/>
    <n v="302.29571428571427"/>
    <n v="6.9571428571428573"/>
    <n v="24.928571428571431"/>
    <n v="0"/>
    <n v="48.914285714285718"/>
    <n v="10"/>
    <n v="8.5"/>
    <n v="0"/>
    <n v="0.98771428571428577"/>
    <n v="0.62022099771381678"/>
    <n v="0.9234285714285716"/>
    <m/>
    <m/>
    <m/>
    <m/>
    <m/>
    <m/>
    <n v="11"/>
    <m/>
    <m/>
  </r>
  <r>
    <x v="1412"/>
    <x v="1"/>
    <m/>
    <x v="14"/>
    <n v="110"/>
    <n v="110"/>
    <n v="0"/>
    <m/>
    <n v="5305"/>
    <n v="5305"/>
    <n v="0"/>
    <x v="1850"/>
    <n v="0"/>
    <n v="48.227272727272727"/>
    <n v="48.227272727272727"/>
    <n v="0"/>
    <n v="26.718181818181819"/>
    <n v="0"/>
    <n v="25"/>
    <n v="0"/>
    <n v="47.963636363636361"/>
    <n v="10"/>
    <n v="8.5"/>
    <n v="0"/>
    <n v="0.97963636363636364"/>
    <n v="0.55400565504241284"/>
    <n v="0.91463636363636369"/>
    <m/>
    <m/>
    <m/>
    <m/>
    <m/>
    <m/>
    <m/>
    <m/>
    <m/>
  </r>
  <r>
    <x v="1412"/>
    <x v="0"/>
    <s v="Native "/>
    <x v="27"/>
    <n v="80"/>
    <n v="80"/>
    <n v="0"/>
    <m/>
    <n v="33861"/>
    <n v="33861"/>
    <n v="0"/>
    <x v="1851"/>
    <n v="510"/>
    <n v="423.26249999999999"/>
    <n v="423.26249999999999"/>
    <n v="0"/>
    <n v="258.40625"/>
    <n v="6.375"/>
    <n v="24.875"/>
    <n v="0"/>
    <n v="47.375"/>
    <n v="9.9375"/>
    <n v="8.5"/>
    <n v="0"/>
    <n v="0.97124999999999995"/>
    <n v="0.61051061693393582"/>
    <n v="0.90687499999999999"/>
    <m/>
    <m/>
    <m/>
    <m/>
    <m/>
    <m/>
    <n v="11"/>
    <m/>
    <m/>
  </r>
  <r>
    <x v="1413"/>
    <x v="1"/>
    <m/>
    <x v="14"/>
    <n v="170"/>
    <n v="170"/>
    <n v="0"/>
    <m/>
    <n v="8380"/>
    <n v="8380"/>
    <n v="0"/>
    <x v="1852"/>
    <n v="0"/>
    <n v="49.294117647058826"/>
    <n v="49.294117647058826"/>
    <n v="0"/>
    <n v="26.622352941176473"/>
    <n v="0"/>
    <n v="25"/>
    <n v="0"/>
    <n v="47.847058823529409"/>
    <n v="10"/>
    <n v="8.5"/>
    <n v="0"/>
    <n v="0.97847058823529409"/>
    <n v="0.54007159904534607"/>
    <n v="0.91347058823529403"/>
    <m/>
    <m/>
    <m/>
    <m/>
    <m/>
    <m/>
    <m/>
    <m/>
    <m/>
  </r>
  <r>
    <x v="1413"/>
    <x v="0"/>
    <s v="Native "/>
    <x v="0"/>
    <n v="100"/>
    <n v="99"/>
    <n v="1"/>
    <s v="C. BOVIS IN THE HEART "/>
    <n v="44570"/>
    <n v="44570"/>
    <n v="0"/>
    <x v="1853"/>
    <n v="871"/>
    <n v="450.20202020202021"/>
    <n v="450.20202020202021"/>
    <n v="0"/>
    <n v="270.12525252525256"/>
    <n v="8.7979797979797976"/>
    <n v="25"/>
    <n v="0"/>
    <n v="49.737373737373737"/>
    <n v="10"/>
    <n v="8.5"/>
    <n v="0"/>
    <n v="0.99737373737373736"/>
    <n v="0.60000897464662328"/>
    <n v="0.9323737373737373"/>
    <m/>
    <m/>
    <m/>
    <m/>
    <m/>
    <m/>
    <n v="25"/>
    <m/>
    <m/>
  </r>
  <r>
    <x v="1414"/>
    <x v="1"/>
    <m/>
    <x v="14"/>
    <n v="143"/>
    <n v="143"/>
    <n v="0"/>
    <m/>
    <n v="7045"/>
    <n v="7045"/>
    <n v="0"/>
    <x v="1854"/>
    <n v="0"/>
    <n v="49.265734265734267"/>
    <n v="49.265734265734267"/>
    <n v="0"/>
    <n v="27.05944055944056"/>
    <n v="0"/>
    <n v="25"/>
    <n v="0"/>
    <n v="48.867132867132867"/>
    <n v="10"/>
    <n v="8.5"/>
    <n v="0"/>
    <n v="0.98867132867132868"/>
    <n v="0.54925479063165361"/>
    <n v="0.92367132867132862"/>
    <m/>
    <m/>
    <m/>
    <m/>
    <m/>
    <m/>
    <m/>
    <m/>
    <m/>
  </r>
  <r>
    <x v="1414"/>
    <x v="0"/>
    <s v="Native "/>
    <x v="0"/>
    <n v="106"/>
    <n v="104"/>
    <n v="2"/>
    <s v="1 C. BOVIS - 1 PYELONEPHRITIS"/>
    <n v="44990"/>
    <n v="44990"/>
    <n v="0"/>
    <x v="1855"/>
    <n v="0"/>
    <n v="432.59615384615387"/>
    <n v="432.59615384615387"/>
    <n v="0"/>
    <n v="259.56153846153848"/>
    <n v="0"/>
    <n v="24.85576923076923"/>
    <n v="0"/>
    <n v="49.769230769230766"/>
    <n v="10"/>
    <n v="8.5"/>
    <n v="0"/>
    <n v="0.99480769230769228"/>
    <n v="0.6000088908646366"/>
    <n v="0.93125000000000002"/>
    <m/>
    <m/>
    <m/>
    <m/>
    <m/>
    <m/>
    <n v="15"/>
    <m/>
    <m/>
  </r>
  <r>
    <x v="1415"/>
    <x v="0"/>
    <s v="Imported"/>
    <x v="23"/>
    <n v="80"/>
    <n v="80"/>
    <n v="0"/>
    <m/>
    <n v="35776.265822784808"/>
    <n v="35776.265822784808"/>
    <n v="0"/>
    <x v="1856"/>
    <n v="0"/>
    <n v="447.2033227848101"/>
    <n v="447.2033227848101"/>
    <n v="0"/>
    <n v="282.63249999999999"/>
    <n v="0"/>
    <n v="24.9375"/>
    <n v="4"/>
    <n v="50"/>
    <n v="9.8125"/>
    <n v="8.5"/>
    <n v="0"/>
    <n v="0.99875000000000003"/>
    <n v="0.63200000000000001"/>
    <n v="0.97250000000000003"/>
    <m/>
    <m/>
    <m/>
    <m/>
    <m/>
    <m/>
    <n v="21"/>
    <m/>
    <m/>
  </r>
  <r>
    <x v="1416"/>
    <x v="0"/>
    <s v="Imported"/>
    <x v="23"/>
    <n v="84"/>
    <n v="83"/>
    <n v="1"/>
    <s v=" Rejection of 1 carcass due to generalized TB"/>
    <n v="38463.924050632908"/>
    <n v="38463.924050632908"/>
    <n v="0"/>
    <x v="1857"/>
    <n v="0"/>
    <n v="463.42077169437238"/>
    <n v="463.42077169437238"/>
    <n v="0"/>
    <n v="292.8819277108434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417"/>
    <x v="1"/>
    <m/>
    <x v="33"/>
    <n v="55"/>
    <n v="55"/>
    <n v="0"/>
    <m/>
    <n v="2178"/>
    <n v="2178"/>
    <n v="0"/>
    <x v="1858"/>
    <n v="0"/>
    <n v="39.6"/>
    <n v="39.6"/>
    <n v="0"/>
    <n v="19.803636363636365"/>
    <n v="0"/>
    <n v="25"/>
    <n v="0"/>
    <n v="45.272727272727273"/>
    <n v="10"/>
    <n v="8.5"/>
    <n v="0"/>
    <n v="0.95272727272727276"/>
    <n v="0.50009182736455471"/>
    <n v="0.88772727272727281"/>
    <m/>
    <m/>
    <m/>
    <m/>
    <m/>
    <m/>
    <m/>
    <m/>
    <m/>
  </r>
  <r>
    <x v="1417"/>
    <x v="0"/>
    <s v="Native "/>
    <x v="32"/>
    <n v="1"/>
    <n v="1"/>
    <n v="0"/>
    <m/>
    <n v="476"/>
    <n v="476"/>
    <n v="0"/>
    <x v="1859"/>
    <n v="0"/>
    <n v="476"/>
    <n v="476"/>
    <n v="0"/>
    <n v="305.2"/>
    <n v="0"/>
    <n v="24.85576923076923"/>
    <n v="0"/>
    <n v="49.769230769230766"/>
    <n v="10"/>
    <n v="8.5"/>
    <n v="0"/>
    <n v="0.99480769230769228"/>
    <n v="0.64117647058823524"/>
    <n v="0.93125000000000002"/>
    <m/>
    <m/>
    <m/>
    <m/>
    <m/>
    <m/>
    <m/>
    <m/>
    <m/>
  </r>
  <r>
    <x v="1418"/>
    <x v="1"/>
    <m/>
    <x v="33"/>
    <n v="51"/>
    <n v="51"/>
    <n v="0"/>
    <m/>
    <n v="1972"/>
    <n v="1972"/>
    <n v="0"/>
    <x v="1860"/>
    <n v="0"/>
    <n v="38.666666666666664"/>
    <n v="38.666666666666664"/>
    <n v="0"/>
    <n v="19.249019607843138"/>
    <n v="0"/>
    <n v="25"/>
    <n v="0"/>
    <n v="47.588235294117652"/>
    <n v="10"/>
    <n v="8.5"/>
    <n v="0"/>
    <n v="0.97588235294117653"/>
    <n v="0.4978194726166329"/>
    <n v="0.91088235294117648"/>
    <m/>
    <m/>
    <m/>
    <m/>
    <m/>
    <m/>
    <m/>
    <m/>
    <m/>
  </r>
  <r>
    <x v="1418"/>
    <x v="0"/>
    <s v="Imported"/>
    <x v="23"/>
    <n v="75"/>
    <n v="72"/>
    <n v="3"/>
    <s v="2 BULLS - 1 CARCASS "/>
    <n v="32100"/>
    <n v="32100"/>
    <n v="0"/>
    <x v="1861"/>
    <n v="0"/>
    <n v="445.83333333333331"/>
    <n v="445.83333333333331"/>
    <n v="0"/>
    <n v="281.76666666666665"/>
    <n v="0"/>
    <n v="25"/>
    <n v="0"/>
    <n v="50"/>
    <n v="9.9305555555555554"/>
    <n v="8.5"/>
    <n v="0"/>
    <n v="1"/>
    <n v="0.63200000000000001"/>
    <n v="0.93430555555555561"/>
    <m/>
    <m/>
    <m/>
    <m/>
    <m/>
    <m/>
    <n v="18"/>
    <m/>
    <m/>
  </r>
  <r>
    <x v="1419"/>
    <x v="0"/>
    <s v="Imported"/>
    <x v="23"/>
    <n v="79"/>
    <n v="78"/>
    <n v="1"/>
    <s v="Rejection of 1 bull (mixed breed)"/>
    <n v="35631.012658227846"/>
    <n v="35631.012658227846"/>
    <n v="0"/>
    <x v="1862"/>
    <n v="0"/>
    <n v="456.80785459266468"/>
    <n v="456.80785459266468"/>
    <n v="0"/>
    <n v="288.70256410256411"/>
    <n v="0"/>
    <n v="25"/>
    <n v="4"/>
    <n v="50"/>
    <n v="10"/>
    <n v="8.5"/>
    <n v="0"/>
    <n v="1"/>
    <n v="0.63200000000000001"/>
    <n v="0.97499999999999998"/>
    <m/>
    <m/>
    <m/>
    <m/>
    <m/>
    <m/>
    <n v="13"/>
    <m/>
    <m/>
  </r>
  <r>
    <x v="1420"/>
    <x v="1"/>
    <m/>
    <x v="14"/>
    <n v="51"/>
    <n v="51"/>
    <n v="0"/>
    <m/>
    <n v="2390"/>
    <n v="2390"/>
    <n v="0"/>
    <x v="1863"/>
    <n v="0"/>
    <n v="46.862745098039213"/>
    <n v="46.862745098039213"/>
    <n v="0"/>
    <n v="26.078431372549019"/>
    <n v="0"/>
    <n v="25"/>
    <n v="0"/>
    <n v="48.058823529411768"/>
    <n v="10"/>
    <n v="8.5"/>
    <n v="0"/>
    <n v="0.98058823529411776"/>
    <n v="0.55648535564853552"/>
    <n v="0.9155882352941177"/>
    <m/>
    <m/>
    <m/>
    <m/>
    <m/>
    <m/>
    <m/>
    <m/>
    <m/>
  </r>
  <r>
    <x v="1420"/>
    <x v="0"/>
    <s v="Imported"/>
    <x v="23"/>
    <n v="48"/>
    <n v="45"/>
    <n v="3"/>
    <s v="2 BULLS - 1 esinophilic myositis"/>
    <n v="20886.075949367088"/>
    <n v="20886.075949367088"/>
    <n v="0"/>
    <x v="1864"/>
    <n v="0"/>
    <n v="464.13502109704643"/>
    <n v="464.13502109704643"/>
    <n v="0"/>
    <n v="293.33333333333331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21"/>
    <x v="1"/>
    <m/>
    <x v="14"/>
    <n v="52"/>
    <n v="52"/>
    <n v="0"/>
    <m/>
    <n v="2600"/>
    <n v="2600"/>
    <n v="0"/>
    <x v="1865"/>
    <n v="0"/>
    <n v="50"/>
    <n v="50"/>
    <n v="0"/>
    <n v="26.226923076923075"/>
    <n v="0"/>
    <n v="25"/>
    <n v="0"/>
    <n v="43.44"/>
    <n v="10"/>
    <n v="8.5"/>
    <n v="0"/>
    <n v="0.9343999999999999"/>
    <n v="0.52453846153846151"/>
    <n v="0.86939999999999995"/>
    <m/>
    <m/>
    <m/>
    <m/>
    <m/>
    <m/>
    <m/>
    <m/>
    <m/>
  </r>
  <r>
    <x v="1421"/>
    <x v="0"/>
    <s v="Imported"/>
    <x v="23"/>
    <n v="61"/>
    <n v="59"/>
    <n v="2"/>
    <s v="2 bulls"/>
    <n v="26943.670886075954"/>
    <n v="26943.670886075954"/>
    <n v="0"/>
    <x v="1866"/>
    <n v="0"/>
    <n v="456.67238789959242"/>
    <n v="456.67238789959242"/>
    <n v="0"/>
    <n v="288.6169491525424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22"/>
    <x v="0"/>
    <s v="Imported"/>
    <x v="23"/>
    <n v="36"/>
    <n v="36"/>
    <n v="0"/>
    <m/>
    <n v="16803.797468354431"/>
    <n v="16803.797468354431"/>
    <n v="0"/>
    <x v="1867"/>
    <n v="0"/>
    <n v="466.77215189873419"/>
    <n v="466.77215189873419"/>
    <n v="0"/>
    <n v="295"/>
    <n v="0"/>
    <n v="25"/>
    <n v="4"/>
    <n v="50"/>
    <n v="10"/>
    <n v="8.5"/>
    <n v="0"/>
    <n v="1"/>
    <n v="0.63200000000000001"/>
    <n v="0.97499999999999998"/>
    <m/>
    <m/>
    <m/>
    <m/>
    <m/>
    <m/>
    <n v="2"/>
    <m/>
    <m/>
  </r>
  <r>
    <x v="1423"/>
    <x v="1"/>
    <m/>
    <x v="14"/>
    <n v="38"/>
    <n v="38"/>
    <n v="0"/>
    <m/>
    <n v="1836"/>
    <n v="1836"/>
    <n v="0"/>
    <x v="193"/>
    <n v="0"/>
    <n v="48.315789473684212"/>
    <n v="48.315789473684212"/>
    <n v="0"/>
    <n v="27.421052631578949"/>
    <n v="0"/>
    <n v="25"/>
    <n v="0"/>
    <n v="48.68421052631578"/>
    <n v="10"/>
    <n v="8.5"/>
    <n v="0"/>
    <n v="0.98684210526315774"/>
    <n v="0.56753812636165579"/>
    <n v="0.9218421052631578"/>
    <m/>
    <m/>
    <m/>
    <m/>
    <m/>
    <m/>
    <m/>
    <m/>
    <m/>
  </r>
  <r>
    <x v="1423"/>
    <x v="0"/>
    <s v="Imported"/>
    <x v="23"/>
    <n v="59"/>
    <n v="59"/>
    <n v="0"/>
    <m/>
    <n v="27274.367088607596"/>
    <n v="27274.367088607596"/>
    <n v="0"/>
    <x v="1868"/>
    <n v="0"/>
    <n v="462.27740828148467"/>
    <n v="462.27740828148467"/>
    <n v="0"/>
    <n v="292.15932203389832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24"/>
    <x v="0"/>
    <s v="Native "/>
    <x v="14"/>
    <n v="40"/>
    <n v="39"/>
    <n v="1"/>
    <s v="1 bull "/>
    <n v="19020"/>
    <n v="18055"/>
    <n v="965"/>
    <x v="1869"/>
    <n v="411"/>
    <n v="487.69230769230768"/>
    <n v="462.94871794871796"/>
    <n v="24.743589743589745"/>
    <n v="293.35641025641024"/>
    <n v="10.538461538461538"/>
    <n v="24.743589743589745"/>
    <n v="0"/>
    <n v="48.974358974358978"/>
    <n v="10"/>
    <n v="8.5"/>
    <n v="5.0736067297581497E-2"/>
    <n v="0.98461538461538467"/>
    <n v="0.60151945320715039"/>
    <n v="0.92217948717948728"/>
    <m/>
    <m/>
    <m/>
    <m/>
    <m/>
    <m/>
    <n v="22"/>
    <m/>
    <m/>
  </r>
  <r>
    <x v="1425"/>
    <x v="1"/>
    <m/>
    <x v="14"/>
    <n v="55"/>
    <n v="55"/>
    <n v="0"/>
    <m/>
    <n v="2754"/>
    <n v="2625"/>
    <n v="129"/>
    <x v="1870"/>
    <n v="0"/>
    <n v="50.072727272727271"/>
    <n v="47.727272727272727"/>
    <n v="2.3454545454545452"/>
    <n v="27.385454545454547"/>
    <n v="0"/>
    <n v="25"/>
    <n v="0"/>
    <n v="44.254545454545458"/>
    <n v="10"/>
    <n v="8.5"/>
    <n v="4.6840958605664486E-2"/>
    <n v="0.94254545454545458"/>
    <n v="0.54691358024691361"/>
    <n v="0.87754545454545452"/>
    <m/>
    <m/>
    <m/>
    <m/>
    <m/>
    <m/>
    <m/>
    <m/>
    <m/>
  </r>
  <r>
    <x v="1425"/>
    <x v="0"/>
    <s v="Native "/>
    <x v="14"/>
    <n v="33"/>
    <n v="32"/>
    <n v="1"/>
    <s v="1 carcass due to presence of C.Bovis at heart "/>
    <n v="13685"/>
    <n v="13405"/>
    <n v="280"/>
    <x v="1871"/>
    <n v="263"/>
    <n v="427.65625"/>
    <n v="418.90625"/>
    <n v="8.75"/>
    <n v="256.59687500000001"/>
    <n v="8.21875"/>
    <n v="24.53125"/>
    <n v="0"/>
    <n v="44.65625"/>
    <n v="9.6875"/>
    <n v="8.5"/>
    <n v="2.0460358056265986E-2"/>
    <n v="0.93718749999999995"/>
    <n v="0.60000730727073437"/>
    <n v="0.87375000000000003"/>
    <m/>
    <m/>
    <m/>
    <m/>
    <m/>
    <m/>
    <n v="18"/>
    <m/>
    <m/>
  </r>
  <r>
    <x v="1426"/>
    <x v="0"/>
    <s v="Native "/>
    <x v="14"/>
    <n v="75"/>
    <n v="70"/>
    <n v="5"/>
    <s v="5 c. bovis "/>
    <n v="34390"/>
    <n v="33805"/>
    <n v="585"/>
    <x v="1872"/>
    <n v="644"/>
    <n v="491.28571428571428"/>
    <n v="482.92857142857144"/>
    <n v="8.3571428571428577"/>
    <n v="294.88285714285712"/>
    <n v="9.1999999999999993"/>
    <n v="24.714285714285715"/>
    <n v="0"/>
    <n v="48.557142857142857"/>
    <n v="9.9285714285714288"/>
    <n v="8.5"/>
    <n v="1.7010758941552778E-2"/>
    <n v="0.97985714285714287"/>
    <n v="0.60022681011922063"/>
    <n v="0.91700000000000004"/>
    <m/>
    <m/>
    <m/>
    <m/>
    <m/>
    <m/>
    <n v="27"/>
    <m/>
    <m/>
  </r>
  <r>
    <x v="1427"/>
    <x v="0"/>
    <s v="Imported"/>
    <x v="34"/>
    <n v="56"/>
    <n v="56"/>
    <n v="0"/>
    <m/>
    <n v="26988.132911392404"/>
    <n v="26988.132911392404"/>
    <n v="0"/>
    <x v="1873"/>
    <n v="0"/>
    <n v="481.9309448462929"/>
    <n v="481.9309448462929"/>
    <n v="0"/>
    <n v="304.58035714285717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428"/>
    <x v="0"/>
    <s v="Imported"/>
    <x v="34"/>
    <n v="66"/>
    <n v="66"/>
    <n v="0"/>
    <m/>
    <n v="29106.170886075943"/>
    <n v="29106.170886075943"/>
    <n v="0"/>
    <x v="1874"/>
    <n v="0"/>
    <n v="441.00258918296885"/>
    <n v="441.00258918296885"/>
    <n v="0"/>
    <n v="278.71363636363634"/>
    <n v="0"/>
    <n v="25"/>
    <n v="4"/>
    <n v="50"/>
    <n v="9.8484848484848477"/>
    <n v="8.5"/>
    <n v="0"/>
    <n v="1"/>
    <n v="0.63200000000000012"/>
    <n v="0.9734848484848484"/>
    <m/>
    <m/>
    <m/>
    <m/>
    <m/>
    <m/>
    <n v="8"/>
    <m/>
    <m/>
  </r>
  <r>
    <x v="1429"/>
    <x v="0"/>
    <s v="Imported"/>
    <x v="34"/>
    <n v="56"/>
    <n v="56"/>
    <n v="0"/>
    <m/>
    <n v="27673.417721518981"/>
    <n v="27673.417721518981"/>
    <n v="0"/>
    <x v="1875"/>
    <n v="0"/>
    <n v="494.16817359855321"/>
    <n v="494.16817359855321"/>
    <n v="0"/>
    <n v="312.31428571428569"/>
    <n v="0"/>
    <n v="25"/>
    <n v="0"/>
    <n v="50"/>
    <n v="10"/>
    <n v="8.5"/>
    <n v="0"/>
    <n v="1"/>
    <n v="0.63200000000000012"/>
    <n v="0.93500000000000005"/>
    <m/>
    <m/>
    <m/>
    <m/>
    <m/>
    <m/>
    <n v="1"/>
    <m/>
    <m/>
  </r>
  <r>
    <x v="1430"/>
    <x v="1"/>
    <m/>
    <x v="14"/>
    <n v="65"/>
    <n v="65"/>
    <n v="0"/>
    <m/>
    <n v="3215"/>
    <n v="3175"/>
    <n v="40"/>
    <x v="1876"/>
    <n v="0"/>
    <n v="49.46153846153846"/>
    <n v="48.846153846153847"/>
    <n v="0.61538461538461542"/>
    <n v="27.907692307692308"/>
    <n v="0"/>
    <n v="25"/>
    <n v="0"/>
    <n v="39.015384615384619"/>
    <n v="10"/>
    <n v="8.5"/>
    <n v="1.2441679626749613E-2"/>
    <n v="0.89015384615384618"/>
    <n v="0.56423017107309492"/>
    <n v="0.82515384615384624"/>
    <s v="34 livers - 11 hearts - 2 kidneys - 1 omentum"/>
    <m/>
    <m/>
    <m/>
    <m/>
    <m/>
    <n v="0"/>
    <m/>
    <m/>
  </r>
  <r>
    <x v="1431"/>
    <x v="0"/>
    <s v="Native "/>
    <x v="14"/>
    <n v="78"/>
    <n v="76"/>
    <n v="2"/>
    <m/>
    <n v="33668"/>
    <n v="33270"/>
    <n v="398"/>
    <x v="1877"/>
    <n v="633"/>
    <n v="443"/>
    <n v="437.76315789473682"/>
    <n v="5.2368421052631575"/>
    <n v="267.42500000000001"/>
    <n v="8.3289473684210531"/>
    <n v="24.666666666666668"/>
    <n v="0"/>
    <n v="46.72"/>
    <n v="10"/>
    <n v="8.5"/>
    <n v="1.1821314007366045E-2"/>
    <n v="0.96053333333333335"/>
    <n v="0.60366817155756203"/>
    <n v="0.8988666666666667"/>
    <s v="2 livers - 1 head - 4 kidneys - 1 testicle"/>
    <m/>
    <m/>
    <m/>
    <m/>
    <m/>
    <n v="38"/>
    <m/>
    <m/>
  </r>
  <r>
    <x v="1432"/>
    <x v="0"/>
    <s v="Native "/>
    <x v="14"/>
    <n v="46"/>
    <n v="46"/>
    <n v="0"/>
    <m/>
    <n v="21450"/>
    <n v="21341"/>
    <n v="109"/>
    <x v="1878"/>
    <n v="385"/>
    <n v="466.30434782608694"/>
    <n v="463.93478260869563"/>
    <n v="2.3695652173913042"/>
    <n v="279.97608695652173"/>
    <n v="8.3695652173913047"/>
    <n v="24.732142857142858"/>
    <n v="0"/>
    <n v="49.410714285714278"/>
    <n v="10"/>
    <n v="8.5"/>
    <n v="5.0815850815850811E-3"/>
    <n v="0.98875000000000002"/>
    <n v="0.60041491841491845"/>
    <n v="0.92642857142857138"/>
    <s v="1 liver - 4 kidneys"/>
    <m/>
    <m/>
    <m/>
    <m/>
    <m/>
    <n v="10"/>
    <m/>
    <m/>
  </r>
  <r>
    <x v="1433"/>
    <x v="0"/>
    <s v="Native "/>
    <x v="14"/>
    <n v="52"/>
    <n v="48"/>
    <n v="4"/>
    <m/>
    <n v="22170"/>
    <n v="22170"/>
    <n v="0"/>
    <x v="1879"/>
    <n v="396"/>
    <n v="461.875"/>
    <n v="461.875"/>
    <n v="0"/>
    <n v="278.14375000000001"/>
    <n v="8.25"/>
    <n v="24.6875"/>
    <n v="0"/>
    <n v="47.583333333333336"/>
    <n v="10"/>
    <n v="8.5"/>
    <n v="0"/>
    <n v="0.96958333333333335"/>
    <n v="0.60220568335588631"/>
    <n v="0.90770833333333345"/>
    <s v="3 livers - 1 head - 1 heart - 12 kidneys"/>
    <m/>
    <m/>
    <m/>
    <m/>
    <m/>
    <n v="18"/>
    <m/>
    <m/>
  </r>
  <r>
    <x v="1434"/>
    <x v="0"/>
    <s v="Native "/>
    <x v="14"/>
    <n v="33"/>
    <n v="33"/>
    <n v="0"/>
    <m/>
    <n v="14620"/>
    <n v="14100"/>
    <n v="520"/>
    <x v="1880"/>
    <n v="238"/>
    <n v="443.030303030303"/>
    <n v="427.27272727272725"/>
    <n v="15.757575757575758"/>
    <n v="265.77272727272725"/>
    <n v="7.2121212121212119"/>
    <n v="25"/>
    <n v="0"/>
    <n v="46.696969696969703"/>
    <n v="10"/>
    <n v="8.5"/>
    <n v="3.5567715458276333E-2"/>
    <n v="0.96696969696969703"/>
    <n v="0.59989740082079346"/>
    <n v="0.90196969696969698"/>
    <s v="2 kidneys - 2 testicle"/>
    <m/>
    <m/>
    <m/>
    <m/>
    <m/>
    <n v="10"/>
    <m/>
    <m/>
  </r>
  <r>
    <x v="1435"/>
    <x v="0"/>
    <s v="Imported"/>
    <x v="23"/>
    <n v="69"/>
    <n v="67"/>
    <n v="2"/>
    <m/>
    <n v="31740.506329113923"/>
    <n v="31740.506329113923"/>
    <n v="0"/>
    <x v="1881"/>
    <n v="0"/>
    <n v="473.73890043453616"/>
    <n v="473.73890043453616"/>
    <n v="0"/>
    <n v="299.40298507462688"/>
    <n v="0"/>
    <n v="24.925373134328357"/>
    <n v="0"/>
    <n v="50"/>
    <n v="9.7761194029850742"/>
    <n v="8.5"/>
    <n v="0"/>
    <n v="0.99850746268656709"/>
    <n v="0.63200000000000001"/>
    <n v="0.93201492537313424"/>
    <m/>
    <m/>
    <m/>
    <m/>
    <m/>
    <m/>
    <n v="14"/>
    <m/>
    <m/>
  </r>
  <r>
    <x v="1436"/>
    <x v="0"/>
    <s v="Native "/>
    <x v="9"/>
    <n v="24"/>
    <n v="23"/>
    <n v="1"/>
    <m/>
    <n v="10776"/>
    <n v="10776"/>
    <n v="0"/>
    <x v="1882"/>
    <n v="231"/>
    <n v="468.52173913043481"/>
    <n v="468.52173913043481"/>
    <n v="0"/>
    <n v="281.10000000000002"/>
    <n v="10.043478260869565"/>
    <n v="24.782608695652172"/>
    <n v="0"/>
    <n v="47.521739130434781"/>
    <n v="10"/>
    <n v="8.5"/>
    <n v="0"/>
    <n v="0.97086956521739132"/>
    <n v="0.59997216035634748"/>
    <n v="0.90804347826086951"/>
    <s v="1 heart"/>
    <m/>
    <m/>
    <m/>
    <m/>
    <m/>
    <n v="9"/>
    <m/>
    <m/>
  </r>
  <r>
    <x v="1436"/>
    <x v="0"/>
    <s v="Native "/>
    <x v="27"/>
    <n v="48"/>
    <n v="48"/>
    <n v="0"/>
    <m/>
    <n v="22443"/>
    <n v="22443"/>
    <n v="0"/>
    <x v="1883"/>
    <n v="389"/>
    <n v="467.5625"/>
    <n v="467.5625"/>
    <n v="0"/>
    <n v="284.38333333333333"/>
    <n v="8.1041666666666661"/>
    <n v="25"/>
    <n v="0"/>
    <n v="44.4375"/>
    <n v="10"/>
    <n v="8.5"/>
    <n v="0"/>
    <n v="0.94437499999999996"/>
    <n v="0.60822528182506796"/>
    <n v="0.87937500000000002"/>
    <s v="2 livers - 1 lung"/>
    <m/>
    <m/>
    <m/>
    <m/>
    <m/>
    <n v="4"/>
    <m/>
    <m/>
  </r>
  <r>
    <x v="1437"/>
    <x v="0"/>
    <s v="Imported"/>
    <x v="23"/>
    <n v="39"/>
    <n v="39"/>
    <n v="0"/>
    <m/>
    <n v="17405.063291139239"/>
    <n v="17405.063291139239"/>
    <n v="0"/>
    <x v="1884"/>
    <n v="0"/>
    <n v="446.28367413177534"/>
    <n v="446.28367413177534"/>
    <n v="0"/>
    <n v="282.05128205128204"/>
    <n v="0"/>
    <n v="25"/>
    <n v="0"/>
    <n v="50"/>
    <n v="10"/>
    <n v="8.5"/>
    <n v="0"/>
    <n v="1"/>
    <n v="0.63200000000000012"/>
    <n v="0.93500000000000005"/>
    <m/>
    <m/>
    <m/>
    <m/>
    <m/>
    <m/>
    <m/>
    <m/>
    <m/>
  </r>
  <r>
    <x v="1438"/>
    <x v="0"/>
    <s v="Imported"/>
    <x v="23"/>
    <n v="69"/>
    <n v="64"/>
    <n v="5"/>
    <m/>
    <n v="27959.177215189873"/>
    <n v="27959.177215189873"/>
    <n v="0"/>
    <x v="1885"/>
    <n v="0"/>
    <n v="436.86214398734177"/>
    <n v="436.86214398734177"/>
    <n v="0"/>
    <n v="276.09687500000001"/>
    <n v="0"/>
    <n v="24.453125"/>
    <n v="0"/>
    <n v="50"/>
    <n v="10"/>
    <n v="8.5"/>
    <n v="0"/>
    <n v="0.98906249999999996"/>
    <n v="0.63200000000000001"/>
    <n v="0.92953125000000003"/>
    <m/>
    <m/>
    <m/>
    <m/>
    <m/>
    <m/>
    <n v="23"/>
    <m/>
    <m/>
  </r>
  <r>
    <x v="1439"/>
    <x v="1"/>
    <m/>
    <x v="14"/>
    <n v="37"/>
    <n v="37"/>
    <n v="0"/>
    <m/>
    <n v="1900"/>
    <n v="1850"/>
    <n v="50"/>
    <x v="1886"/>
    <n v="0"/>
    <n v="51.351351351351354"/>
    <n v="50"/>
    <n v="1.3513513513513513"/>
    <n v="28.240540540540543"/>
    <n v="0"/>
    <n v="25"/>
    <n v="0"/>
    <n v="48.189189189189186"/>
    <n v="10"/>
    <n v="8.5"/>
    <n v="2.6315789473684209E-2"/>
    <n v="0.98189189189189185"/>
    <n v="0.54994736842105263"/>
    <n v="0.91689189189189191"/>
    <s v="2 livers - 1 heart - 1 lung"/>
    <m/>
    <m/>
    <m/>
    <m/>
    <m/>
    <n v="0"/>
    <m/>
    <m/>
  </r>
  <r>
    <x v="1439"/>
    <x v="0"/>
    <s v="Native "/>
    <x v="14"/>
    <n v="44"/>
    <n v="43"/>
    <n v="1"/>
    <m/>
    <n v="20630"/>
    <n v="20435"/>
    <n v="195"/>
    <x v="1887"/>
    <n v="372"/>
    <n v="479.76744186046511"/>
    <n v="475.23255813953489"/>
    <n v="4.5348837209302326"/>
    <n v="288.12790697674421"/>
    <n v="8.6511627906976738"/>
    <n v="25"/>
    <n v="0"/>
    <n v="47.232558139534888"/>
    <n v="10"/>
    <n v="8.5"/>
    <n v="9.4522539990305379E-3"/>
    <n v="0.97232558139534886"/>
    <n v="0.60055744062045568"/>
    <n v="0.90732558139534891"/>
    <s v="2 livers - 1 lung - 4 kidneys - 1 testicle - 1 spleen - 4 legs"/>
    <m/>
    <m/>
    <m/>
    <m/>
    <m/>
    <n v="16"/>
    <m/>
    <m/>
  </r>
  <r>
    <x v="1440"/>
    <x v="0"/>
    <s v="Native "/>
    <x v="14"/>
    <n v="28"/>
    <n v="25"/>
    <n v="3"/>
    <m/>
    <n v="11660"/>
    <n v="11660"/>
    <n v="0"/>
    <x v="1888"/>
    <n v="224"/>
    <n v="466.4"/>
    <n v="466.4"/>
    <n v="0"/>
    <n v="281.11200000000002"/>
    <n v="8.9600000000000009"/>
    <n v="24.6"/>
    <n v="0"/>
    <n v="47.560000000000009"/>
    <n v="10"/>
    <n v="8.5"/>
    <n v="0"/>
    <n v="0.96760000000000013"/>
    <n v="0.60272727272727278"/>
    <n v="0.90660000000000007"/>
    <s v="1 liver - 1 lung"/>
    <m/>
    <m/>
    <m/>
    <m/>
    <m/>
    <n v="11"/>
    <m/>
    <m/>
  </r>
  <r>
    <x v="1441"/>
    <x v="1"/>
    <m/>
    <x v="30"/>
    <n v="36"/>
    <n v="36"/>
    <n v="0"/>
    <m/>
    <n v="1847"/>
    <n v="1735"/>
    <n v="112"/>
    <x v="1889"/>
    <n v="0"/>
    <n v="51.305555555555557"/>
    <n v="48.194444444444443"/>
    <n v="3.1111111111111112"/>
    <n v="26.472222222222221"/>
    <n v="0"/>
    <n v="25"/>
    <n v="0"/>
    <n v="45.666666666666664"/>
    <n v="10"/>
    <n v="8.5"/>
    <n v="6.0638873849485651E-2"/>
    <n v="0.95666666666666667"/>
    <n v="0.51597184623714132"/>
    <n v="0.89166666666666661"/>
    <s v="1 liver - 3 hearts"/>
    <m/>
    <m/>
    <m/>
    <m/>
    <m/>
    <n v="0"/>
    <m/>
    <m/>
  </r>
  <r>
    <x v="1441"/>
    <x v="0"/>
    <s v="Native "/>
    <x v="9"/>
    <n v="80"/>
    <n v="76"/>
    <n v="4"/>
    <m/>
    <n v="35670"/>
    <n v="33770"/>
    <n v="1900"/>
    <x v="1890"/>
    <n v="740"/>
    <n v="469.34210526315792"/>
    <n v="444.34210526315792"/>
    <n v="25"/>
    <n v="281.61447368421051"/>
    <n v="9.7368421052631575"/>
    <n v="24.671052631578949"/>
    <n v="0"/>
    <n v="47.815789473684205"/>
    <n v="10"/>
    <n v="8.5"/>
    <n v="5.3266049901878325E-2"/>
    <n v="0.9715789473684211"/>
    <n v="0.60001962433417444"/>
    <n v="0.90986842105263155"/>
    <s v="1 liver - 6 kidneys"/>
    <m/>
    <m/>
    <m/>
    <m/>
    <m/>
    <n v="38"/>
    <m/>
    <m/>
  </r>
  <r>
    <x v="1442"/>
    <x v="0"/>
    <s v="Native "/>
    <x v="14"/>
    <n v="45"/>
    <n v="45"/>
    <n v="0"/>
    <m/>
    <n v="21960"/>
    <n v="21595"/>
    <n v="365"/>
    <x v="1891"/>
    <n v="387"/>
    <n v="488"/>
    <n v="479.88888888888891"/>
    <n v="8.1111111111111107"/>
    <n v="293.18888888888887"/>
    <n v="8.6"/>
    <n v="24.555555555555557"/>
    <n v="0"/>
    <n v="47.622222222222227"/>
    <n v="10"/>
    <n v="8.5"/>
    <n v="1.6621129326047358E-2"/>
    <n v="0.96733333333333338"/>
    <n v="0.60079690346083792"/>
    <n v="0.90677777777777779"/>
    <s v="1 liver - 6 kidneys"/>
    <m/>
    <m/>
    <m/>
    <m/>
    <m/>
    <n v="30"/>
    <m/>
    <m/>
  </r>
  <r>
    <x v="1443"/>
    <x v="0"/>
    <s v="Native "/>
    <x v="9"/>
    <n v="56"/>
    <n v="53"/>
    <n v="3"/>
    <m/>
    <n v="24372"/>
    <n v="23906"/>
    <n v="466"/>
    <x v="1892"/>
    <n v="433"/>
    <n v="459.84905660377359"/>
    <n v="451.05660377358492"/>
    <n v="8.7924528301886795"/>
    <n v="275.90188679245284"/>
    <n v="8.1698113207547163"/>
    <n v="24.622641509433961"/>
    <n v="0"/>
    <n v="49.339622641509443"/>
    <n v="10"/>
    <n v="8.5"/>
    <n v="1.9120301985885442E-2"/>
    <n v="0.98584905660377364"/>
    <n v="0.59998358772361726"/>
    <n v="0.92462264150943407"/>
    <s v="2 kidneys - 1 heart - 1 head "/>
    <m/>
    <m/>
    <m/>
    <m/>
    <m/>
    <n v="25"/>
    <m/>
    <m/>
  </r>
  <r>
    <x v="1444"/>
    <x v="0"/>
    <s v="Native "/>
    <x v="9"/>
    <n v="36"/>
    <n v="34"/>
    <n v="2"/>
    <m/>
    <n v="15360"/>
    <n v="15089"/>
    <n v="271"/>
    <x v="1893"/>
    <n v="338"/>
    <n v="451.76470588235293"/>
    <n v="443.79411764705884"/>
    <n v="7.9705882352941178"/>
    <n v="271.05294117647054"/>
    <n v="9.9411764705882355"/>
    <n v="24.411764705882355"/>
    <n v="0"/>
    <n v="46.382352941176471"/>
    <n v="10"/>
    <n v="8.5"/>
    <n v="1.7643229166666666E-2"/>
    <n v="0.95205882352941185"/>
    <n v="0.59998697916666666"/>
    <n v="0.89294117647058824"/>
    <s v="5 livers - 2 heads - 1 testicle "/>
    <m/>
    <m/>
    <m/>
    <m/>
    <m/>
    <n v="18"/>
    <m/>
    <m/>
  </r>
  <r>
    <x v="1445"/>
    <x v="0"/>
    <s v="Native "/>
    <x v="14"/>
    <n v="48"/>
    <n v="47"/>
    <n v="1"/>
    <m/>
    <n v="23020"/>
    <n v="22345"/>
    <n v="675"/>
    <x v="1894"/>
    <n v="473"/>
    <n v="489.78723404255317"/>
    <n v="475.42553191489361"/>
    <n v="14.361702127659575"/>
    <n v="294.08510638297872"/>
    <n v="10.063829787234043"/>
    <n v="24.468085106382979"/>
    <n v="0"/>
    <n v="47.468085106382979"/>
    <n v="10"/>
    <n v="8.5"/>
    <n v="2.9322328410078195E-2"/>
    <n v="0.96404255319148935"/>
    <n v="0.6004344048653345"/>
    <n v="0.90436170212765954"/>
    <s v="1 liver - 1 heart - 1 testicle"/>
    <m/>
    <m/>
    <m/>
    <m/>
    <m/>
    <n v="18"/>
    <m/>
    <m/>
  </r>
  <r>
    <x v="1446"/>
    <x v="1"/>
    <m/>
    <x v="14"/>
    <n v="54"/>
    <n v="54"/>
    <n v="0"/>
    <m/>
    <n v="2655"/>
    <n v="2655"/>
    <n v="0"/>
    <x v="1895"/>
    <n v="0"/>
    <n v="49.166666666666664"/>
    <n v="49.166666666666664"/>
    <n v="0"/>
    <n v="26.3"/>
    <n v="0"/>
    <n v="25"/>
    <n v="0"/>
    <n v="48.592592592592595"/>
    <n v="10"/>
    <n v="8.5"/>
    <n v="0"/>
    <n v="0.98592592592592587"/>
    <n v="0.53491525423728814"/>
    <n v="0.92092592592592593"/>
    <s v="3 livers - 1 heart"/>
    <m/>
    <m/>
    <m/>
    <m/>
    <m/>
    <n v="0"/>
    <m/>
    <m/>
  </r>
  <r>
    <x v="1446"/>
    <x v="0"/>
    <s v="Native "/>
    <x v="14"/>
    <n v="35"/>
    <n v="34"/>
    <n v="1"/>
    <m/>
    <n v="15850"/>
    <n v="15850"/>
    <n v="0"/>
    <x v="1896"/>
    <n v="276"/>
    <n v="466.1764705882353"/>
    <n v="466.1764705882353"/>
    <n v="0"/>
    <n v="279.75294117647059"/>
    <n v="8.117647058823529"/>
    <n v="25"/>
    <n v="0"/>
    <n v="46.117647058823529"/>
    <n v="10"/>
    <n v="8.5"/>
    <n v="0"/>
    <n v="0.9611764705882353"/>
    <n v="0.60010094637223976"/>
    <n v="0.89617647058823535"/>
    <s v="1 lung"/>
    <m/>
    <m/>
    <m/>
    <m/>
    <m/>
    <n v="24"/>
    <m/>
    <m/>
  </r>
  <r>
    <x v="1447"/>
    <x v="0"/>
    <s v="Native "/>
    <x v="14"/>
    <n v="72"/>
    <n v="71"/>
    <n v="1"/>
    <m/>
    <n v="33450"/>
    <n v="32335"/>
    <n v="1115"/>
    <x v="1897"/>
    <n v="524"/>
    <n v="471.12676056338029"/>
    <n v="455.42253521126759"/>
    <n v="15.704225352112676"/>
    <n v="283.21408450704229"/>
    <n v="7.380281690140845"/>
    <n v="24.589041095890412"/>
    <n v="0"/>
    <n v="47.794520547945197"/>
    <n v="10"/>
    <n v="8.5"/>
    <n v="3.3333333333333333E-2"/>
    <n v="0.96972602739726022"/>
    <n v="0.60114200298953668"/>
    <n v="0.90883561643835609"/>
    <s v="2 kidneys"/>
    <m/>
    <m/>
    <m/>
    <m/>
    <m/>
    <n v="27"/>
    <m/>
    <m/>
  </r>
  <r>
    <x v="1448"/>
    <x v="0"/>
    <s v="Native "/>
    <x v="9"/>
    <n v="40"/>
    <n v="37"/>
    <n v="3"/>
    <m/>
    <n v="18364"/>
    <n v="17355"/>
    <n v="1009"/>
    <x v="1898"/>
    <n v="334"/>
    <n v="496.32432432432432"/>
    <n v="469.05405405405406"/>
    <n v="27.27027027027027"/>
    <n v="297.80270270270273"/>
    <n v="9.0270270270270263"/>
    <n v="24.45945945945946"/>
    <n v="0"/>
    <n v="49.054054054054056"/>
    <n v="10"/>
    <n v="8.5"/>
    <n v="5.4944456545414945E-2"/>
    <n v="0.97972972972972983"/>
    <n v="0.60001633631017215"/>
    <n v="0.92013513513513512"/>
    <s v="6 kidneys - 1 lung - 1 liver"/>
    <m/>
    <m/>
    <m/>
    <m/>
    <m/>
    <n v="22"/>
    <m/>
    <m/>
  </r>
  <r>
    <x v="1449"/>
    <x v="0"/>
    <s v="Native "/>
    <x v="9"/>
    <n v="55"/>
    <n v="44"/>
    <n v="11"/>
    <m/>
    <n v="21281"/>
    <n v="19754"/>
    <n v="1527"/>
    <x v="1899"/>
    <n v="447"/>
    <n v="483.65909090909093"/>
    <n v="448.95454545454544"/>
    <n v="34.704545454545453"/>
    <n v="290.19318181818181"/>
    <n v="10.159090909090908"/>
    <n v="24.545454545454547"/>
    <n v="0"/>
    <n v="46.886363636363633"/>
    <n v="10"/>
    <n v="8.5"/>
    <n v="7.1754146891593429E-2"/>
    <n v="0.95977272727272722"/>
    <n v="0.5999953009726986"/>
    <n v="0.89931818181818191"/>
    <s v="2 livers - 2 kidneys -  1 heart  - 1 testicle"/>
    <m/>
    <m/>
    <m/>
    <m/>
    <m/>
    <n v="19"/>
    <m/>
    <m/>
  </r>
  <r>
    <x v="1450"/>
    <x v="0"/>
    <s v="Native "/>
    <x v="9"/>
    <n v="39"/>
    <n v="36"/>
    <n v="3"/>
    <m/>
    <n v="16196"/>
    <n v="15188"/>
    <n v="1008"/>
    <x v="1900"/>
    <n v="319"/>
    <n v="449.88888888888891"/>
    <n v="421.88888888888891"/>
    <n v="28"/>
    <n v="269.91944444444448"/>
    <n v="8.8611111111111107"/>
    <n v="23.888888888888889"/>
    <n v="0"/>
    <n v="45.638888888888893"/>
    <n v="10"/>
    <n v="8.5"/>
    <n v="6.2237589528278583E-2"/>
    <n v="0.93416666666666681"/>
    <n v="0.59996912817979753"/>
    <n v="0.88027777777777783"/>
    <s v="6 livers - 4 lungs - 2 kidneys -  1 heart"/>
    <m/>
    <m/>
    <m/>
    <m/>
    <m/>
    <n v="19"/>
    <m/>
    <m/>
  </r>
  <r>
    <x v="1451"/>
    <x v="1"/>
    <m/>
    <x v="33"/>
    <n v="40"/>
    <n v="40"/>
    <n v="0"/>
    <m/>
    <n v="1820"/>
    <n v="1820"/>
    <n v="0"/>
    <x v="1901"/>
    <n v="0"/>
    <n v="45.5"/>
    <n v="45.5"/>
    <n v="0"/>
    <n v="25.767500000000002"/>
    <n v="0"/>
    <n v="25"/>
    <n v="0"/>
    <n v="48.125"/>
    <n v="10"/>
    <n v="8.5"/>
    <n v="0"/>
    <n v="0.98124999999999996"/>
    <n v="0.56631868131868135"/>
    <n v="0.91625000000000001"/>
    <s v="3 livers - 1 heart"/>
    <m/>
    <m/>
    <m/>
    <m/>
    <m/>
    <n v="0"/>
    <m/>
    <m/>
  </r>
  <r>
    <x v="1451"/>
    <x v="0"/>
    <s v="Native "/>
    <x v="27"/>
    <n v="50"/>
    <n v="50"/>
    <n v="0"/>
    <m/>
    <n v="22443"/>
    <n v="22443"/>
    <n v="0"/>
    <x v="1902"/>
    <n v="356"/>
    <n v="448.86"/>
    <n v="448.86"/>
    <n v="0"/>
    <n v="272.15600000000001"/>
    <n v="7.12"/>
    <n v="25"/>
    <n v="0"/>
    <n v="39.619999999999997"/>
    <n v="10"/>
    <n v="8.5"/>
    <n v="0"/>
    <n v="0.8962"/>
    <n v="0.60632713986543685"/>
    <n v="0.83120000000000005"/>
    <s v="1 liver "/>
    <m/>
    <m/>
    <m/>
    <m/>
    <m/>
    <n v="6"/>
    <m/>
    <m/>
  </r>
  <r>
    <x v="1452"/>
    <x v="0"/>
    <s v="Native "/>
    <x v="14"/>
    <n v="32"/>
    <n v="32"/>
    <n v="0"/>
    <m/>
    <n v="14535"/>
    <n v="14535"/>
    <n v="0"/>
    <x v="1903"/>
    <n v="289"/>
    <n v="454.21875"/>
    <n v="454.21875"/>
    <n v="0"/>
    <n v="273.796875"/>
    <n v="9.03125"/>
    <n v="24.53125"/>
    <n v="0"/>
    <n v="47"/>
    <n v="10"/>
    <n v="8.5"/>
    <n v="0"/>
    <n v="0.96062499999999995"/>
    <n v="0.60278637770897836"/>
    <n v="0.90031249999999996"/>
    <s v="2 livers - 6 kidneys - 1 intestine - 1 heart"/>
    <m/>
    <m/>
    <m/>
    <m/>
    <m/>
    <n v="10"/>
    <m/>
    <m/>
  </r>
  <r>
    <x v="1453"/>
    <x v="1"/>
    <m/>
    <x v="14"/>
    <n v="52"/>
    <n v="52"/>
    <n v="0"/>
    <m/>
    <n v="2416"/>
    <n v="2405"/>
    <n v="11"/>
    <x v="1904"/>
    <n v="0"/>
    <n v="46.46153846153846"/>
    <n v="46.25"/>
    <n v="0.21153846153846154"/>
    <n v="27.044230769230769"/>
    <n v="0"/>
    <n v="25"/>
    <n v="0"/>
    <n v="44.249999999999993"/>
    <n v="10"/>
    <n v="8.5"/>
    <n v="4.552980132450331E-3"/>
    <n v="0.94249999999999989"/>
    <n v="0.58207781456953644"/>
    <n v="0.87749999999999995"/>
    <s v="12 livers - 1 heart - 2 lungs - 1 omentum"/>
    <m/>
    <m/>
    <m/>
    <m/>
    <m/>
    <n v="0"/>
    <m/>
    <m/>
  </r>
  <r>
    <x v="1453"/>
    <x v="0"/>
    <s v="Native "/>
    <x v="14"/>
    <n v="82"/>
    <n v="79"/>
    <n v="3"/>
    <m/>
    <n v="36980"/>
    <n v="35985"/>
    <n v="995"/>
    <x v="1905"/>
    <n v="723"/>
    <n v="468.1012658227848"/>
    <n v="455.50632911392404"/>
    <n v="12.594936708860759"/>
    <n v="284.85316455696204"/>
    <n v="9.151898734177216"/>
    <n v="24.620253164556964"/>
    <n v="0"/>
    <n v="49.341772151898731"/>
    <n v="10"/>
    <n v="8.5"/>
    <n v="2.6906435911303407E-2"/>
    <n v="0.98582278481012664"/>
    <n v="0.60852893455922119"/>
    <n v="0.92462025316455698"/>
    <s v="2 livers - 2 kidneys "/>
    <m/>
    <m/>
    <m/>
    <m/>
    <m/>
    <n v="26"/>
    <m/>
    <m/>
  </r>
  <r>
    <x v="1454"/>
    <x v="0"/>
    <s v="Imported"/>
    <x v="34"/>
    <n v="46"/>
    <n v="46"/>
    <n v="0"/>
    <m/>
    <n v="22324.525316455696"/>
    <n v="22324.525316455696"/>
    <n v="0"/>
    <x v="1906"/>
    <n v="0"/>
    <n v="485.31576774903687"/>
    <n v="485.31576774903687"/>
    <n v="0"/>
    <n v="306.71956521739133"/>
    <n v="0"/>
    <n v="24.89130434782609"/>
    <n v="0"/>
    <n v="50"/>
    <n v="10"/>
    <n v="8.5"/>
    <n v="0"/>
    <n v="0.99782608695652186"/>
    <n v="0.63200000000000001"/>
    <n v="0.93391304347826098"/>
    <m/>
    <m/>
    <m/>
    <m/>
    <m/>
    <m/>
    <n v="14"/>
    <m/>
    <m/>
  </r>
  <r>
    <x v="1455"/>
    <x v="0"/>
    <s v="Native "/>
    <x v="35"/>
    <n v="58"/>
    <n v="58"/>
    <n v="0"/>
    <m/>
    <n v="26655"/>
    <n v="25765"/>
    <n v="890"/>
    <x v="1907"/>
    <n v="465"/>
    <n v="459.56896551724139"/>
    <n v="444.22413793103448"/>
    <n v="15.344827586206897"/>
    <n v="277.55"/>
    <n v="8.0172413793103452"/>
    <n v="25"/>
    <n v="0"/>
    <n v="48.103448275862064"/>
    <n v="10"/>
    <n v="8.5"/>
    <n v="3.3389607953479644E-2"/>
    <n v="0.9810344827586206"/>
    <n v="0.60393547176889883"/>
    <n v="0.91603448275862065"/>
    <s v="1 liver - 2 kidneys - 2 lungs - 1 head - 1 heart"/>
    <m/>
    <m/>
    <m/>
    <m/>
    <m/>
    <n v="1"/>
    <m/>
    <m/>
  </r>
  <r>
    <x v="1456"/>
    <x v="0"/>
    <s v="Native "/>
    <x v="30"/>
    <n v="40"/>
    <n v="40"/>
    <n v="0"/>
    <m/>
    <n v="18266"/>
    <n v="17430"/>
    <n v="836"/>
    <x v="1908"/>
    <n v="281"/>
    <n v="456.65"/>
    <n v="435.75"/>
    <n v="20.9"/>
    <n v="276.26"/>
    <n v="7.0250000000000004"/>
    <n v="25"/>
    <n v="0"/>
    <n v="47"/>
    <n v="10"/>
    <n v="8.5"/>
    <n v="4.5768093726048398E-2"/>
    <n v="0.97"/>
    <n v="0.60497098434249419"/>
    <n v="0.90500000000000003"/>
    <s v="2  livers - 2 lungs"/>
    <m/>
    <m/>
    <m/>
    <m/>
    <m/>
    <n v="5"/>
    <m/>
    <m/>
  </r>
  <r>
    <x v="1457"/>
    <x v="1"/>
    <m/>
    <x v="33"/>
    <n v="37"/>
    <n v="37"/>
    <n v="0"/>
    <m/>
    <n v="1728"/>
    <n v="1685"/>
    <n v="43"/>
    <x v="1909"/>
    <n v="0"/>
    <n v="46.702702702702702"/>
    <n v="45.54054054054054"/>
    <n v="1.1621621621621621"/>
    <n v="25.581081081081081"/>
    <n v="0"/>
    <n v="25"/>
    <n v="0"/>
    <n v="46.756756756756758"/>
    <n v="10"/>
    <n v="8.5"/>
    <n v="2.4884259259259259E-2"/>
    <n v="0.96756756756756757"/>
    <n v="0.54774305555555558"/>
    <n v="0.90256756756756762"/>
    <s v="5 livers "/>
    <m/>
    <m/>
    <m/>
    <m/>
    <m/>
    <n v="0"/>
    <m/>
    <m/>
  </r>
  <r>
    <x v="1457"/>
    <x v="0"/>
    <s v="Native "/>
    <x v="36"/>
    <n v="55"/>
    <n v="51"/>
    <n v="4"/>
    <m/>
    <n v="22993.06"/>
    <n v="22993.06"/>
    <n v="0"/>
    <x v="1910"/>
    <n v="457"/>
    <n v="450.84431372549022"/>
    <n v="450.84431372549022"/>
    <n v="0"/>
    <n v="270.08431372549018"/>
    <n v="8.9607843137254903"/>
    <n v="25"/>
    <n v="0"/>
    <n v="47.431372549019613"/>
    <n v="10"/>
    <n v="8.5"/>
    <n v="0"/>
    <n v="0.97431372549019613"/>
    <n v="0.59906336955585726"/>
    <n v="0.90931372549019618"/>
    <s v="2 livers - 4 kidneys"/>
    <m/>
    <m/>
    <m/>
    <m/>
    <m/>
    <n v="17"/>
    <m/>
    <m/>
  </r>
  <r>
    <x v="1458"/>
    <x v="0"/>
    <s v="Native "/>
    <x v="36"/>
    <n v="45"/>
    <n v="43"/>
    <n v="2"/>
    <m/>
    <n v="19755.34"/>
    <n v="19755.34"/>
    <n v="0"/>
    <x v="1911"/>
    <n v="381"/>
    <n v="459.42651162790696"/>
    <n v="459.42651162790696"/>
    <n v="0"/>
    <n v="275.15348837209302"/>
    <n v="8.8604651162790695"/>
    <n v="24.534883720930232"/>
    <n v="0"/>
    <n v="48.069767441860463"/>
    <n v="10"/>
    <n v="8.5"/>
    <n v="0"/>
    <n v="0.97139534883720924"/>
    <n v="0.59890642226355006"/>
    <n v="0.91104651162790706"/>
    <s v="3 livers - 2 kidneys"/>
    <m/>
    <m/>
    <m/>
    <m/>
    <m/>
    <n v="20"/>
    <m/>
    <m/>
  </r>
  <r>
    <x v="1459"/>
    <x v="1"/>
    <m/>
    <x v="33"/>
    <n v="50"/>
    <n v="49"/>
    <n v="1"/>
    <s v="1 carcass due to pyelonephritis"/>
    <n v="2279.5"/>
    <n v="2279.5"/>
    <n v="0"/>
    <x v="1912"/>
    <n v="0"/>
    <n v="46.520408163265309"/>
    <n v="46.520408163265309"/>
    <n v="0"/>
    <n v="26.130612244897961"/>
    <n v="0"/>
    <n v="25"/>
    <n v="0"/>
    <n v="48.387755102040821"/>
    <n v="10"/>
    <n v="8.5"/>
    <n v="0"/>
    <n v="0.98387755102040819"/>
    <n v="0.5617021276595745"/>
    <n v="0.91887755102040813"/>
    <s v="3 livers - 1 omentum"/>
    <m/>
    <m/>
    <m/>
    <m/>
    <m/>
    <n v="0"/>
    <m/>
    <m/>
  </r>
  <r>
    <x v="1459"/>
    <x v="0"/>
    <s v="Native "/>
    <x v="14"/>
    <n v="85"/>
    <n v="82"/>
    <n v="3"/>
    <m/>
    <n v="37310"/>
    <n v="36355"/>
    <n v="955"/>
    <x v="1913"/>
    <n v="719"/>
    <n v="455"/>
    <n v="443.35365853658539"/>
    <n v="11.646341463414634"/>
    <n v="273.15243902439022"/>
    <n v="8.7682926829268286"/>
    <n v="24.390243902439025"/>
    <n v="0"/>
    <n v="48.085365853658537"/>
    <n v="9.9390243902439028"/>
    <n v="8.5"/>
    <n v="2.5596354864647546E-2"/>
    <n v="0.96865853658536583"/>
    <n v="0.60033503082283568"/>
    <n v="0.90914634146341455"/>
    <s v="3 livers - 2 kidneys"/>
    <m/>
    <m/>
    <m/>
    <m/>
    <m/>
    <n v="31"/>
    <m/>
    <m/>
  </r>
  <r>
    <x v="1460"/>
    <x v="0"/>
    <s v="Native "/>
    <x v="9"/>
    <n v="48"/>
    <n v="45"/>
    <n v="3"/>
    <m/>
    <n v="19700"/>
    <n v="18552"/>
    <n v="1148"/>
    <x v="1914"/>
    <n v="353"/>
    <n v="437.77777777777777"/>
    <n v="412.26666666666665"/>
    <n v="25.511111111111113"/>
    <n v="262.64666666666665"/>
    <n v="7.8444444444444441"/>
    <n v="24.555555555555557"/>
    <n v="0"/>
    <n v="46.911111111111111"/>
    <n v="10"/>
    <n v="8.5"/>
    <n v="5.8274111675126909E-2"/>
    <n v="0.96022222222222231"/>
    <n v="0.59995431472081218"/>
    <n v="0.89966666666666673"/>
    <s v="2 livers - 4 kidneys"/>
    <m/>
    <m/>
    <m/>
    <m/>
    <m/>
    <n v="22"/>
    <m/>
    <m/>
  </r>
  <r>
    <x v="1461"/>
    <x v="1"/>
    <m/>
    <x v="33"/>
    <n v="54"/>
    <n v="53"/>
    <n v="1"/>
    <s v=" 1 carcass due to Jaundice "/>
    <n v="2451"/>
    <n v="2451"/>
    <n v="0"/>
    <x v="1915"/>
    <n v="0"/>
    <n v="46.245283018867923"/>
    <n v="46.245283018867923"/>
    <n v="0"/>
    <n v="25.432075471698116"/>
    <n v="0"/>
    <n v="25"/>
    <n v="0"/>
    <n v="48.000000000000007"/>
    <n v="10"/>
    <n v="8.5"/>
    <n v="0"/>
    <n v="0.98000000000000009"/>
    <n v="0.54993880048959609"/>
    <n v="0.91500000000000004"/>
    <s v="5 livers"/>
    <m/>
    <m/>
    <m/>
    <m/>
    <m/>
    <n v="0"/>
    <m/>
    <m/>
  </r>
  <r>
    <x v="1461"/>
    <x v="0"/>
    <s v="Native "/>
    <x v="9"/>
    <n v="48"/>
    <n v="47"/>
    <n v="1"/>
    <m/>
    <n v="21267"/>
    <n v="21267"/>
    <n v="0"/>
    <x v="1916"/>
    <n v="417"/>
    <n v="452.48936170212767"/>
    <n v="452.48936170212767"/>
    <n v="0"/>
    <n v="271.48723404255321"/>
    <n v="8.8723404255319149"/>
    <n v="24.148936170212764"/>
    <n v="0"/>
    <n v="45.170212765957437"/>
    <n v="10"/>
    <n v="8.5"/>
    <n v="0"/>
    <n v="0.93468085106382959"/>
    <n v="0.59998589363803079"/>
    <n v="0.87819148936170199"/>
    <s v="9 livers - 6 kidneys - 1 lung - 1 spleen"/>
    <m/>
    <m/>
    <m/>
    <m/>
    <m/>
    <n v="22"/>
    <m/>
    <m/>
  </r>
  <r>
    <x v="1462"/>
    <x v="0"/>
    <s v="Native "/>
    <x v="9"/>
    <n v="39"/>
    <n v="39"/>
    <n v="0"/>
    <m/>
    <n v="17941"/>
    <n v="17135"/>
    <n v="806"/>
    <x v="1917"/>
    <n v="305"/>
    <n v="460.02564102564105"/>
    <n v="439.35897435897436"/>
    <n v="20.666666666666668"/>
    <n v="276.02564102564105"/>
    <n v="7.8205128205128203"/>
    <n v="25"/>
    <n v="0"/>
    <n v="48.717948717948723"/>
    <n v="10"/>
    <n v="8.5"/>
    <n v="4.4925032049495571E-2"/>
    <n v="0.98717948717948723"/>
    <n v="0.60002229530126527"/>
    <n v="0.92217948717948728"/>
    <s v="1 liver - 3 kidneys - 1 heart"/>
    <m/>
    <m/>
    <m/>
    <m/>
    <m/>
    <n v="7"/>
    <m/>
    <m/>
  </r>
  <r>
    <x v="1463"/>
    <x v="1"/>
    <m/>
    <x v="37"/>
    <n v="50"/>
    <n v="50"/>
    <n v="0"/>
    <m/>
    <n v="2130"/>
    <n v="2080"/>
    <n v="50"/>
    <x v="1918"/>
    <n v="0"/>
    <n v="42.6"/>
    <n v="41.6"/>
    <n v="1"/>
    <n v="24.358000000000001"/>
    <n v="0"/>
    <n v="25"/>
    <n v="0"/>
    <n v="48.66"/>
    <n v="10"/>
    <n v="8.5"/>
    <n v="2.3474178403755867E-2"/>
    <n v="0.98659999999999992"/>
    <n v="0.57178403755868545"/>
    <n v="0.92159999999999997"/>
    <s v="4 livers - 1 heart"/>
    <m/>
    <m/>
    <m/>
    <m/>
    <m/>
    <n v="0"/>
    <m/>
    <m/>
  </r>
  <r>
    <x v="1463"/>
    <x v="0"/>
    <s v="Native "/>
    <x v="14"/>
    <n v="55"/>
    <n v="52"/>
    <n v="3"/>
    <m/>
    <n v="23575"/>
    <n v="23370"/>
    <n v="205"/>
    <x v="1919"/>
    <n v="428"/>
    <n v="453.36538461538464"/>
    <n v="449.42307692307691"/>
    <n v="3.9423076923076925"/>
    <n v="272.30576923076922"/>
    <n v="8.2307692307692299"/>
    <n v="24.423076923076923"/>
    <n v="0"/>
    <n v="48.096153846153847"/>
    <n v="10"/>
    <n v="8.5"/>
    <n v="8.6956521739130436E-3"/>
    <n v="0.96942307692307694"/>
    <n v="0.60063202545068928"/>
    <n v="0.91019230769230774"/>
    <s v="2 livers "/>
    <m/>
    <m/>
    <m/>
    <m/>
    <m/>
    <n v="17"/>
    <m/>
    <m/>
  </r>
  <r>
    <x v="1464"/>
    <x v="0"/>
    <s v="Imported"/>
    <x v="34"/>
    <n v="52"/>
    <n v="44"/>
    <n v="8"/>
    <m/>
    <n v="20354.746835443038"/>
    <n v="20354.746835443038"/>
    <n v="0"/>
    <x v="1920"/>
    <n v="0"/>
    <n v="462.60788262370539"/>
    <n v="462.60788262370539"/>
    <n v="0"/>
    <n v="292.36818181818182"/>
    <n v="0"/>
    <n v="24.454545454545457"/>
    <n v="0"/>
    <n v="49.727272727272727"/>
    <n v="10"/>
    <n v="8.5"/>
    <n v="0"/>
    <n v="0.98636363636363633"/>
    <n v="0.63200000000000001"/>
    <n v="0.92681818181818187"/>
    <s v="1 forequarter"/>
    <m/>
    <m/>
    <m/>
    <m/>
    <m/>
    <n v="12"/>
    <m/>
    <m/>
  </r>
  <r>
    <x v="1465"/>
    <x v="1"/>
    <m/>
    <x v="33"/>
    <n v="40"/>
    <n v="40"/>
    <n v="0"/>
    <m/>
    <n v="1843"/>
    <n v="1800"/>
    <n v="43"/>
    <x v="1921"/>
    <n v="0"/>
    <n v="46.075000000000003"/>
    <n v="45"/>
    <n v="1.075"/>
    <n v="25.012499999999999"/>
    <n v="0"/>
    <n v="25"/>
    <n v="0"/>
    <n v="46.5"/>
    <n v="10"/>
    <n v="8.5"/>
    <n v="2.3331524688008681E-2"/>
    <n v="0.96500000000000008"/>
    <n v="0.54286489419424855"/>
    <n v="0.9"/>
    <s v="7 livers - 2 hearts"/>
    <m/>
    <m/>
    <m/>
    <m/>
    <m/>
    <n v="0"/>
    <m/>
    <m/>
  </r>
  <r>
    <x v="1465"/>
    <x v="0"/>
    <s v="Native "/>
    <x v="14"/>
    <n v="75"/>
    <n v="70"/>
    <n v="5"/>
    <m/>
    <n v="32694"/>
    <n v="32349"/>
    <n v="345"/>
    <x v="1922"/>
    <n v="621"/>
    <n v="467.05714285714288"/>
    <n v="462.12857142857143"/>
    <n v="4.9285714285714288"/>
    <n v="280.50285714285718"/>
    <n v="8.8714285714285719"/>
    <n v="24.142857142857142"/>
    <n v="0"/>
    <n v="45.771428571428579"/>
    <n v="10"/>
    <n v="8.5"/>
    <n v="1.0552394934850431E-2"/>
    <n v="0.94057142857142861"/>
    <n v="0.60057502905731941"/>
    <n v="0.88414285714285723"/>
    <s v="6 livers - 10 kidneys - 1 heart"/>
    <m/>
    <m/>
    <m/>
    <m/>
    <m/>
    <n v="35"/>
    <m/>
    <m/>
  </r>
  <r>
    <x v="1466"/>
    <x v="0"/>
    <s v="Native "/>
    <x v="9"/>
    <n v="36"/>
    <n v="36"/>
    <n v="0"/>
    <m/>
    <n v="15556"/>
    <n v="15300"/>
    <n v="256"/>
    <x v="1923"/>
    <n v="271"/>
    <n v="432.11111111111109"/>
    <n v="425"/>
    <n v="7.1111111111111107"/>
    <n v="259.26111111111112"/>
    <n v="7.5277777777777777"/>
    <n v="25"/>
    <n v="0"/>
    <n v="49.388888888888886"/>
    <n v="10"/>
    <n v="8.5"/>
    <n v="1.6456672666495243E-2"/>
    <n v="0.99388888888888882"/>
    <n v="0.59998714322447932"/>
    <n v="0.92888888888888888"/>
    <m/>
    <m/>
    <m/>
    <m/>
    <m/>
    <m/>
    <n v="8"/>
    <m/>
    <m/>
  </r>
  <r>
    <x v="1467"/>
    <x v="1"/>
    <m/>
    <x v="33"/>
    <n v="48"/>
    <n v="48"/>
    <n v="0"/>
    <m/>
    <n v="2190"/>
    <n v="2165"/>
    <n v="25"/>
    <x v="1924"/>
    <n v="0"/>
    <n v="45.625"/>
    <n v="45.104166666666664"/>
    <n v="0.52083333333333337"/>
    <n v="25.443749999999998"/>
    <n v="0"/>
    <n v="25"/>
    <n v="0"/>
    <n v="48.333333333333329"/>
    <n v="10"/>
    <n v="8.5"/>
    <n v="1.1415525114155252E-2"/>
    <n v="0.98333333333333328"/>
    <n v="0.55767123287671228"/>
    <n v="0.91833333333333333"/>
    <s v="2 livers - 1 heart -  1 tail fat - 4 omentums"/>
    <m/>
    <m/>
    <m/>
    <m/>
    <m/>
    <n v="0"/>
    <m/>
    <m/>
  </r>
  <r>
    <x v="1467"/>
    <x v="0"/>
    <s v="Native "/>
    <x v="27"/>
    <n v="42"/>
    <n v="42"/>
    <n v="0"/>
    <m/>
    <n v="20920"/>
    <n v="20140"/>
    <n v="780"/>
    <x v="1925"/>
    <n v="331"/>
    <n v="498.09523809523807"/>
    <n v="479.52380952380952"/>
    <n v="18.571428571428573"/>
    <n v="303.00238095238097"/>
    <n v="7.8809523809523814"/>
    <n v="24.88095238095238"/>
    <n v="0"/>
    <n v="43.88095238095238"/>
    <n v="10"/>
    <n v="8.5"/>
    <n v="3.7284894837476101E-2"/>
    <n v="0.93642857142857139"/>
    <n v="0.60832217973231362"/>
    <n v="0.87261904761904763"/>
    <m/>
    <m/>
    <m/>
    <m/>
    <m/>
    <m/>
    <n v="8"/>
    <m/>
    <m/>
  </r>
  <r>
    <x v="1468"/>
    <x v="0"/>
    <m/>
    <x v="34"/>
    <n v="43"/>
    <n v="42"/>
    <n v="1"/>
    <m/>
    <n v="20652.373417721519"/>
    <n v="20652.373417721519"/>
    <n v="0"/>
    <x v="1926"/>
    <n v="0"/>
    <n v="491.72317661241715"/>
    <n v="491.72317661241715"/>
    <n v="0"/>
    <n v="310.76904761904763"/>
    <n v="0"/>
    <n v="25"/>
    <n v="0"/>
    <n v="49.69047619047619"/>
    <n v="10"/>
    <n v="8.5"/>
    <n v="0"/>
    <n v="0.99690476190476196"/>
    <n v="0.63200000000000001"/>
    <n v="0.9319047619047619"/>
    <s v="1 forequarter - 1 heart"/>
    <m/>
    <m/>
    <m/>
    <m/>
    <m/>
    <m/>
    <m/>
    <m/>
  </r>
  <r>
    <x v="1469"/>
    <x v="1"/>
    <m/>
    <x v="33"/>
    <n v="35"/>
    <n v="35"/>
    <n v="0"/>
    <m/>
    <n v="1667"/>
    <n v="1667"/>
    <n v="0"/>
    <x v="1927"/>
    <n v="0"/>
    <n v="47.628571428571426"/>
    <n v="47.628571428571426"/>
    <n v="0"/>
    <n v="27.12857142857143"/>
    <n v="0"/>
    <n v="25"/>
    <n v="0"/>
    <n v="49.485714285714288"/>
    <n v="10"/>
    <n v="8.5"/>
    <n v="0"/>
    <n v="0.99485714285714288"/>
    <n v="0.56958608278344336"/>
    <n v="0.92985714285714294"/>
    <s v="2 livers "/>
    <m/>
    <m/>
    <m/>
    <m/>
    <m/>
    <n v="0"/>
    <m/>
    <m/>
  </r>
  <r>
    <x v="1469"/>
    <x v="0"/>
    <s v="Native "/>
    <x v="36"/>
    <n v="42"/>
    <n v="42"/>
    <n v="0"/>
    <m/>
    <n v="17556"/>
    <n v="17556"/>
    <n v="0"/>
    <x v="1928"/>
    <n v="202"/>
    <n v="418"/>
    <n v="418"/>
    <n v="0"/>
    <n v="249.84047619047618"/>
    <n v="4.8095238095238093"/>
    <n v="25"/>
    <n v="0"/>
    <n v="49.19047619047619"/>
    <n v="10"/>
    <n v="8.5"/>
    <n v="0"/>
    <n v="0.99190476190476184"/>
    <n v="0.59770448849396218"/>
    <n v="0.9269047619047619"/>
    <s v="1 forequarter - 4 kidneys"/>
    <m/>
    <m/>
    <m/>
    <m/>
    <m/>
    <m/>
    <m/>
    <m/>
  </r>
  <r>
    <x v="1470"/>
    <x v="0"/>
    <s v="Imported"/>
    <x v="34"/>
    <n v="45"/>
    <n v="44"/>
    <n v="1"/>
    <m/>
    <n v="21263.132911392404"/>
    <n v="21263.132911392404"/>
    <n v="0"/>
    <x v="1929"/>
    <n v="0"/>
    <n v="483.25302071346374"/>
    <n v="483.25302071346374"/>
    <n v="0"/>
    <n v="305.41590909090905"/>
    <n v="0"/>
    <n v="24.772727272727273"/>
    <n v="0"/>
    <n v="49.86363636363636"/>
    <n v="10"/>
    <n v="8.5"/>
    <n v="0"/>
    <n v="0.99409090909090914"/>
    <n v="0.63200000000000001"/>
    <n v="0.93136363636363628"/>
    <s v="3 livers  "/>
    <m/>
    <m/>
    <m/>
    <m/>
    <m/>
    <n v="2"/>
    <m/>
    <m/>
  </r>
  <r>
    <x v="1471"/>
    <x v="1"/>
    <m/>
    <x v="37"/>
    <n v="36"/>
    <n v="36"/>
    <n v="0"/>
    <m/>
    <n v="2060"/>
    <n v="1970"/>
    <n v="90"/>
    <x v="1930"/>
    <n v="0"/>
    <n v="57.222222222222221"/>
    <n v="54.722222222222221"/>
    <n v="2.5"/>
    <n v="32.155555555555551"/>
    <n v="0"/>
    <n v="25"/>
    <n v="0"/>
    <n v="49.944444444444443"/>
    <n v="10"/>
    <n v="8.5"/>
    <n v="4.3689320388349516E-2"/>
    <n v="0.99944444444444436"/>
    <n v="0.56194174757281545"/>
    <n v="0.93444444444444441"/>
    <m/>
    <m/>
    <m/>
    <m/>
    <m/>
    <m/>
    <n v="0"/>
    <m/>
    <m/>
  </r>
  <r>
    <x v="1471"/>
    <x v="1"/>
    <m/>
    <x v="33"/>
    <n v="20"/>
    <n v="20"/>
    <n v="0"/>
    <m/>
    <n v="951"/>
    <n v="945"/>
    <n v="6"/>
    <x v="1931"/>
    <n v="0"/>
    <n v="47.55"/>
    <n v="47.25"/>
    <n v="0.3"/>
    <n v="27.074999999999999"/>
    <n v="0"/>
    <n v="25"/>
    <n v="0"/>
    <n v="49.2"/>
    <n v="10"/>
    <n v="8.5"/>
    <n v="6.3091482649842269E-3"/>
    <n v="0.99199999999999999"/>
    <n v="0.56940063091482651"/>
    <n v="0.92700000000000005"/>
    <s v="2 livers "/>
    <m/>
    <m/>
    <m/>
    <m/>
    <m/>
    <n v="0"/>
    <m/>
    <m/>
  </r>
  <r>
    <x v="1471"/>
    <x v="0"/>
    <s v="Native "/>
    <x v="14"/>
    <n v="60"/>
    <n v="60"/>
    <n v="0"/>
    <m/>
    <n v="29840"/>
    <n v="28940"/>
    <n v="900"/>
    <x v="1932"/>
    <n v="587"/>
    <n v="497.33333333333331"/>
    <n v="482.33333333333331"/>
    <n v="15"/>
    <n v="298.64500000000004"/>
    <n v="9.7833333333333332"/>
    <n v="24.5"/>
    <n v="0"/>
    <n v="49.416666666666671"/>
    <n v="10"/>
    <n v="8.5"/>
    <n v="3.0160857908847188E-2"/>
    <n v="0.98416666666666663"/>
    <n v="0.60049262734584452"/>
    <n v="0.92416666666666669"/>
    <s v="2 livers - 6 kidneys "/>
    <m/>
    <m/>
    <m/>
    <m/>
    <m/>
    <n v="36"/>
    <m/>
    <m/>
  </r>
  <r>
    <x v="1472"/>
    <x v="1"/>
    <m/>
    <x v="33"/>
    <n v="25"/>
    <n v="25"/>
    <n v="0"/>
    <m/>
    <n v="1158"/>
    <n v="1120"/>
    <n v="38"/>
    <x v="1933"/>
    <n v="0"/>
    <n v="46.32"/>
    <n v="44.8"/>
    <n v="1.52"/>
    <n v="26.175999999999998"/>
    <n v="0"/>
    <n v="25"/>
    <n v="0"/>
    <n v="46.36"/>
    <n v="10"/>
    <n v="8.5"/>
    <n v="3.281519861830743E-2"/>
    <n v="0.96360000000000001"/>
    <n v="0.56511226252158897"/>
    <n v="0.89859999999999995"/>
    <s v="5 livers - 1 heart - 2 omentums"/>
    <m/>
    <m/>
    <m/>
    <m/>
    <m/>
    <n v="0"/>
    <m/>
    <m/>
  </r>
  <r>
    <x v="1472"/>
    <x v="0"/>
    <s v="Native "/>
    <x v="9"/>
    <n v="40"/>
    <n v="40"/>
    <n v="0"/>
    <m/>
    <n v="20130"/>
    <n v="19560"/>
    <n v="570"/>
    <x v="1934"/>
    <n v="408"/>
    <n v="503.25"/>
    <n v="489"/>
    <n v="14.25"/>
    <n v="301.93"/>
    <n v="10.199999999999999"/>
    <n v="24.375"/>
    <n v="0"/>
    <n v="48.674999999999997"/>
    <n v="10"/>
    <n v="8.5"/>
    <n v="2.8315946348733235E-2"/>
    <n v="0.97424999999999995"/>
    <n v="0.59996025832091404"/>
    <n v="0.91549999999999998"/>
    <s v="8 kidneys - 1 testicle"/>
    <m/>
    <m/>
    <m/>
    <m/>
    <m/>
    <n v="10"/>
    <m/>
    <m/>
  </r>
  <r>
    <x v="1473"/>
    <x v="0"/>
    <s v="Imported"/>
    <x v="34"/>
    <n v="49"/>
    <n v="47"/>
    <n v="2"/>
    <m/>
    <n v="21646.677215189873"/>
    <n v="21646.677215189873"/>
    <n v="0"/>
    <x v="1935"/>
    <n v="0"/>
    <n v="460.5676003231888"/>
    <n v="460.5676003231888"/>
    <n v="0"/>
    <n v="291.07872340425536"/>
    <n v="0"/>
    <n v="25"/>
    <n v="0"/>
    <n v="49.829787234042563"/>
    <n v="10"/>
    <n v="8.5"/>
    <n v="0"/>
    <n v="0.99829787234042566"/>
    <n v="0.63200000000000001"/>
    <n v="0.9332978723404256"/>
    <s v="4 livers  "/>
    <m/>
    <m/>
    <m/>
    <m/>
    <m/>
    <m/>
    <m/>
    <m/>
  </r>
  <r>
    <x v="1474"/>
    <x v="1"/>
    <m/>
    <x v="37"/>
    <n v="35"/>
    <n v="35"/>
    <n v="0"/>
    <m/>
    <n v="1720"/>
    <n v="1635"/>
    <n v="85"/>
    <x v="1936"/>
    <n v="0"/>
    <n v="49.142857142857146"/>
    <n v="46.714285714285715"/>
    <n v="2.4285714285714284"/>
    <n v="27.508571428571429"/>
    <n v="0"/>
    <n v="25"/>
    <n v="0"/>
    <n v="46.342857142857142"/>
    <n v="10"/>
    <n v="8.5"/>
    <n v="4.9418604651162781E-2"/>
    <n v="0.96342857142857141"/>
    <n v="0.55976744186046512"/>
    <n v="0.89842857142857147"/>
    <s v="4 livers - 2 hearts"/>
    <m/>
    <m/>
    <m/>
    <m/>
    <m/>
    <n v="0"/>
    <m/>
    <m/>
  </r>
  <r>
    <x v="1474"/>
    <x v="0"/>
    <s v="Native "/>
    <x v="9"/>
    <n v="40"/>
    <n v="37"/>
    <n v="3"/>
    <m/>
    <n v="15873"/>
    <n v="15522"/>
    <n v="351"/>
    <x v="1937"/>
    <n v="330"/>
    <n v="429"/>
    <n v="419.51351351351349"/>
    <n v="9.486486486486486"/>
    <n v="257.39189189189187"/>
    <n v="8.9189189189189193"/>
    <n v="24.864864864864863"/>
    <n v="0"/>
    <n v="47.621621621621621"/>
    <n v="10"/>
    <n v="8.5"/>
    <n v="2.2113022113022112E-2"/>
    <n v="0.97351351351351356"/>
    <n v="0.59998109998109994"/>
    <n v="0.90986486486486484"/>
    <s v="2 livers - 1 kidney - 1 heart"/>
    <m/>
    <m/>
    <m/>
    <m/>
    <m/>
    <n v="14"/>
    <m/>
    <m/>
  </r>
  <r>
    <x v="1475"/>
    <x v="0"/>
    <s v="Native "/>
    <x v="14"/>
    <n v="27"/>
    <n v="26"/>
    <n v="1"/>
    <m/>
    <n v="13805"/>
    <n v="13805"/>
    <n v="0"/>
    <x v="1938"/>
    <n v="288"/>
    <n v="530.96153846153845"/>
    <n v="530.96153846153845"/>
    <n v="0"/>
    <n v="319.8346153846154"/>
    <n v="11.076923076923077"/>
    <n v="23.653846153846153"/>
    <n v="0"/>
    <n v="46.692307692307701"/>
    <n v="10"/>
    <n v="8.5"/>
    <n v="0"/>
    <n v="0.94000000000000006"/>
    <n v="0.60236870699022094"/>
    <n v="0.88846153846153852"/>
    <s v="3 livers - 4 kidneys "/>
    <m/>
    <m/>
    <m/>
    <m/>
    <m/>
    <n v="21"/>
    <m/>
    <m/>
  </r>
  <r>
    <x v="1475"/>
    <x v="0"/>
    <s v="Imported"/>
    <x v="14"/>
    <n v="16"/>
    <n v="16"/>
    <n v="0"/>
    <m/>
    <n v="8320"/>
    <n v="8320"/>
    <n v="0"/>
    <x v="1939"/>
    <n v="121"/>
    <n v="520"/>
    <n v="520"/>
    <n v="0"/>
    <n v="319.03125"/>
    <n v="7.5625"/>
    <n v="25"/>
    <n v="0"/>
    <n v="42.3125"/>
    <n v="10"/>
    <n v="8.5"/>
    <n v="0"/>
    <n v="0.92312499999999997"/>
    <n v="0.61352163461538467"/>
    <n v="0.85812500000000003"/>
    <s v="3 livers - 4 kidneys "/>
    <m/>
    <m/>
    <m/>
    <m/>
    <m/>
    <n v="3"/>
    <m/>
    <m/>
  </r>
  <r>
    <x v="1476"/>
    <x v="1"/>
    <m/>
    <x v="14"/>
    <n v="50"/>
    <n v="50"/>
    <n v="0"/>
    <m/>
    <n v="2599"/>
    <n v="2599"/>
    <n v="0"/>
    <x v="1940"/>
    <n v="0"/>
    <n v="51.98"/>
    <n v="51.98"/>
    <n v="0"/>
    <n v="29.88"/>
    <n v="0"/>
    <n v="25"/>
    <n v="0"/>
    <n v="44.2"/>
    <n v="10"/>
    <n v="8.5"/>
    <n v="0"/>
    <n v="0.94199999999999995"/>
    <n v="0.57483647556752593"/>
    <n v="0.877"/>
    <s v="2 livers"/>
    <m/>
    <m/>
    <m/>
    <m/>
    <m/>
    <n v="0"/>
    <m/>
    <m/>
  </r>
  <r>
    <x v="1476"/>
    <x v="0"/>
    <s v="Imported"/>
    <x v="36"/>
    <n v="50"/>
    <n v="45"/>
    <n v="5"/>
    <m/>
    <n v="23656"/>
    <n v="23656"/>
    <n v="0"/>
    <x v="1941"/>
    <n v="305"/>
    <n v="525.68888888888887"/>
    <n v="525.68888888888887"/>
    <n v="0"/>
    <n v="319.03333333333336"/>
    <n v="6.7777777777777777"/>
    <n v="24.888888888888889"/>
    <n v="0"/>
    <n v="47.955555555555563"/>
    <n v="10"/>
    <n v="8.5"/>
    <n v="0"/>
    <n v="0.97733333333333339"/>
    <n v="0.60688620223199186"/>
    <n v="0.9134444444444445"/>
    <s v="7 livers - 2 kidneys"/>
    <m/>
    <m/>
    <m/>
    <m/>
    <m/>
    <n v="10"/>
    <m/>
    <m/>
  </r>
  <r>
    <x v="1477"/>
    <x v="0"/>
    <s v="Native "/>
    <x v="14"/>
    <n v="24"/>
    <n v="21"/>
    <n v="3"/>
    <m/>
    <n v="10345"/>
    <n v="10345"/>
    <n v="0"/>
    <x v="1942"/>
    <n v="243"/>
    <n v="492.61904761904759"/>
    <n v="492.61904761904759"/>
    <n v="0"/>
    <n v="295.77619047619049"/>
    <n v="11.571428571428571"/>
    <n v="23.333333333333332"/>
    <n v="0"/>
    <n v="48.61904761904762"/>
    <n v="10"/>
    <n v="8.5"/>
    <n v="0"/>
    <n v="0.95285714285714285"/>
    <n v="0.60041565973900435"/>
    <n v="0.90452380952380951"/>
    <s v="1 liver - 2 kidneys"/>
    <m/>
    <m/>
    <m/>
    <m/>
    <m/>
    <n v="19"/>
    <m/>
    <m/>
  </r>
  <r>
    <x v="1477"/>
    <x v="0"/>
    <s v="Imported"/>
    <x v="14"/>
    <n v="24"/>
    <n v="24"/>
    <n v="0"/>
    <m/>
    <n v="12645"/>
    <n v="12645"/>
    <n v="0"/>
    <x v="1943"/>
    <n v="178"/>
    <n v="526.875"/>
    <n v="526.875"/>
    <n v="0"/>
    <n v="321.03749999999997"/>
    <n v="7.416666666666667"/>
    <n v="25"/>
    <n v="0"/>
    <n v="45.041666666666664"/>
    <n v="10"/>
    <n v="8.5"/>
    <n v="0"/>
    <n v="0.95041666666666669"/>
    <n v="0.60932384341637003"/>
    <n v="0.88541666666666652"/>
    <s v="3 livers - 2 kidneys "/>
    <m/>
    <m/>
    <m/>
    <m/>
    <m/>
    <n v="5"/>
    <m/>
    <m/>
  </r>
  <r>
    <x v="1477"/>
    <x v="0"/>
    <s v="Imported"/>
    <x v="23"/>
    <n v="33"/>
    <n v="32"/>
    <n v="1"/>
    <m/>
    <n v="16304.430379746835"/>
    <n v="16304.430379746835"/>
    <n v="0"/>
    <x v="1944"/>
    <n v="0"/>
    <n v="509.51344936708858"/>
    <n v="509.51344936708858"/>
    <n v="0"/>
    <n v="322.01249999999999"/>
    <n v="0"/>
    <n v="25"/>
    <n v="0"/>
    <n v="49.78125"/>
    <n v="10"/>
    <n v="8.5"/>
    <n v="0"/>
    <n v="0.99781249999999999"/>
    <n v="0.63200000000000001"/>
    <n v="0.93281250000000004"/>
    <s v="1 liver"/>
    <m/>
    <m/>
    <m/>
    <m/>
    <m/>
    <m/>
    <m/>
    <m/>
  </r>
  <r>
    <x v="1478"/>
    <x v="1"/>
    <m/>
    <x v="21"/>
    <n v="48"/>
    <n v="48"/>
    <n v="0"/>
    <m/>
    <n v="2559"/>
    <n v="2465"/>
    <n v="94"/>
    <x v="1945"/>
    <n v="0"/>
    <n v="53.3125"/>
    <n v="51.354166666666664"/>
    <n v="1.9583333333333333"/>
    <n v="29.283333333333331"/>
    <n v="0"/>
    <n v="25"/>
    <n v="0"/>
    <n v="47.458333333333336"/>
    <n v="10"/>
    <n v="8.5"/>
    <n v="3.673309886674482E-2"/>
    <n v="0.97458333333333336"/>
    <n v="0.54927706135209065"/>
    <n v="0.90958333333333341"/>
    <s v="4 livers - 4 hearts - 1 testicle"/>
    <m/>
    <m/>
    <m/>
    <m/>
    <m/>
    <n v="0"/>
    <m/>
    <m/>
  </r>
  <r>
    <x v="1478"/>
    <x v="0"/>
    <s v="Native "/>
    <x v="9"/>
    <n v="28"/>
    <n v="26"/>
    <n v="2"/>
    <m/>
    <n v="12130"/>
    <n v="11612"/>
    <n v="518"/>
    <x v="1946"/>
    <n v="263"/>
    <n v="466.53846153846155"/>
    <n v="446.61538461538464"/>
    <n v="19.923076923076923"/>
    <n v="279.9153846153846"/>
    <n v="10.115384615384615"/>
    <n v="24.423076923076923"/>
    <n v="0"/>
    <n v="45.884615384615387"/>
    <n v="10"/>
    <n v="8.5"/>
    <n v="4.2704039571310796E-2"/>
    <n v="0.9473076923076923"/>
    <n v="0.59998351195383348"/>
    <n v="0.8880769230769231"/>
    <s v="3 livers"/>
    <m/>
    <m/>
    <m/>
    <m/>
    <m/>
    <n v="15"/>
    <m/>
    <m/>
  </r>
  <r>
    <x v="1479"/>
    <x v="0"/>
    <s v="Imported"/>
    <x v="23"/>
    <n v="26"/>
    <n v="26"/>
    <n v="0"/>
    <m/>
    <n v="12412.341772151898"/>
    <n v="12412.341772151898"/>
    <n v="0"/>
    <x v="1947"/>
    <n v="0"/>
    <n v="477.39776046738069"/>
    <n v="477.39776046738069"/>
    <n v="0"/>
    <n v="301.71538461538461"/>
    <n v="0"/>
    <n v="23.846153846153847"/>
    <n v="0"/>
    <n v="49.615384615384613"/>
    <n v="9.8076923076923066"/>
    <n v="8.5"/>
    <n v="0"/>
    <n v="0.97307692307692306"/>
    <n v="0.63200000000000001"/>
    <n v="0.91769230769230759"/>
    <s v="1 forequarter"/>
    <m/>
    <m/>
    <m/>
    <m/>
    <m/>
    <n v="18"/>
    <m/>
    <m/>
  </r>
  <r>
    <x v="1479"/>
    <x v="0"/>
    <s v="Imported"/>
    <x v="34"/>
    <n v="26"/>
    <n v="26"/>
    <n v="0"/>
    <m/>
    <n v="12028.481012658227"/>
    <n v="12028.481012658227"/>
    <n v="0"/>
    <x v="1948"/>
    <n v="0"/>
    <n v="462.6338851022395"/>
    <n v="462.6338851022395"/>
    <n v="0"/>
    <n v="292.38461538461536"/>
    <n v="0"/>
    <n v="25"/>
    <n v="0"/>
    <n v="48.65384615384616"/>
    <n v="10"/>
    <n v="8.5"/>
    <n v="0"/>
    <n v="0.98653846153846159"/>
    <n v="0.63200000000000001"/>
    <n v="0.92153846153846164"/>
    <s v="2 livers - 2 hearts"/>
    <m/>
    <m/>
    <m/>
    <m/>
    <m/>
    <m/>
    <m/>
    <m/>
  </r>
  <r>
    <x v="1480"/>
    <x v="1"/>
    <m/>
    <x v="37"/>
    <n v="30"/>
    <n v="30"/>
    <n v="0"/>
    <m/>
    <n v="1461"/>
    <n v="1406"/>
    <n v="55"/>
    <x v="1949"/>
    <m/>
    <n v="48.7"/>
    <n v="46.866666666666667"/>
    <n v="1.8333333333333333"/>
    <n v="27.383333333333329"/>
    <n v="0"/>
    <n v="23.846153846153847"/>
    <n v="0"/>
    <n v="49.615384615384613"/>
    <n v="9.8076923076923066"/>
    <n v="8.5"/>
    <n v="3.7645448323066391E-2"/>
    <n v="0.97307692307692306"/>
    <n v="0.56228610540725521"/>
    <n v="0.91769230769230759"/>
    <m/>
    <m/>
    <m/>
    <m/>
    <m/>
    <m/>
    <m/>
    <m/>
    <m/>
  </r>
  <r>
    <x v="1480"/>
    <x v="0"/>
    <s v="Native "/>
    <x v="14"/>
    <n v="29"/>
    <n v="28"/>
    <n v="1"/>
    <m/>
    <n v="13290"/>
    <n v="12785"/>
    <n v="505"/>
    <x v="1950"/>
    <n v="240"/>
    <n v="474.64285714285717"/>
    <n v="456.60714285714283"/>
    <n v="18.035714285714285"/>
    <n v="286.19285714285712"/>
    <n v="8.5714285714285712"/>
    <n v="23.333333333333332"/>
    <n v="0"/>
    <n v="48.61904761904762"/>
    <n v="10"/>
    <n v="8.5"/>
    <n v="3.7998495109104587E-2"/>
    <n v="0.95285714285714285"/>
    <n v="0.60296463506395781"/>
    <n v="0.90452380952380951"/>
    <m/>
    <m/>
    <m/>
    <m/>
    <m/>
    <m/>
    <n v="10"/>
    <m/>
    <m/>
  </r>
  <r>
    <x v="1480"/>
    <x v="0"/>
    <s v="Imported"/>
    <x v="14"/>
    <n v="24"/>
    <n v="24"/>
    <n v="0"/>
    <m/>
    <n v="11700"/>
    <n v="11480"/>
    <n v="220"/>
    <x v="1951"/>
    <n v="165"/>
    <n v="487.5"/>
    <n v="478.33333333333331"/>
    <n v="9.1666666666666661"/>
    <n v="297.45"/>
    <n v="6.875"/>
    <n v="23.333333333333332"/>
    <n v="0"/>
    <n v="48.61904761904762"/>
    <n v="10"/>
    <n v="8.5"/>
    <n v="1.8803418803418803E-2"/>
    <n v="0.95285714285714285"/>
    <n v="0.61015384615384616"/>
    <n v="0.90452380952380951"/>
    <m/>
    <m/>
    <m/>
    <m/>
    <m/>
    <m/>
    <n v="3"/>
    <m/>
    <m/>
  </r>
  <r>
    <x v="1481"/>
    <x v="0"/>
    <s v="Native "/>
    <x v="0"/>
    <n v="24"/>
    <n v="24"/>
    <n v="0"/>
    <m/>
    <n v="10580"/>
    <n v="10145"/>
    <n v="435"/>
    <x v="1952"/>
    <n v="213"/>
    <n v="440.83333333333331"/>
    <n v="422.70833333333331"/>
    <n v="18.125"/>
    <n v="264.52083333333331"/>
    <n v="8.875"/>
    <n v="25"/>
    <n v="0"/>
    <n v="49.737373737373737"/>
    <n v="10"/>
    <n v="8.5"/>
    <n v="4.1115311909262764E-2"/>
    <n v="0.99737373737373736"/>
    <n v="0.60004725897920608"/>
    <n v="0.9323737373737373"/>
    <m/>
    <m/>
    <m/>
    <m/>
    <m/>
    <m/>
    <n v="3"/>
    <m/>
    <m/>
  </r>
  <r>
    <x v="1481"/>
    <x v="0"/>
    <s v="Native "/>
    <x v="21"/>
    <n v="26"/>
    <n v="26"/>
    <n v="0"/>
    <m/>
    <n v="11867"/>
    <n v="11450"/>
    <n v="417"/>
    <x v="1953"/>
    <n v="170"/>
    <n v="456.42307692307691"/>
    <n v="440.38461538461536"/>
    <n v="16.03846153846154"/>
    <n v="280.73076923076928"/>
    <n v="6.5384615384615383"/>
    <n v="25"/>
    <n v="0"/>
    <n v="47"/>
    <n v="10"/>
    <n v="8.5"/>
    <n v="3.5139462374652403E-2"/>
    <n v="0.97"/>
    <n v="0.6150669925002108"/>
    <n v="0.90500000000000003"/>
    <m/>
    <m/>
    <m/>
    <m/>
    <m/>
    <m/>
    <n v="1"/>
    <m/>
    <m/>
  </r>
  <r>
    <x v="1482"/>
    <x v="1"/>
    <m/>
    <x v="38"/>
    <n v="50"/>
    <n v="50"/>
    <n v="0"/>
    <m/>
    <n v="2494"/>
    <n v="2494"/>
    <n v="0"/>
    <x v="1954"/>
    <m/>
    <n v="49.88"/>
    <n v="49.88"/>
    <n v="0"/>
    <n v="27.66"/>
    <n v="0"/>
    <n v="23.846153846153847"/>
    <n v="0"/>
    <n v="49.615384615384613"/>
    <n v="9.8076923076923066"/>
    <n v="8.5"/>
    <n v="0"/>
    <n v="0.97307692307692306"/>
    <n v="0.55453087409783486"/>
    <n v="0.91769230769230759"/>
    <m/>
    <m/>
    <m/>
    <m/>
    <m/>
    <m/>
    <m/>
    <m/>
    <m/>
  </r>
  <r>
    <x v="1482"/>
    <x v="0"/>
    <s v="Native "/>
    <x v="36"/>
    <n v="50"/>
    <n v="48"/>
    <n v="2"/>
    <m/>
    <n v="23590"/>
    <n v="23590"/>
    <n v="0"/>
    <x v="1955"/>
    <n v="476"/>
    <n v="491.45833333333331"/>
    <n v="491.45833333333331"/>
    <n v="0"/>
    <n v="291.5645833333333"/>
    <n v="9.9166666666666661"/>
    <n v="24.423076923076923"/>
    <n v="0"/>
    <n v="45.884615384615387"/>
    <n v="10"/>
    <n v="10"/>
    <n v="0"/>
    <n v="0.9473076923076923"/>
    <n v="0.5932640949554896"/>
    <n v="0.90307692307692311"/>
    <m/>
    <m/>
    <m/>
    <m/>
    <m/>
    <m/>
    <m/>
    <m/>
    <m/>
  </r>
  <r>
    <x v="1483"/>
    <x v="0"/>
    <s v="Native "/>
    <x v="9"/>
    <n v="39"/>
    <n v="38"/>
    <n v="1"/>
    <m/>
    <n v="17151"/>
    <n v="17151"/>
    <n v="0"/>
    <x v="1956"/>
    <n v="284"/>
    <n v="451.34210526315792"/>
    <n v="451.34210526315792"/>
    <n v="0"/>
    <n v="270.79473684210529"/>
    <n v="7.4736842105263159"/>
    <n v="24.423076923076923"/>
    <n v="0"/>
    <n v="45.884615384615387"/>
    <n v="10"/>
    <n v="8.5"/>
    <n v="0"/>
    <n v="0.9473076923076923"/>
    <n v="0.59997667774473795"/>
    <n v="0.8880769230769231"/>
    <m/>
    <m/>
    <m/>
    <m/>
    <m/>
    <m/>
    <n v="7"/>
    <m/>
    <m/>
  </r>
  <r>
    <x v="1483"/>
    <x v="0"/>
    <s v="Native "/>
    <x v="0"/>
    <n v="50"/>
    <n v="50"/>
    <n v="0"/>
    <m/>
    <n v="21522"/>
    <n v="21522"/>
    <n v="0"/>
    <x v="1957"/>
    <n v="456"/>
    <n v="430.44"/>
    <n v="430.44"/>
    <n v="0"/>
    <n v="258.26800000000003"/>
    <n v="9.1199999999999992"/>
    <n v="25"/>
    <n v="0"/>
    <n v="49.737373737373737"/>
    <n v="10"/>
    <n v="8.5"/>
    <n v="0"/>
    <n v="0.99737373737373736"/>
    <n v="0.60000929281665283"/>
    <n v="0.9323737373737373"/>
    <m/>
    <m/>
    <m/>
    <m/>
    <m/>
    <m/>
    <n v="4"/>
    <m/>
    <m/>
  </r>
  <r>
    <x v="1484"/>
    <x v="1"/>
    <m/>
    <x v="38"/>
    <n v="60"/>
    <n v="60"/>
    <n v="0"/>
    <m/>
    <n v="2864"/>
    <n v="2864"/>
    <n v="0"/>
    <x v="1958"/>
    <m/>
    <n v="47.733333333333334"/>
    <n v="47.733333333333334"/>
    <n v="0"/>
    <n v="26.193333333333332"/>
    <n v="0"/>
    <n v="24.423076923076923"/>
    <n v="0"/>
    <n v="45.884615384615387"/>
    <n v="10"/>
    <n v="8.5"/>
    <n v="0"/>
    <n v="0.9473076923076923"/>
    <n v="0.54874301675977655"/>
    <n v="0.8880769230769231"/>
    <m/>
    <m/>
    <m/>
    <m/>
    <m/>
    <m/>
    <m/>
    <m/>
    <m/>
  </r>
  <r>
    <x v="1484"/>
    <x v="0"/>
    <s v="Imported"/>
    <x v="23"/>
    <n v="64"/>
    <n v="64"/>
    <n v="0"/>
    <m/>
    <n v="30060.44303797467"/>
    <n v="30060.44303797467"/>
    <n v="0"/>
    <x v="1959"/>
    <m/>
    <n v="469.69442246835422"/>
    <n v="469.69442246835422"/>
    <n v="0"/>
    <n v="296.8468749999999"/>
    <n v="0"/>
    <n v="23.846153846153847"/>
    <n v="0"/>
    <n v="49.615384615384613"/>
    <n v="9.8076923076923066"/>
    <n v="8.5"/>
    <n v="0"/>
    <n v="0.97307692307692306"/>
    <n v="0.63200000000000012"/>
    <n v="0.91769230769230759"/>
    <m/>
    <m/>
    <m/>
    <m/>
    <m/>
    <m/>
    <m/>
    <m/>
    <m/>
  </r>
  <r>
    <x v="1485"/>
    <x v="0"/>
    <s v="Native "/>
    <x v="14"/>
    <n v="65"/>
    <n v="64"/>
    <n v="1"/>
    <m/>
    <n v="26950"/>
    <n v="26130"/>
    <n v="820"/>
    <x v="1960"/>
    <n v="518"/>
    <n v="421.09375"/>
    <n v="408.28125"/>
    <n v="12.8125"/>
    <n v="252.95468749999995"/>
    <n v="8.09375"/>
    <n v="23.333333333333332"/>
    <n v="0"/>
    <n v="48.61904761904762"/>
    <n v="10"/>
    <n v="8.5"/>
    <n v="3.0426716141001856E-2"/>
    <n v="0.95285714285714285"/>
    <n v="0.60070871985157692"/>
    <n v="0.90452380952380951"/>
    <m/>
    <m/>
    <m/>
    <m/>
    <m/>
    <m/>
    <n v="17"/>
    <m/>
    <m/>
  </r>
  <r>
    <x v="1486"/>
    <x v="1"/>
    <m/>
    <x v="37"/>
    <n v="35"/>
    <n v="35"/>
    <n v="0"/>
    <m/>
    <n v="1870"/>
    <n v="1785"/>
    <n v="85"/>
    <x v="1961"/>
    <m/>
    <n v="53.428571428571431"/>
    <n v="51"/>
    <n v="2.4285714285714284"/>
    <n v="30.025714285714287"/>
    <n v="0"/>
    <n v="24.423076923076923"/>
    <n v="0"/>
    <n v="45.884615384615387"/>
    <n v="10"/>
    <n v="8.5"/>
    <n v="4.5454545454545449E-2"/>
    <n v="0.9473076923076923"/>
    <n v="0.56197860962566848"/>
    <n v="0.8880769230769231"/>
    <m/>
    <m/>
    <m/>
    <m/>
    <m/>
    <m/>
    <m/>
    <m/>
    <m/>
  </r>
  <r>
    <x v="1486"/>
    <x v="0"/>
    <s v="Native "/>
    <x v="27"/>
    <n v="55"/>
    <n v="55"/>
    <n v="0"/>
    <m/>
    <n v="26888"/>
    <n v="25965"/>
    <n v="923"/>
    <x v="1962"/>
    <n v="496"/>
    <n v="488.87272727272727"/>
    <n v="472.09090909090907"/>
    <n v="16.781818181818181"/>
    <n v="299.57272727272726"/>
    <n v="9.0181818181818176"/>
    <n v="24.423076923076923"/>
    <n v="0"/>
    <n v="45.884615384615387"/>
    <n v="10"/>
    <n v="10"/>
    <n v="3.4327581077060396E-2"/>
    <n v="0.9473076923076923"/>
    <n v="0.61278265397203213"/>
    <n v="0.90307692307692311"/>
    <m/>
    <m/>
    <m/>
    <m/>
    <m/>
    <m/>
    <n v="18"/>
    <m/>
    <m/>
  </r>
  <r>
    <x v="1487"/>
    <x v="0"/>
    <s v="Imported"/>
    <x v="23"/>
    <n v="26"/>
    <n v="26"/>
    <n v="0"/>
    <m/>
    <n v="12264.556962025315"/>
    <n v="12264.556962025315"/>
    <n v="0"/>
    <x v="1963"/>
    <m/>
    <n v="471.71372930866596"/>
    <n v="471.71372930866596"/>
    <n v="0"/>
    <n v="298.12307692307689"/>
    <n v="0"/>
    <n v="23.846153846153847"/>
    <n v="0"/>
    <n v="49.615384615384613"/>
    <n v="9.8076923076923066"/>
    <n v="8.5"/>
    <n v="0"/>
    <n v="0.97307692307692306"/>
    <n v="0.63200000000000001"/>
    <n v="0.91769230769230759"/>
    <m/>
    <m/>
    <m/>
    <m/>
    <m/>
    <m/>
    <m/>
    <m/>
    <m/>
  </r>
  <r>
    <x v="1487"/>
    <x v="0"/>
    <s v="Imported"/>
    <x v="34"/>
    <n v="23"/>
    <n v="23"/>
    <n v="0"/>
    <m/>
    <n v="10918.196202531644"/>
    <n v="10918.196202531644"/>
    <n v="0"/>
    <x v="1964"/>
    <m/>
    <n v="474.70418271876713"/>
    <n v="474.70418271876713"/>
    <n v="0"/>
    <n v="300.0130434782609"/>
    <n v="0"/>
    <n v="25"/>
    <n v="0"/>
    <n v="48.65384615384616"/>
    <n v="10"/>
    <n v="8.5"/>
    <n v="0"/>
    <n v="0.98653846153846159"/>
    <n v="0.63200000000000012"/>
    <n v="0.92153846153846164"/>
    <m/>
    <m/>
    <m/>
    <m/>
    <m/>
    <m/>
    <m/>
    <m/>
    <m/>
  </r>
  <r>
    <x v="1488"/>
    <x v="1"/>
    <m/>
    <x v="38"/>
    <n v="40"/>
    <n v="40"/>
    <n v="0"/>
    <m/>
    <n v="1937"/>
    <n v="1890"/>
    <n v="47"/>
    <x v="1965"/>
    <m/>
    <n v="48.424999999999997"/>
    <n v="47.25"/>
    <n v="1.175"/>
    <n v="26.427499999999998"/>
    <n v="0"/>
    <n v="24.423076923076923"/>
    <n v="0"/>
    <n v="45.884615384615387"/>
    <n v="10"/>
    <n v="8.5"/>
    <n v="2.4264326277749097E-2"/>
    <n v="0.9473076923076923"/>
    <n v="0.54574083634486314"/>
    <n v="0.8880769230769231"/>
    <m/>
    <m/>
    <m/>
    <m/>
    <m/>
    <m/>
    <m/>
    <m/>
    <m/>
  </r>
  <r>
    <x v="1488"/>
    <x v="0"/>
    <s v="Native "/>
    <x v="9"/>
    <n v="37"/>
    <n v="35"/>
    <n v="2"/>
    <m/>
    <n v="17103"/>
    <n v="16299"/>
    <n v="804"/>
    <x v="1966"/>
    <n v="295"/>
    <n v="488.65714285714284"/>
    <n v="465.68571428571431"/>
    <n v="22.971428571428572"/>
    <n v="293.66285714285715"/>
    <n v="8.4285714285714288"/>
    <n v="24.423076923076923"/>
    <n v="0"/>
    <n v="45.884615384615387"/>
    <n v="10"/>
    <n v="8.5"/>
    <n v="4.7009296614629013E-2"/>
    <n v="0.9473076923076923"/>
    <n v="0.60095889610009945"/>
    <n v="0.8880769230769231"/>
    <m/>
    <m/>
    <m/>
    <m/>
    <m/>
    <m/>
    <n v="18"/>
    <m/>
    <m/>
  </r>
  <r>
    <x v="1489"/>
    <x v="0"/>
    <s v="Native "/>
    <x v="36"/>
    <n v="83"/>
    <n v="82"/>
    <n v="1"/>
    <m/>
    <n v="39200"/>
    <n v="37950"/>
    <n v="1250"/>
    <x v="1967"/>
    <n v="835"/>
    <n v="478.04878048780489"/>
    <n v="462.80487804878049"/>
    <n v="15.24390243902439"/>
    <n v="286.79024390243899"/>
    <n v="10.182926829268293"/>
    <n v="24.423076923076923"/>
    <n v="0"/>
    <n v="45.884615384615387"/>
    <n v="10"/>
    <n v="10"/>
    <n v="3.1887755102040817E-2"/>
    <n v="0.9473076923076923"/>
    <n v="0.59991836734693871"/>
    <n v="0.90307692307692311"/>
    <m/>
    <m/>
    <m/>
    <m/>
    <m/>
    <m/>
    <n v="13"/>
    <m/>
    <m/>
  </r>
  <r>
    <x v="1490"/>
    <x v="1"/>
    <m/>
    <x v="14"/>
    <n v="40"/>
    <n v="40"/>
    <n v="0"/>
    <m/>
    <n v="1965"/>
    <n v="1915"/>
    <n v="50"/>
    <x v="1968"/>
    <m/>
    <n v="49.125"/>
    <n v="47.875"/>
    <n v="1.25"/>
    <n v="28.150000000000006"/>
    <n v="0"/>
    <n v="24.423076923076923"/>
    <n v="0"/>
    <n v="45.884615384615387"/>
    <n v="10"/>
    <n v="8.5"/>
    <n v="2.5445292620865138E-2"/>
    <n v="0.9473076923076923"/>
    <n v="0.57302798982188308"/>
    <n v="0.8880769230769231"/>
    <m/>
    <m/>
    <m/>
    <m/>
    <m/>
    <m/>
    <m/>
    <m/>
    <m/>
  </r>
  <r>
    <x v="1490"/>
    <x v="0"/>
    <s v="Native "/>
    <x v="14"/>
    <n v="33"/>
    <n v="32"/>
    <n v="1"/>
    <m/>
    <n v="14390"/>
    <n v="14315"/>
    <n v="75"/>
    <x v="1969"/>
    <n v="221"/>
    <n v="449.6875"/>
    <n v="447.34375"/>
    <n v="2.34375"/>
    <n v="270.07187499999998"/>
    <n v="6.90625"/>
    <n v="23.333333333333332"/>
    <n v="0"/>
    <n v="48.61904761904762"/>
    <n v="10"/>
    <n v="8.5"/>
    <n v="5.2119527449617786E-3"/>
    <n v="0.95285714285714285"/>
    <n v="0.60057678943710902"/>
    <n v="0.90452380952380951"/>
    <m/>
    <m/>
    <m/>
    <m/>
    <m/>
    <m/>
    <n v="6"/>
    <m/>
    <m/>
  </r>
  <r>
    <x v="1491"/>
    <x v="0"/>
    <s v="Native "/>
    <x v="9"/>
    <n v="25"/>
    <n v="23"/>
    <n v="2"/>
    <m/>
    <n v="10865"/>
    <n v="10917"/>
    <n v="-52"/>
    <x v="1970"/>
    <n v="224"/>
    <n v="472.39130434782606"/>
    <n v="474.6521739130435"/>
    <n v="-2.2608695652173911"/>
    <n v="283.42173913043479"/>
    <n v="9.7391304347826093"/>
    <n v="24.423076923076923"/>
    <n v="0"/>
    <n v="45.884615384615387"/>
    <n v="10"/>
    <n v="8.5"/>
    <n v="-4.7860101242521861E-3"/>
    <n v="0.9473076923076923"/>
    <n v="0.59997238840312939"/>
    <n v="0.8880769230769231"/>
    <m/>
    <m/>
    <m/>
    <m/>
    <m/>
    <m/>
    <n v="10"/>
    <m/>
    <m/>
  </r>
  <r>
    <x v="1491"/>
    <x v="0"/>
    <s v="Native "/>
    <x v="0"/>
    <n v="25"/>
    <n v="22"/>
    <n v="3"/>
    <m/>
    <n v="9798"/>
    <n v="10480"/>
    <n v="-682"/>
    <x v="1971"/>
    <n v="164"/>
    <n v="445.36363636363637"/>
    <n v="476.36363636363637"/>
    <n v="-31"/>
    <n v="267.21818181818179"/>
    <n v="7.4545454545454541"/>
    <n v="25"/>
    <n v="0"/>
    <n v="49.737373737373737"/>
    <n v="10"/>
    <n v="8.5"/>
    <n v="-6.960604204939784E-2"/>
    <n v="0.99737373737373736"/>
    <n v="0.6"/>
    <n v="0.9323737373737373"/>
    <m/>
    <m/>
    <m/>
    <m/>
    <m/>
    <m/>
    <n v="3"/>
    <m/>
    <m/>
  </r>
  <r>
    <x v="1492"/>
    <x v="1"/>
    <m/>
    <x v="37"/>
    <n v="34"/>
    <n v="34"/>
    <n v="0"/>
    <m/>
    <n v="1835"/>
    <n v="1755"/>
    <n v="80"/>
    <x v="1972"/>
    <m/>
    <n v="53.970588235294116"/>
    <n v="51.617647058823529"/>
    <n v="2.3529411764705883"/>
    <n v="30.358823529411758"/>
    <n v="0"/>
    <n v="24.423076923076923"/>
    <n v="0"/>
    <n v="45.884615384615387"/>
    <n v="10"/>
    <n v="8.5"/>
    <n v="4.3596730245231613E-2"/>
    <n v="0.9473076923076923"/>
    <n v="0.56250681198910069"/>
    <n v="0.8880769230769231"/>
    <m/>
    <m/>
    <m/>
    <m/>
    <m/>
    <m/>
    <m/>
    <m/>
    <m/>
  </r>
  <r>
    <x v="1492"/>
    <x v="0"/>
    <s v="Native "/>
    <x v="14"/>
    <n v="50"/>
    <n v="49"/>
    <n v="1"/>
    <m/>
    <n v="22210"/>
    <n v="20985"/>
    <n v="1225"/>
    <x v="1973"/>
    <n v="443"/>
    <n v="453.26530612244898"/>
    <n v="428.26530612244898"/>
    <n v="25"/>
    <n v="272.96530612244896"/>
    <n v="9.0408163265306118"/>
    <n v="23.333333333333332"/>
    <n v="0"/>
    <n v="48.61904761904762"/>
    <n v="10"/>
    <n v="8.5"/>
    <n v="5.5155335434488972E-2"/>
    <n v="0.95285714285714285"/>
    <n v="0.60221972084646558"/>
    <n v="0.90452380952380951"/>
    <m/>
    <m/>
    <m/>
    <m/>
    <m/>
    <m/>
    <m/>
    <m/>
    <m/>
  </r>
  <r>
    <x v="1493"/>
    <x v="0"/>
    <s v="Imported"/>
    <x v="34"/>
    <n v="45"/>
    <n v="45"/>
    <n v="0"/>
    <m/>
    <n v="20747.468354430377"/>
    <n v="20747.468354430377"/>
    <n v="0"/>
    <x v="1974"/>
    <m/>
    <n v="461.05485232067502"/>
    <n v="461.05485232067502"/>
    <n v="0"/>
    <n v="291.38666666666666"/>
    <n v="0"/>
    <n v="25"/>
    <n v="0"/>
    <n v="48.65384615384616"/>
    <n v="10"/>
    <n v="8.5"/>
    <n v="0"/>
    <n v="0.98653846153846159"/>
    <n v="0.63200000000000012"/>
    <n v="0.92153846153846164"/>
    <m/>
    <m/>
    <m/>
    <m/>
    <m/>
    <m/>
    <m/>
    <m/>
    <m/>
  </r>
  <r>
    <x v="1494"/>
    <x v="1"/>
    <m/>
    <x v="38"/>
    <n v="50"/>
    <n v="50"/>
    <n v="0"/>
    <m/>
    <n v="2462"/>
    <n v="2462"/>
    <n v="0"/>
    <x v="1975"/>
    <m/>
    <n v="49.24"/>
    <n v="49.24"/>
    <n v="0"/>
    <n v="27.155999999999995"/>
    <n v="0"/>
    <n v="23.333333333333332"/>
    <n v="0"/>
    <n v="48.61904761904762"/>
    <n v="10"/>
    <n v="8.5"/>
    <n v="0"/>
    <n v="0.95285714285714285"/>
    <n v="0.55150284321689669"/>
    <n v="0.90452380952380951"/>
    <m/>
    <m/>
    <m/>
    <m/>
    <m/>
    <m/>
    <m/>
    <m/>
    <m/>
  </r>
  <r>
    <x v="1494"/>
    <x v="0"/>
    <s v="Imported"/>
    <x v="23"/>
    <n v="50"/>
    <n v="48"/>
    <n v="2"/>
    <m/>
    <n v="22740.506329113923"/>
    <n v="22740.506329113923"/>
    <n v="0"/>
    <x v="1976"/>
    <m/>
    <n v="473.76054852320675"/>
    <n v="473.76054852320675"/>
    <n v="0"/>
    <n v="299.41666666666669"/>
    <n v="0"/>
    <n v="23.846153846153847"/>
    <n v="0"/>
    <n v="49.615384615384613"/>
    <n v="9.8076923076923066"/>
    <n v="8.5"/>
    <n v="0"/>
    <n v="0.97307692307692306"/>
    <n v="0.63200000000000001"/>
    <n v="0.91769230769230759"/>
    <m/>
    <m/>
    <m/>
    <m/>
    <m/>
    <m/>
    <m/>
    <m/>
    <m/>
  </r>
  <r>
    <x v="1495"/>
    <x v="0"/>
    <s v="Native "/>
    <x v="36"/>
    <n v="91"/>
    <n v="91"/>
    <n v="0"/>
    <m/>
    <n v="45871"/>
    <n v="44220"/>
    <n v="1651"/>
    <x v="1977"/>
    <n v="969"/>
    <n v="504.07692307692309"/>
    <n v="485.93406593406593"/>
    <n v="18.142857142857142"/>
    <n v="302.42857142857144"/>
    <n v="10.648351648351648"/>
    <n v="24.423076923076923"/>
    <n v="0"/>
    <n v="45.884615384615387"/>
    <n v="10"/>
    <n v="10"/>
    <n v="3.5992239105317084E-2"/>
    <n v="0.9473076923076923"/>
    <n v="0.59996511957445886"/>
    <n v="0.90307692307692311"/>
    <m/>
    <m/>
    <m/>
    <m/>
    <m/>
    <m/>
    <n v="25"/>
    <m/>
    <m/>
  </r>
  <r>
    <x v="1496"/>
    <x v="1"/>
    <m/>
    <x v="38"/>
    <n v="45"/>
    <n v="45"/>
    <n v="0"/>
    <m/>
    <n v="2105"/>
    <n v="2030"/>
    <n v="75"/>
    <x v="1978"/>
    <m/>
    <n v="46.777777777777779"/>
    <n v="45.111111111111114"/>
    <n v="1.6666666666666667"/>
    <n v="25.875555555555557"/>
    <n v="0"/>
    <n v="25"/>
    <n v="0"/>
    <n v="48.65384615384616"/>
    <n v="10"/>
    <n v="8.5"/>
    <n v="3.5629453681710214E-2"/>
    <n v="0.98653846153846159"/>
    <n v="0.55315914489311169"/>
    <n v="0.92153846153846164"/>
    <m/>
    <m/>
    <m/>
    <m/>
    <m/>
    <m/>
    <m/>
    <m/>
    <m/>
  </r>
  <r>
    <x v="1496"/>
    <x v="0"/>
    <s v="Native "/>
    <x v="9"/>
    <n v="28"/>
    <n v="28"/>
    <n v="0"/>
    <m/>
    <n v="13133"/>
    <n v="12920"/>
    <n v="213"/>
    <x v="1979"/>
    <n v="253"/>
    <n v="469.03571428571428"/>
    <n v="461.42857142857144"/>
    <n v="7.6071428571428568"/>
    <n v="281.4071428571429"/>
    <n v="9.0357142857142865"/>
    <n v="24.423076923076923"/>
    <n v="0"/>
    <n v="45.884615384615387"/>
    <n v="10"/>
    <n v="8.5"/>
    <n v="1.6218685753445518E-2"/>
    <n v="0.9473076923076923"/>
    <n v="0.59996954237417199"/>
    <n v="0.8880769230769231"/>
    <m/>
    <m/>
    <m/>
    <m/>
    <m/>
    <m/>
    <n v="19"/>
    <m/>
    <m/>
  </r>
  <r>
    <x v="1497"/>
    <x v="0"/>
    <s v="Native "/>
    <x v="14"/>
    <n v="47"/>
    <n v="46"/>
    <n v="1"/>
    <m/>
    <n v="20420"/>
    <n v="19570"/>
    <n v="850"/>
    <x v="1980"/>
    <n v="372"/>
    <n v="443.91304347826087"/>
    <n v="425.43478260869563"/>
    <n v="18.478260869565219"/>
    <n v="266.97391304347821"/>
    <n v="8.0869565217391308"/>
    <n v="23.333333333333332"/>
    <n v="0"/>
    <n v="48.61904761904762"/>
    <n v="10"/>
    <n v="8.5"/>
    <n v="4.1625857002938298E-2"/>
    <n v="0.95285714285714285"/>
    <n v="0.60141038197845242"/>
    <n v="0.90452380952380951"/>
    <m/>
    <m/>
    <m/>
    <m/>
    <m/>
    <m/>
    <n v="12"/>
    <m/>
    <m/>
  </r>
  <r>
    <x v="1498"/>
    <x v="1"/>
    <m/>
    <x v="37"/>
    <n v="34"/>
    <n v="34"/>
    <n v="0"/>
    <m/>
    <n v="1820"/>
    <n v="1820"/>
    <n v="0"/>
    <x v="193"/>
    <m/>
    <n v="53.529411764705884"/>
    <n v="53.529411764705884"/>
    <n v="0"/>
    <n v="30.647058823529413"/>
    <n v="0"/>
    <n v="23.846153846153847"/>
    <n v="0"/>
    <n v="49.615384615384613"/>
    <n v="9.8076923076923066"/>
    <n v="8.5"/>
    <n v="0"/>
    <n v="0.97307692307692306"/>
    <n v="0.57252747252747249"/>
    <n v="0.91769230769230759"/>
    <m/>
    <m/>
    <m/>
    <m/>
    <m/>
    <m/>
    <m/>
    <m/>
    <m/>
  </r>
  <r>
    <x v="1498"/>
    <x v="0"/>
    <s v="Imported"/>
    <x v="23"/>
    <n v="45"/>
    <n v="44"/>
    <n v="1"/>
    <m/>
    <n v="21363.924050632912"/>
    <n v="21363.924050632912"/>
    <n v="0"/>
    <x v="1981"/>
    <m/>
    <n v="485.54372842347527"/>
    <n v="485.54372842347527"/>
    <n v="0"/>
    <n v="306.86363636363637"/>
    <n v="0"/>
    <n v="23.846153846153847"/>
    <n v="0"/>
    <n v="49.615384615384613"/>
    <n v="9.8076923076923066"/>
    <n v="8.5"/>
    <n v="0"/>
    <n v="0.97307692307692306"/>
    <n v="0.63200000000000001"/>
    <n v="0.91769230769230759"/>
    <m/>
    <m/>
    <m/>
    <m/>
    <m/>
    <m/>
    <n v="14"/>
    <m/>
    <m/>
  </r>
  <r>
    <x v="1499"/>
    <x v="0"/>
    <s v="Imported"/>
    <x v="34"/>
    <n v="50"/>
    <n v="50"/>
    <n v="0"/>
    <m/>
    <n v="22418.037974683542"/>
    <n v="22418.037974683542"/>
    <n v="0"/>
    <x v="1982"/>
    <m/>
    <n v="448.36075949367086"/>
    <n v="448.36075949367086"/>
    <n v="0"/>
    <n v="283.36400000000003"/>
    <n v="0"/>
    <n v="25"/>
    <n v="0"/>
    <n v="48.65384615384616"/>
    <n v="10"/>
    <n v="8.5"/>
    <n v="0"/>
    <n v="0.98653846153846159"/>
    <n v="0.63200000000000012"/>
    <n v="0.92153846153846164"/>
    <m/>
    <m/>
    <m/>
    <m/>
    <m/>
    <m/>
    <m/>
    <m/>
    <m/>
  </r>
  <r>
    <x v="1500"/>
    <x v="1"/>
    <m/>
    <x v="38"/>
    <n v="44"/>
    <n v="44"/>
    <n v="0"/>
    <m/>
    <n v="2130"/>
    <n v="2075"/>
    <n v="55"/>
    <x v="1983"/>
    <m/>
    <n v="48.409090909090907"/>
    <n v="47.159090909090907"/>
    <n v="1.25"/>
    <n v="26.715909090909086"/>
    <n v="0"/>
    <n v="24.423076923076923"/>
    <n v="0"/>
    <n v="45.884615384615387"/>
    <n v="10"/>
    <n v="10"/>
    <n v="2.5821596244131457E-2"/>
    <n v="0.9473076923076923"/>
    <n v="0.55187793427230036"/>
    <n v="0.90307692307692311"/>
    <m/>
    <m/>
    <m/>
    <m/>
    <m/>
    <m/>
    <m/>
    <m/>
    <m/>
  </r>
  <r>
    <x v="1500"/>
    <x v="0"/>
    <s v="Native "/>
    <x v="0"/>
    <n v="28"/>
    <n v="25"/>
    <n v="3"/>
    <m/>
    <n v="11601"/>
    <n v="10985"/>
    <n v="616"/>
    <x v="1984"/>
    <n v="201"/>
    <n v="464.04"/>
    <n v="439.4"/>
    <n v="24.64"/>
    <n v="278.428"/>
    <n v="8.0399999999999991"/>
    <n v="25"/>
    <n v="0"/>
    <n v="49.737373737373737"/>
    <n v="10"/>
    <n v="8.5"/>
    <n v="5.3098870787001116E-2"/>
    <n v="0.99737373737373736"/>
    <n v="0.6000086199465563"/>
    <n v="0.9323737373737373"/>
    <m/>
    <m/>
    <m/>
    <m/>
    <m/>
    <m/>
    <n v="4"/>
    <m/>
    <m/>
  </r>
  <r>
    <x v="1500"/>
    <x v="0"/>
    <s v="Imported"/>
    <x v="31"/>
    <n v="8"/>
    <n v="8"/>
    <n v="0"/>
    <m/>
    <n v="4610"/>
    <n v="4480"/>
    <n v="130"/>
    <x v="1985"/>
    <n v="91"/>
    <n v="576.25"/>
    <n v="560"/>
    <n v="16.25"/>
    <n v="376.21250000000003"/>
    <n v="11.375"/>
    <n v="25"/>
    <n v="0"/>
    <n v="46.666666666666671"/>
    <n v="10"/>
    <n v="8.5"/>
    <n v="2.8199566160520606E-2"/>
    <n v="0.96666666666666679"/>
    <n v="0.65286334056399142"/>
    <n v="0.90166666666666673"/>
    <m/>
    <m/>
    <m/>
    <m/>
    <m/>
    <m/>
    <m/>
    <m/>
    <m/>
  </r>
  <r>
    <x v="1500"/>
    <x v="0"/>
    <s v="Native "/>
    <x v="31"/>
    <n v="8"/>
    <n v="8"/>
    <n v="0"/>
    <m/>
    <n v="4340"/>
    <n v="4245"/>
    <n v="95"/>
    <x v="1986"/>
    <n v="56"/>
    <n v="542.5"/>
    <n v="530.625"/>
    <n v="11.875"/>
    <n v="357.55"/>
    <n v="7"/>
    <n v="25"/>
    <n v="0"/>
    <n v="46.666666666666671"/>
    <n v="10"/>
    <n v="8.5"/>
    <n v="2.1889400921658985E-2"/>
    <n v="0.96666666666666679"/>
    <n v="0.6590783410138249"/>
    <n v="0.90166666666666673"/>
    <m/>
    <m/>
    <m/>
    <m/>
    <m/>
    <m/>
    <m/>
    <m/>
    <m/>
  </r>
  <r>
    <x v="1501"/>
    <x v="0"/>
    <s v="Native "/>
    <x v="36"/>
    <n v="80"/>
    <n v="80"/>
    <n v="0"/>
    <m/>
    <n v="36010"/>
    <n v="35845"/>
    <n v="165"/>
    <x v="1987"/>
    <n v="702"/>
    <n v="450.125"/>
    <n v="448.0625"/>
    <n v="2.0625"/>
    <n v="270.06500000000005"/>
    <n v="8.7750000000000004"/>
    <n v="24.423076923076923"/>
    <n v="0"/>
    <n v="45.884615384615387"/>
    <n v="10"/>
    <n v="8.5"/>
    <n v="4.5820605387392388E-3"/>
    <n v="0.9473076923076923"/>
    <n v="0.59997778394890322"/>
    <n v="0.8880769230769231"/>
    <m/>
    <m/>
    <m/>
    <m/>
    <m/>
    <m/>
    <n v="8"/>
    <m/>
    <m/>
  </r>
  <r>
    <x v="1502"/>
    <x v="1"/>
    <m/>
    <x v="38"/>
    <n v="42"/>
    <n v="42"/>
    <n v="0"/>
    <m/>
    <n v="2024"/>
    <n v="2024"/>
    <n v="0"/>
    <x v="1988"/>
    <m/>
    <n v="48.19047619047619"/>
    <n v="48.19047619047619"/>
    <n v="0"/>
    <n v="27.383333333333336"/>
    <n v="0"/>
    <n v="24.423076923076923"/>
    <n v="0"/>
    <n v="45.884615384615387"/>
    <n v="10"/>
    <n v="8.5"/>
    <n v="0"/>
    <n v="0.9473076923076923"/>
    <n v="0.56823122529644277"/>
    <n v="0.8880769230769231"/>
    <m/>
    <m/>
    <m/>
    <m/>
    <m/>
    <m/>
    <m/>
    <m/>
    <m/>
  </r>
  <r>
    <x v="1502"/>
    <x v="0"/>
    <m/>
    <x v="23"/>
    <n v="37"/>
    <n v="35"/>
    <n v="2"/>
    <m/>
    <n v="17297.784810126581"/>
    <n v="17297.784810126581"/>
    <n v="0"/>
    <x v="1989"/>
    <m/>
    <n v="494.22242314647372"/>
    <n v="494.22242314647372"/>
    <n v="0"/>
    <n v="312.3485714285714"/>
    <n v="0"/>
    <n v="23.846153846153847"/>
    <n v="0"/>
    <n v="49.615384615384613"/>
    <n v="9.8076923076923066"/>
    <n v="8.5"/>
    <n v="0"/>
    <n v="0.97307692307692306"/>
    <n v="0.63200000000000001"/>
    <n v="0.91769230769230759"/>
    <m/>
    <m/>
    <m/>
    <m/>
    <m/>
    <m/>
    <n v="7"/>
    <m/>
    <m/>
  </r>
  <r>
    <x v="1503"/>
    <x v="0"/>
    <m/>
    <x v="14"/>
    <n v="61"/>
    <n v="60"/>
    <n v="1"/>
    <m/>
    <n v="28140"/>
    <n v="27855"/>
    <n v="285"/>
    <x v="1990"/>
    <n v="265"/>
    <n v="469"/>
    <n v="464.25"/>
    <n v="4.75"/>
    <n v="281.88666666666666"/>
    <n v="4.416666666666667"/>
    <n v="23.333333333333332"/>
    <n v="0"/>
    <n v="48.61904761904762"/>
    <n v="10"/>
    <n v="8.5"/>
    <n v="1.0127931769722815E-2"/>
    <n v="0.95285714285714285"/>
    <n v="0.60103766879886289"/>
    <n v="0.90452380952380951"/>
    <m/>
    <m/>
    <m/>
    <m/>
    <m/>
    <m/>
    <n v="21"/>
    <m/>
    <m/>
  </r>
  <r>
    <x v="1504"/>
    <x v="1"/>
    <m/>
    <x v="14"/>
    <n v="40"/>
    <n v="40"/>
    <n v="0"/>
    <m/>
    <n v="2059"/>
    <n v="2000"/>
    <n v="59"/>
    <x v="1991"/>
    <m/>
    <n v="51.475000000000001"/>
    <n v="50"/>
    <n v="1.4750000000000001"/>
    <n v="27.947500000000002"/>
    <n v="0"/>
    <n v="23.333333333333332"/>
    <n v="0"/>
    <n v="48.61904761904762"/>
    <n v="10"/>
    <n v="8.5"/>
    <n v="2.8654686741136474E-2"/>
    <n v="0.95285714285714285"/>
    <n v="0.54293346284604183"/>
    <n v="0.90452380952380951"/>
    <m/>
    <m/>
    <m/>
    <m/>
    <m/>
    <m/>
    <m/>
    <m/>
    <m/>
  </r>
  <r>
    <x v="1504"/>
    <x v="0"/>
    <s v="Native "/>
    <x v="31"/>
    <n v="60"/>
    <n v="60"/>
    <n v="0"/>
    <m/>
    <n v="33620"/>
    <n v="32800"/>
    <n v="820"/>
    <x v="1992"/>
    <n v="733"/>
    <n v="560.33333333333337"/>
    <n v="546.66666666666663"/>
    <n v="13.666666666666666"/>
    <n v="355.37833333333322"/>
    <n v="12.216666666666667"/>
    <n v="25"/>
    <n v="0"/>
    <n v="46.666666666666671"/>
    <n v="10"/>
    <n v="8.5"/>
    <n v="2.4390243902439022E-2"/>
    <n v="0.96666666666666679"/>
    <n v="0.63422665080309315"/>
    <n v="0.90166666666666673"/>
    <m/>
    <m/>
    <m/>
    <m/>
    <m/>
    <m/>
    <m/>
    <m/>
    <m/>
  </r>
  <r>
    <x v="1505"/>
    <x v="0"/>
    <m/>
    <x v="23"/>
    <n v="46"/>
    <n v="46"/>
    <n v="0"/>
    <m/>
    <n v="22256.962025316454"/>
    <n v="22256.962025316454"/>
    <n v="0"/>
    <x v="1993"/>
    <m/>
    <n v="483.84700055035768"/>
    <n v="483.84700055035768"/>
    <n v="0"/>
    <n v="305.7913043478261"/>
    <n v="0"/>
    <n v="23.846153846153847"/>
    <n v="0"/>
    <n v="49.615384615384613"/>
    <n v="9.8076923076923066"/>
    <n v="8.5"/>
    <n v="0"/>
    <n v="0.97307692307692306"/>
    <n v="0.63200000000000001"/>
    <n v="0.91769230769230759"/>
    <m/>
    <m/>
    <m/>
    <m/>
    <m/>
    <m/>
    <m/>
    <m/>
    <m/>
  </r>
  <r>
    <x v="1506"/>
    <x v="1"/>
    <m/>
    <x v="38"/>
    <n v="48"/>
    <n v="48"/>
    <n v="0"/>
    <m/>
    <n v="2294"/>
    <n v="2205"/>
    <n v="89"/>
    <x v="1994"/>
    <n v="0"/>
    <n v="47.791666666666664"/>
    <n v="45.9375"/>
    <n v="1.8541666666666667"/>
    <n v="27.004166666666666"/>
    <n v="0"/>
    <n v="25"/>
    <n v="0"/>
    <n v="48.833333333333336"/>
    <n v="10"/>
    <n v="8.5"/>
    <n v="3.8796861377506542E-2"/>
    <n v="0.98833333333333329"/>
    <n v="0.5650392327811683"/>
    <n v="0.92333333333333345"/>
    <s v="1 liver - 1 heart - 2 kidneys"/>
    <m/>
    <m/>
    <m/>
    <m/>
    <m/>
    <n v="0"/>
    <m/>
    <m/>
  </r>
  <r>
    <x v="1506"/>
    <x v="0"/>
    <s v="Native "/>
    <x v="0"/>
    <n v="25"/>
    <n v="24"/>
    <n v="1"/>
    <m/>
    <n v="10515"/>
    <n v="10515"/>
    <n v="0"/>
    <x v="1995"/>
    <n v="236"/>
    <n v="438.125"/>
    <n v="438.125"/>
    <n v="0"/>
    <n v="262.86666666666667"/>
    <n v="9.8333333333333339"/>
    <n v="25"/>
    <n v="0"/>
    <n v="48.416666666666664"/>
    <n v="10"/>
    <n v="8.5"/>
    <n v="0"/>
    <n v="0.98416666666666663"/>
    <n v="0.59998097955301954"/>
    <n v="0.91916666666666658"/>
    <s v="2 kidneys - 1 heart "/>
    <m/>
    <m/>
    <m/>
    <m/>
    <m/>
    <n v="5"/>
    <m/>
    <m/>
  </r>
  <r>
    <x v="1506"/>
    <x v="0"/>
    <s v="Native "/>
    <x v="9"/>
    <n v="24"/>
    <n v="23"/>
    <n v="1"/>
    <m/>
    <n v="12070"/>
    <n v="11715"/>
    <n v="355"/>
    <x v="1996"/>
    <n v="274"/>
    <n v="524.78260869565213"/>
    <n v="509.3478260869565"/>
    <n v="15.434782608695652"/>
    <n v="314.8739130434783"/>
    <n v="11.913043478260869"/>
    <n v="23.260869565217391"/>
    <n v="0"/>
    <n v="43.521739130434781"/>
    <n v="10"/>
    <n v="8.5"/>
    <n v="2.9411764705882356E-2"/>
    <n v="0.90043478260869558"/>
    <n v="0.60000828500414249"/>
    <n v="0.85282608695652173"/>
    <s v="1 kidney"/>
    <m/>
    <m/>
    <m/>
    <m/>
    <m/>
    <n v="23"/>
    <m/>
    <m/>
  </r>
  <r>
    <x v="1507"/>
    <x v="0"/>
    <s v="Native "/>
    <x v="36"/>
    <n v="70"/>
    <n v="70"/>
    <n v="0"/>
    <m/>
    <n v="34735"/>
    <n v="34205"/>
    <n v="530"/>
    <x v="1997"/>
    <n v="675"/>
    <n v="496.21428571428572"/>
    <n v="488.64285714285717"/>
    <n v="7.5714285714285712"/>
    <n v="297.71285714285716"/>
    <n v="9.6428571428571423"/>
    <n v="23.785714285714285"/>
    <n v="0"/>
    <n v="48.585714285714289"/>
    <n v="10"/>
    <n v="8.5"/>
    <n v="1.5258384914351518E-2"/>
    <n v="0.96157142857142852"/>
    <n v="0.59996833165395136"/>
    <n v="0.9087142857142857"/>
    <s v="6 kidneys - 1 liver - 1 lung"/>
    <m/>
    <m/>
    <m/>
    <m/>
    <m/>
    <n v="37"/>
    <m/>
    <m/>
  </r>
  <r>
    <x v="1508"/>
    <x v="1"/>
    <m/>
    <x v="21"/>
    <n v="51"/>
    <n v="48"/>
    <n v="3"/>
    <m/>
    <n v="2525"/>
    <n v="2394"/>
    <n v="131"/>
    <x v="1998"/>
    <n v="0"/>
    <n v="52.604166666666664"/>
    <n v="49.875"/>
    <n v="2.7291666666666665"/>
    <n v="28.879166666666666"/>
    <n v="0"/>
    <n v="25"/>
    <n v="0"/>
    <n v="48.604166666666671"/>
    <n v="10"/>
    <n v="8.5"/>
    <n v="5.1881188118811879E-2"/>
    <n v="0.98604166666666671"/>
    <n v="0.54899009900990103"/>
    <n v="0.92104166666666676"/>
    <s v="1 liver - 1 heart"/>
    <m/>
    <m/>
    <m/>
    <m/>
    <m/>
    <n v="0"/>
    <m/>
    <m/>
  </r>
  <r>
    <x v="1508"/>
    <x v="0"/>
    <s v="Native "/>
    <x v="9"/>
    <n v="45"/>
    <n v="45"/>
    <n v="0"/>
    <m/>
    <n v="20811"/>
    <n v="20190"/>
    <n v="621"/>
    <x v="1999"/>
    <n v="393"/>
    <n v="462.46666666666664"/>
    <n v="448.66666666666669"/>
    <n v="13.8"/>
    <n v="281.0888888888889"/>
    <n v="8.7333333333333325"/>
    <n v="24.666666666666668"/>
    <n v="0"/>
    <n v="49.4"/>
    <n v="10"/>
    <n v="8.5"/>
    <n v="2.9839988467637312E-2"/>
    <n v="0.9873333333333334"/>
    <n v="0.60780356542213254"/>
    <n v="0.92566666666666664"/>
    <s v="1 liver "/>
    <m/>
    <m/>
    <m/>
    <m/>
    <m/>
    <n v="15"/>
    <m/>
    <m/>
  </r>
  <r>
    <x v="1509"/>
    <x v="0"/>
    <s v="Native "/>
    <x v="14"/>
    <n v="59"/>
    <n v="52"/>
    <n v="7"/>
    <m/>
    <n v="23835"/>
    <n v="23380"/>
    <n v="455"/>
    <x v="2000"/>
    <n v="513"/>
    <n v="458.36538461538464"/>
    <n v="449.61538461538464"/>
    <n v="8.75"/>
    <n v="275.25"/>
    <n v="9.865384615384615"/>
    <n v="24.326923076923077"/>
    <n v="0"/>
    <n v="47.34615384615384"/>
    <n v="10"/>
    <n v="8.5"/>
    <n v="1.908957415565345E-2"/>
    <n v="0.96"/>
    <n v="0.60050346129641285"/>
    <n v="0.90173076923076922"/>
    <s v="2 livers - 1 heart - 6 kidneys - 1 spleen"/>
    <m/>
    <m/>
    <m/>
    <m/>
    <m/>
    <n v="18"/>
    <m/>
    <m/>
  </r>
  <r>
    <x v="1510"/>
    <x v="1"/>
    <m/>
    <x v="14"/>
    <n v="50"/>
    <n v="49"/>
    <n v="1"/>
    <m/>
    <n v="2299"/>
    <n v="2299"/>
    <n v="0"/>
    <x v="2001"/>
    <n v="0"/>
    <n v="46.918367346938773"/>
    <n v="46.918367346938773"/>
    <n v="0"/>
    <n v="26.732653061224493"/>
    <n v="0"/>
    <n v="25"/>
    <n v="0"/>
    <n v="49.857142857142854"/>
    <n v="10"/>
    <n v="8.5"/>
    <n v="0"/>
    <n v="0.99857142857142855"/>
    <n v="0.56976946498477599"/>
    <n v="0.93357142857142861"/>
    <s v="1 liver"/>
    <m/>
    <m/>
    <m/>
    <m/>
    <m/>
    <n v="0"/>
    <m/>
    <m/>
  </r>
  <r>
    <x v="1510"/>
    <x v="0"/>
    <s v="Imported"/>
    <x v="23"/>
    <n v="72"/>
    <n v="69"/>
    <n v="3"/>
    <m/>
    <n v="32379.113924050627"/>
    <n v="32379.113924050627"/>
    <n v="0"/>
    <x v="2002"/>
    <n v="0"/>
    <n v="469.26252063841491"/>
    <n v="469.26252063841491"/>
    <n v="0"/>
    <n v="296.57391304347823"/>
    <n v="0"/>
    <n v="25"/>
    <n v="0"/>
    <n v="50"/>
    <n v="10"/>
    <n v="8.5"/>
    <n v="0"/>
    <n v="1"/>
    <n v="0.63200000000000012"/>
    <n v="0.93500000000000005"/>
    <m/>
    <m/>
    <m/>
    <m/>
    <m/>
    <m/>
    <m/>
    <m/>
    <m/>
  </r>
  <r>
    <x v="1511"/>
    <x v="0"/>
    <s v="Native "/>
    <x v="39"/>
    <n v="60"/>
    <n v="60"/>
    <n v="0"/>
    <m/>
    <n v="27970"/>
    <n v="27235"/>
    <n v="735"/>
    <x v="2003"/>
    <n v="534"/>
    <n v="466.16666666666669"/>
    <n v="453.91666666666669"/>
    <n v="12.25"/>
    <n v="291.80333333333334"/>
    <n v="8.9"/>
    <n v="25"/>
    <n v="0"/>
    <n v="49.383333333333333"/>
    <n v="10"/>
    <n v="8.5"/>
    <n v="2.6278155166249553E-2"/>
    <n v="0.99383333333333335"/>
    <n v="0.62596353235609581"/>
    <n v="0.92883333333333329"/>
    <s v="1 heart"/>
    <m/>
    <m/>
    <m/>
    <m/>
    <m/>
    <n v="4"/>
    <m/>
    <m/>
  </r>
  <r>
    <x v="1512"/>
    <x v="1"/>
    <m/>
    <x v="33"/>
    <n v="50"/>
    <n v="50"/>
    <n v="0"/>
    <m/>
    <n v="2422"/>
    <n v="2422"/>
    <n v="0"/>
    <x v="2004"/>
    <n v="0"/>
    <n v="48.44"/>
    <n v="48.44"/>
    <n v="0"/>
    <n v="27.57"/>
    <n v="0"/>
    <n v="25"/>
    <n v="0"/>
    <n v="48.8"/>
    <n v="10"/>
    <n v="8.5"/>
    <n v="0"/>
    <n v="0.98799999999999999"/>
    <n v="0.56915772089182493"/>
    <n v="0.92299999999999993"/>
    <s v="5 livers - 5 Omentums"/>
    <m/>
    <m/>
    <m/>
    <m/>
    <m/>
    <n v="0"/>
    <m/>
    <m/>
  </r>
  <r>
    <x v="1512"/>
    <x v="0"/>
    <s v="Native "/>
    <x v="0"/>
    <n v="21"/>
    <n v="21"/>
    <n v="0"/>
    <m/>
    <n v="9628"/>
    <n v="9628"/>
    <n v="0"/>
    <x v="2005"/>
    <n v="206"/>
    <n v="458.47619047619048"/>
    <n v="458.47619047619048"/>
    <n v="0"/>
    <n v="275.09523809523807"/>
    <n v="9.8095238095238102"/>
    <n v="22.61904761904762"/>
    <n v="0"/>
    <n v="44.666666666666664"/>
    <n v="10"/>
    <n v="8.5"/>
    <n v="0"/>
    <n v="0.8990476190476191"/>
    <n v="0.60002077274615706"/>
    <n v="0.85785714285714276"/>
    <s v="2 kidneys"/>
    <m/>
    <m/>
    <m/>
    <m/>
    <m/>
    <n v="13"/>
    <m/>
    <m/>
  </r>
  <r>
    <x v="1513"/>
    <x v="0"/>
    <s v="Native "/>
    <x v="36"/>
    <n v="85"/>
    <n v="85"/>
    <n v="0"/>
    <m/>
    <n v="40211"/>
    <n v="39265"/>
    <n v="946"/>
    <x v="2006"/>
    <n v="801"/>
    <n v="473.07058823529411"/>
    <n v="461.94117647058823"/>
    <n v="11.129411764705882"/>
    <n v="284.43058823529412"/>
    <n v="9.4235294117647062"/>
    <n v="21.705882352941178"/>
    <n v="0"/>
    <n v="45.247058823529407"/>
    <n v="10"/>
    <n v="8.5"/>
    <n v="2.3525900872895477E-2"/>
    <n v="0.88658823529411768"/>
    <n v="0.60124344084951875"/>
    <n v="0.85452941176470587"/>
    <s v="1 lung - 5 livers -10 kidneys - 3 hearts -1 head"/>
    <m/>
    <m/>
    <m/>
    <m/>
    <m/>
    <n v="69"/>
    <m/>
    <m/>
  </r>
  <r>
    <x v="1514"/>
    <x v="1"/>
    <m/>
    <x v="38"/>
    <n v="45"/>
    <n v="45"/>
    <n v="0"/>
    <m/>
    <n v="2174"/>
    <n v="2100"/>
    <n v="74"/>
    <x v="2007"/>
    <n v="0"/>
    <n v="48.31111111111111"/>
    <n v="46.666666666666664"/>
    <n v="1.6444444444444444"/>
    <n v="27.8"/>
    <n v="0"/>
    <n v="25"/>
    <n v="0"/>
    <n v="49.62222222222222"/>
    <n v="10"/>
    <n v="8.5"/>
    <n v="3.4038638454461818E-2"/>
    <n v="0.99622222222222212"/>
    <n v="0.57543698252069919"/>
    <n v="0.93122222222222217"/>
    <s v="1 liver "/>
    <m/>
    <m/>
    <m/>
    <m/>
    <m/>
    <n v="0"/>
    <m/>
    <m/>
  </r>
  <r>
    <x v="1514"/>
    <x v="0"/>
    <s v="Native "/>
    <x v="9"/>
    <n v="35"/>
    <n v="35"/>
    <n v="0"/>
    <m/>
    <n v="18308"/>
    <n v="17470"/>
    <n v="838"/>
    <x v="2008"/>
    <n v="431"/>
    <n v="523.08571428571429"/>
    <n v="499.14285714285717"/>
    <n v="23.942857142857143"/>
    <n v="313.85428571428571"/>
    <n v="12.314285714285715"/>
    <n v="23.285714285714285"/>
    <n v="0"/>
    <n v="49.228571428571421"/>
    <n v="10"/>
    <n v="8.5"/>
    <n v="4.5772339960672932E-2"/>
    <n v="0.95799999999999996"/>
    <n v="0.60000546209307404"/>
    <n v="0.91014285714285703"/>
    <s v="1 heart "/>
    <m/>
    <m/>
    <m/>
    <m/>
    <m/>
    <n v="22"/>
    <m/>
    <m/>
  </r>
  <r>
    <x v="1515"/>
    <x v="0"/>
    <s v="Imported"/>
    <x v="23"/>
    <n v="43"/>
    <n v="42"/>
    <n v="1"/>
    <m/>
    <n v="21523.417721518985"/>
    <n v="21523.417721518985"/>
    <n v="0"/>
    <x v="2009"/>
    <n v="0"/>
    <n v="512.46232670283302"/>
    <n v="512.46232670283302"/>
    <n v="0"/>
    <n v="323.87619047619046"/>
    <n v="0"/>
    <n v="25"/>
    <n v="0"/>
    <n v="50"/>
    <n v="10"/>
    <n v="8.5"/>
    <n v="0"/>
    <n v="1"/>
    <n v="0.63200000000000001"/>
    <n v="0.93500000000000005"/>
    <m/>
    <m/>
    <m/>
    <m/>
    <m/>
    <m/>
    <m/>
    <m/>
    <m/>
  </r>
  <r>
    <x v="1516"/>
    <x v="1"/>
    <m/>
    <x v="14"/>
    <n v="30"/>
    <n v="30"/>
    <n v="0"/>
    <m/>
    <n v="1555"/>
    <n v="1490"/>
    <n v="65"/>
    <x v="2010"/>
    <n v="0"/>
    <n v="51.833333333333336"/>
    <n v="49.666666666666664"/>
    <n v="2.1666666666666665"/>
    <n v="28.066666666666666"/>
    <n v="0"/>
    <n v="25"/>
    <n v="0"/>
    <n v="49.033333333333331"/>
    <n v="10"/>
    <n v="8.5"/>
    <n v="4.1800643086816719E-2"/>
    <n v="0.99033333333333329"/>
    <n v="0.54147909967845664"/>
    <n v="0.92533333333333334"/>
    <s v="3 livers"/>
    <m/>
    <m/>
    <m/>
    <m/>
    <m/>
    <n v="0"/>
    <m/>
    <m/>
  </r>
  <r>
    <x v="1516"/>
    <x v="0"/>
    <s v="Native "/>
    <x v="31"/>
    <n v="48"/>
    <n v="48"/>
    <n v="0"/>
    <m/>
    <n v="25198"/>
    <n v="24685"/>
    <n v="513"/>
    <x v="2011"/>
    <n v="553"/>
    <n v="524.95833333333337"/>
    <n v="514.27083333333337"/>
    <n v="10.6875"/>
    <n v="343.70416666666665"/>
    <n v="11.520833333333334"/>
    <n v="25"/>
    <n v="0"/>
    <n v="47.625"/>
    <n v="10"/>
    <n v="8.5"/>
    <n v="2.0358758631637431E-2"/>
    <n v="0.97625000000000006"/>
    <n v="0.6547265656004444"/>
    <n v="0.91125"/>
    <s v="3 livers - 1 lung - 1 heart - 4 kidneys"/>
    <m/>
    <m/>
    <m/>
    <m/>
    <m/>
    <n v="7"/>
    <m/>
    <m/>
  </r>
  <r>
    <x v="1517"/>
    <x v="0"/>
    <s v="Native "/>
    <x v="14"/>
    <n v="37"/>
    <n v="37"/>
    <n v="0"/>
    <m/>
    <n v="16755"/>
    <n v="16375"/>
    <n v="380"/>
    <x v="2012"/>
    <n v="358"/>
    <n v="452.83783783783781"/>
    <n v="442.56756756756755"/>
    <n v="10.27027027027027"/>
    <n v="271.98648648648651"/>
    <n v="9.6756756756756754"/>
    <n v="23.378378378378379"/>
    <n v="0"/>
    <n v="47.54054054054054"/>
    <n v="10"/>
    <n v="8.5"/>
    <n v="2.2679797075499851E-2"/>
    <n v="0.942972972972973"/>
    <n v="0.60062667860340202"/>
    <n v="0.89418918918918922"/>
    <s v="2 livers - 1 heart - 6 legs"/>
    <m/>
    <m/>
    <m/>
    <m/>
    <m/>
    <n v="13"/>
    <m/>
    <m/>
  </r>
  <r>
    <x v="1518"/>
    <x v="1"/>
    <m/>
    <x v="21"/>
    <n v="32"/>
    <n v="29"/>
    <n v="3"/>
    <m/>
    <n v="1414"/>
    <n v="1414"/>
    <n v="0"/>
    <x v="2013"/>
    <n v="0"/>
    <n v="48.758620689655174"/>
    <n v="48.758620689655174"/>
    <n v="0"/>
    <n v="26.824137931034482"/>
    <n v="0"/>
    <n v="25"/>
    <n v="0"/>
    <n v="49.551724137931032"/>
    <n v="10"/>
    <n v="8.5"/>
    <n v="0"/>
    <n v="0.9955172413793103"/>
    <n v="0.55014144271570009"/>
    <n v="0.93051724137931036"/>
    <s v="1 liver"/>
    <m/>
    <m/>
    <m/>
    <m/>
    <m/>
    <n v="0"/>
    <m/>
    <m/>
  </r>
  <r>
    <x v="1518"/>
    <x v="0"/>
    <s v="Imported"/>
    <x v="23"/>
    <n v="35"/>
    <n v="33"/>
    <n v="2"/>
    <m/>
    <n v="16165.822784810123"/>
    <n v="16165.822784810123"/>
    <n v="0"/>
    <x v="2014"/>
    <n v="0"/>
    <n v="489.87341772151888"/>
    <n v="489.87341772151888"/>
    <n v="0"/>
    <n v="309.59999999999997"/>
    <n v="0"/>
    <n v="25"/>
    <n v="0"/>
    <n v="43.727272727272734"/>
    <n v="10"/>
    <n v="8.5"/>
    <n v="0"/>
    <n v="0.93727272727272726"/>
    <n v="0.63200000000000012"/>
    <n v="0.87227272727272731"/>
    <s v="6 livers"/>
    <m/>
    <m/>
    <m/>
    <m/>
    <m/>
    <m/>
    <m/>
    <m/>
  </r>
  <r>
    <x v="1518"/>
    <x v="2"/>
    <m/>
    <x v="40"/>
    <n v="24"/>
    <n v="0"/>
    <n v="24"/>
    <m/>
    <n v="0"/>
    <n v="0"/>
    <n v="0"/>
    <x v="2015"/>
    <n v="0"/>
    <m/>
    <m/>
    <m/>
    <m/>
    <m/>
    <m/>
    <n v="0"/>
    <m/>
    <m/>
    <m/>
    <m/>
    <m/>
    <m/>
    <m/>
    <m/>
    <m/>
    <m/>
    <m/>
    <m/>
    <m/>
    <n v="0"/>
    <m/>
    <m/>
  </r>
  <r>
    <x v="1519"/>
    <x v="1"/>
    <m/>
    <x v="38"/>
    <n v="30"/>
    <n v="30"/>
    <n v="0"/>
    <m/>
    <n v="1468"/>
    <n v="1410"/>
    <n v="58"/>
    <x v="2016"/>
    <n v="0"/>
    <n v="48.93333333333333"/>
    <n v="47"/>
    <n v="1.9333333333333333"/>
    <n v="28.15"/>
    <n v="0"/>
    <n v="25"/>
    <n v="0"/>
    <n v="46.4"/>
    <n v="10"/>
    <n v="8.5"/>
    <n v="3.9509536784741145E-2"/>
    <n v="0.96399999999999997"/>
    <n v="0.57527247956403271"/>
    <n v="0.89900000000000002"/>
    <s v="4 livers - 4 kidneys - 1 heart - 3 omentums"/>
    <m/>
    <m/>
    <m/>
    <m/>
    <m/>
    <n v="0"/>
    <m/>
    <m/>
  </r>
  <r>
    <x v="1519"/>
    <x v="0"/>
    <s v="Native "/>
    <x v="36"/>
    <n v="78"/>
    <n v="78"/>
    <n v="0"/>
    <m/>
    <n v="33218"/>
    <n v="33130"/>
    <n v="88"/>
    <x v="2017"/>
    <n v="570"/>
    <n v="425.87179487179486"/>
    <n v="424.74358974358972"/>
    <n v="1.1282051282051282"/>
    <n v="255.51153846153849"/>
    <n v="7.3076923076923075"/>
    <n v="25"/>
    <n v="0"/>
    <n v="48.602564102564109"/>
    <n v="10"/>
    <n v="8.5"/>
    <n v="2.6491661147570594E-3"/>
    <n v="0.98602564102564116"/>
    <n v="0.59997290625564459"/>
    <n v="0.92102564102564122"/>
    <s v="2 kidneys - 2 livers - 2 hearts"/>
    <m/>
    <m/>
    <m/>
    <m/>
    <m/>
    <n v="21"/>
    <m/>
    <m/>
  </r>
  <r>
    <x v="1520"/>
    <x v="1"/>
    <m/>
    <x v="38"/>
    <n v="40"/>
    <n v="40"/>
    <n v="0"/>
    <m/>
    <n v="1936"/>
    <n v="1936"/>
    <n v="0"/>
    <x v="2018"/>
    <n v="0"/>
    <n v="48.4"/>
    <n v="48.4"/>
    <n v="0"/>
    <n v="27.35"/>
    <n v="0"/>
    <n v="25"/>
    <n v="0"/>
    <n v="48.900000000000006"/>
    <n v="10"/>
    <n v="8.5"/>
    <n v="0"/>
    <n v="0.9890000000000001"/>
    <n v="0.56508264462809921"/>
    <n v="0.92400000000000004"/>
    <s v="1 liver - 1 heart "/>
    <m/>
    <m/>
    <m/>
    <m/>
    <m/>
    <n v="0"/>
    <m/>
    <m/>
  </r>
  <r>
    <x v="1520"/>
    <x v="0"/>
    <s v="Native "/>
    <x v="9"/>
    <n v="74"/>
    <n v="42"/>
    <n v="32"/>
    <m/>
    <n v="19230"/>
    <n v="19230"/>
    <n v="0"/>
    <x v="2019"/>
    <n v="382"/>
    <n v="457.85714285714283"/>
    <n v="457.85714285714283"/>
    <n v="0"/>
    <n v="274.73095238095237"/>
    <n v="9.0952380952380949"/>
    <n v="24.404761904761905"/>
    <n v="0"/>
    <n v="49.333333333333329"/>
    <n v="10"/>
    <n v="8.5"/>
    <n v="0"/>
    <n v="0.98142857142857132"/>
    <n v="0.6000364014560583"/>
    <n v="0.92238095238095241"/>
    <s v="4 kidneys - 1 liver - 1 heart"/>
    <m/>
    <m/>
    <m/>
    <m/>
    <m/>
    <n v="13"/>
    <m/>
    <m/>
  </r>
  <r>
    <x v="1521"/>
    <x v="0"/>
    <s v="Native "/>
    <x v="27"/>
    <n v="50"/>
    <n v="49"/>
    <n v="1"/>
    <m/>
    <n v="23931"/>
    <n v="23931"/>
    <n v="0"/>
    <x v="2020"/>
    <n v="371"/>
    <n v="488.38775510204084"/>
    <n v="488.38775510204084"/>
    <n v="0"/>
    <n v="307.15102040816328"/>
    <n v="7.5714285714285712"/>
    <n v="25"/>
    <n v="0"/>
    <n v="48.040816326530617"/>
    <n v="10"/>
    <n v="8.5"/>
    <n v="0"/>
    <n v="0.98040816326530611"/>
    <n v="0.62890811081860343"/>
    <n v="0.91540816326530616"/>
    <s v="10 kidneys - 2 livers - 1 heart"/>
    <m/>
    <m/>
    <m/>
    <m/>
    <m/>
    <n v="19"/>
    <m/>
    <m/>
  </r>
  <r>
    <x v="1522"/>
    <x v="1"/>
    <m/>
    <x v="38"/>
    <n v="37"/>
    <n v="37"/>
    <n v="0"/>
    <m/>
    <n v="1811"/>
    <n v="1750"/>
    <n v="61"/>
    <x v="1901"/>
    <n v="0"/>
    <n v="48.945945945945944"/>
    <n v="47.297297297297298"/>
    <n v="1.6486486486486487"/>
    <n v="27.856756756756759"/>
    <n v="0"/>
    <n v="25"/>
    <n v="0"/>
    <n v="48.810810810810807"/>
    <n v="10"/>
    <n v="8.5"/>
    <n v="3.3683048039757045E-2"/>
    <n v="0.98810810810810801"/>
    <n v="0.56913307564881288"/>
    <n v="0.92310810810810806"/>
    <s v=" 2 omentums"/>
    <m/>
    <m/>
    <m/>
    <m/>
    <m/>
    <n v="0"/>
    <m/>
    <m/>
  </r>
  <r>
    <x v="1522"/>
    <x v="0"/>
    <s v="Native "/>
    <x v="0"/>
    <n v="30"/>
    <n v="30"/>
    <n v="0"/>
    <m/>
    <n v="13261"/>
    <n v="13261"/>
    <n v="0"/>
    <x v="2021"/>
    <n v="271"/>
    <n v="442.03333333333336"/>
    <n v="442.03333333333336"/>
    <n v="0"/>
    <n v="265.22000000000003"/>
    <n v="9.0333333333333332"/>
    <n v="25"/>
    <n v="0"/>
    <n v="48.066666666666663"/>
    <n v="10"/>
    <n v="8.5"/>
    <n v="0"/>
    <n v="0.98066666666666658"/>
    <n v="0.6"/>
    <n v="0.91566666666666663"/>
    <s v="1 spleen - 4 livers - 1 heart"/>
    <m/>
    <m/>
    <m/>
    <m/>
    <m/>
    <n v="19"/>
    <m/>
    <m/>
  </r>
  <r>
    <x v="1522"/>
    <x v="0"/>
    <s v="Native "/>
    <x v="24"/>
    <n v="29"/>
    <n v="29"/>
    <n v="0"/>
    <m/>
    <n v="12210"/>
    <n v="12210"/>
    <n v="0"/>
    <x v="2022"/>
    <n v="192"/>
    <n v="421.0344827586207"/>
    <n v="421.0344827586207"/>
    <n v="0"/>
    <n v="252.63793103448276"/>
    <n v="6.6206896551724137"/>
    <n v="25"/>
    <n v="0"/>
    <n v="47.655172413793103"/>
    <n v="10"/>
    <n v="8.5"/>
    <n v="0"/>
    <n v="0.97655172413793101"/>
    <n v="0.60004095004095004"/>
    <n v="0.91155172413793106"/>
    <s v="1 liver - 1 heart"/>
    <m/>
    <m/>
    <m/>
    <m/>
    <m/>
    <n v="14"/>
    <m/>
    <m/>
  </r>
  <r>
    <x v="1523"/>
    <x v="0"/>
    <s v="Native "/>
    <x v="41"/>
    <n v="44"/>
    <n v="42"/>
    <n v="2"/>
    <m/>
    <n v="20430"/>
    <n v="19945"/>
    <n v="485"/>
    <x v="2023"/>
    <n v="386"/>
    <n v="486.42857142857144"/>
    <n v="474.88095238095241"/>
    <n v="11.547619047619047"/>
    <n v="292.06428571428575"/>
    <n v="9.1904761904761898"/>
    <n v="24.761904761904763"/>
    <n v="0"/>
    <n v="46.785714285714285"/>
    <n v="10"/>
    <n v="8.5"/>
    <n v="2.3739598629466469E-2"/>
    <n v="0.96309523809523812"/>
    <n v="0.60042584434654922"/>
    <n v="0.90047619047619054"/>
    <s v="4 kidneys - 1 heart"/>
    <m/>
    <m/>
    <m/>
    <m/>
    <m/>
    <n v="14"/>
    <m/>
    <m/>
  </r>
  <r>
    <x v="1524"/>
    <x v="0"/>
    <s v="Imported"/>
    <x v="34"/>
    <n v="38"/>
    <n v="38"/>
    <n v="0"/>
    <m/>
    <n v="19427.689873417719"/>
    <n v="19427.689873417719"/>
    <n v="0"/>
    <x v="2024"/>
    <n v="0"/>
    <n v="511.25499666888737"/>
    <n v="511.25499666888737"/>
    <n v="0"/>
    <n v="323.11315789473684"/>
    <n v="0"/>
    <n v="25"/>
    <n v="0"/>
    <n v="49.868421052631575"/>
    <n v="10"/>
    <n v="8.5"/>
    <n v="0"/>
    <n v="0.99868421052631573"/>
    <n v="0.63200000000000001"/>
    <n v="0.93368421052631578"/>
    <s v="1 testicle"/>
    <m/>
    <m/>
    <m/>
    <m/>
    <m/>
    <n v="8"/>
    <m/>
    <m/>
  </r>
  <r>
    <x v="1525"/>
    <x v="1"/>
    <m/>
    <x v="21"/>
    <n v="61"/>
    <n v="53"/>
    <n v="8"/>
    <m/>
    <n v="2253"/>
    <n v="2253"/>
    <n v="0"/>
    <x v="2025"/>
    <n v="0"/>
    <n v="42.509433962264154"/>
    <n v="42.509433962264154"/>
    <n v="0"/>
    <n v="22.456603773584906"/>
    <n v="0"/>
    <n v="25"/>
    <n v="0"/>
    <n v="48.584905660377359"/>
    <n v="10"/>
    <n v="8.5"/>
    <n v="0"/>
    <n v="0.98584905660377364"/>
    <n v="0.52827341322680876"/>
    <n v="0.92084905660377359"/>
    <s v="3 livers - 2 hearts - 2 omentums"/>
    <m/>
    <m/>
    <m/>
    <m/>
    <m/>
    <n v="0"/>
    <m/>
    <m/>
  </r>
  <r>
    <x v="1525"/>
    <x v="0"/>
    <s v="Native "/>
    <x v="36"/>
    <n v="82"/>
    <n v="72"/>
    <n v="10"/>
    <m/>
    <n v="33900"/>
    <n v="33900"/>
    <n v="0"/>
    <x v="2026"/>
    <n v="665"/>
    <n v="470.83333333333331"/>
    <n v="470.83333333333331"/>
    <n v="0"/>
    <n v="282.79722222222222"/>
    <n v="9.2361111111111107"/>
    <n v="24.513888888888889"/>
    <n v="0"/>
    <n v="47.208333333333336"/>
    <n v="10"/>
    <n v="8.5"/>
    <n v="0"/>
    <n v="0.96236111111111122"/>
    <n v="0.60063126843657821"/>
    <n v="0.90222222222222226"/>
    <s v="1 liver - 6 kidneys - 2 hearts"/>
    <m/>
    <m/>
    <m/>
    <m/>
    <m/>
    <n v="25"/>
    <m/>
    <m/>
  </r>
  <r>
    <x v="1526"/>
    <x v="1"/>
    <m/>
    <x v="42"/>
    <n v="44"/>
    <n v="43"/>
    <n v="1"/>
    <m/>
    <n v="2177"/>
    <n v="2177"/>
    <n v="0"/>
    <x v="2027"/>
    <n v="0"/>
    <n v="50.627906976744185"/>
    <n v="50.627906976744185"/>
    <n v="0"/>
    <n v="29.06744186046512"/>
    <n v="0"/>
    <n v="25"/>
    <n v="0"/>
    <n v="47.651162790697683"/>
    <n v="10"/>
    <n v="8.5"/>
    <n v="0"/>
    <n v="0.97651162790697676"/>
    <n v="0.57413872301332114"/>
    <n v="0.91151162790697682"/>
    <s v="2 livers - 10 kidneys"/>
    <m/>
    <m/>
    <m/>
    <m/>
    <m/>
    <n v="0"/>
    <m/>
    <m/>
  </r>
  <r>
    <x v="1526"/>
    <x v="0"/>
    <s v="Native "/>
    <x v="43"/>
    <n v="50"/>
    <n v="50"/>
    <n v="0"/>
    <m/>
    <n v="21890"/>
    <n v="21240"/>
    <n v="650"/>
    <x v="2028"/>
    <n v="373"/>
    <n v="437.8"/>
    <n v="424.8"/>
    <n v="13"/>
    <n v="268.952"/>
    <n v="7.46"/>
    <n v="25"/>
    <n v="0"/>
    <n v="44.32"/>
    <n v="10"/>
    <n v="8.5"/>
    <n v="2.9693924166285975E-2"/>
    <n v="0.94320000000000004"/>
    <n v="0.61432617633622666"/>
    <n v="0.87819999999999998"/>
    <s v="2 livers - 4 kidneys"/>
    <m/>
    <m/>
    <m/>
    <m/>
    <m/>
    <n v="18"/>
    <m/>
    <m/>
  </r>
  <r>
    <x v="1527"/>
    <x v="0"/>
    <s v="Imported"/>
    <x v="23"/>
    <n v="50"/>
    <n v="49"/>
    <n v="1"/>
    <m/>
    <n v="25115.506329113923"/>
    <n v="25115.506329113923"/>
    <n v="0"/>
    <x v="2029"/>
    <n v="0"/>
    <n v="512.56135365538614"/>
    <n v="512.56135365538614"/>
    <n v="0"/>
    <n v="323.9387755102041"/>
    <n v="0"/>
    <n v="25"/>
    <n v="0"/>
    <n v="49.714285714285722"/>
    <n v="10"/>
    <n v="8.5"/>
    <n v="0"/>
    <n v="0.99714285714285722"/>
    <n v="0.63200000000000001"/>
    <n v="0.93214285714285727"/>
    <s v="2 livers"/>
    <m/>
    <m/>
    <m/>
    <m/>
    <m/>
    <m/>
    <m/>
    <m/>
  </r>
  <r>
    <x v="1528"/>
    <x v="1"/>
    <m/>
    <x v="14"/>
    <n v="33"/>
    <n v="33"/>
    <n v="0"/>
    <m/>
    <n v="1747"/>
    <n v="1660"/>
    <n v="87"/>
    <x v="2030"/>
    <n v="0"/>
    <n v="52.939393939393938"/>
    <n v="50.303030303030305"/>
    <n v="2.6363636363636362"/>
    <n v="29.181818181818183"/>
    <n v="0"/>
    <n v="25"/>
    <n v="0"/>
    <n v="44.333333333333329"/>
    <n v="10"/>
    <n v="8.5"/>
    <n v="4.9799656554092728E-2"/>
    <n v="0.94333333333333336"/>
    <n v="0.55123068116771612"/>
    <n v="0.8783333333333333"/>
    <s v="1 liver - 1 heart"/>
    <m/>
    <m/>
    <m/>
    <m/>
    <m/>
    <n v="0"/>
    <m/>
    <m/>
  </r>
  <r>
    <x v="1528"/>
    <x v="0"/>
    <s v="Native "/>
    <x v="31"/>
    <n v="50"/>
    <n v="50"/>
    <n v="0"/>
    <m/>
    <n v="26952"/>
    <n v="26365"/>
    <n v="587"/>
    <x v="2031"/>
    <n v="600"/>
    <n v="539.04"/>
    <n v="527.29999999999995"/>
    <n v="11.74"/>
    <n v="344.46800000000002"/>
    <n v="12"/>
    <n v="25"/>
    <n v="0"/>
    <n v="49.180000000000007"/>
    <n v="10"/>
    <n v="8.5"/>
    <n v="2.1779459780350254E-2"/>
    <n v="0.99180000000000001"/>
    <n v="0.63903977441377269"/>
    <n v="0.92680000000000007"/>
    <s v="2 livers - 1 lung "/>
    <m/>
    <m/>
    <m/>
    <m/>
    <m/>
    <n v="18"/>
    <m/>
    <m/>
  </r>
  <r>
    <x v="1529"/>
    <x v="0"/>
    <s v="Native "/>
    <x v="9"/>
    <n v="48"/>
    <n v="47"/>
    <n v="1"/>
    <m/>
    <n v="22860"/>
    <n v="22565"/>
    <n v="295"/>
    <x v="2032"/>
    <n v="478"/>
    <n v="486.38297872340428"/>
    <n v="480.10638297872339"/>
    <n v="6.2765957446808507"/>
    <n v="293.77872340425535"/>
    <n v="10.170212765957446"/>
    <n v="24.680851063829788"/>
    <n v="0"/>
    <n v="48.659574468085104"/>
    <n v="10"/>
    <n v="8.5"/>
    <n v="1.2904636920384951E-2"/>
    <n v="0.98021276595744689"/>
    <n v="0.60400699912510936"/>
    <n v="0.91840425531914893"/>
    <s v="3 livers "/>
    <m/>
    <m/>
    <m/>
    <m/>
    <m/>
    <n v="21"/>
    <m/>
    <m/>
  </r>
  <r>
    <x v="1530"/>
    <x v="1"/>
    <m/>
    <x v="14"/>
    <n v="35"/>
    <n v="35"/>
    <n v="0"/>
    <m/>
    <n v="1935"/>
    <n v="1905"/>
    <n v="30"/>
    <x v="2033"/>
    <n v="0"/>
    <n v="55.285714285714285"/>
    <n v="54.428571428571431"/>
    <n v="0.8571428571428571"/>
    <n v="33.10285714285714"/>
    <n v="0"/>
    <n v="25"/>
    <n v="0"/>
    <n v="44.857142857142854"/>
    <n v="10"/>
    <n v="8.5"/>
    <n v="1.5503875968992248E-2"/>
    <n v="0.94857142857142862"/>
    <n v="0.59875968992248052"/>
    <n v="0.88357142857142856"/>
    <s v="3 livers - 1 heart - 4 kidneys - 1 lung - 1 head"/>
    <m/>
    <m/>
    <m/>
    <m/>
    <m/>
    <n v="0"/>
    <m/>
    <m/>
  </r>
  <r>
    <x v="1530"/>
    <x v="0"/>
    <s v="Native "/>
    <x v="14"/>
    <n v="65"/>
    <n v="64"/>
    <n v="1"/>
    <m/>
    <n v="31680"/>
    <n v="30885"/>
    <n v="795"/>
    <x v="2034"/>
    <n v="586"/>
    <n v="495"/>
    <n v="482.578125"/>
    <n v="12.421875"/>
    <n v="298.35312499999998"/>
    <n v="9.15625"/>
    <n v="25"/>
    <n v="0"/>
    <n v="46.765625"/>
    <n v="10"/>
    <n v="8.5"/>
    <n v="2.5094696969696968E-2"/>
    <n v="0.96765625"/>
    <n v="0.60273358585858583"/>
    <n v="0.90265625000000005"/>
    <s v="3 hearts - 2 lungs - 6 kidneys"/>
    <m/>
    <m/>
    <m/>
    <m/>
    <m/>
    <n v="35"/>
    <m/>
    <m/>
  </r>
  <r>
    <x v="1531"/>
    <x v="1"/>
    <m/>
    <x v="38"/>
    <n v="50"/>
    <n v="47"/>
    <n v="3"/>
    <m/>
    <n v="2467"/>
    <n v="2467"/>
    <n v="0"/>
    <x v="2035"/>
    <n v="0"/>
    <n v="52.48936170212766"/>
    <n v="52.48936170212766"/>
    <n v="0"/>
    <n v="30.391489361702131"/>
    <n v="0"/>
    <n v="25"/>
    <n v="0"/>
    <n v="49.106382978723403"/>
    <n v="10"/>
    <n v="8.5"/>
    <n v="0"/>
    <n v="0.99106382978723406"/>
    <n v="0.57900283745439807"/>
    <n v="0.92606382978723401"/>
    <s v="1 heart "/>
    <m/>
    <m/>
    <m/>
    <m/>
    <m/>
    <n v="0"/>
    <m/>
    <m/>
  </r>
  <r>
    <x v="1531"/>
    <x v="0"/>
    <s v="Native "/>
    <x v="36"/>
    <n v="65"/>
    <n v="63"/>
    <n v="2"/>
    <m/>
    <n v="29860"/>
    <n v="29860"/>
    <n v="0"/>
    <x v="2036"/>
    <n v="662"/>
    <n v="473.96825396825398"/>
    <n v="473.96825396825398"/>
    <n v="0"/>
    <n v="285.34920634920633"/>
    <n v="10.507936507936508"/>
    <n v="24.365079365079367"/>
    <n v="0"/>
    <n v="48.714285714285715"/>
    <n v="10"/>
    <n v="8.5"/>
    <n v="0"/>
    <n v="0.97444444444444445"/>
    <n v="0.60204286671131946"/>
    <n v="0.91579365079365094"/>
    <s v="3 livers"/>
    <m/>
    <m/>
    <m/>
    <m/>
    <m/>
    <n v="25"/>
    <m/>
    <m/>
  </r>
  <r>
    <x v="1531"/>
    <x v="0"/>
    <s v="Imported"/>
    <x v="23"/>
    <n v="32"/>
    <n v="32"/>
    <n v="0"/>
    <m/>
    <n v="15889.240506329113"/>
    <n v="15889.240506329113"/>
    <n v="0"/>
    <x v="2037"/>
    <n v="0"/>
    <n v="496.5387658227848"/>
    <n v="496.5387658227848"/>
    <n v="0"/>
    <n v="313.8125"/>
    <n v="0"/>
    <n v="25"/>
    <n v="0"/>
    <n v="48.5625"/>
    <n v="10"/>
    <n v="8.5"/>
    <n v="0"/>
    <n v="0.98562499999999997"/>
    <n v="0.63200000000000001"/>
    <n v="0.92062500000000003"/>
    <s v="1 liver - 2 hearts"/>
    <m/>
    <m/>
    <m/>
    <m/>
    <m/>
    <m/>
    <m/>
    <m/>
  </r>
  <r>
    <x v="1532"/>
    <x v="1"/>
    <m/>
    <x v="38"/>
    <n v="31"/>
    <n v="31"/>
    <n v="0"/>
    <m/>
    <n v="1580"/>
    <n v="1530"/>
    <n v="50"/>
    <x v="2038"/>
    <n v="0"/>
    <n v="50.967741935483872"/>
    <n v="49.354838709677416"/>
    <n v="1.6129032258064515"/>
    <n v="29.43548387096774"/>
    <n v="0"/>
    <n v="25"/>
    <n v="0"/>
    <n v="46.516129032258064"/>
    <n v="10"/>
    <n v="8.5"/>
    <n v="3.164556962025316E-2"/>
    <n v="0.96516129032258058"/>
    <n v="0.57753164556962022"/>
    <n v="0.90016129032258063"/>
    <s v="4 livers - 2 kidneys - 2 hearts "/>
    <m/>
    <m/>
    <m/>
    <m/>
    <m/>
    <n v="0"/>
    <m/>
    <m/>
  </r>
  <r>
    <x v="1532"/>
    <x v="0"/>
    <s v="Native "/>
    <x v="0"/>
    <n v="36"/>
    <n v="35"/>
    <n v="1"/>
    <m/>
    <n v="16360"/>
    <n v="16360"/>
    <n v="0"/>
    <x v="2039"/>
    <n v="365"/>
    <n v="467.42857142857144"/>
    <n v="467.42857142857144"/>
    <n v="0"/>
    <n v="280.46285714285716"/>
    <n v="10.428571428571429"/>
    <n v="25"/>
    <n v="0"/>
    <n v="45.8"/>
    <n v="10"/>
    <n v="8.5"/>
    <n v="0"/>
    <n v="0.95799999999999996"/>
    <n v="0.6000122249388754"/>
    <n v="0.89300000000000002"/>
    <s v="2 kidneys - 5 livers - 1 heart "/>
    <m/>
    <m/>
    <m/>
    <m/>
    <m/>
    <n v="22"/>
    <m/>
    <m/>
  </r>
  <r>
    <x v="1533"/>
    <x v="0"/>
    <s v="Native "/>
    <x v="9"/>
    <n v="32"/>
    <n v="31"/>
    <n v="1"/>
    <m/>
    <n v="16795"/>
    <n v="16795"/>
    <n v="0"/>
    <x v="2040"/>
    <n v="367"/>
    <n v="541.77419354838707"/>
    <n v="541.77419354838707"/>
    <n v="0"/>
    <n v="327.24193548387098"/>
    <n v="11.838709677419354"/>
    <n v="24.032258064516128"/>
    <n v="0"/>
    <n v="44.870967741935488"/>
    <n v="9.8387096774193559"/>
    <n v="8.5"/>
    <n v="0"/>
    <n v="0.9293548387096775"/>
    <n v="0.60401905328966954"/>
    <n v="0.8724193548387098"/>
    <s v="6 kidneys - 3 hearts - 2 lungs - 1 liver - 1 head "/>
    <m/>
    <m/>
    <m/>
    <m/>
    <m/>
    <n v="23"/>
    <m/>
    <m/>
  </r>
  <r>
    <x v="1533"/>
    <x v="0"/>
    <s v="Imported"/>
    <x v="23"/>
    <n v="35"/>
    <n v="35"/>
    <n v="0"/>
    <m/>
    <n v="17056.012658227846"/>
    <n v="17056.012658227846"/>
    <n v="0"/>
    <x v="2041"/>
    <n v="0"/>
    <n v="487.31464737793846"/>
    <n v="487.31464737793846"/>
    <n v="0"/>
    <n v="307.98285714285714"/>
    <n v="0"/>
    <n v="25"/>
    <n v="4"/>
    <n v="50"/>
    <n v="10"/>
    <n v="8.5"/>
    <n v="0"/>
    <n v="1"/>
    <n v="0.63200000000000001"/>
    <n v="0.97499999999999998"/>
    <m/>
    <m/>
    <m/>
    <m/>
    <m/>
    <m/>
    <m/>
    <m/>
    <m/>
  </r>
  <r>
    <x v="1534"/>
    <x v="1"/>
    <m/>
    <x v="14"/>
    <n v="38"/>
    <n v="38"/>
    <n v="0"/>
    <m/>
    <n v="2099"/>
    <n v="1995"/>
    <n v="104"/>
    <x v="2042"/>
    <n v="0"/>
    <n v="55.236842105263158"/>
    <n v="52.5"/>
    <n v="2.736842105263158"/>
    <n v="30.192105263157895"/>
    <n v="0"/>
    <n v="25"/>
    <n v="0"/>
    <n v="47.026315789473685"/>
    <n v="10"/>
    <n v="8.5"/>
    <n v="4.954740352548833E-2"/>
    <n v="0.97026315789473683"/>
    <n v="0.54659361600762268"/>
    <n v="0.90526315789473688"/>
    <s v="2 livers - 2 hearts "/>
    <m/>
    <m/>
    <m/>
    <m/>
    <m/>
    <n v="0"/>
    <m/>
    <m/>
  </r>
  <r>
    <x v="1534"/>
    <x v="0"/>
    <s v="Native "/>
    <x v="14"/>
    <n v="56"/>
    <n v="53"/>
    <n v="3"/>
    <m/>
    <n v="25950"/>
    <n v="24960"/>
    <n v="990"/>
    <x v="2043"/>
    <n v="565"/>
    <n v="489.62264150943395"/>
    <n v="470.94339622641508"/>
    <n v="18.679245283018869"/>
    <n v="293.92075471698109"/>
    <n v="10.660377358490566"/>
    <n v="25"/>
    <n v="0"/>
    <n v="43.584905660377359"/>
    <n v="10"/>
    <n v="8.5"/>
    <n v="3.8150289017341042E-2"/>
    <n v="0.9358490566037736"/>
    <n v="0.60030057803468206"/>
    <n v="0.87084905660377354"/>
    <s v="11 kidneys - 1 heart - 3 livers "/>
    <m/>
    <m/>
    <m/>
    <m/>
    <m/>
    <n v="20"/>
    <m/>
    <m/>
  </r>
  <r>
    <x v="1535"/>
    <x v="0"/>
    <s v="Native "/>
    <x v="9"/>
    <n v="47"/>
    <n v="47"/>
    <n v="0"/>
    <m/>
    <n v="23410"/>
    <n v="23410"/>
    <n v="0"/>
    <x v="2044"/>
    <n v="450"/>
    <n v="498.08510638297872"/>
    <n v="498.08510638297872"/>
    <n v="0"/>
    <n v="298.87021276595743"/>
    <n v="9.5744680851063837"/>
    <n v="24.25531914893617"/>
    <n v="0"/>
    <n v="43.212765957446805"/>
    <n v="10"/>
    <n v="8.5"/>
    <n v="0"/>
    <n v="0.91723404255319152"/>
    <n v="0.60003844510892779"/>
    <n v="0.85968085106382974"/>
    <s v="8 kidneys - 2 hearts - 7 livers - 1 lung "/>
    <m/>
    <m/>
    <m/>
    <m/>
    <m/>
    <n v="41"/>
    <m/>
    <m/>
  </r>
  <r>
    <x v="1535"/>
    <x v="0"/>
    <s v="Imported"/>
    <x v="21"/>
    <n v="8"/>
    <n v="6"/>
    <n v="2"/>
    <m/>
    <n v="2598"/>
    <n v="2598"/>
    <n v="0"/>
    <x v="2045"/>
    <n v="53"/>
    <n v="433"/>
    <n v="433"/>
    <n v="0"/>
    <n v="262.16666666666669"/>
    <n v="8.8333333333333339"/>
    <n v="25"/>
    <n v="0"/>
    <n v="50"/>
    <n v="10"/>
    <n v="8.5"/>
    <n v="0"/>
    <n v="1"/>
    <n v="0.60546574287913779"/>
    <n v="0.93500000000000005"/>
    <s v="-"/>
    <m/>
    <m/>
    <m/>
    <m/>
    <m/>
    <n v="0"/>
    <m/>
    <m/>
  </r>
  <r>
    <x v="1536"/>
    <x v="1"/>
    <m/>
    <x v="38"/>
    <n v="56"/>
    <n v="55"/>
    <n v="1"/>
    <m/>
    <n v="2773"/>
    <n v="2773"/>
    <n v="0"/>
    <x v="2046"/>
    <n v="0"/>
    <n v="50.418181818181822"/>
    <n v="50.418181818181822"/>
    <n v="0"/>
    <n v="29.00181818181818"/>
    <n v="0"/>
    <n v="25"/>
    <n v="0"/>
    <n v="47.309090909090905"/>
    <n v="10"/>
    <n v="8.5"/>
    <n v="0"/>
    <n v="0.97309090909090901"/>
    <n v="0.57522538766678688"/>
    <n v="0.90809090909090917"/>
    <s v="3 livers - 3 hearts - 4 kidneys - 1 omentum "/>
    <m/>
    <m/>
    <m/>
    <m/>
    <m/>
    <n v="0"/>
    <m/>
    <m/>
  </r>
  <r>
    <x v="1536"/>
    <x v="0"/>
    <s v="Native "/>
    <x v="36"/>
    <n v="60"/>
    <n v="60"/>
    <n v="0"/>
    <m/>
    <n v="29600"/>
    <n v="28970"/>
    <n v="630"/>
    <x v="2047"/>
    <n v="625"/>
    <n v="493.33333333333331"/>
    <n v="482.83333333333331"/>
    <n v="10.5"/>
    <n v="298.68833333333333"/>
    <n v="10.416666666666666"/>
    <n v="24.416666666666664"/>
    <n v="0"/>
    <n v="47.05"/>
    <n v="10"/>
    <n v="8.5"/>
    <n v="2.1283783783783785E-2"/>
    <n v="0.9588333333333332"/>
    <n v="0.6054493243243243"/>
    <n v="0.89966666666666673"/>
    <s v="8 kidneys - 2 hearts - 2 livers "/>
    <m/>
    <m/>
    <m/>
    <m/>
    <m/>
    <n v="33"/>
    <m/>
    <m/>
  </r>
  <r>
    <x v="1536"/>
    <x v="0"/>
    <s v="Imported"/>
    <x v="23"/>
    <n v="46"/>
    <n v="1"/>
    <n v="45"/>
    <m/>
    <n v="21016.139240506327"/>
    <n v="21016.139240506327"/>
    <n v="0"/>
    <x v="2048"/>
    <n v="0"/>
    <n v="21016.139240506327"/>
    <n v="21016.139240506327"/>
    <n v="0"/>
    <n v="13282.2"/>
    <n v="0"/>
    <n v="25"/>
    <n v="4"/>
    <n v="50"/>
    <n v="10"/>
    <n v="8.5"/>
    <n v="0"/>
    <n v="1"/>
    <n v="0.63200000000000012"/>
    <n v="0.97499999999999998"/>
    <m/>
    <m/>
    <m/>
    <m/>
    <m/>
    <m/>
    <m/>
    <m/>
    <m/>
  </r>
  <r>
    <x v="1537"/>
    <x v="1"/>
    <m/>
    <x v="33"/>
    <n v="33"/>
    <n v="32"/>
    <n v="1"/>
    <m/>
    <n v="1612"/>
    <n v="1612"/>
    <n v="0"/>
    <x v="2049"/>
    <n v="0"/>
    <n v="50.375"/>
    <n v="50.375"/>
    <n v="0"/>
    <n v="28.831250000000001"/>
    <n v="0"/>
    <n v="25"/>
    <n v="0"/>
    <n v="49.34375"/>
    <n v="10"/>
    <n v="8.5"/>
    <n v="0"/>
    <n v="0.99343749999999997"/>
    <n v="0.57233250620347398"/>
    <n v="0.92843750000000003"/>
    <s v="1 liver - 4 kidneys"/>
    <m/>
    <m/>
    <m/>
    <m/>
    <m/>
    <n v="0"/>
    <m/>
    <m/>
  </r>
  <r>
    <x v="1537"/>
    <x v="0"/>
    <s v="Native "/>
    <x v="9"/>
    <n v="40"/>
    <n v="39"/>
    <n v="1"/>
    <m/>
    <n v="20450"/>
    <n v="20450"/>
    <n v="0"/>
    <x v="2050"/>
    <n v="416"/>
    <n v="524.35897435897436"/>
    <n v="524.35897435897436"/>
    <n v="0"/>
    <n v="315.46153846153845"/>
    <n v="10.666666666666666"/>
    <n v="24.615384615384617"/>
    <n v="0"/>
    <n v="47.564102564102562"/>
    <n v="10"/>
    <n v="8.5"/>
    <n v="0"/>
    <n v="0.96794871794871795"/>
    <n v="0.60161369193154035"/>
    <n v="0.90679487179487184"/>
    <s v="1 heart - 1 liver - 1 kidney"/>
    <m/>
    <m/>
    <m/>
    <m/>
    <m/>
    <n v="20"/>
    <m/>
    <m/>
  </r>
  <r>
    <x v="1538"/>
    <x v="0"/>
    <s v="Native "/>
    <x v="0"/>
    <n v="25"/>
    <n v="25"/>
    <n v="0"/>
    <m/>
    <n v="12763"/>
    <n v="12763"/>
    <n v="0"/>
    <x v="2051"/>
    <n v="280"/>
    <n v="510.52"/>
    <n v="510.52"/>
    <n v="0"/>
    <n v="306.3"/>
    <n v="11.2"/>
    <n v="24"/>
    <n v="0"/>
    <n v="49.8"/>
    <n v="10"/>
    <n v="8.5"/>
    <n v="0"/>
    <n v="0.97799999999999998"/>
    <n v="0.5999764945545718"/>
    <n v="0.92299999999999993"/>
    <s v="1 liver"/>
    <m/>
    <m/>
    <m/>
    <m/>
    <m/>
    <n v="17"/>
    <m/>
    <m/>
  </r>
  <r>
    <x v="1539"/>
    <x v="1"/>
    <m/>
    <x v="38"/>
    <n v="40"/>
    <n v="40"/>
    <n v="0"/>
    <m/>
    <n v="2093"/>
    <n v="2035"/>
    <n v="58"/>
    <x v="2052"/>
    <n v="0"/>
    <n v="52.325000000000003"/>
    <n v="50.875"/>
    <n v="1.45"/>
    <n v="30.397500000000001"/>
    <n v="0"/>
    <n v="25"/>
    <n v="0"/>
    <n v="46.975000000000001"/>
    <n v="10"/>
    <n v="8.5"/>
    <n v="2.771141901576684E-2"/>
    <n v="0.96975"/>
    <n v="0.58093645484949841"/>
    <n v="0.90474999999999994"/>
    <s v="3 livers - 3 hearts - 10 kidneys"/>
    <m/>
    <m/>
    <m/>
    <m/>
    <m/>
    <n v="0"/>
    <m/>
    <m/>
  </r>
  <r>
    <x v="1539"/>
    <x v="0"/>
    <s v="Native "/>
    <x v="31"/>
    <n v="43"/>
    <n v="43"/>
    <n v="0"/>
    <m/>
    <n v="22411.5"/>
    <n v="21830"/>
    <n v="581.5"/>
    <x v="2053"/>
    <n v="416"/>
    <n v="521.19767441860461"/>
    <n v="507.67441860465118"/>
    <n v="13.523255813953488"/>
    <n v="330.81860465116279"/>
    <n v="9.6744186046511622"/>
    <n v="25"/>
    <n v="0"/>
    <n v="48.046511627906973"/>
    <n v="10"/>
    <n v="8.5"/>
    <n v="2.5946500680454232E-2"/>
    <n v="0.98046511627906974"/>
    <n v="0.63472770675769141"/>
    <n v="0.91546511627906968"/>
    <s v="2 kidneys- 3 livers "/>
    <m/>
    <m/>
    <m/>
    <m/>
    <m/>
    <n v="1"/>
    <m/>
    <m/>
  </r>
  <r>
    <x v="1540"/>
    <x v="0"/>
    <s v="Native "/>
    <x v="9"/>
    <n v="21"/>
    <n v="21"/>
    <n v="0"/>
    <m/>
    <n v="10460"/>
    <n v="10460"/>
    <n v="0"/>
    <x v="2054"/>
    <n v="216"/>
    <n v="498.09523809523807"/>
    <n v="498.09523809523807"/>
    <n v="0"/>
    <n v="298.84761904761905"/>
    <n v="10.285714285714286"/>
    <n v="24.047619047619047"/>
    <n v="0"/>
    <n v="49.047619047619051"/>
    <n v="9.7619047619047628"/>
    <n v="8.5"/>
    <n v="0"/>
    <n v="0.97142857142857153"/>
    <n v="0.59998087954110901"/>
    <n v="0.91357142857142859"/>
    <s v="-"/>
    <m/>
    <m/>
    <m/>
    <m/>
    <m/>
    <n v="10"/>
    <m/>
    <m/>
  </r>
  <r>
    <x v="1540"/>
    <x v="0"/>
    <s v="Native "/>
    <x v="0"/>
    <n v="23"/>
    <n v="22"/>
    <n v="1"/>
    <m/>
    <n v="10727"/>
    <n v="10727"/>
    <n v="0"/>
    <x v="2055"/>
    <n v="142"/>
    <n v="487.59090909090907"/>
    <n v="487.59090909090907"/>
    <n v="0"/>
    <n v="292.55"/>
    <n v="6.4545454545454541"/>
    <n v="24.772727272727273"/>
    <n v="0"/>
    <n v="49.31818181818182"/>
    <n v="10"/>
    <n v="8.5"/>
    <n v="0"/>
    <n v="0.98863636363636376"/>
    <n v="0.59999067772909487"/>
    <n v="0.9259090909090909"/>
    <s v="2 hearts - 1 liver"/>
    <m/>
    <m/>
    <m/>
    <m/>
    <m/>
    <n v="6"/>
    <m/>
    <m/>
  </r>
  <r>
    <x v="1541"/>
    <x v="1"/>
    <m/>
    <x v="14"/>
    <n v="43"/>
    <n v="43"/>
    <n v="0"/>
    <m/>
    <n v="2260"/>
    <n v="2260"/>
    <n v="0"/>
    <x v="2056"/>
    <n v="0"/>
    <n v="52.558139534883722"/>
    <n v="52.558139534883722"/>
    <n v="0"/>
    <n v="29.944186046511625"/>
    <n v="0"/>
    <n v="25"/>
    <n v="0"/>
    <n v="48.627906976744185"/>
    <n v="10"/>
    <n v="8.5"/>
    <n v="0"/>
    <n v="0.98627906976744184"/>
    <n v="0.56973451327433622"/>
    <n v="0.92127906976744189"/>
    <s v="6 livers"/>
    <m/>
    <m/>
    <m/>
    <m/>
    <m/>
    <n v="0"/>
    <m/>
    <m/>
  </r>
  <r>
    <x v="1541"/>
    <x v="0"/>
    <s v="Native "/>
    <x v="14"/>
    <n v="38"/>
    <n v="37"/>
    <n v="1"/>
    <m/>
    <n v="17700"/>
    <n v="17700"/>
    <n v="0"/>
    <x v="2057"/>
    <n v="335"/>
    <n v="478.37837837837839"/>
    <n v="478.37837837837839"/>
    <n v="0"/>
    <n v="287.65945945945947"/>
    <n v="9.0540540540540544"/>
    <n v="25"/>
    <n v="0"/>
    <n v="48.432432432432435"/>
    <n v="10"/>
    <n v="8.5"/>
    <n v="0"/>
    <n v="0.98432432432432437"/>
    <n v="0.60132203389830508"/>
    <n v="0.91932432432432432"/>
    <s v="1 liver"/>
    <m/>
    <m/>
    <m/>
    <m/>
    <m/>
    <n v="0"/>
    <m/>
    <m/>
  </r>
  <r>
    <x v="1542"/>
    <x v="1"/>
    <m/>
    <x v="33"/>
    <n v="22"/>
    <n v="22"/>
    <n v="0"/>
    <m/>
    <n v="1165"/>
    <n v="1125"/>
    <n v="40"/>
    <x v="2058"/>
    <n v="0"/>
    <n v="52.954545454545453"/>
    <n v="51.136363636363633"/>
    <n v="1.8181818181818181"/>
    <n v="30.027272727272727"/>
    <n v="0"/>
    <n v="25"/>
    <n v="0"/>
    <n v="47.636363636363633"/>
    <n v="10"/>
    <n v="8.5"/>
    <n v="3.4334763948497854E-2"/>
    <n v="0.97636363636363632"/>
    <n v="0.56703862660944204"/>
    <n v="0.91136363636363626"/>
    <s v="-"/>
    <m/>
    <m/>
    <m/>
    <m/>
    <m/>
    <n v="0"/>
    <m/>
    <m/>
  </r>
  <r>
    <x v="1542"/>
    <x v="0"/>
    <s v="Native "/>
    <x v="32"/>
    <n v="78"/>
    <n v="73"/>
    <n v="5"/>
    <m/>
    <n v="35365"/>
    <n v="33806"/>
    <n v="1559"/>
    <x v="2059"/>
    <n v="811"/>
    <n v="484.45205479452056"/>
    <n v="463.09589041095893"/>
    <n v="21.356164383561644"/>
    <n v="296.91095890410958"/>
    <n v="11.109589041095891"/>
    <n v="25"/>
    <n v="0"/>
    <n v="48.726027397260275"/>
    <n v="10"/>
    <n v="8.5"/>
    <n v="4.4083133041142371E-2"/>
    <n v="0.98726027397260274"/>
    <n v="0.61287996606814643"/>
    <n v="0.9222602739726028"/>
    <s v="4 livers "/>
    <m/>
    <m/>
    <m/>
    <m/>
    <m/>
    <n v="0"/>
    <m/>
    <m/>
  </r>
  <r>
    <x v="1543"/>
    <x v="1"/>
    <m/>
    <x v="38"/>
    <n v="32"/>
    <n v="32"/>
    <n v="0"/>
    <m/>
    <n v="1692"/>
    <n v="1635"/>
    <n v="57"/>
    <x v="2060"/>
    <n v="0"/>
    <n v="52.875"/>
    <n v="51.09375"/>
    <n v="1.78125"/>
    <n v="30.28125"/>
    <n v="0"/>
    <n v="25"/>
    <n v="0"/>
    <n v="47.28125"/>
    <n v="10"/>
    <n v="8.5"/>
    <n v="3.3687943262411348E-2"/>
    <n v="0.97281250000000008"/>
    <n v="0.57269503546099287"/>
    <n v="0.90781250000000002"/>
    <s v="1 liver - 2 kidney"/>
    <m/>
    <m/>
    <m/>
    <m/>
    <m/>
    <n v="0"/>
    <m/>
    <m/>
  </r>
  <r>
    <x v="1543"/>
    <x v="0"/>
    <s v="Native "/>
    <x v="9"/>
    <n v="42"/>
    <n v="39"/>
    <n v="3"/>
    <m/>
    <n v="19498"/>
    <n v="18728"/>
    <n v="770"/>
    <x v="2061"/>
    <n v="456"/>
    <n v="499.94871794871796"/>
    <n v="480.20512820512823"/>
    <n v="19.743589743589745"/>
    <n v="299.97435897435895"/>
    <n v="11.692307692307692"/>
    <n v="24.743589743589745"/>
    <n v="0"/>
    <n v="44.282051282051285"/>
    <n v="10"/>
    <n v="8.5"/>
    <n v="3.9491229869730228E-2"/>
    <n v="0.93769230769230771"/>
    <n v="0.60001025746230385"/>
    <n v="0.87525641025641021"/>
    <s v="2 livers - 4 kidneys "/>
    <m/>
    <m/>
    <m/>
    <m/>
    <m/>
    <n v="14"/>
    <m/>
    <m/>
  </r>
  <r>
    <x v="1544"/>
    <x v="0"/>
    <s v="Native "/>
    <x v="0"/>
    <n v="29"/>
    <n v="22"/>
    <n v="7"/>
    <m/>
    <n v="12176"/>
    <n v="14590"/>
    <n v="-2414"/>
    <x v="2062"/>
    <n v="262"/>
    <n v="553.4545454545455"/>
    <n v="663.18181818181813"/>
    <n v="-109.72727272727273"/>
    <n v="332.07727272727271"/>
    <n v="11.909090909090908"/>
    <n v="25"/>
    <n v="0"/>
    <n v="42.499999999999993"/>
    <n v="10"/>
    <n v="8.5"/>
    <n v="-0.19825886990801578"/>
    <n v="0.92499999999999993"/>
    <n v="0.60000821287779238"/>
    <n v="0.86"/>
    <s v="2 livers - 1 head - 10 kidneys"/>
    <m/>
    <m/>
    <m/>
    <m/>
    <m/>
    <n v="7"/>
    <m/>
    <m/>
  </r>
  <r>
    <x v="1545"/>
    <x v="0"/>
    <s v="Native "/>
    <x v="14"/>
    <n v="50"/>
    <n v="50"/>
    <n v="0"/>
    <m/>
    <n v="26700"/>
    <n v="25800"/>
    <n v="900"/>
    <x v="2063"/>
    <n v="582"/>
    <n v="534"/>
    <n v="516"/>
    <n v="18"/>
    <n v="322.25200000000001"/>
    <n v="11.64"/>
    <n v="24.6"/>
    <n v="0"/>
    <n v="48.06"/>
    <n v="10"/>
    <n v="8.5"/>
    <n v="3.3707865168539325E-2"/>
    <n v="0.97260000000000013"/>
    <n v="0.60346816479400756"/>
    <n v="0.91159999999999997"/>
    <s v="2 livers - 8 kidneys - 1 head"/>
    <m/>
    <m/>
    <m/>
    <m/>
    <m/>
    <n v="20"/>
    <m/>
    <m/>
  </r>
  <r>
    <x v="1545"/>
    <x v="1"/>
    <m/>
    <x v="14"/>
    <n v="36"/>
    <n v="36"/>
    <n v="0"/>
    <m/>
    <n v="1965"/>
    <n v="1965"/>
    <n v="0"/>
    <x v="2064"/>
    <n v="0"/>
    <n v="54.583333333333336"/>
    <n v="54.583333333333336"/>
    <n v="0"/>
    <n v="33.038888888888891"/>
    <n v="0"/>
    <n v="25"/>
    <n v="0"/>
    <n v="49.138888888888886"/>
    <n v="10"/>
    <n v="8.5"/>
    <n v="0"/>
    <n v="0.99138888888888888"/>
    <n v="0.60529262086514002"/>
    <n v="0.92638888888888882"/>
    <s v="2 livers - 1 testicle - 1 omentum "/>
    <m/>
    <m/>
    <m/>
    <m/>
    <m/>
    <n v="0"/>
    <m/>
    <m/>
  </r>
  <r>
    <x v="1545"/>
    <x v="0"/>
    <s v="Imported"/>
    <x v="23"/>
    <n v="47"/>
    <n v="45"/>
    <n v="2"/>
    <m/>
    <n v="22172.468354430377"/>
    <n v="22172.468354430377"/>
    <n v="0"/>
    <x v="2065"/>
    <n v="0"/>
    <n v="492.72151898734171"/>
    <n v="492.72151898734171"/>
    <n v="0"/>
    <n v="311.39999999999998"/>
    <n v="0"/>
    <n v="25"/>
    <n v="4"/>
    <n v="45"/>
    <n v="10"/>
    <n v="8.5"/>
    <n v="0"/>
    <n v="0.95"/>
    <n v="0.63200000000000012"/>
    <n v="0.92500000000000004"/>
    <m/>
    <m/>
    <m/>
    <m/>
    <m/>
    <m/>
    <n v="0"/>
    <m/>
    <m/>
  </r>
  <r>
    <x v="1546"/>
    <x v="1"/>
    <m/>
    <x v="21"/>
    <n v="40"/>
    <n v="32"/>
    <n v="8"/>
    <m/>
    <n v="1465"/>
    <n v="1465"/>
    <n v="0"/>
    <x v="2066"/>
    <n v="0"/>
    <n v="45.78125"/>
    <n v="45.78125"/>
    <n v="0"/>
    <n v="23.443750000000001"/>
    <n v="0"/>
    <n v="25"/>
    <n v="2"/>
    <n v="50"/>
    <n v="10"/>
    <n v="8.5"/>
    <n v="0"/>
    <n v="1"/>
    <n v="0.51208191126279867"/>
    <n v="0.95499999999999996"/>
    <s v="-"/>
    <m/>
    <m/>
    <m/>
    <m/>
    <m/>
    <n v="0"/>
    <m/>
    <m/>
  </r>
  <r>
    <x v="1546"/>
    <x v="0"/>
    <s v="Imported"/>
    <x v="23"/>
    <n v="65"/>
    <n v="63"/>
    <n v="2"/>
    <m/>
    <n v="31533.544303797466"/>
    <n v="31533.544303797466"/>
    <n v="0"/>
    <x v="2067"/>
    <n v="0"/>
    <n v="500.53244926662643"/>
    <n v="500.53244926662643"/>
    <n v="0"/>
    <n v="316.33650793650793"/>
    <n v="0"/>
    <n v="25"/>
    <n v="4"/>
    <n v="47.61904761904762"/>
    <n v="10"/>
    <n v="8.5"/>
    <n v="0"/>
    <n v="0.97619047619047628"/>
    <n v="0.63200000000000012"/>
    <n v="0.95119047619047625"/>
    <s v="-"/>
    <m/>
    <m/>
    <m/>
    <m/>
    <m/>
    <n v="0"/>
    <m/>
    <m/>
  </r>
  <r>
    <x v="1547"/>
    <x v="1"/>
    <m/>
    <x v="33"/>
    <n v="43"/>
    <n v="42"/>
    <n v="1"/>
    <m/>
    <n v="2125"/>
    <n v="2110"/>
    <n v="15"/>
    <x v="2068"/>
    <n v="0"/>
    <n v="50.595238095238095"/>
    <n v="50.238095238095241"/>
    <n v="0.35714285714285715"/>
    <n v="29.492857142857144"/>
    <n v="0"/>
    <n v="25"/>
    <n v="0"/>
    <n v="49.285714285714285"/>
    <n v="10"/>
    <n v="8.5"/>
    <n v="7.058823529411765E-3"/>
    <n v="0.99285714285714288"/>
    <n v="0.58291764705882354"/>
    <n v="0.92785714285714282"/>
    <s v="4 kidneys"/>
    <m/>
    <m/>
    <m/>
    <m/>
    <m/>
    <n v="0"/>
    <m/>
    <m/>
  </r>
  <r>
    <x v="1547"/>
    <x v="0"/>
    <s v="Native "/>
    <x v="32"/>
    <n v="56"/>
    <n v="56"/>
    <n v="0"/>
    <m/>
    <n v="25452"/>
    <n v="24485"/>
    <n v="967"/>
    <x v="2069"/>
    <n v="513"/>
    <n v="454.5"/>
    <n v="437.23214285714283"/>
    <n v="17.267857142857142"/>
    <n v="278.9589285714286"/>
    <n v="9.1607142857142865"/>
    <n v="25"/>
    <n v="0"/>
    <n v="49.821428571428569"/>
    <n v="10"/>
    <n v="8.5"/>
    <n v="3.799308502278799E-2"/>
    <n v="0.99821428571428572"/>
    <n v="0.61377101995913885"/>
    <n v="0.93321428571428566"/>
    <s v="1 single testicle "/>
    <m/>
    <m/>
    <m/>
    <m/>
    <m/>
    <n v="0"/>
    <m/>
    <m/>
  </r>
  <r>
    <x v="1548"/>
    <x v="1"/>
    <m/>
    <x v="14"/>
    <n v="35"/>
    <n v="34"/>
    <n v="1"/>
    <m/>
    <n v="1904"/>
    <n v="1873"/>
    <n v="31"/>
    <x v="2070"/>
    <n v="0"/>
    <n v="56"/>
    <n v="55.088235294117645"/>
    <n v="0.91176470588235292"/>
    <n v="32.088235294117645"/>
    <n v="0"/>
    <n v="25"/>
    <n v="0"/>
    <n v="49.882352941176471"/>
    <n v="10"/>
    <n v="8.5"/>
    <n v="1.6281512605042018E-2"/>
    <n v="0.99882352941176467"/>
    <n v="0.57300420168067223"/>
    <n v="0.93382352941176461"/>
    <s v="-"/>
    <m/>
    <m/>
    <m/>
    <m/>
    <m/>
    <n v="0"/>
    <m/>
    <m/>
  </r>
  <r>
    <x v="1548"/>
    <x v="0"/>
    <s v="Native "/>
    <x v="9"/>
    <n v="29"/>
    <n v="29"/>
    <n v="0"/>
    <m/>
    <n v="15030"/>
    <n v="14270"/>
    <n v="760"/>
    <x v="2071"/>
    <n v="307"/>
    <n v="518.27586206896547"/>
    <n v="492.06896551724139"/>
    <n v="26.206896551724139"/>
    <n v="311.05172413793105"/>
    <n v="10.586206896551724"/>
    <n v="25"/>
    <n v="0"/>
    <n v="49"/>
    <n v="10"/>
    <n v="8.5"/>
    <n v="5.0565535595475719E-2"/>
    <n v="0.99"/>
    <n v="0.60016633399866937"/>
    <n v="0.92500000000000004"/>
    <s v="2 kidneys"/>
    <m/>
    <m/>
    <m/>
    <m/>
    <m/>
    <n v="0"/>
    <m/>
    <m/>
  </r>
  <r>
    <x v="1549"/>
    <x v="0"/>
    <s v="Native "/>
    <x v="27"/>
    <n v="47"/>
    <n v="47"/>
    <n v="0"/>
    <m/>
    <n v="23500"/>
    <n v="23110"/>
    <n v="390"/>
    <x v="2072"/>
    <n v="406"/>
    <n v="500"/>
    <n v="491.70212765957444"/>
    <n v="8.2978723404255312"/>
    <n v="311.3"/>
    <n v="8.6382978723404253"/>
    <n v="24.787234042553191"/>
    <n v="0"/>
    <n v="48.659574468085111"/>
    <n v="10"/>
    <n v="8.5"/>
    <n v="1.6595744680851062E-2"/>
    <n v="0.98234042553191492"/>
    <n v="0.62260000000000004"/>
    <n v="0.919468085106383"/>
    <s v="1 liver"/>
    <m/>
    <m/>
    <m/>
    <m/>
    <m/>
    <n v="14"/>
    <m/>
    <m/>
  </r>
  <r>
    <x v="1550"/>
    <x v="1"/>
    <m/>
    <x v="38"/>
    <n v="30"/>
    <n v="30"/>
    <n v="0"/>
    <m/>
    <n v="1527"/>
    <n v="1500"/>
    <n v="27"/>
    <x v="2073"/>
    <n v="0"/>
    <n v="50.9"/>
    <n v="50"/>
    <n v="0.9"/>
    <n v="29.503333333333334"/>
    <n v="0"/>
    <n v="25"/>
    <n v="0"/>
    <n v="46.499999999999993"/>
    <n v="10"/>
    <n v="8.5"/>
    <n v="1.7681728880157174E-2"/>
    <n v="0.96499999999999986"/>
    <n v="0.57963326784544855"/>
    <n v="0.9"/>
    <s v="3 livers - 4 kidneys"/>
    <m/>
    <m/>
    <m/>
    <m/>
    <m/>
    <n v="0"/>
    <m/>
    <m/>
  </r>
  <r>
    <x v="1550"/>
    <x v="0"/>
    <s v="Native "/>
    <x v="31"/>
    <n v="37"/>
    <n v="37"/>
    <n v="0"/>
    <m/>
    <n v="19106"/>
    <n v="18595"/>
    <n v="511"/>
    <x v="2074"/>
    <n v="355"/>
    <n v="516.37837837837833"/>
    <n v="502.56756756756755"/>
    <n v="13.810810810810811"/>
    <n v="333.54594594594596"/>
    <n v="9.5945945945945947"/>
    <n v="25"/>
    <n v="0"/>
    <n v="48.324324324324323"/>
    <n v="10"/>
    <n v="8.5"/>
    <n v="2.6745524965979275E-2"/>
    <n v="0.98324324324324319"/>
    <n v="0.64593321469695386"/>
    <n v="0.91824324324324325"/>
    <s v="6 kidneys - 1 head - 2 livers"/>
    <m/>
    <m/>
    <m/>
    <m/>
    <m/>
    <n v="0"/>
    <m/>
    <m/>
  </r>
  <r>
    <x v="1551"/>
    <x v="0"/>
    <s v="Native "/>
    <x v="0"/>
    <n v="25"/>
    <n v="24"/>
    <n v="1"/>
    <m/>
    <n v="12816"/>
    <n v="12816"/>
    <n v="0"/>
    <x v="2075"/>
    <n v="271"/>
    <n v="534"/>
    <n v="534"/>
    <n v="0"/>
    <n v="320.40833333333336"/>
    <n v="11.291666666666666"/>
    <n v="24.583333333333332"/>
    <n v="0"/>
    <n v="46.208333333333336"/>
    <n v="9.7916666666666679"/>
    <n v="8.5"/>
    <n v="0"/>
    <n v="0.95374999999999999"/>
    <n v="0.6000156054931336"/>
    <n v="0.89083333333333348"/>
    <s v="2 kidneys - 1 liver "/>
    <m/>
    <m/>
    <m/>
    <m/>
    <m/>
    <n v="13"/>
    <m/>
    <m/>
  </r>
  <r>
    <x v="1552"/>
    <x v="1"/>
    <m/>
    <x v="14"/>
    <n v="35"/>
    <n v="35"/>
    <n v="0"/>
    <m/>
    <n v="1845"/>
    <n v="1810"/>
    <n v="35"/>
    <x v="2076"/>
    <n v="0"/>
    <n v="52.714285714285715"/>
    <n v="51.714285714285715"/>
    <n v="1"/>
    <n v="31.151428571428571"/>
    <n v="0"/>
    <n v="25"/>
    <n v="0"/>
    <n v="46.857142857142861"/>
    <n v="10"/>
    <n v="8.5"/>
    <n v="1.8970189701897018E-2"/>
    <n v="0.96857142857142864"/>
    <n v="0.59094850948509481"/>
    <n v="0.90357142857142858"/>
    <s v="2 livers - 4 kidneys"/>
    <m/>
    <m/>
    <m/>
    <m/>
    <m/>
    <n v="0"/>
    <m/>
    <m/>
  </r>
  <r>
    <x v="1552"/>
    <x v="0"/>
    <s v="Native "/>
    <x v="14"/>
    <n v="41"/>
    <n v="40"/>
    <n v="1"/>
    <m/>
    <n v="21250"/>
    <n v="20460"/>
    <n v="790"/>
    <x v="2077"/>
    <n v="523"/>
    <n v="531.25"/>
    <n v="511.5"/>
    <n v="19.75"/>
    <n v="320.47750000000002"/>
    <n v="13.074999999999999"/>
    <n v="24.5"/>
    <n v="0"/>
    <n v="43.7"/>
    <n v="10"/>
    <n v="8.5"/>
    <n v="3.7176470588235297E-2"/>
    <n v="0.92700000000000005"/>
    <n v="0.60325176470588238"/>
    <n v="0.86699999999999999"/>
    <s v="4 livers - 4 kidneys "/>
    <m/>
    <m/>
    <m/>
    <m/>
    <m/>
    <n v="31"/>
    <m/>
    <m/>
  </r>
  <r>
    <x v="1553"/>
    <x v="1"/>
    <m/>
    <x v="26"/>
    <n v="30"/>
    <n v="30"/>
    <n v="0"/>
    <m/>
    <n v="1585"/>
    <n v="1575"/>
    <n v="10"/>
    <x v="2078"/>
    <n v="0"/>
    <n v="52.833333333333336"/>
    <n v="52.5"/>
    <n v="0.33333333333333331"/>
    <n v="31.34"/>
    <n v="0"/>
    <n v="25"/>
    <n v="0"/>
    <n v="45.966666666666669"/>
    <n v="10"/>
    <n v="8.5"/>
    <n v="6.3091482649842261E-3"/>
    <n v="0.95966666666666667"/>
    <n v="0.59318611987381709"/>
    <n v="0.89466666666666672"/>
    <s v="1 liver - 6 kidneys"/>
    <m/>
    <m/>
    <m/>
    <m/>
    <m/>
    <n v="0"/>
    <m/>
    <m/>
  </r>
  <r>
    <x v="1553"/>
    <x v="0"/>
    <s v="Native "/>
    <x v="9"/>
    <n v="80"/>
    <n v="80"/>
    <n v="0"/>
    <m/>
    <n v="38600"/>
    <n v="36875"/>
    <n v="1725"/>
    <x v="2079"/>
    <n v="596"/>
    <n v="482.5"/>
    <n v="460.9375"/>
    <n v="21.5625"/>
    <n v="289.86500000000001"/>
    <n v="7.45"/>
    <n v="24.625"/>
    <n v="0"/>
    <n v="48.35"/>
    <n v="10"/>
    <n v="8.5"/>
    <n v="4.4689119170984455E-2"/>
    <n v="0.97599999999999998"/>
    <n v="0.60075647668393783"/>
    <n v="0.91474999999999995"/>
    <s v="1 heart - 4 livers - 6 kidneys - 1 lung "/>
    <m/>
    <m/>
    <m/>
    <m/>
    <m/>
    <n v="19"/>
    <m/>
    <m/>
  </r>
  <r>
    <x v="1554"/>
    <x v="1"/>
    <m/>
    <x v="38"/>
    <n v="30"/>
    <n v="30"/>
    <n v="0"/>
    <m/>
    <n v="1547"/>
    <n v="1547"/>
    <n v="0"/>
    <x v="2080"/>
    <n v="0"/>
    <n v="51.56666666666667"/>
    <n v="51.56666666666667"/>
    <n v="0"/>
    <n v="29.35"/>
    <n v="0"/>
    <n v="25"/>
    <n v="0"/>
    <n v="47.633333333333333"/>
    <n v="10"/>
    <n v="8.5"/>
    <n v="0"/>
    <n v="0.97633333333333328"/>
    <n v="0.56916612798965738"/>
    <n v="0.91133333333333322"/>
    <s v="2 livers - 6 kidneys - 2 hearts "/>
    <m/>
    <m/>
    <m/>
    <m/>
    <m/>
    <n v="0"/>
    <m/>
    <m/>
  </r>
  <r>
    <x v="1555"/>
    <x v="0"/>
    <s v="Native "/>
    <x v="32"/>
    <n v="49"/>
    <n v="48"/>
    <n v="1"/>
    <m/>
    <n v="22164"/>
    <n v="22164"/>
    <n v="0"/>
    <x v="2081"/>
    <n v="384"/>
    <n v="461.75"/>
    <n v="461.75"/>
    <n v="0"/>
    <n v="278.27708333333334"/>
    <n v="8"/>
    <n v="25"/>
    <n v="0"/>
    <n v="45.479166666666664"/>
    <n v="10"/>
    <n v="8.5"/>
    <n v="0"/>
    <n v="0.95479166666666671"/>
    <n v="0.6026574625518859"/>
    <n v="0.88979166666666654"/>
    <s v="1 head - 1 liver - 6 kidneys "/>
    <m/>
    <m/>
    <m/>
    <m/>
    <m/>
    <n v="0"/>
    <m/>
    <m/>
  </r>
  <r>
    <x v="1556"/>
    <x v="1"/>
    <m/>
    <x v="26"/>
    <n v="39"/>
    <n v="39"/>
    <n v="0"/>
    <m/>
    <n v="2090"/>
    <n v="2090"/>
    <n v="0"/>
    <x v="2082"/>
    <n v="0"/>
    <n v="53.589743589743591"/>
    <n v="53.589743589743591"/>
    <n v="0"/>
    <n v="29.223076923076924"/>
    <n v="0"/>
    <n v="25"/>
    <n v="0"/>
    <n v="45.333333333333336"/>
    <n v="10"/>
    <n v="8.5"/>
    <n v="0"/>
    <n v="0.95333333333333337"/>
    <n v="0.54531100478468897"/>
    <n v="0.88833333333333342"/>
    <s v="8 kidneys - 2 hearts "/>
    <m/>
    <m/>
    <m/>
    <m/>
    <m/>
    <n v="0"/>
    <m/>
    <m/>
  </r>
  <r>
    <x v="1556"/>
    <x v="0"/>
    <s v="Native "/>
    <x v="9"/>
    <n v="58"/>
    <n v="55"/>
    <n v="3"/>
    <m/>
    <n v="26875"/>
    <n v="26875"/>
    <n v="0"/>
    <x v="2083"/>
    <n v="536"/>
    <n v="488.63636363636363"/>
    <n v="488.63636363636363"/>
    <n v="0"/>
    <n v="293.16727272727275"/>
    <n v="9.745454545454546"/>
    <n v="24.18181818181818"/>
    <n v="0"/>
    <n v="43.963636363636361"/>
    <n v="10"/>
    <n v="8.5"/>
    <n v="0"/>
    <n v="0.92327272727272724"/>
    <n v="0.59997023255813953"/>
    <n v="0.86645454545454537"/>
    <s v="3 livers - 8 kidneys - 1 head"/>
    <m/>
    <m/>
    <m/>
    <m/>
    <m/>
    <n v="41"/>
    <m/>
    <m/>
  </r>
  <r>
    <x v="1557"/>
    <x v="0"/>
    <s v="Native "/>
    <x v="0"/>
    <n v="16"/>
    <n v="16"/>
    <n v="0"/>
    <m/>
    <n v="8497"/>
    <n v="8497"/>
    <n v="0"/>
    <x v="2084"/>
    <n v="203"/>
    <n v="531.0625"/>
    <n v="531.0625"/>
    <n v="0"/>
    <n v="318.625"/>
    <n v="12.6875"/>
    <n v="24.6875"/>
    <n v="0"/>
    <n v="46.28125"/>
    <n v="10"/>
    <n v="8.5"/>
    <n v="0"/>
    <n v="0.95656249999999998"/>
    <n v="0.59997646228080503"/>
    <n v="0.89468749999999997"/>
    <s v="2 livers - 1 kidney"/>
    <m/>
    <m/>
    <m/>
    <m/>
    <m/>
    <n v="7"/>
    <m/>
    <m/>
  </r>
  <r>
    <x v="1557"/>
    <x v="0"/>
    <s v="Native "/>
    <x v="32"/>
    <n v="45"/>
    <n v="44"/>
    <n v="1"/>
    <m/>
    <n v="19817"/>
    <n v="19817"/>
    <n v="0"/>
    <x v="2085"/>
    <n v="402"/>
    <n v="450.38636363636363"/>
    <n v="450.38636363636363"/>
    <n v="0"/>
    <n v="274.81818181818181"/>
    <n v="9.1363636363636367"/>
    <n v="25"/>
    <n v="0"/>
    <n v="46.5"/>
    <n v="10"/>
    <n v="8.5"/>
    <n v="0"/>
    <n v="0.96500000000000008"/>
    <n v="0.61018317606095773"/>
    <n v="0.9"/>
    <s v="1 lung - 4 livers - 1 testicle"/>
    <m/>
    <m/>
    <m/>
    <m/>
    <m/>
    <n v="0"/>
    <m/>
    <m/>
  </r>
  <r>
    <x v="1558"/>
    <x v="1"/>
    <m/>
    <x v="14"/>
    <n v="37"/>
    <n v="37"/>
    <n v="0"/>
    <m/>
    <n v="1835"/>
    <n v="1835"/>
    <n v="0"/>
    <x v="2086"/>
    <n v="0"/>
    <n v="49.594594594594597"/>
    <n v="49.594594594594597"/>
    <n v="0"/>
    <n v="28.578378378378382"/>
    <n v="0"/>
    <n v="25"/>
    <n v="0"/>
    <n v="48.189189189189193"/>
    <n v="10"/>
    <n v="8.5"/>
    <n v="0"/>
    <n v="0.98189189189189197"/>
    <n v="0.57623978201634884"/>
    <n v="0.91689189189189191"/>
    <s v="8 kidneys- 2 hearts - 1 liver"/>
    <m/>
    <m/>
    <m/>
    <m/>
    <m/>
    <n v="0"/>
    <m/>
    <m/>
  </r>
  <r>
    <x v="1558"/>
    <x v="0"/>
    <s v="Native "/>
    <x v="14"/>
    <n v="60"/>
    <n v="59"/>
    <n v="1"/>
    <m/>
    <n v="30983"/>
    <n v="30983"/>
    <n v="0"/>
    <x v="2087"/>
    <n v="650"/>
    <n v="525.13559322033893"/>
    <n v="525.13559322033893"/>
    <n v="0"/>
    <n v="315.08135593220339"/>
    <n v="11.016949152542374"/>
    <n v="24.491525423728813"/>
    <n v="0"/>
    <n v="46.203389830508478"/>
    <n v="9.8305084745762699"/>
    <n v="8.5"/>
    <n v="0"/>
    <n v="0.95186440677966111"/>
    <n v="0.6"/>
    <n v="0.89025423728813569"/>
    <s v="2 livers - 6 kidneys - 1 lung - 2 hearts - 2 spleen"/>
    <m/>
    <m/>
    <m/>
    <m/>
    <m/>
    <n v="52"/>
    <m/>
    <m/>
  </r>
  <r>
    <x v="1559"/>
    <x v="1"/>
    <m/>
    <x v="33"/>
    <n v="35"/>
    <n v="35"/>
    <n v="0"/>
    <m/>
    <n v="1776"/>
    <n v="1776"/>
    <n v="0"/>
    <x v="2088"/>
    <n v="0"/>
    <n v="50.74285714285714"/>
    <n v="50.74285714285714"/>
    <n v="0"/>
    <n v="28.734285714285715"/>
    <n v="0"/>
    <n v="25"/>
    <n v="0"/>
    <n v="46.342857142857142"/>
    <n v="10"/>
    <n v="8.5"/>
    <n v="0"/>
    <n v="0.96342857142857141"/>
    <n v="0.56627252252252258"/>
    <n v="0.89842857142857147"/>
    <s v="4 kidneys - 1 heart"/>
    <m/>
    <m/>
    <m/>
    <m/>
    <m/>
    <n v="0"/>
    <m/>
    <m/>
  </r>
  <r>
    <x v="1559"/>
    <x v="0"/>
    <s v="Native "/>
    <x v="32"/>
    <n v="102"/>
    <n v="98"/>
    <n v="4"/>
    <m/>
    <n v="44692"/>
    <n v="44692"/>
    <n v="0"/>
    <x v="2089"/>
    <n v="920"/>
    <n v="456.0408163265306"/>
    <n v="456.0408163265306"/>
    <n v="0"/>
    <n v="279.67857142857144"/>
    <n v="9.387755102040817"/>
    <n v="25"/>
    <n v="0"/>
    <n v="45.801020408163261"/>
    <n v="10"/>
    <n v="8.5"/>
    <n v="0"/>
    <n v="0.95801020408163262"/>
    <n v="0.61327530654255791"/>
    <n v="0.89301020408163256"/>
    <s v="5 livers- 11 kidneys - 2 hearts - 2 lungs "/>
    <m/>
    <m/>
    <m/>
    <m/>
    <m/>
    <n v="0"/>
    <m/>
    <m/>
  </r>
  <r>
    <x v="1560"/>
    <x v="0"/>
    <s v="Native "/>
    <x v="9"/>
    <n v="50"/>
    <n v="50"/>
    <n v="0"/>
    <m/>
    <n v="25940"/>
    <n v="25940"/>
    <n v="0"/>
    <x v="2090"/>
    <n v="578"/>
    <n v="518.79999999999995"/>
    <n v="518.79999999999995"/>
    <n v="0"/>
    <n v="311.25599999999997"/>
    <n v="11.56"/>
    <n v="24"/>
    <n v="0"/>
    <n v="46.48"/>
    <n v="10"/>
    <n v="8.5"/>
    <n v="0"/>
    <n v="0.94479999999999997"/>
    <n v="0.59995373939861218"/>
    <n v="0.88979999999999992"/>
    <s v="1 heart - 1 lung "/>
    <m/>
    <m/>
    <m/>
    <m/>
    <m/>
    <n v="50"/>
    <m/>
    <m/>
  </r>
  <r>
    <x v="1560"/>
    <x v="1"/>
    <m/>
    <x v="26"/>
    <n v="40"/>
    <n v="40"/>
    <n v="0"/>
    <m/>
    <n v="2125"/>
    <n v="2125"/>
    <n v="0"/>
    <x v="2091"/>
    <n v="0"/>
    <n v="53.125"/>
    <n v="53.125"/>
    <n v="0"/>
    <n v="32.217500000000001"/>
    <n v="0"/>
    <n v="25"/>
    <n v="0"/>
    <n v="46.625"/>
    <n v="10"/>
    <n v="8.5"/>
    <n v="0"/>
    <n v="0.96625000000000005"/>
    <n v="0.60644705882352945"/>
    <n v="0.90125"/>
    <s v="1 liver - 2 kidneys - 1 heart "/>
    <m/>
    <m/>
    <m/>
    <m/>
    <m/>
    <n v="0"/>
    <m/>
    <m/>
  </r>
  <r>
    <x v="1561"/>
    <x v="0"/>
    <s v="Native "/>
    <x v="0"/>
    <n v="20"/>
    <n v="15"/>
    <n v="5"/>
    <m/>
    <n v="8421"/>
    <n v="8421"/>
    <n v="0"/>
    <x v="2092"/>
    <n v="179"/>
    <n v="561.4"/>
    <n v="561.4"/>
    <n v="0"/>
    <n v="336.85333333333335"/>
    <n v="11.933333333333334"/>
    <n v="25"/>
    <n v="0"/>
    <n v="47.06666666666667"/>
    <n v="10"/>
    <n v="8.5"/>
    <n v="0"/>
    <n v="0.97066666666666668"/>
    <n v="0.60002375014843845"/>
    <n v="0.90566666666666662"/>
    <s v="4 kidneys"/>
    <m/>
    <m/>
    <m/>
    <m/>
    <m/>
    <n v="15"/>
    <m/>
    <m/>
  </r>
  <r>
    <x v="1561"/>
    <x v="0"/>
    <s v="Native "/>
    <x v="9"/>
    <n v="40"/>
    <n v="38"/>
    <n v="2"/>
    <m/>
    <n v="20414"/>
    <n v="20414"/>
    <n v="0"/>
    <x v="2093"/>
    <n v="402"/>
    <n v="537.21052631578948"/>
    <n v="537.21052631578948"/>
    <n v="0"/>
    <n v="322.35263157894735"/>
    <n v="10.578947368421053"/>
    <n v="24.868421052631579"/>
    <n v="0"/>
    <n v="45.868421052631582"/>
    <n v="10"/>
    <n v="8.5"/>
    <n v="0"/>
    <n v="0.95605263157894738"/>
    <n v="0.60004898599000689"/>
    <n v="0.8923684210526317"/>
    <s v="1 heart - 1 liver - 8 kidney - 1 lung"/>
    <m/>
    <m/>
    <m/>
    <m/>
    <m/>
    <n v="38"/>
    <m/>
    <m/>
  </r>
  <r>
    <x v="1562"/>
    <x v="1"/>
    <m/>
    <x v="26"/>
    <n v="26"/>
    <n v="26"/>
    <n v="0"/>
    <m/>
    <n v="1510"/>
    <n v="1510"/>
    <n v="0"/>
    <x v="2094"/>
    <n v="0"/>
    <n v="58.07692307692308"/>
    <n v="58.07692307692308"/>
    <n v="0"/>
    <n v="34.67307692307692"/>
    <n v="0"/>
    <n v="25"/>
    <n v="0"/>
    <n v="46.692307692307686"/>
    <n v="10"/>
    <n v="8.5"/>
    <n v="0"/>
    <n v="0.96692307692307689"/>
    <n v="0.59701986754966885"/>
    <n v="0.90192307692307683"/>
    <s v="2 kidneys - 1 heart "/>
    <m/>
    <m/>
    <m/>
    <m/>
    <m/>
    <n v="0"/>
    <m/>
    <m/>
  </r>
  <r>
    <x v="1562"/>
    <x v="0"/>
    <s v="Native "/>
    <x v="31"/>
    <n v="52"/>
    <n v="52"/>
    <n v="0"/>
    <m/>
    <n v="26458"/>
    <n v="26458"/>
    <n v="0"/>
    <x v="2095"/>
    <n v="566"/>
    <n v="508.80769230769232"/>
    <n v="508.80769230769232"/>
    <n v="0"/>
    <n v="327.23076923076923"/>
    <n v="10.884615384615385"/>
    <n v="25"/>
    <n v="0"/>
    <n v="47.615384615384613"/>
    <n v="10"/>
    <n v="8.5"/>
    <n v="0"/>
    <n v="0.97615384615384615"/>
    <n v="0.64313251190566179"/>
    <n v="0.91115384615384609"/>
    <s v="1 heart - 2 lung - 12 kidneys - 1 liver "/>
    <m/>
    <m/>
    <m/>
    <m/>
    <m/>
    <n v="1"/>
    <m/>
    <m/>
  </r>
  <r>
    <x v="1563"/>
    <x v="0"/>
    <s v="Native "/>
    <x v="14"/>
    <n v="27"/>
    <n v="26"/>
    <n v="1"/>
    <m/>
    <n v="11872"/>
    <n v="11872"/>
    <n v="0"/>
    <x v="2096"/>
    <n v="263"/>
    <n v="456.61538461538464"/>
    <n v="456.61538461538464"/>
    <n v="0"/>
    <n v="273.97692307692307"/>
    <n v="10.115384615384615"/>
    <n v="25"/>
    <n v="0"/>
    <n v="46.34615384615384"/>
    <n v="10"/>
    <n v="8.5"/>
    <n v="0"/>
    <n v="0.96346153846153837"/>
    <n v="0.60001684636118591"/>
    <n v="0.89846153846153842"/>
    <s v="2 hearts "/>
    <m/>
    <m/>
    <m/>
    <m/>
    <m/>
    <n v="8"/>
    <m/>
    <m/>
  </r>
  <r>
    <x v="1563"/>
    <x v="0"/>
    <s v="Imported"/>
    <x v="23"/>
    <n v="20"/>
    <n v="20"/>
    <n v="0"/>
    <m/>
    <n v="10355.379746835442"/>
    <n v="10355.379746835442"/>
    <n v="0"/>
    <x v="2097"/>
    <n v="0"/>
    <n v="517.76898734177212"/>
    <n v="517.76898734177212"/>
    <n v="0"/>
    <n v="327.23"/>
    <n v="0"/>
    <n v="25"/>
    <n v="4"/>
    <n v="45.5"/>
    <n v="10"/>
    <n v="8.5"/>
    <n v="0"/>
    <n v="0.95500000000000007"/>
    <n v="0.63200000000000012"/>
    <n v="0.93"/>
    <s v="6 kidneys"/>
    <m/>
    <m/>
    <m/>
    <m/>
    <m/>
    <n v="4"/>
    <m/>
    <m/>
  </r>
  <r>
    <x v="1564"/>
    <x v="1"/>
    <m/>
    <x v="14"/>
    <n v="35"/>
    <n v="35"/>
    <n v="0"/>
    <m/>
    <n v="1711"/>
    <n v="1711"/>
    <n v="0"/>
    <x v="2098"/>
    <n v="0"/>
    <n v="48.885714285714286"/>
    <n v="48.885714285714286"/>
    <n v="0"/>
    <n v="28.471428571428572"/>
    <n v="0"/>
    <n v="25"/>
    <n v="0"/>
    <n v="47.871428571428574"/>
    <n v="10"/>
    <n v="8.5"/>
    <n v="0"/>
    <n v="0.97871428571428576"/>
    <n v="0.58240794856808886"/>
    <n v="0.9137142857142857"/>
    <s v="3 kidneys - 1 omentum"/>
    <m/>
    <m/>
    <m/>
    <m/>
    <m/>
    <n v="0"/>
    <m/>
    <m/>
  </r>
  <r>
    <x v="1564"/>
    <x v="0"/>
    <s v="Native "/>
    <x v="14"/>
    <n v="24"/>
    <n v="24"/>
    <n v="0"/>
    <m/>
    <n v="12926"/>
    <n v="12926"/>
    <n v="0"/>
    <x v="2099"/>
    <n v="269"/>
    <n v="538.58333333333337"/>
    <n v="538.58333333333337"/>
    <n v="0"/>
    <n v="323.15416666666664"/>
    <n v="11.208333333333334"/>
    <n v="24.166666666666668"/>
    <n v="0"/>
    <n v="47.083333333333336"/>
    <n v="10"/>
    <n v="8.5"/>
    <n v="0"/>
    <n v="0.95416666666666672"/>
    <n v="0.60000773634535043"/>
    <n v="0.89749999999999996"/>
    <s v="2 lungs - 2 kidneys "/>
    <m/>
    <m/>
    <m/>
    <m/>
    <m/>
    <n v="7"/>
    <m/>
    <m/>
  </r>
  <r>
    <x v="1564"/>
    <x v="0"/>
    <s v="Imported"/>
    <x v="34"/>
    <n v="21"/>
    <n v="17"/>
    <n v="4"/>
    <m/>
    <n v="9669.6202531645558"/>
    <n v="9669.6202531645558"/>
    <n v="0"/>
    <x v="2100"/>
    <n v="0"/>
    <n v="568.8011913626209"/>
    <n v="568.8011913626209"/>
    <n v="0"/>
    <n v="359.48235294117649"/>
    <n v="0"/>
    <n v="25"/>
    <n v="0"/>
    <n v="50"/>
    <n v="10"/>
    <n v="8.5"/>
    <n v="0"/>
    <n v="1"/>
    <n v="0.63200000000000001"/>
    <n v="0.93500000000000005"/>
    <s v="-"/>
    <m/>
    <m/>
    <m/>
    <m/>
    <m/>
    <n v="0"/>
    <m/>
    <m/>
  </r>
  <r>
    <x v="1565"/>
    <x v="1"/>
    <m/>
    <x v="33"/>
    <n v="40"/>
    <n v="38"/>
    <n v="2"/>
    <m/>
    <n v="2012"/>
    <n v="2012"/>
    <n v="0"/>
    <x v="2101"/>
    <n v="0"/>
    <n v="52.94736842105263"/>
    <n v="52.94736842105263"/>
    <n v="0"/>
    <n v="30.473684210526315"/>
    <n v="0"/>
    <n v="25"/>
    <n v="0"/>
    <n v="46.631578947368425"/>
    <n v="10"/>
    <n v="8.5"/>
    <n v="0"/>
    <n v="0.96631578947368424"/>
    <n v="0.57554671968190851"/>
    <n v="0.90131578947368429"/>
    <s v="4 kidneys - 1 heart"/>
    <m/>
    <m/>
    <m/>
    <m/>
    <m/>
    <n v="0"/>
    <m/>
    <m/>
  </r>
  <r>
    <x v="1565"/>
    <x v="0"/>
    <s v="Native "/>
    <x v="32"/>
    <n v="85"/>
    <n v="85"/>
    <n v="0"/>
    <m/>
    <n v="37267"/>
    <n v="37267"/>
    <n v="0"/>
    <x v="2102"/>
    <n v="695"/>
    <n v="438.43529411764706"/>
    <n v="438.43529411764706"/>
    <n v="0"/>
    <n v="264.87764705882353"/>
    <n v="8.1764705882352935"/>
    <n v="25"/>
    <n v="0"/>
    <n v="47.576470588235296"/>
    <n v="10"/>
    <n v="8.5"/>
    <n v="0"/>
    <n v="0.97576470588235298"/>
    <n v="0.60414307564333047"/>
    <n v="0.91076470588235292"/>
    <s v="1 lung - 4 kidneys - 5 livers - 1 heart"/>
    <m/>
    <m/>
    <m/>
    <m/>
    <m/>
    <n v="0"/>
    <m/>
    <m/>
  </r>
  <r>
    <x v="1566"/>
    <x v="1"/>
    <m/>
    <x v="33"/>
    <n v="38"/>
    <n v="37"/>
    <n v="1"/>
    <m/>
    <n v="1960"/>
    <n v="1960"/>
    <n v="0"/>
    <x v="2103"/>
    <n v="0"/>
    <n v="52.972972972972975"/>
    <n v="52.972972972972975"/>
    <n v="0"/>
    <n v="30.778378378378378"/>
    <n v="0"/>
    <n v="25"/>
    <n v="0"/>
    <n v="45.729729729729726"/>
    <n v="10"/>
    <n v="8.5"/>
    <n v="0"/>
    <n v="0.95729729729729729"/>
    <n v="0.58102040816326528"/>
    <n v="0.89229729729729723"/>
    <s v="6 kidneys - 5 heart s- 3 livers "/>
    <m/>
    <m/>
    <m/>
    <m/>
    <m/>
    <n v="0"/>
    <m/>
    <m/>
  </r>
  <r>
    <x v="1566"/>
    <x v="0"/>
    <s v="Native "/>
    <x v="32"/>
    <n v="33"/>
    <n v="32"/>
    <n v="1"/>
    <m/>
    <n v="13759"/>
    <n v="13759"/>
    <n v="0"/>
    <x v="2104"/>
    <n v="260"/>
    <n v="429.96875"/>
    <n v="429.96875"/>
    <n v="0"/>
    <n v="264.671875"/>
    <n v="8.125"/>
    <n v="25"/>
    <n v="0"/>
    <n v="49.25"/>
    <n v="10"/>
    <n v="8.5"/>
    <n v="0"/>
    <n v="0.99249999999999994"/>
    <n v="0.61556072388981753"/>
    <n v="0.92749999999999999"/>
    <s v="2 livers "/>
    <m/>
    <m/>
    <m/>
    <m/>
    <m/>
    <n v="0"/>
    <m/>
    <m/>
  </r>
  <r>
    <x v="1567"/>
    <x v="1"/>
    <m/>
    <x v="9"/>
    <n v="22"/>
    <n v="22"/>
    <n v="0"/>
    <m/>
    <n v="12380"/>
    <n v="12380"/>
    <n v="0"/>
    <x v="2105"/>
    <n v="243"/>
    <n v="562.72727272727275"/>
    <n v="562.72727272727275"/>
    <n v="0"/>
    <n v="337.60909090909087"/>
    <n v="11.045454545454545"/>
    <n v="25"/>
    <n v="0"/>
    <n v="41.363636363636367"/>
    <n v="10"/>
    <n v="8.5"/>
    <n v="0"/>
    <n v="0.91363636363636369"/>
    <n v="0.59995153473344098"/>
    <n v="0.84863636363636374"/>
    <s v="4 kidneys - 5 livers - 4 hearts - 1 omentum"/>
    <m/>
    <m/>
    <m/>
    <m/>
    <m/>
    <n v="0"/>
    <m/>
    <m/>
  </r>
  <r>
    <x v="1567"/>
    <x v="0"/>
    <s v="Native "/>
    <x v="0"/>
    <n v="21"/>
    <n v="21"/>
    <n v="0"/>
    <m/>
    <n v="11113"/>
    <n v="11113"/>
    <n v="0"/>
    <x v="2106"/>
    <n v="196"/>
    <n v="529.19047619047615"/>
    <n v="529.19047619047615"/>
    <n v="0"/>
    <n v="317.5"/>
    <n v="9.3333333333333339"/>
    <n v="25"/>
    <n v="0"/>
    <n v="46.666666666666671"/>
    <n v="10"/>
    <n v="8.5"/>
    <n v="0"/>
    <n v="0.96666666666666679"/>
    <n v="0.59997300458921987"/>
    <n v="0.90166666666666673"/>
    <s v="4 livers "/>
    <m/>
    <m/>
    <m/>
    <m/>
    <m/>
    <n v="0"/>
    <m/>
    <m/>
  </r>
  <r>
    <x v="1568"/>
    <x v="0"/>
    <s v="Native "/>
    <x v="14"/>
    <n v="48"/>
    <n v="45"/>
    <n v="3"/>
    <m/>
    <n v="23454"/>
    <n v="23454"/>
    <n v="0"/>
    <x v="2107"/>
    <n v="513"/>
    <n v="521.20000000000005"/>
    <n v="521.20000000000005"/>
    <n v="0"/>
    <n v="312.71333333333337"/>
    <n v="11.4"/>
    <n v="22.777777777777779"/>
    <n v="0"/>
    <n v="44.066666666666663"/>
    <n v="10"/>
    <n v="8.5"/>
    <n v="0"/>
    <n v="0.89622222222222225"/>
    <n v="0.59998720900486058"/>
    <n v="0.85344444444444434"/>
    <s v="2 spleen - 1 lung - 12 kidneys "/>
    <m/>
    <m/>
    <m/>
    <m/>
    <m/>
    <n v="38"/>
    <m/>
    <m/>
  </r>
  <r>
    <x v="1568"/>
    <x v="1"/>
    <m/>
    <x v="14"/>
    <n v="31"/>
    <n v="31"/>
    <n v="0"/>
    <m/>
    <n v="1770"/>
    <n v="1770"/>
    <n v="0"/>
    <x v="2108"/>
    <n v="0"/>
    <n v="57.096774193548384"/>
    <n v="57.096774193548384"/>
    <n v="0"/>
    <n v="35.322580645161288"/>
    <n v="0"/>
    <n v="25"/>
    <n v="0"/>
    <n v="48"/>
    <n v="10"/>
    <n v="8.5"/>
    <n v="0"/>
    <n v="0.98"/>
    <n v="0.61864406779661019"/>
    <n v="0.91500000000000004"/>
    <s v="-"/>
    <m/>
    <m/>
    <m/>
    <m/>
    <m/>
    <n v="0"/>
    <m/>
    <m/>
  </r>
  <r>
    <x v="1569"/>
    <x v="0"/>
    <s v="Imported"/>
    <x v="23"/>
    <n v="48"/>
    <n v="48"/>
    <n v="0"/>
    <m/>
    <n v="23640.506329113923"/>
    <n v="23640.506329113923"/>
    <n v="0"/>
    <x v="2109"/>
    <n v="0"/>
    <n v="492.51054852320675"/>
    <n v="492.51054852320675"/>
    <n v="0"/>
    <n v="311.26666666666665"/>
    <n v="0"/>
    <n v="25"/>
    <n v="4"/>
    <n v="45.833333333333336"/>
    <n v="10"/>
    <n v="8.5"/>
    <n v="0"/>
    <n v="0.95833333333333337"/>
    <n v="0.63200000000000001"/>
    <n v="0.93333333333333346"/>
    <s v="12 kidneys - 7 lungs - 2 heads - 3 livers "/>
    <m/>
    <m/>
    <m/>
    <m/>
    <m/>
    <n v="18"/>
    <m/>
    <m/>
  </r>
  <r>
    <x v="1570"/>
    <x v="1"/>
    <m/>
    <x v="33"/>
    <n v="38"/>
    <n v="37"/>
    <n v="1"/>
    <m/>
    <n v="1904"/>
    <n v="1904"/>
    <n v="0"/>
    <x v="2110"/>
    <n v="0"/>
    <n v="51.45945945945946"/>
    <n v="51.45945945945946"/>
    <n v="0"/>
    <n v="30.048648648648648"/>
    <n v="0"/>
    <n v="25"/>
    <n v="0"/>
    <n v="46.621621621621621"/>
    <n v="10"/>
    <n v="8.5"/>
    <n v="0"/>
    <n v="0.96621621621621623"/>
    <n v="0.58392857142857135"/>
    <n v="0.90121621621621617"/>
    <s v="4 livers - 1 heart "/>
    <m/>
    <m/>
    <m/>
    <m/>
    <m/>
    <n v="0"/>
    <m/>
    <m/>
  </r>
  <r>
    <x v="1570"/>
    <x v="0"/>
    <s v="Native "/>
    <x v="32"/>
    <n v="48"/>
    <n v="47"/>
    <n v="1"/>
    <m/>
    <n v="19300"/>
    <n v="19300"/>
    <n v="0"/>
    <x v="2111"/>
    <n v="392"/>
    <n v="410.63829787234044"/>
    <n v="410.63829787234044"/>
    <n v="0"/>
    <n v="249.77872340425532"/>
    <n v="8.3404255319148941"/>
    <n v="25"/>
    <n v="0"/>
    <n v="46.500000000000007"/>
    <n v="10"/>
    <n v="8.5"/>
    <n v="0"/>
    <n v="0.96500000000000008"/>
    <n v="0.60826943005181344"/>
    <n v="0.9"/>
    <s v="1 intestine - 4 lung- 3 kidneys - 1 heart - 3 livers "/>
    <m/>
    <m/>
    <m/>
    <m/>
    <m/>
    <m/>
    <m/>
    <m/>
  </r>
  <r>
    <x v="1571"/>
    <x v="1"/>
    <m/>
    <x v="9"/>
    <n v="30"/>
    <n v="30"/>
    <n v="0"/>
    <m/>
    <n v="1635"/>
    <n v="1635"/>
    <n v="0"/>
    <x v="2112"/>
    <n v="0"/>
    <n v="54.5"/>
    <n v="54.5"/>
    <n v="0"/>
    <n v="28.509999999999998"/>
    <n v="0"/>
    <n v="25"/>
    <n v="0"/>
    <n v="47.516666666666666"/>
    <n v="10"/>
    <n v="8.5"/>
    <n v="0"/>
    <n v="0.97516666666666674"/>
    <n v="0.52311926605504588"/>
    <n v="0.91016666666666668"/>
    <s v="2 livers - 1 kidney - 1 lung "/>
    <m/>
    <m/>
    <m/>
    <m/>
    <m/>
    <n v="0"/>
    <m/>
    <m/>
  </r>
  <r>
    <x v="1571"/>
    <x v="0"/>
    <s v="Native "/>
    <x v="0"/>
    <n v="24"/>
    <n v="24"/>
    <n v="0"/>
    <m/>
    <n v="12721"/>
    <n v="12721"/>
    <n v="0"/>
    <x v="2113"/>
    <n v="278"/>
    <n v="530.04166666666663"/>
    <n v="530.04166666666663"/>
    <n v="0"/>
    <n v="318.01249999999999"/>
    <n v="11.583333333333334"/>
    <n v="24.375"/>
    <n v="0"/>
    <n v="45.916666666666664"/>
    <n v="10"/>
    <n v="8.5"/>
    <n v="0"/>
    <n v="0.94666666666666666"/>
    <n v="0.59997641694835313"/>
    <n v="0.88791666666666658"/>
    <s v="2 kidneys - 1 liver- 1 heart "/>
    <m/>
    <m/>
    <m/>
    <m/>
    <m/>
    <n v="15"/>
    <m/>
    <m/>
  </r>
  <r>
    <x v="1571"/>
    <x v="0"/>
    <s v="Native "/>
    <x v="9"/>
    <n v="67"/>
    <n v="49"/>
    <n v="18"/>
    <m/>
    <n v="23782"/>
    <n v="23782"/>
    <n v="0"/>
    <x v="2114"/>
    <n v="493"/>
    <n v="485.34693877551018"/>
    <n v="485.34693877551018"/>
    <n v="0"/>
    <n v="291.20204081632653"/>
    <n v="10.061224489795919"/>
    <n v="23.469387755102041"/>
    <n v="0"/>
    <n v="45.8061224489796"/>
    <n v="10"/>
    <n v="8.5"/>
    <n v="0"/>
    <n v="0.92744897959183681"/>
    <n v="0.59998738541754271"/>
    <n v="0.87775510204081642"/>
    <s v="11 kidneys - 2 lungs - 4 heart s- 3 livers "/>
    <m/>
    <m/>
    <m/>
    <m/>
    <m/>
    <n v="35"/>
    <m/>
    <m/>
  </r>
  <r>
    <x v="1572"/>
    <x v="1"/>
    <m/>
    <x v="33"/>
    <n v="35"/>
    <n v="32"/>
    <n v="3"/>
    <m/>
    <n v="1620"/>
    <n v="1620"/>
    <n v="0"/>
    <x v="2115"/>
    <n v="0"/>
    <n v="50.625"/>
    <n v="50.625"/>
    <n v="0"/>
    <n v="29.212499999999999"/>
    <n v="0"/>
    <n v="25"/>
    <n v="0"/>
    <n v="44.9375"/>
    <n v="10"/>
    <n v="8.5"/>
    <n v="0"/>
    <n v="0.94937500000000008"/>
    <n v="0.57703703703703701"/>
    <n v="0.88437500000000002"/>
    <s v="3 livers - 4 kidneys - 1 intestine "/>
    <m/>
    <m/>
    <m/>
    <m/>
    <m/>
    <n v="0"/>
    <m/>
    <m/>
  </r>
  <r>
    <x v="1572"/>
    <x v="0"/>
    <s v="Native "/>
    <x v="32"/>
    <n v="40"/>
    <n v="40"/>
    <n v="0"/>
    <m/>
    <n v="16967"/>
    <n v="16967"/>
    <n v="0"/>
    <x v="2116"/>
    <n v="325"/>
    <n v="424.17500000000001"/>
    <n v="424.17500000000001"/>
    <n v="0"/>
    <n v="256.80500000000001"/>
    <n v="8.125"/>
    <n v="25"/>
    <n v="0"/>
    <n v="46.75"/>
    <n v="10"/>
    <n v="8.5"/>
    <n v="0"/>
    <n v="0.96750000000000003"/>
    <n v="0.60542229032828432"/>
    <n v="0.90249999999999997"/>
    <s v="1 liver - 2 kidneys - 2 lungs"/>
    <m/>
    <m/>
    <m/>
    <m/>
    <m/>
    <m/>
    <m/>
    <m/>
  </r>
  <r>
    <x v="1573"/>
    <x v="0"/>
    <s v="Imported"/>
    <x v="34"/>
    <n v="23"/>
    <n v="23"/>
    <n v="0"/>
    <m/>
    <n v="12924.525316455696"/>
    <n v="12924.525316455696"/>
    <n v="0"/>
    <x v="2117"/>
    <n v="0"/>
    <n v="561.93588332416073"/>
    <n v="561.93588332416073"/>
    <n v="0"/>
    <n v="355.14347826086959"/>
    <n v="0"/>
    <n v="25"/>
    <n v="0"/>
    <n v="50"/>
    <n v="10"/>
    <n v="8.5"/>
    <n v="0"/>
    <n v="1"/>
    <n v="0.63200000000000001"/>
    <n v="0.93500000000000005"/>
    <s v="-"/>
    <m/>
    <m/>
    <m/>
    <m/>
    <m/>
    <n v="5"/>
    <m/>
    <m/>
  </r>
  <r>
    <x v="1573"/>
    <x v="0"/>
    <s v="Imported"/>
    <x v="23"/>
    <n v="27"/>
    <n v="25"/>
    <n v="2"/>
    <m/>
    <n v="12745.569620253164"/>
    <n v="12745.569620253164"/>
    <n v="0"/>
    <x v="2118"/>
    <n v="0"/>
    <n v="509.82278481012656"/>
    <n v="509.82278481012656"/>
    <n v="0"/>
    <n v="322.20799999999997"/>
    <n v="0"/>
    <n v="25"/>
    <n v="4"/>
    <n v="47.44"/>
    <n v="10"/>
    <n v="8.5"/>
    <n v="0"/>
    <n v="0.97439999999999993"/>
    <n v="0.63200000000000001"/>
    <n v="0.94940000000000002"/>
    <s v="-"/>
    <m/>
    <m/>
    <m/>
    <m/>
    <m/>
    <n v="10"/>
    <m/>
    <m/>
  </r>
  <r>
    <x v="1573"/>
    <x v="0"/>
    <s v="Imported"/>
    <x v="34"/>
    <n v="33"/>
    <n v="33"/>
    <n v="0"/>
    <m/>
    <n v="15412.658227848098"/>
    <n v="15412.658227848098"/>
    <n v="0"/>
    <x v="2119"/>
    <n v="0"/>
    <n v="467.05024932873027"/>
    <n v="467.05024932873027"/>
    <n v="0"/>
    <n v="295.17575757575753"/>
    <n v="0"/>
    <n v="25"/>
    <n v="0"/>
    <n v="47.575757575757571"/>
    <n v="10"/>
    <n v="8.5"/>
    <n v="0"/>
    <n v="0.97575757575757571"/>
    <n v="0.63200000000000012"/>
    <n v="0.91075757575757565"/>
    <s v="1 heart - 1 liver - 12 kidneys"/>
    <m/>
    <m/>
    <m/>
    <m/>
    <m/>
    <n v="0"/>
    <m/>
    <m/>
  </r>
  <r>
    <x v="1574"/>
    <x v="1"/>
    <m/>
    <x v="14"/>
    <n v="40"/>
    <n v="40"/>
    <n v="0"/>
    <m/>
    <n v="2005"/>
    <n v="1970"/>
    <n v="35"/>
    <x v="2120"/>
    <n v="0"/>
    <n v="50.125"/>
    <n v="49.25"/>
    <n v="0.875"/>
    <n v="28.774999999999999"/>
    <n v="0"/>
    <n v="25"/>
    <n v="0"/>
    <n v="45.737499999999997"/>
    <n v="10"/>
    <n v="8.5"/>
    <n v="1.7456359102244388E-2"/>
    <n v="0.95737499999999998"/>
    <n v="0.57406483790523688"/>
    <n v="0.89237499999999992"/>
    <s v="9 livers - 3 kidneys - 8 omentums - 3 hearts "/>
    <m/>
    <m/>
    <m/>
    <m/>
    <m/>
    <n v="0"/>
    <m/>
    <m/>
  </r>
  <r>
    <x v="1574"/>
    <x v="0"/>
    <s v="Native "/>
    <x v="31"/>
    <n v="48"/>
    <n v="47"/>
    <n v="1"/>
    <m/>
    <n v="23890"/>
    <n v="23250"/>
    <n v="640"/>
    <x v="2121"/>
    <n v="519"/>
    <n v="508.29787234042556"/>
    <n v="494.68085106382978"/>
    <n v="13.617021276595745"/>
    <n v="321.55744680851063"/>
    <n v="11.042553191489361"/>
    <n v="25"/>
    <n v="0"/>
    <n v="47.691489361702125"/>
    <n v="10"/>
    <n v="8.5"/>
    <n v="2.678945165341147E-2"/>
    <n v="0.97691489361702133"/>
    <n v="0.63261615738802845"/>
    <n v="0.91191489361702127"/>
    <s v="3 livers - 9 kidneys - 1 lung "/>
    <m/>
    <m/>
    <m/>
    <m/>
    <m/>
    <n v="3"/>
    <m/>
    <m/>
  </r>
  <r>
    <x v="1575"/>
    <x v="0"/>
    <s v="Native "/>
    <x v="0"/>
    <n v="16"/>
    <n v="16"/>
    <n v="0"/>
    <m/>
    <n v="7635"/>
    <n v="7635"/>
    <n v="0"/>
    <x v="2122"/>
    <n v="126"/>
    <n v="477.1875"/>
    <n v="477.1875"/>
    <n v="0"/>
    <n v="286.30624999999998"/>
    <n v="7.875"/>
    <n v="24.6875"/>
    <n v="0"/>
    <n v="46.125"/>
    <n v="9.6875"/>
    <n v="8.5"/>
    <n v="0"/>
    <n v="0.95500000000000007"/>
    <n v="0.59998690242305164"/>
    <n v="0.89"/>
    <s v="3 livers - 2 kidneys "/>
    <m/>
    <m/>
    <m/>
    <m/>
    <m/>
    <n v="4"/>
    <m/>
    <m/>
  </r>
  <r>
    <x v="1575"/>
    <x v="0"/>
    <s v="Native "/>
    <x v="14"/>
    <n v="30"/>
    <n v="22"/>
    <n v="8"/>
    <m/>
    <n v="11894"/>
    <n v="11894"/>
    <n v="0"/>
    <x v="2123"/>
    <n v="286"/>
    <n v="540.63636363636363"/>
    <n v="540.63636363636363"/>
    <n v="0"/>
    <n v="324.38636363636363"/>
    <n v="13"/>
    <n v="23.863636363636363"/>
    <n v="0"/>
    <n v="44.81818181818182"/>
    <n v="10"/>
    <n v="8.5"/>
    <n v="0"/>
    <n v="0.92545454545454553"/>
    <n v="0.60000840760047081"/>
    <n v="0.87181818181818183"/>
    <s v="8 kidneys - 2 heads - 1 heart - 1 liver "/>
    <m/>
    <m/>
    <m/>
    <m/>
    <m/>
    <n v="18"/>
    <m/>
    <m/>
  </r>
  <r>
    <x v="1576"/>
    <x v="1"/>
    <m/>
    <x v="33"/>
    <n v="35"/>
    <n v="33"/>
    <n v="2"/>
    <m/>
    <n v="1766"/>
    <n v="1766"/>
    <n v="0"/>
    <x v="2124"/>
    <n v="0"/>
    <n v="53.515151515151516"/>
    <n v="53.515151515151516"/>
    <n v="0"/>
    <n v="30.75151515151515"/>
    <n v="0"/>
    <n v="25"/>
    <n v="0"/>
    <n v="45.999999999999993"/>
    <n v="10"/>
    <n v="8.5"/>
    <n v="0"/>
    <n v="0.96"/>
    <n v="0.57463193657984146"/>
    <n v="0.89500000000000002"/>
    <s v="5 livers - 6 kidneys "/>
    <m/>
    <m/>
    <m/>
    <m/>
    <m/>
    <n v="0"/>
    <m/>
    <m/>
  </r>
  <r>
    <x v="1576"/>
    <x v="0"/>
    <s v="Native "/>
    <x v="32"/>
    <n v="54"/>
    <n v="54"/>
    <n v="0"/>
    <m/>
    <n v="23633"/>
    <n v="22690"/>
    <n v="943"/>
    <x v="2125"/>
    <n v="401"/>
    <n v="437.64814814814815"/>
    <n v="420.18518518518516"/>
    <n v="17.462962962962962"/>
    <n v="263.02962962962965"/>
    <n v="7.4259259259259256"/>
    <n v="25"/>
    <n v="0"/>
    <n v="46.712962962962962"/>
    <n v="10"/>
    <n v="8.5"/>
    <n v="3.990183218381077E-2"/>
    <n v="0.96712962962962967"/>
    <n v="0.60100706639021706"/>
    <n v="0.90212962962962961"/>
    <s v="1 heart - 7 kidneys "/>
    <m/>
    <m/>
    <m/>
    <m/>
    <m/>
    <n v="0"/>
    <m/>
    <m/>
  </r>
  <r>
    <x v="1577"/>
    <x v="0"/>
    <s v="Native "/>
    <x v="0"/>
    <n v="21"/>
    <n v="21"/>
    <n v="0"/>
    <m/>
    <n v="9926"/>
    <n v="9926"/>
    <n v="0"/>
    <x v="2126"/>
    <n v="208"/>
    <n v="472.66666666666669"/>
    <n v="472.66666666666669"/>
    <n v="0"/>
    <n v="283.59523809523807"/>
    <n v="9.9047619047619051"/>
    <n v="24.761904761904763"/>
    <n v="0"/>
    <n v="47.904761904761905"/>
    <n v="10"/>
    <n v="8.5"/>
    <n v="0"/>
    <n v="0.97428571428571431"/>
    <n v="0.59998992544831753"/>
    <n v="0.91166666666666674"/>
    <s v="1 heart - 1 liver "/>
    <m/>
    <m/>
    <m/>
    <m/>
    <m/>
    <n v="6"/>
    <m/>
    <m/>
  </r>
  <r>
    <x v="1577"/>
    <x v="1"/>
    <m/>
    <x v="9"/>
    <n v="38"/>
    <n v="38"/>
    <n v="0"/>
    <m/>
    <n v="2100"/>
    <n v="2100"/>
    <n v="0"/>
    <x v="2127"/>
    <n v="0"/>
    <n v="55.263157894736842"/>
    <n v="55.263157894736842"/>
    <n v="0"/>
    <n v="34.123684210526314"/>
    <n v="0"/>
    <n v="25"/>
    <n v="0"/>
    <n v="46.65789473684211"/>
    <n v="10"/>
    <n v="8.5"/>
    <n v="0"/>
    <n v="0.96657894736842109"/>
    <n v="0.61747619047619051"/>
    <n v="0.90157894736842115"/>
    <s v="5 livers - 3 hearts - 2 kidneys - 2 omentum"/>
    <m/>
    <m/>
    <m/>
    <m/>
    <m/>
    <n v="0"/>
    <m/>
    <m/>
  </r>
  <r>
    <x v="1577"/>
    <x v="0"/>
    <s v="Native "/>
    <x v="27"/>
    <n v="60"/>
    <n v="59"/>
    <n v="1"/>
    <m/>
    <n v="29462"/>
    <n v="29462"/>
    <n v="0"/>
    <x v="2128"/>
    <n v="568"/>
    <n v="499.35593220338984"/>
    <n v="499.35593220338984"/>
    <n v="0"/>
    <n v="308.91016949152544"/>
    <n v="9.6271186440677958"/>
    <n v="25"/>
    <n v="0"/>
    <n v="47.915254237288131"/>
    <n v="10"/>
    <n v="8.5"/>
    <n v="0"/>
    <n v="0.9791525423728813"/>
    <n v="0.61861720181929269"/>
    <n v="0.91415254237288135"/>
    <s v="1 head - 6 liver - 2 lung "/>
    <m/>
    <m/>
    <m/>
    <m/>
    <m/>
    <n v="14"/>
    <m/>
    <m/>
  </r>
  <r>
    <x v="1578"/>
    <x v="1"/>
    <m/>
    <x v="33"/>
    <n v="42"/>
    <n v="42"/>
    <n v="0"/>
    <m/>
    <n v="2175"/>
    <n v="2105"/>
    <n v="70"/>
    <x v="2129"/>
    <n v="0"/>
    <n v="51.785714285714285"/>
    <n v="50.11904761904762"/>
    <n v="1.6666666666666667"/>
    <n v="30.25"/>
    <n v="0"/>
    <n v="25"/>
    <n v="0"/>
    <n v="45.928571428571431"/>
    <n v="10"/>
    <n v="8.5"/>
    <n v="3.2183908045977011E-2"/>
    <n v="0.9592857142857143"/>
    <n v="0.58413793103448275"/>
    <n v="0.89428571428571435"/>
    <s v="5 livers - 4 kidneys - 3 hearts "/>
    <m/>
    <m/>
    <m/>
    <m/>
    <m/>
    <n v="0"/>
    <m/>
    <m/>
  </r>
  <r>
    <x v="1578"/>
    <x v="0"/>
    <s v="Native "/>
    <x v="32"/>
    <n v="35"/>
    <n v="35"/>
    <n v="0"/>
    <m/>
    <n v="15409"/>
    <n v="14715"/>
    <n v="694"/>
    <x v="2130"/>
    <n v="212"/>
    <n v="440.25714285714287"/>
    <n v="420.42857142857144"/>
    <n v="19.828571428571429"/>
    <n v="266.98857142857145"/>
    <n v="6.0571428571428569"/>
    <n v="25"/>
    <n v="0"/>
    <n v="46"/>
    <n v="10"/>
    <n v="8.5"/>
    <n v="4.5038613797131546E-2"/>
    <n v="0.96"/>
    <n v="0.60643779609319226"/>
    <n v="0.89500000000000002"/>
    <s v="6 livers - 10 kidneys - 1 lung "/>
    <m/>
    <m/>
    <m/>
    <m/>
    <m/>
    <n v="0"/>
    <m/>
    <m/>
  </r>
  <r>
    <x v="1579"/>
    <x v="0"/>
    <s v="Native "/>
    <x v="14"/>
    <n v="52"/>
    <n v="52"/>
    <n v="0"/>
    <m/>
    <n v="29022"/>
    <n v="29022"/>
    <n v="0"/>
    <x v="2131"/>
    <n v="678"/>
    <n v="558.11538461538464"/>
    <n v="558.11538461538464"/>
    <n v="0"/>
    <n v="334.8692307692308"/>
    <n v="13.038461538461538"/>
    <n v="24.134615384615383"/>
    <n v="0"/>
    <n v="46.59615384615384"/>
    <n v="10"/>
    <n v="8.5"/>
    <n v="0"/>
    <n v="0.94865384615384607"/>
    <n v="0.6"/>
    <n v="0.89230769230769225"/>
    <s v="2 livers - 6 kidneys - 1 heart"/>
    <m/>
    <m/>
    <m/>
    <m/>
    <m/>
    <n v="35"/>
    <m/>
    <m/>
  </r>
  <r>
    <x v="1580"/>
    <x v="1"/>
    <m/>
    <x v="9"/>
    <n v="35"/>
    <n v="35"/>
    <n v="0"/>
    <m/>
    <n v="2140"/>
    <n v="0"/>
    <n v="2140"/>
    <x v="2132"/>
    <n v="0"/>
    <n v="61.142857142857146"/>
    <n v="0"/>
    <n v="61.142857142857146"/>
    <n v="35.068571428571431"/>
    <n v="0"/>
    <n v="25"/>
    <n v="0"/>
    <n v="46.357142857142854"/>
    <n v="10"/>
    <n v="8.5"/>
    <n v="1"/>
    <n v="0.96357142857142852"/>
    <n v="0.57355140186915887"/>
    <n v="0.89857142857142858"/>
    <s v="2 livers - 7 kidneys - 1 omentums"/>
    <m/>
    <m/>
    <m/>
    <m/>
    <m/>
    <m/>
    <m/>
    <m/>
  </r>
  <r>
    <x v="1580"/>
    <x v="0"/>
    <s v="Native "/>
    <x v="9"/>
    <n v="48"/>
    <n v="47"/>
    <n v="1"/>
    <m/>
    <n v="25541"/>
    <n v="25541"/>
    <n v="0"/>
    <x v="2133"/>
    <n v="573"/>
    <n v="543.42553191489367"/>
    <n v="543.42553191489367"/>
    <n v="0"/>
    <n v="326.07659574468084"/>
    <n v="12.191489361702128"/>
    <n v="23.404255319148938"/>
    <n v="0"/>
    <n v="45.38297872340425"/>
    <n v="10"/>
    <n v="8.5"/>
    <n v="0"/>
    <n v="0.92191489361702117"/>
    <n v="0.60003915273481856"/>
    <n v="0.87287234042553197"/>
    <s v="7 Livers - 2 hearts "/>
    <m/>
    <m/>
    <m/>
    <m/>
    <m/>
    <n v="32"/>
    <m/>
    <m/>
  </r>
  <r>
    <x v="1581"/>
    <x v="0"/>
    <s v="Imported"/>
    <x v="23"/>
    <n v="45"/>
    <n v="44"/>
    <n v="1"/>
    <m/>
    <n v="22261.392405063289"/>
    <n v="22261.392405063289"/>
    <n v="0"/>
    <x v="2134"/>
    <n v="0"/>
    <n v="505.94073647871113"/>
    <n v="505.94073647871113"/>
    <n v="0"/>
    <n v="319.75454545454545"/>
    <n v="0"/>
    <n v="24.886363636363637"/>
    <n v="4"/>
    <n v="45"/>
    <n v="10"/>
    <n v="8.5"/>
    <n v="0"/>
    <n v="0.94772727272727275"/>
    <n v="0.63200000000000012"/>
    <n v="0.92386363636363644"/>
    <s v="20 kidneys - 2 hearts - 3 livers "/>
    <m/>
    <m/>
    <m/>
    <m/>
    <m/>
    <n v="15"/>
    <m/>
    <m/>
  </r>
  <r>
    <x v="1582"/>
    <x v="1"/>
    <m/>
    <x v="9"/>
    <n v="38"/>
    <n v="38"/>
    <n v="0"/>
    <m/>
    <n v="2130"/>
    <n v="2130"/>
    <n v="0"/>
    <x v="2135"/>
    <n v="0"/>
    <n v="56.05263157894737"/>
    <n v="56.05263157894737"/>
    <n v="0"/>
    <n v="32.636842105263156"/>
    <n v="0"/>
    <n v="25"/>
    <n v="0"/>
    <n v="43.473684210526315"/>
    <n v="10"/>
    <n v="8.5"/>
    <n v="0"/>
    <n v="0.93473684210526309"/>
    <n v="0.58225352112676054"/>
    <n v="0.86973684210526314"/>
    <s v="6 kidneys "/>
    <m/>
    <m/>
    <m/>
    <m/>
    <m/>
    <n v="0"/>
    <m/>
    <m/>
  </r>
  <r>
    <x v="1582"/>
    <x v="0"/>
    <s v="Native "/>
    <x v="32"/>
    <n v="48"/>
    <n v="48"/>
    <n v="0"/>
    <m/>
    <n v="21405"/>
    <n v="21405"/>
    <n v="0"/>
    <x v="2136"/>
    <n v="333"/>
    <n v="445.9375"/>
    <n v="445.9375"/>
    <n v="0"/>
    <n v="267.57708333333335"/>
    <n v="6.9375"/>
    <n v="25"/>
    <n v="0"/>
    <n v="48.000000000000007"/>
    <n v="10"/>
    <n v="8.5"/>
    <n v="0"/>
    <n v="0.98000000000000009"/>
    <n v="0.6000327026395702"/>
    <n v="0.91500000000000004"/>
    <s v="1 LIVER - 1 HEAD - 1 HEART - 2 LUNG - 8 KIDNEYS "/>
    <m/>
    <m/>
    <m/>
    <m/>
    <m/>
    <m/>
    <m/>
    <m/>
  </r>
  <r>
    <x v="1583"/>
    <x v="1"/>
    <m/>
    <x v="14"/>
    <n v="35"/>
    <n v="35"/>
    <n v="0"/>
    <m/>
    <n v="1920"/>
    <n v="1920"/>
    <n v="0"/>
    <x v="2137"/>
    <n v="0"/>
    <n v="54.857142857142854"/>
    <n v="54.857142857142854"/>
    <n v="0"/>
    <n v="30.957142857142856"/>
    <n v="0"/>
    <n v="25"/>
    <n v="0"/>
    <n v="45.3"/>
    <n v="10"/>
    <n v="8.5"/>
    <n v="0"/>
    <n v="0.95299999999999996"/>
    <n v="0.56432291666666667"/>
    <n v="0.88800000000000001"/>
    <s v="2 omentums - 9 kidneys - 7 hearts"/>
    <m/>
    <m/>
    <m/>
    <m/>
    <m/>
    <n v="0"/>
    <m/>
    <m/>
  </r>
  <r>
    <x v="1583"/>
    <x v="0"/>
    <m/>
    <x v="35"/>
    <n v="51"/>
    <n v="50"/>
    <n v="1"/>
    <s v="1 carcass due to c. bovis in the heart "/>
    <n v="23255"/>
    <n v="23255"/>
    <n v="0"/>
    <x v="2138"/>
    <n v="336"/>
    <n v="465.1"/>
    <n v="465.1"/>
    <n v="0"/>
    <n v="281.512"/>
    <n v="6.72"/>
    <n v="25"/>
    <n v="0"/>
    <n v="48.860000000000007"/>
    <n v="10"/>
    <n v="8.5"/>
    <n v="0"/>
    <n v="0.98860000000000015"/>
    <n v="0.60527198451945818"/>
    <n v="0.92360000000000009"/>
    <s v="1 liver - 2 kidneys - 2 hearts - kidney fats "/>
    <m/>
    <m/>
    <m/>
    <m/>
    <m/>
    <n v="1"/>
    <m/>
    <m/>
  </r>
  <r>
    <x v="1583"/>
    <x v="0"/>
    <m/>
    <x v="0"/>
    <n v="30"/>
    <n v="30"/>
    <n v="0"/>
    <m/>
    <n v="17076"/>
    <n v="17076"/>
    <n v="0"/>
    <x v="2139"/>
    <n v="382"/>
    <n v="569.20000000000005"/>
    <n v="569.20000000000005"/>
    <n v="0"/>
    <n v="341.52000000000004"/>
    <n v="12.733333333333333"/>
    <n v="24.333333333333336"/>
    <n v="0"/>
    <n v="48.633333333333333"/>
    <n v="10"/>
    <n v="8.5"/>
    <n v="0"/>
    <n v="0.97300000000000009"/>
    <n v="0.6"/>
    <n v="0.91466666666666674"/>
    <s v="2 kidneys - 2 hearts"/>
    <m/>
    <m/>
    <m/>
    <m/>
    <m/>
    <n v="11"/>
    <m/>
    <m/>
  </r>
  <r>
    <x v="1584"/>
    <x v="0"/>
    <m/>
    <x v="9"/>
    <n v="54"/>
    <n v="54"/>
    <n v="0"/>
    <m/>
    <n v="28115"/>
    <n v="28115"/>
    <n v="0"/>
    <x v="2140"/>
    <n v="608"/>
    <n v="520.64814814814815"/>
    <n v="520.64814814814815"/>
    <n v="0"/>
    <n v="312.37962962962962"/>
    <n v="11.25925925925926"/>
    <n v="24.537037037037042"/>
    <n v="0"/>
    <n v="49.018518518518512"/>
    <n v="10"/>
    <n v="8.5"/>
    <n v="0"/>
    <n v="0.98092592592592598"/>
    <n v="0.59998221589898626"/>
    <n v="0.92055555555555557"/>
    <s v="3 livers"/>
    <m/>
    <m/>
    <m/>
    <m/>
    <m/>
    <n v="21"/>
    <m/>
    <m/>
  </r>
  <r>
    <x v="1584"/>
    <x v="1"/>
    <m/>
    <x v="33"/>
    <n v="38"/>
    <n v="36"/>
    <n v="2"/>
    <s v="2 carcasses due to pyelonephritis."/>
    <n v="1884"/>
    <n v="1884"/>
    <n v="0"/>
    <x v="2141"/>
    <n v="0"/>
    <n v="52.333333333333336"/>
    <n v="52.333333333333336"/>
    <n v="0"/>
    <n v="30.363888888888887"/>
    <n v="0"/>
    <n v="25"/>
    <n v="0"/>
    <n v="44.138888888888886"/>
    <n v="10"/>
    <n v="8.5"/>
    <n v="0"/>
    <n v="0.94138888888888883"/>
    <n v="0.58020169851380032"/>
    <n v="0.87638888888888888"/>
    <s v="7 livers - 6 kidneys - 3 hearts - 2 lymph nodes"/>
    <m/>
    <m/>
    <m/>
    <m/>
    <m/>
    <n v="0"/>
    <m/>
    <m/>
  </r>
  <r>
    <x v="1585"/>
    <x v="0"/>
    <m/>
    <x v="14"/>
    <n v="64"/>
    <n v="62"/>
    <n v="2"/>
    <s v="1 carcass due to c. bovis in the heart + 1 carcass due to EM"/>
    <n v="33868"/>
    <n v="33868"/>
    <n v="0"/>
    <x v="2142"/>
    <n v="681"/>
    <n v="546.25806451612902"/>
    <n v="546.25806451612902"/>
    <n v="0"/>
    <n v="327.75322580645161"/>
    <n v="10.983870967741936"/>
    <n v="23.70967741935484"/>
    <n v="0"/>
    <n v="47.354838709677416"/>
    <n v="10"/>
    <n v="8.5"/>
    <n v="0"/>
    <n v="0.94774193548387098"/>
    <n v="0.59999704736034021"/>
    <n v="0.89564516129032257"/>
    <s v="14 kidneys - 1 heart"/>
    <m/>
    <m/>
    <m/>
    <m/>
    <m/>
    <n v="51"/>
    <m/>
    <m/>
  </r>
  <r>
    <x v="1586"/>
    <x v="1"/>
    <m/>
    <x v="33"/>
    <n v="46"/>
    <n v="46"/>
    <n v="0"/>
    <m/>
    <n v="2441"/>
    <n v="2355"/>
    <n v="86"/>
    <x v="2143"/>
    <n v="0"/>
    <n v="53.065217391304351"/>
    <n v="51.195652173913047"/>
    <n v="1.8695652173913044"/>
    <n v="29.891304347826086"/>
    <n v="0"/>
    <n v="25"/>
    <n v="0"/>
    <n v="39.45652173913043"/>
    <n v="10"/>
    <n v="8.5"/>
    <n v="3.5231462515362556E-2"/>
    <n v="0.89456521739130435"/>
    <n v="0.56329373207701761"/>
    <n v="0.8295652173913044"/>
    <s v="29 livers - 4 kidneys - 5 hearts - 2 testeclis - 2 lymph nodes - 1 omentum"/>
    <m/>
    <m/>
    <m/>
    <m/>
    <m/>
    <n v="0"/>
    <m/>
    <m/>
  </r>
  <r>
    <x v="1586"/>
    <x v="0"/>
    <m/>
    <x v="31"/>
    <n v="62"/>
    <n v="62"/>
    <n v="0"/>
    <m/>
    <n v="31087"/>
    <n v="30260"/>
    <n v="827"/>
    <x v="2144"/>
    <n v="599"/>
    <n v="501.40322580645159"/>
    <n v="488.06451612903226"/>
    <n v="13.338709677419354"/>
    <n v="314.51774193548385"/>
    <n v="9.6612903225806459"/>
    <n v="24.983870967741936"/>
    <n v="0"/>
    <n v="48.112903225806456"/>
    <n v="10"/>
    <n v="8.5"/>
    <n v="2.6602759996139865E-2"/>
    <n v="0.98080645161290336"/>
    <n v="0.62727506674815836"/>
    <n v="0.9159677419354838"/>
    <s v="2 livers - 2 lungs - 1 leg"/>
    <m/>
    <m/>
    <m/>
    <m/>
    <m/>
    <n v="0"/>
    <m/>
    <m/>
  </r>
  <r>
    <x v="1587"/>
    <x v="0"/>
    <m/>
    <x v="9"/>
    <n v="69"/>
    <n v="50"/>
    <n v="19"/>
    <s v="19 carcasses due to presence of drug residues."/>
    <n v="24093"/>
    <n v="24093"/>
    <n v="0"/>
    <x v="2145"/>
    <n v="481"/>
    <n v="481.86"/>
    <n v="481.86"/>
    <n v="0"/>
    <n v="289.11400000000003"/>
    <n v="9.6199999999999992"/>
    <n v="24.3"/>
    <n v="0"/>
    <n v="43.3"/>
    <n v="10"/>
    <n v="8.5"/>
    <n v="0"/>
    <n v="0.91900000000000004"/>
    <n v="0.59999584941684314"/>
    <n v="0.86099999999999999"/>
    <s v="12 kidneys - 1 heart - 2 livers - 1 lung -  1 head - 1 spleen "/>
    <m/>
    <m/>
    <m/>
    <m/>
    <m/>
    <n v="22"/>
    <m/>
    <m/>
  </r>
  <r>
    <x v="1588"/>
    <x v="1"/>
    <m/>
    <x v="33"/>
    <n v="42"/>
    <n v="41"/>
    <n v="1"/>
    <s v="1 carcass due to jaundice."/>
    <n v="2027"/>
    <n v="2027"/>
    <n v="0"/>
    <x v="2146"/>
    <n v="0"/>
    <n v="49.439024390243901"/>
    <n v="49.439024390243901"/>
    <n v="0"/>
    <n v="28.182926829268293"/>
    <n v="0"/>
    <n v="25"/>
    <n v="0"/>
    <n v="42.073170731707322"/>
    <n v="10"/>
    <n v="8.5"/>
    <n v="0"/>
    <n v="0.92073170731707321"/>
    <n v="0.57005426739023191"/>
    <n v="0.85573170731707326"/>
    <s v="15 livers - 10 kidneys - 5 hearts - 2 lymph nodes"/>
    <m/>
    <m/>
    <m/>
    <m/>
    <m/>
    <n v="0"/>
    <m/>
    <m/>
  </r>
  <r>
    <x v="1588"/>
    <x v="0"/>
    <m/>
    <x v="33"/>
    <n v="64"/>
    <n v="63"/>
    <n v="1"/>
    <s v="1 carcass due to C.Bovis in the heart."/>
    <n v="27877"/>
    <n v="27877"/>
    <n v="0"/>
    <x v="2147"/>
    <n v="474"/>
    <n v="442.49206349206349"/>
    <n v="442.49206349206349"/>
    <n v="0"/>
    <n v="270.3428571428571"/>
    <n v="7.5238095238095237"/>
    <n v="25"/>
    <n v="0"/>
    <n v="47.857142857142854"/>
    <n v="10"/>
    <n v="8.5"/>
    <n v="0"/>
    <n v="0.97857142857142854"/>
    <n v="0.61095526778347742"/>
    <n v="0.91357142857142859"/>
    <s v="5 livers - 4 kidneys - 1 heart - 2 forequarters"/>
    <m/>
    <m/>
    <m/>
    <m/>
    <m/>
    <n v="0"/>
    <m/>
    <m/>
  </r>
  <r>
    <x v="1589"/>
    <x v="1"/>
    <m/>
    <x v="14"/>
    <n v="38"/>
    <n v="37"/>
    <n v="1"/>
    <s v="1carcass due to hermaphrodite "/>
    <n v="2035"/>
    <n v="2035"/>
    <n v="0"/>
    <x v="2148"/>
    <n v="0"/>
    <n v="55"/>
    <n v="55"/>
    <n v="0"/>
    <n v="31.289189189189191"/>
    <n v="0"/>
    <n v="25"/>
    <n v="0"/>
    <n v="49.648648648648646"/>
    <n v="10"/>
    <n v="8.5"/>
    <n v="0"/>
    <n v="0.99648648648648641"/>
    <n v="0.56889434889434887"/>
    <n v="0.93148648648648646"/>
    <s v="1 liver "/>
    <m/>
    <m/>
    <m/>
    <m/>
    <m/>
    <n v="0"/>
    <m/>
    <m/>
  </r>
  <r>
    <x v="1589"/>
    <x v="0"/>
    <m/>
    <x v="0"/>
    <n v="50"/>
    <n v="50"/>
    <n v="0"/>
    <m/>
    <n v="25493"/>
    <n v="25493"/>
    <n v="0"/>
    <x v="2149"/>
    <n v="496"/>
    <n v="509.86"/>
    <n v="509.86"/>
    <n v="0"/>
    <n v="305.91200000000003"/>
    <n v="9.92"/>
    <n v="24.6"/>
    <n v="0"/>
    <n v="49.6"/>
    <n v="10"/>
    <n v="8.5"/>
    <n v="0"/>
    <n v="0.98799999999999999"/>
    <n v="0.59999215470913581"/>
    <n v="0.92700000000000005"/>
    <s v="1 liver "/>
    <m/>
    <m/>
    <m/>
    <m/>
    <m/>
    <n v="17"/>
    <m/>
    <m/>
  </r>
  <r>
    <x v="1589"/>
    <x v="0"/>
    <m/>
    <x v="44"/>
    <n v="32"/>
    <n v="30"/>
    <n v="2"/>
    <s v="2 carcasses due to c. bovis in the hearts"/>
    <n v="15125.949367088608"/>
    <n v="15125.949367088608"/>
    <n v="0"/>
    <x v="2150"/>
    <n v="0"/>
    <n v="504.19831223628694"/>
    <n v="504.19831223628694"/>
    <n v="0"/>
    <n v="318.65333333333336"/>
    <n v="0"/>
    <n v="24.333333333333336"/>
    <n v="4"/>
    <n v="45.333333333333336"/>
    <n v="10"/>
    <n v="8.5"/>
    <n v="0"/>
    <n v="0.94000000000000006"/>
    <n v="0.63200000000000001"/>
    <n v="0.92166666666666675"/>
    <s v="1 liver  - 3 kidneys "/>
    <m/>
    <m/>
    <m/>
    <m/>
    <m/>
    <n v="16"/>
    <m/>
    <m/>
  </r>
  <r>
    <x v="1590"/>
    <x v="0"/>
    <m/>
    <x v="14"/>
    <n v="36"/>
    <n v="35"/>
    <n v="1"/>
    <s v="1 carcass due to EM"/>
    <n v="17927"/>
    <n v="17927"/>
    <n v="0"/>
    <x v="2151"/>
    <n v="341"/>
    <n v="512.20000000000005"/>
    <n v="512.20000000000005"/>
    <n v="0"/>
    <n v="307.31428571428569"/>
    <n v="9.742857142857142"/>
    <n v="24.428571428571431"/>
    <n v="0"/>
    <n v="46.057142857142857"/>
    <n v="10"/>
    <n v="8.5"/>
    <n v="0"/>
    <n v="0.94914285714285718"/>
    <n v="0.599988843643666"/>
    <n v="0.8898571428571429"/>
    <s v="2 livers - 2 kidneys - 1 head - 1 lung"/>
    <m/>
    <m/>
    <m/>
    <m/>
    <m/>
    <n v="17"/>
    <m/>
    <m/>
  </r>
  <r>
    <x v="1590"/>
    <x v="1"/>
    <m/>
    <x v="14"/>
    <n v="38"/>
    <n v="38"/>
    <n v="0"/>
    <m/>
    <n v="2075"/>
    <n v="2075"/>
    <n v="0"/>
    <x v="2152"/>
    <n v="0"/>
    <n v="54.60526315789474"/>
    <n v="54.60526315789474"/>
    <n v="0"/>
    <n v="31.410526315789472"/>
    <n v="0"/>
    <n v="25"/>
    <n v="0"/>
    <n v="49.026315789473685"/>
    <n v="10"/>
    <n v="8.5"/>
    <n v="0"/>
    <n v="0.99026315789473685"/>
    <n v="0.57522891566265055"/>
    <n v="0.9252631578947369"/>
    <s v="1 liver"/>
    <m/>
    <m/>
    <m/>
    <m/>
    <m/>
    <n v="0"/>
    <m/>
    <m/>
  </r>
  <r>
    <x v="1591"/>
    <x v="0"/>
    <m/>
    <x v="33"/>
    <n v="56"/>
    <n v="55"/>
    <n v="1"/>
    <s v="1 carcass due to C.Bovis in the heart."/>
    <n v="23743"/>
    <n v="23743"/>
    <n v="0"/>
    <x v="2153"/>
    <n v="406"/>
    <n v="431.69090909090909"/>
    <n v="431.69090909090909"/>
    <n v="0"/>
    <n v="265.52545454545452"/>
    <n v="7.3818181818181818"/>
    <n v="25"/>
    <n v="0"/>
    <n v="48.63636363636364"/>
    <n v="10"/>
    <n v="8.5"/>
    <n v="0"/>
    <n v="0.98636363636363633"/>
    <n v="0.61508234005812235"/>
    <n v="0.92136363636363638"/>
    <s v="5 livers - 1 fore quarter - 4 legs "/>
    <m/>
    <m/>
    <m/>
    <m/>
    <m/>
    <n v="0"/>
    <m/>
    <m/>
  </r>
  <r>
    <x v="1592"/>
    <x v="0"/>
    <m/>
    <x v="14"/>
    <n v="56"/>
    <n v="56"/>
    <n v="0"/>
    <m/>
    <n v="27900"/>
    <n v="27900"/>
    <n v="0"/>
    <x v="2154"/>
    <n v="493"/>
    <n v="498.21428571428572"/>
    <n v="498.21428571428572"/>
    <n v="0"/>
    <n v="298.93035714285713"/>
    <n v="8.8035714285714288"/>
    <n v="24.267857142857142"/>
    <n v="0"/>
    <n v="48.553571428571431"/>
    <n v="10"/>
    <n v="8.5"/>
    <n v="0"/>
    <n v="0.97089285714285711"/>
    <n v="0.6000035842293906"/>
    <n v="0.91321428571428565"/>
    <s v="4 livers - 8 kidneys - 1 heart - 1 spleen - 1 leg"/>
    <m/>
    <m/>
    <m/>
    <m/>
    <m/>
    <n v="33"/>
    <m/>
    <m/>
  </r>
  <r>
    <x v="1592"/>
    <x v="1"/>
    <m/>
    <x v="14"/>
    <n v="36"/>
    <n v="36"/>
    <n v="0"/>
    <m/>
    <n v="1920"/>
    <n v="1920"/>
    <n v="0"/>
    <x v="2155"/>
    <n v="0"/>
    <n v="53.333333333333336"/>
    <n v="53.333333333333336"/>
    <n v="0"/>
    <n v="29.883333333333333"/>
    <n v="0"/>
    <n v="25"/>
    <n v="0"/>
    <n v="47.944444444444443"/>
    <n v="10"/>
    <n v="8.5"/>
    <n v="0"/>
    <n v="0.97944444444444445"/>
    <n v="0.56031249999999999"/>
    <n v="0.91444444444444439"/>
    <s v="4 kidneys "/>
    <m/>
    <m/>
    <m/>
    <m/>
    <m/>
    <n v="0"/>
    <m/>
    <m/>
  </r>
  <r>
    <x v="1593"/>
    <x v="0"/>
    <m/>
    <x v="0"/>
    <n v="30"/>
    <n v="29"/>
    <n v="1"/>
    <s v="1 carcass due to C.Bovis in the heart."/>
    <n v="14312"/>
    <n v="14312"/>
    <n v="0"/>
    <x v="2156"/>
    <n v="298"/>
    <n v="493.51724137931035"/>
    <n v="493.51724137931035"/>
    <n v="0"/>
    <n v="296.11724137931031"/>
    <n v="10.275862068965518"/>
    <n v="24.827586206896552"/>
    <n v="0"/>
    <n v="46.827586206896555"/>
    <n v="10"/>
    <n v="8.5"/>
    <n v="0"/>
    <n v="0.96482758620689657"/>
    <n v="0.60001397428731129"/>
    <n v="0.90155172413793105"/>
    <s v=" 8 kidneys"/>
    <m/>
    <m/>
    <m/>
    <m/>
    <m/>
    <n v="4"/>
    <m/>
    <m/>
  </r>
  <r>
    <x v="1593"/>
    <x v="0"/>
    <m/>
    <x v="23"/>
    <n v="23"/>
    <n v="23"/>
    <n v="0"/>
    <m/>
    <n v="12401.26582278481"/>
    <n v="12401.26582278481"/>
    <n v="0"/>
    <x v="2157"/>
    <n v="0"/>
    <n v="539.18547055586134"/>
    <n v="539.18547055586134"/>
    <n v="0"/>
    <n v="340.76521739130436"/>
    <n v="0"/>
    <n v="25"/>
    <n v="4"/>
    <n v="45.652173913043477"/>
    <n v="10"/>
    <n v="8.5"/>
    <n v="0"/>
    <n v="0.95652173913043481"/>
    <n v="0.63200000000000001"/>
    <n v="0.93152173913043468"/>
    <s v="1 liver - 4 kidneys - 1 lung"/>
    <m/>
    <m/>
    <m/>
    <m/>
    <m/>
    <n v="13"/>
    <m/>
    <m/>
  </r>
  <r>
    <x v="1594"/>
    <x v="1"/>
    <m/>
    <x v="33"/>
    <n v="28"/>
    <n v="28"/>
    <n v="0"/>
    <m/>
    <n v="1378"/>
    <n v="1378"/>
    <n v="0"/>
    <x v="2158"/>
    <n v="0"/>
    <n v="49.214285714285715"/>
    <n v="49.214285714285715"/>
    <n v="0"/>
    <n v="28.432142857142857"/>
    <n v="0"/>
    <n v="25"/>
    <n v="0"/>
    <n v="42.75"/>
    <n v="10"/>
    <n v="8.5"/>
    <n v="0"/>
    <n v="0.92749999999999999"/>
    <n v="0.57772133526850511"/>
    <n v="0.86250000000000004"/>
    <s v="4 kidneys - 4 hearts - 5 livers - 1 omentum "/>
    <m/>
    <m/>
    <m/>
    <m/>
    <m/>
    <n v="0"/>
    <m/>
    <m/>
  </r>
  <r>
    <x v="1594"/>
    <x v="0"/>
    <m/>
    <x v="33"/>
    <n v="52"/>
    <n v="52"/>
    <n v="0"/>
    <m/>
    <n v="22566"/>
    <n v="22566"/>
    <n v="0"/>
    <x v="2159"/>
    <n v="398"/>
    <n v="433.96153846153845"/>
    <n v="433.96153846153845"/>
    <n v="0"/>
    <n v="263.40576923076924"/>
    <n v="7.6538461538461542"/>
    <n v="25"/>
    <n v="0"/>
    <n v="48.653846153846146"/>
    <n v="10"/>
    <n v="8.5"/>
    <n v="0"/>
    <n v="0.98653846153846148"/>
    <n v="0.60697952672161659"/>
    <n v="0.92153846153846142"/>
    <s v="4 livers "/>
    <m/>
    <m/>
    <m/>
    <m/>
    <m/>
    <n v="0"/>
    <m/>
    <m/>
  </r>
  <r>
    <x v="1595"/>
    <x v="0"/>
    <m/>
    <x v="36"/>
    <n v="77"/>
    <n v="74"/>
    <n v="3"/>
    <s v="2 carcasses due to c. bovis in the hearts + 1 bull due to lumby skin disease"/>
    <n v="44000"/>
    <n v="44000"/>
    <n v="0"/>
    <x v="2160"/>
    <n v="729"/>
    <n v="594.59459459459458"/>
    <n v="594.59459459459458"/>
    <n v="0"/>
    <n v="357.60405405405407"/>
    <n v="9.8513513513513509"/>
    <n v="24.932432432432432"/>
    <n v="0"/>
    <n v="46.756756756756751"/>
    <n v="10"/>
    <n v="8.5"/>
    <n v="0"/>
    <n v="0.96621621621621612"/>
    <n v="0.60142499999999999"/>
    <n v="0.90189189189189178"/>
    <s v="7 livers - 16 kidneys - 5 hearts "/>
    <m/>
    <m/>
    <m/>
    <m/>
    <m/>
    <n v="31"/>
    <m/>
    <m/>
  </r>
  <r>
    <x v="1595"/>
    <x v="1"/>
    <m/>
    <x v="33"/>
    <n v="40"/>
    <n v="39"/>
    <n v="1"/>
    <s v="1 carcass due to sever sheep measles"/>
    <n v="1855"/>
    <n v="1855"/>
    <n v="0"/>
    <x v="2086"/>
    <n v="0"/>
    <n v="47.564102564102562"/>
    <n v="47.564102564102562"/>
    <n v="0"/>
    <n v="27.112820512820516"/>
    <n v="0"/>
    <n v="25"/>
    <n v="0"/>
    <n v="43.243589743589745"/>
    <n v="10"/>
    <n v="8.5"/>
    <n v="0"/>
    <n v="0.9324358974358975"/>
    <n v="0.57002695417789762"/>
    <n v="0.86743589743589755"/>
    <s v="7 livers - 7 kidneys - 5 hearts"/>
    <m/>
    <m/>
    <m/>
    <m/>
    <m/>
    <n v="0"/>
    <m/>
    <m/>
  </r>
  <r>
    <x v="1596"/>
    <x v="0"/>
    <m/>
    <x v="33"/>
    <n v="30"/>
    <n v="29"/>
    <n v="1"/>
    <s v="1 carcass due to generalized TB "/>
    <n v="12474"/>
    <n v="12474"/>
    <n v="0"/>
    <x v="2161"/>
    <n v="235"/>
    <n v="430.13793103448273"/>
    <n v="430.13793103448273"/>
    <n v="0"/>
    <n v="263.41379310344826"/>
    <n v="8.1034482758620694"/>
    <n v="24.96551724137931"/>
    <n v="0"/>
    <n v="47.96551724137931"/>
    <n v="10"/>
    <n v="8.5"/>
    <n v="0"/>
    <n v="0.97896551724137926"/>
    <n v="0.61239377906044568"/>
    <n v="0.91431034482758622"/>
    <s v="2 livers - 2 kidneys - 1 lung - 1 leg "/>
    <m/>
    <m/>
    <m/>
    <m/>
    <m/>
    <n v="0"/>
    <m/>
    <m/>
  </r>
  <r>
    <x v="1597"/>
    <x v="0"/>
    <m/>
    <x v="14"/>
    <n v="48"/>
    <n v="48"/>
    <n v="0"/>
    <m/>
    <n v="25174"/>
    <n v="25174"/>
    <n v="0"/>
    <x v="2162"/>
    <n v="506"/>
    <n v="524.45833333333337"/>
    <n v="524.45833333333337"/>
    <n v="0"/>
    <n v="314.67500000000001"/>
    <n v="10.541666666666666"/>
    <n v="24.791666666666668"/>
    <n v="0"/>
    <n v="46.020833333333329"/>
    <n v="10"/>
    <n v="8.5"/>
    <n v="0"/>
    <n v="0.95604166666666668"/>
    <n v="0.6"/>
    <n v="0.89312499999999995"/>
    <s v="7 livers - 6 kidneys - 2 hearts - 2 spleens "/>
    <m/>
    <m/>
    <m/>
    <m/>
    <m/>
    <n v="22"/>
    <m/>
    <m/>
  </r>
  <r>
    <x v="1597"/>
    <x v="1"/>
    <m/>
    <x v="14"/>
    <n v="50"/>
    <n v="50"/>
    <n v="0"/>
    <m/>
    <n v="2690"/>
    <n v="2690"/>
    <n v="0"/>
    <x v="2163"/>
    <n v="0"/>
    <n v="53.8"/>
    <n v="53.8"/>
    <n v="0"/>
    <n v="30.32"/>
    <n v="0"/>
    <n v="25"/>
    <n v="0"/>
    <n v="47.32"/>
    <n v="10"/>
    <n v="8.5"/>
    <n v="0"/>
    <n v="0.97320000000000007"/>
    <n v="0.56356877323420074"/>
    <n v="0.9081999999999999"/>
    <s v="2 kidneys"/>
    <m/>
    <m/>
    <m/>
    <m/>
    <m/>
    <n v="0"/>
    <m/>
    <m/>
  </r>
  <r>
    <x v="1598"/>
    <x v="0"/>
    <m/>
    <x v="31"/>
    <n v="47"/>
    <n v="47"/>
    <n v="0"/>
    <m/>
    <n v="22255"/>
    <n v="22255"/>
    <n v="0"/>
    <x v="2164"/>
    <n v="419"/>
    <n v="473.51063829787233"/>
    <n v="473.51063829787233"/>
    <n v="0"/>
    <n v="295.65106382978723"/>
    <n v="8.914893617021276"/>
    <n v="25"/>
    <n v="0"/>
    <n v="48.159574468085104"/>
    <n v="10"/>
    <n v="8.5"/>
    <n v="0"/>
    <n v="0.98159574468085098"/>
    <n v="0.6243810379689958"/>
    <n v="0.91659574468085114"/>
    <s v="3 livers - 1 kidney - 1 fore quarter "/>
    <m/>
    <m/>
    <m/>
    <m/>
    <m/>
    <n v="0"/>
    <m/>
    <m/>
  </r>
  <r>
    <x v="1599"/>
    <x v="1"/>
    <m/>
    <x v="21"/>
    <n v="35"/>
    <n v="32"/>
    <n v="3"/>
    <s v="3 carcasses due to sever sheep measles"/>
    <n v="1653"/>
    <n v="1653"/>
    <n v="0"/>
    <x v="2165"/>
    <n v="0"/>
    <n v="51.65625"/>
    <n v="51.65625"/>
    <n v="0"/>
    <n v="28.024999999999999"/>
    <n v="0"/>
    <n v="25"/>
    <n v="0"/>
    <n v="44.625"/>
    <n v="10"/>
    <n v="8.5"/>
    <n v="0"/>
    <n v="0.94625000000000004"/>
    <n v="0.54252873563218385"/>
    <n v="0.88124999999999998"/>
    <s v="6 livers - 2 omentums"/>
    <m/>
    <m/>
    <m/>
    <m/>
    <m/>
    <n v="0"/>
    <m/>
    <m/>
  </r>
  <r>
    <x v="1599"/>
    <x v="0"/>
    <m/>
    <x v="0"/>
    <n v="44"/>
    <n v="40"/>
    <n v="4"/>
    <s v="3 carcasses due to presence of drug residues + 1 carcass due to C.Bovis in the heart."/>
    <n v="20784"/>
    <n v="20784"/>
    <n v="0"/>
    <x v="2166"/>
    <n v="525"/>
    <n v="519.6"/>
    <n v="519.6"/>
    <n v="0"/>
    <n v="311.7525"/>
    <n v="13.125"/>
    <n v="25"/>
    <n v="0"/>
    <n v="46.325000000000003"/>
    <n v="10"/>
    <n v="8.5"/>
    <n v="0"/>
    <n v="0.96325000000000005"/>
    <n v="0.5999855658198614"/>
    <n v="0.89824999999999999"/>
    <s v="5 livers - 4 kidneys - 1 heart - 1 spleen"/>
    <m/>
    <m/>
    <m/>
    <m/>
    <m/>
    <n v="6"/>
    <m/>
    <m/>
  </r>
  <r>
    <x v="1600"/>
    <x v="0"/>
    <m/>
    <x v="33"/>
    <n v="48"/>
    <n v="48"/>
    <n v="0"/>
    <m/>
    <n v="20514"/>
    <n v="20514"/>
    <n v="0"/>
    <x v="2167"/>
    <n v="293"/>
    <n v="427.375"/>
    <n v="427.375"/>
    <n v="0"/>
    <n v="260.625"/>
    <n v="6.104166666666667"/>
    <n v="25"/>
    <n v="0"/>
    <n v="49.343750000000007"/>
    <n v="10"/>
    <n v="8.5"/>
    <n v="0"/>
    <n v="0.99343750000000008"/>
    <n v="0.60982743492249192"/>
    <n v="0.92843750000000003"/>
    <s v="1 liver - 1 kidney - 1 heart"/>
    <m/>
    <m/>
    <m/>
    <m/>
    <m/>
    <n v="0"/>
    <m/>
    <m/>
  </r>
  <r>
    <x v="1601"/>
    <x v="1"/>
    <m/>
    <x v="33"/>
    <n v="58"/>
    <n v="56"/>
    <n v="2"/>
    <s v="1 carcass due to pyelonephritis + 1 female carcass"/>
    <n v="2330"/>
    <n v="2330"/>
    <n v="0"/>
    <x v="2168"/>
    <n v="0"/>
    <n v="41.607142857142854"/>
    <n v="41.607142857142854"/>
    <n v="0"/>
    <n v="23.303571428571427"/>
    <n v="0"/>
    <n v="25"/>
    <n v="0"/>
    <n v="41.392857142857139"/>
    <n v="10"/>
    <n v="8.5"/>
    <n v="0"/>
    <n v="0.91392857142857142"/>
    <n v="0.56008583690987124"/>
    <n v="0.84892857142857137"/>
    <s v="30 livers - 6 kidneys - 3 hearts - 1 lung"/>
    <m/>
    <m/>
    <m/>
    <m/>
    <m/>
    <n v="0"/>
    <m/>
    <m/>
  </r>
  <r>
    <x v="1601"/>
    <x v="0"/>
    <m/>
    <x v="33"/>
    <n v="82"/>
    <n v="82"/>
    <n v="0"/>
    <m/>
    <n v="33802"/>
    <n v="33802"/>
    <n v="0"/>
    <x v="2169"/>
    <n v="515"/>
    <n v="412.21951219512198"/>
    <n v="412.21951219512198"/>
    <n v="0"/>
    <n v="252.9329268292683"/>
    <n v="6.2804878048780486"/>
    <n v="24.963414634146343"/>
    <n v="0"/>
    <n v="48.256097560975611"/>
    <n v="10"/>
    <n v="8.5"/>
    <n v="0"/>
    <n v="0.98182926829268302"/>
    <n v="0.61358795337553995"/>
    <n v="0.91719512195121955"/>
    <s v="7 livers - 3 fore quarters - 3 legs - 2 lungs"/>
    <m/>
    <m/>
    <m/>
    <m/>
    <m/>
    <n v="0"/>
    <m/>
    <m/>
  </r>
  <r>
    <x v="1602"/>
    <x v="0"/>
    <m/>
    <x v="14"/>
    <n v="44"/>
    <n v="43"/>
    <n v="1"/>
    <s v="1 carcass due to miliary TB "/>
    <n v="21266"/>
    <n v="21266"/>
    <n v="0"/>
    <x v="2170"/>
    <n v="428"/>
    <n v="494.55813953488371"/>
    <n v="494.55813953488371"/>
    <n v="0"/>
    <n v="296.72790697674418"/>
    <n v="9.9534883720930232"/>
    <n v="24.069767441860463"/>
    <n v="0"/>
    <n v="48.558139534883715"/>
    <n v="10"/>
    <n v="8.5"/>
    <n v="0"/>
    <n v="0.9669767441860464"/>
    <n v="0.5999858929747014"/>
    <n v="0.91127906976744188"/>
    <s v="3 livers - 4 kidneys "/>
    <m/>
    <m/>
    <m/>
    <m/>
    <m/>
    <n v="20"/>
    <m/>
    <m/>
  </r>
  <r>
    <x v="1602"/>
    <x v="1"/>
    <m/>
    <x v="14"/>
    <n v="40"/>
    <n v="40"/>
    <n v="0"/>
    <m/>
    <n v="2041"/>
    <n v="2041"/>
    <n v="0"/>
    <x v="2171"/>
    <n v="0"/>
    <n v="51.024999999999999"/>
    <n v="51.024999999999999"/>
    <n v="0"/>
    <n v="31.055"/>
    <n v="0"/>
    <n v="25"/>
    <n v="0"/>
    <n v="49.65"/>
    <n v="10"/>
    <n v="8.5"/>
    <n v="0"/>
    <n v="0.99649999999999994"/>
    <n v="0.60862322390984813"/>
    <n v="0.93150000000000011"/>
    <s v="1 liver"/>
    <m/>
    <m/>
    <m/>
    <m/>
    <m/>
    <n v="0"/>
    <m/>
    <m/>
  </r>
  <r>
    <x v="1603"/>
    <x v="0"/>
    <s v="Native "/>
    <x v="27"/>
    <n v="64"/>
    <n v="64"/>
    <n v="0"/>
    <m/>
    <n v="36125"/>
    <n v="36125"/>
    <n v="0"/>
    <x v="2172"/>
    <n v="693"/>
    <n v="564.453125"/>
    <n v="564.453125"/>
    <n v="0"/>
    <n v="353.23750000000001"/>
    <n v="10.828125"/>
    <n v="25"/>
    <n v="0"/>
    <n v="44.5625"/>
    <n v="10"/>
    <n v="8.5"/>
    <n v="0"/>
    <n v="0.94562499999999994"/>
    <n v="0.62580484429065741"/>
    <n v="0.88062499999999999"/>
    <s v="2 livers - 10 kidneys"/>
    <m/>
    <m/>
    <m/>
    <m/>
    <m/>
    <n v="14"/>
    <m/>
    <m/>
  </r>
  <r>
    <x v="1604"/>
    <x v="0"/>
    <m/>
    <x v="14"/>
    <n v="20"/>
    <n v="19"/>
    <n v="1"/>
    <s v="1 carcass due to EM"/>
    <n v="10476"/>
    <n v="10476"/>
    <n v="0"/>
    <x v="2173"/>
    <n v="230"/>
    <n v="551.36842105263156"/>
    <n v="551.36842105263156"/>
    <n v="0"/>
    <n v="330.82105263157899"/>
    <n v="12.105263157894736"/>
    <n v="23.105263157894736"/>
    <n v="0"/>
    <n v="45.052631578947363"/>
    <n v="10"/>
    <n v="8.5"/>
    <n v="0"/>
    <n v="0.91263157894736835"/>
    <n v="0.60000000000000009"/>
    <n v="0.866578947368421"/>
    <s v="3 livers - 6 kidneys - 1 heart - 1 leg "/>
    <m/>
    <m/>
    <m/>
    <m/>
    <m/>
    <n v="14"/>
    <m/>
    <m/>
  </r>
  <r>
    <x v="1604"/>
    <x v="1"/>
    <m/>
    <x v="14"/>
    <n v="60"/>
    <n v="60"/>
    <n v="0"/>
    <m/>
    <n v="3281"/>
    <n v="3281"/>
    <n v="0"/>
    <x v="2174"/>
    <n v="0"/>
    <n v="54.68333333333333"/>
    <n v="54.68333333333333"/>
    <n v="0"/>
    <n v="32.561666666666667"/>
    <n v="0"/>
    <n v="25"/>
    <n v="0"/>
    <n v="48.366666666666674"/>
    <n v="10"/>
    <n v="8.5"/>
    <n v="0"/>
    <n v="0.98366666666666669"/>
    <n v="0.59545870161536119"/>
    <n v="0.91866666666666674"/>
    <s v="5 livers -1 heart"/>
    <m/>
    <m/>
    <m/>
    <m/>
    <m/>
    <n v="0"/>
    <m/>
    <m/>
  </r>
  <r>
    <x v="1604"/>
    <x v="0"/>
    <m/>
    <x v="35"/>
    <n v="46"/>
    <n v="45"/>
    <n v="1"/>
    <s v="1 carcass due to presence of drug residues."/>
    <n v="19918"/>
    <n v="19918"/>
    <n v="0"/>
    <x v="2175"/>
    <n v="324"/>
    <n v="442.62222222222221"/>
    <n v="442.62222222222221"/>
    <n v="0"/>
    <n v="267.51777777777778"/>
    <n v="7.2"/>
    <n v="25"/>
    <n v="0"/>
    <n v="48.355555555555554"/>
    <n v="10"/>
    <n v="8.5"/>
    <n v="0"/>
    <n v="0.98355555555555552"/>
    <n v="0.60439301134652068"/>
    <n v="0.91855555555555557"/>
    <s v="1 lung - 1 intestine - 6 kidneys "/>
    <m/>
    <m/>
    <m/>
    <m/>
    <m/>
    <n v="1"/>
    <m/>
    <m/>
  </r>
  <r>
    <x v="1605"/>
    <x v="0"/>
    <m/>
    <x v="0"/>
    <n v="44"/>
    <n v="43"/>
    <n v="1"/>
    <s v="1 carcass due to miliary TB "/>
    <n v="21470"/>
    <n v="21470"/>
    <n v="0"/>
    <x v="2176"/>
    <n v="475"/>
    <n v="499.30232558139534"/>
    <n v="499.30232558139534"/>
    <n v="0"/>
    <n v="299.59767441860464"/>
    <n v="11.046511627906977"/>
    <n v="24.418604651162791"/>
    <n v="0"/>
    <n v="48.953488372093027"/>
    <n v="10"/>
    <n v="8.5"/>
    <n v="0"/>
    <n v="0.97790697674418614"/>
    <n v="0.60003260363297628"/>
    <n v="0.91872093023255819"/>
    <s v="1 spleen - 4 kidneys - 1 lung - 1 heart"/>
    <m/>
    <m/>
    <m/>
    <m/>
    <m/>
    <n v="18"/>
    <m/>
    <m/>
  </r>
  <r>
    <x v="1606"/>
    <x v="0"/>
    <m/>
    <x v="33"/>
    <n v="45"/>
    <n v="45"/>
    <n v="0"/>
    <m/>
    <n v="18986"/>
    <n v="18986"/>
    <n v="0"/>
    <x v="2177"/>
    <n v="342"/>
    <n v="421.9111111111111"/>
    <n v="421.9111111111111"/>
    <n v="0"/>
    <n v="254.60888888888888"/>
    <n v="7.6"/>
    <n v="24.911111111111111"/>
    <n v="0"/>
    <n v="47.955555555555549"/>
    <n v="10"/>
    <n v="8.5"/>
    <n v="0"/>
    <n v="0.97777777777777775"/>
    <n v="0.60346571157695139"/>
    <n v="0.91366666666666663"/>
    <s v="5 livers - 4 legs - 2 hearts"/>
    <m/>
    <m/>
    <m/>
    <m/>
    <m/>
    <n v="0"/>
    <m/>
    <m/>
  </r>
  <r>
    <x v="1606"/>
    <x v="1"/>
    <m/>
    <x v="14"/>
    <n v="28"/>
    <n v="28"/>
    <n v="0"/>
    <m/>
    <n v="1480"/>
    <n v="1480"/>
    <n v="0"/>
    <x v="2178"/>
    <n v="0"/>
    <n v="52.857142857142854"/>
    <n v="52.857142857142854"/>
    <n v="0"/>
    <n v="30.360714285714288"/>
    <n v="0"/>
    <n v="25"/>
    <n v="0"/>
    <n v="49.428571428571431"/>
    <n v="10"/>
    <n v="8.5"/>
    <n v="0"/>
    <n v="0.99428571428571433"/>
    <n v="0.57439189189189188"/>
    <n v="0.92928571428571427"/>
    <s v="None"/>
    <m/>
    <m/>
    <m/>
    <m/>
    <m/>
    <n v="0"/>
    <m/>
    <m/>
  </r>
  <r>
    <x v="1607"/>
    <x v="0"/>
    <m/>
    <x v="33"/>
    <n v="84"/>
    <n v="84"/>
    <n v="0"/>
    <m/>
    <n v="37014"/>
    <n v="37014"/>
    <n v="0"/>
    <x v="2179"/>
    <n v="627"/>
    <n v="440.64285714285717"/>
    <n v="440.64285714285717"/>
    <n v="0"/>
    <n v="267.20476190476194"/>
    <n v="7.4642857142857144"/>
    <n v="24.988095238095237"/>
    <n v="0"/>
    <n v="48.339285714285715"/>
    <n v="10"/>
    <n v="8.5"/>
    <n v="0"/>
    <n v="0.98315476190476192"/>
    <n v="0.60639757929432103"/>
    <n v="0.91827380952380944"/>
    <s v="7 livers - 1 leg - 3 fore quarters - 5 kidneys"/>
    <m/>
    <m/>
    <m/>
    <m/>
    <m/>
    <n v="0"/>
    <m/>
    <m/>
  </r>
  <r>
    <x v="1607"/>
    <x v="1"/>
    <m/>
    <x v="14"/>
    <n v="38"/>
    <n v="38"/>
    <n v="0"/>
    <m/>
    <n v="2007"/>
    <n v="2007"/>
    <n v="0"/>
    <x v="2180"/>
    <n v="0"/>
    <n v="52.815789473684212"/>
    <n v="52.815789473684212"/>
    <n v="0"/>
    <n v="29.984210526315792"/>
    <n v="0"/>
    <n v="25"/>
    <n v="0"/>
    <n v="49.526315789473685"/>
    <n v="10"/>
    <n v="8.5"/>
    <n v="0"/>
    <n v="0.99526315789473685"/>
    <n v="0.56771300448430495"/>
    <n v="0.9302631578947369"/>
    <s v="1 heart"/>
    <m/>
    <m/>
    <m/>
    <m/>
    <m/>
    <n v="0"/>
    <m/>
    <m/>
  </r>
  <r>
    <x v="1608"/>
    <x v="0"/>
    <m/>
    <x v="33"/>
    <n v="60"/>
    <n v="60"/>
    <n v="0"/>
    <m/>
    <n v="26699"/>
    <n v="26699"/>
    <n v="0"/>
    <x v="2181"/>
    <n v="540"/>
    <n v="444.98333333333335"/>
    <n v="444.98333333333335"/>
    <n v="0"/>
    <n v="275.0383333333333"/>
    <n v="9"/>
    <n v="25"/>
    <n v="0"/>
    <n v="49.45"/>
    <n v="10"/>
    <n v="8.5"/>
    <n v="0"/>
    <n v="0.99450000000000005"/>
    <n v="0.61808681973107604"/>
    <n v="0.92949999999999999"/>
    <s v="3 livers - 1 heart"/>
    <m/>
    <m/>
    <m/>
    <m/>
    <m/>
    <n v="0"/>
    <m/>
    <m/>
  </r>
  <r>
    <x v="1608"/>
    <x v="1"/>
    <m/>
    <x v="14"/>
    <n v="38"/>
    <n v="37"/>
    <n v="1"/>
    <s v="1 carcass due to sever sheep measles"/>
    <n v="1968"/>
    <n v="1968"/>
    <n v="0"/>
    <x v="2182"/>
    <n v="0"/>
    <n v="53.189189189189186"/>
    <n v="53.189189189189186"/>
    <n v="0"/>
    <n v="30.675675675675677"/>
    <n v="0"/>
    <n v="25"/>
    <n v="0"/>
    <n v="49.108108108108112"/>
    <n v="10"/>
    <n v="8.5"/>
    <n v="0"/>
    <n v="0.99108108108108106"/>
    <n v="0.57672764227642281"/>
    <n v="0.92608108108108111"/>
    <s v="None"/>
    <m/>
    <m/>
    <m/>
    <m/>
    <m/>
    <n v="0"/>
    <m/>
    <m/>
  </r>
  <r>
    <x v="1609"/>
    <x v="0"/>
    <m/>
    <x v="14"/>
    <n v="77"/>
    <n v="75"/>
    <n v="2"/>
    <s v="2 carcasses due to C. Bovis in the heart."/>
    <n v="38178"/>
    <n v="38178"/>
    <n v="0"/>
    <x v="2183"/>
    <n v="798"/>
    <n v="509.04"/>
    <n v="509.04"/>
    <n v="0"/>
    <n v="305.42399999999998"/>
    <n v="10.64"/>
    <n v="24.8"/>
    <n v="0"/>
    <n v="48.720000000000006"/>
    <n v="10"/>
    <n v="8.5"/>
    <n v="0"/>
    <n v="0.98320000000000007"/>
    <n v="0.6"/>
    <n v="0.92020000000000013"/>
    <s v="3 livers - 6 kidneys - 2 hearts"/>
    <m/>
    <m/>
    <m/>
    <m/>
    <m/>
    <n v="10"/>
    <m/>
    <m/>
  </r>
  <r>
    <x v="1610"/>
    <x v="1"/>
    <m/>
    <x v="14"/>
    <n v="36"/>
    <n v="36"/>
    <n v="0"/>
    <m/>
    <n v="1943"/>
    <n v="1943"/>
    <n v="0"/>
    <x v="2184"/>
    <n v="0"/>
    <n v="53.972222222222221"/>
    <n v="53.972222222222221"/>
    <n v="0"/>
    <n v="32.400000000000006"/>
    <n v="0"/>
    <n v="25"/>
    <n v="0"/>
    <n v="48.249999999999993"/>
    <n v="10"/>
    <n v="8.5"/>
    <n v="0"/>
    <n v="0.98249999999999993"/>
    <n v="0.60030880082346894"/>
    <n v="0.91749999999999998"/>
    <s v="6 livers - 1 lung- 1 heart"/>
    <m/>
    <m/>
    <m/>
    <m/>
    <m/>
    <n v="0"/>
    <m/>
    <m/>
  </r>
  <r>
    <x v="1610"/>
    <x v="0"/>
    <m/>
    <x v="31"/>
    <n v="65"/>
    <n v="64"/>
    <n v="1"/>
    <s v="1 carcass due to miliary tb."/>
    <n v="29567"/>
    <n v="29567"/>
    <n v="0"/>
    <x v="2185"/>
    <n v="455"/>
    <n v="461.984375"/>
    <n v="461.984375"/>
    <n v="0"/>
    <n v="288.09843749999999"/>
    <n v="7.109375"/>
    <n v="25"/>
    <n v="0"/>
    <n v="47.875"/>
    <n v="10"/>
    <n v="8.5"/>
    <n v="0"/>
    <n v="0.97875000000000001"/>
    <n v="0.6236107822910677"/>
    <n v="0.91374999999999995"/>
    <s v="5 livers - 12 kidneys - 1 heart - 3 lungs"/>
    <m/>
    <m/>
    <m/>
    <m/>
    <m/>
    <n v="0"/>
    <m/>
    <m/>
  </r>
  <r>
    <x v="1611"/>
    <x v="0"/>
    <m/>
    <x v="33"/>
    <n v="75"/>
    <n v="75"/>
    <n v="0"/>
    <m/>
    <n v="33294"/>
    <n v="33294"/>
    <n v="0"/>
    <x v="2186"/>
    <n v="577"/>
    <n v="443.92"/>
    <n v="443.92"/>
    <n v="0"/>
    <n v="269.76799999999997"/>
    <n v="7.6933333333333334"/>
    <n v="24.986666666666668"/>
    <n v="0"/>
    <n v="48.62"/>
    <n v="10"/>
    <n v="8.5"/>
    <n v="0"/>
    <n v="0.98593333333333333"/>
    <n v="0.60769508019462959"/>
    <n v="0.9210666666666667"/>
    <s v="5 livers - 5 kidneys - 1 lung - 1 spleen - 1 leg"/>
    <m/>
    <m/>
    <m/>
    <m/>
    <m/>
    <n v="0"/>
    <m/>
    <m/>
  </r>
  <r>
    <x v="1612"/>
    <x v="0"/>
    <m/>
    <x v="33"/>
    <n v="70"/>
    <n v="70"/>
    <n v="0"/>
    <m/>
    <n v="31059"/>
    <n v="31059"/>
    <n v="0"/>
    <x v="2187"/>
    <n v="546"/>
    <n v="443.7"/>
    <n v="443.7"/>
    <n v="0"/>
    <n v="272.53285714285715"/>
    <n v="7.8"/>
    <n v="25"/>
    <n v="0"/>
    <n v="48.714285714285715"/>
    <n v="10"/>
    <n v="8.5"/>
    <n v="0"/>
    <n v="0.9871428571428571"/>
    <n v="0.61422776006954505"/>
    <n v="0.92214285714285726"/>
    <s v="5 livers - 4 kidneys - 2 lungs - 1 fore quarter"/>
    <m/>
    <m/>
    <m/>
    <m/>
    <m/>
    <n v="0"/>
    <m/>
    <m/>
  </r>
  <r>
    <x v="1612"/>
    <x v="1"/>
    <m/>
    <x v="14"/>
    <n v="36"/>
    <n v="36"/>
    <n v="0"/>
    <m/>
    <n v="2014"/>
    <n v="2014"/>
    <n v="0"/>
    <x v="2188"/>
    <n v="0"/>
    <n v="55.944444444444443"/>
    <n v="55.944444444444443"/>
    <n v="0"/>
    <n v="33.758333333333333"/>
    <n v="0"/>
    <n v="25"/>
    <n v="0"/>
    <n v="47.983333333333334"/>
    <n v="10"/>
    <n v="8.5"/>
    <n v="0"/>
    <n v="0.97983333333333333"/>
    <n v="0.60342601787487582"/>
    <n v="0.91483333333333339"/>
    <s v="3 livers - 2 hearts - 1 omentum"/>
    <m/>
    <m/>
    <m/>
    <m/>
    <m/>
    <n v="0"/>
    <m/>
    <m/>
  </r>
  <r>
    <x v="1613"/>
    <x v="0"/>
    <m/>
    <x v="36"/>
    <n v="45"/>
    <n v="41"/>
    <n v="4"/>
    <s v="2 bulls lumby skin disease + 2 carcasses due to C. Bovis in the heart."/>
    <n v="25800"/>
    <n v="25800"/>
    <n v="0"/>
    <x v="2189"/>
    <n v="441"/>
    <n v="629.26829268292681"/>
    <n v="629.26829268292681"/>
    <n v="0"/>
    <n v="377.89268292682925"/>
    <n v="10.75609756097561"/>
    <n v="24.756097560975611"/>
    <n v="0"/>
    <n v="46.219512195121958"/>
    <n v="10"/>
    <n v="8.5"/>
    <n v="0"/>
    <n v="0.95731707317073189"/>
    <n v="0.6005271317829457"/>
    <n v="0.89475609756097574"/>
    <s v="6 livers - 8 kidneys - 1 heart - 4 lungs"/>
    <m/>
    <m/>
    <m/>
    <m/>
    <m/>
    <n v="8"/>
    <m/>
    <m/>
  </r>
  <r>
    <x v="1613"/>
    <x v="1"/>
    <m/>
    <x v="14"/>
    <n v="50"/>
    <n v="49"/>
    <n v="1"/>
    <s v="1 sheep due to rectal prolapse."/>
    <n v="2575"/>
    <n v="2575"/>
    <n v="0"/>
    <x v="2190"/>
    <n v="0"/>
    <n v="52.551020408163268"/>
    <n v="52.551020408163268"/>
    <n v="0"/>
    <n v="29.122448979591837"/>
    <n v="0"/>
    <n v="25"/>
    <n v="0"/>
    <n v="45.204081632653057"/>
    <n v="10"/>
    <n v="8.5"/>
    <n v="0"/>
    <n v="0.95204081632653059"/>
    <n v="0.55417475728155341"/>
    <n v="0.88704081632653053"/>
    <s v="6 livers - 4 kidneys - 2 hearts "/>
    <m/>
    <m/>
    <m/>
    <m/>
    <m/>
    <n v="0"/>
    <m/>
    <m/>
  </r>
  <r>
    <x v="1613"/>
    <x v="0"/>
    <m/>
    <x v="0"/>
    <n v="64"/>
    <n v="60"/>
    <n v="4"/>
    <s v="3 carcasses due to C. Bovis in the heart + 1 carcass with sever bruises"/>
    <n v="31888"/>
    <n v="31888"/>
    <n v="0"/>
    <x v="2191"/>
    <n v="698"/>
    <n v="531.4666666666667"/>
    <n v="531.4666666666667"/>
    <n v="0"/>
    <n v="318.87833333333333"/>
    <n v="11.633333333333333"/>
    <n v="24.583333333333332"/>
    <n v="0"/>
    <n v="47.2"/>
    <n v="10"/>
    <n v="8.5"/>
    <n v="0"/>
    <n v="0.96366666666666667"/>
    <n v="0.59999686402408436"/>
    <n v="0.90283333333333327"/>
    <s v="4 livers - 6 kidneys - 1 head - 3 hearts - 1 lung - 1 fore quarter - 1 nevel"/>
    <m/>
    <m/>
    <m/>
    <m/>
    <m/>
    <n v="19"/>
    <m/>
    <m/>
  </r>
  <r>
    <x v="1614"/>
    <x v="0"/>
    <m/>
    <x v="9"/>
    <n v="62"/>
    <n v="62"/>
    <n v="0"/>
    <m/>
    <n v="34600"/>
    <n v="34600"/>
    <n v="0"/>
    <x v="2192"/>
    <n v="752"/>
    <n v="558.06451612903231"/>
    <n v="558.06451612903231"/>
    <n v="0"/>
    <n v="334.81290322580645"/>
    <n v="12.129032258064516"/>
    <n v="24.193548387096776"/>
    <n v="0"/>
    <n v="47.806451612903231"/>
    <n v="10"/>
    <n v="8.5"/>
    <n v="0"/>
    <n v="0.96193548387096783"/>
    <n v="0.59995375722543354"/>
    <n v="0.90500000000000003"/>
    <s v="5 livers - 10 kidneys - 1 heart - 1 lung "/>
    <m/>
    <m/>
    <m/>
    <m/>
    <m/>
    <n v="60"/>
    <m/>
    <m/>
  </r>
  <r>
    <x v="1614"/>
    <x v="1"/>
    <m/>
    <x v="14"/>
    <n v="50"/>
    <n v="50"/>
    <n v="0"/>
    <m/>
    <n v="2696"/>
    <n v="2696"/>
    <n v="0"/>
    <x v="2193"/>
    <n v="0"/>
    <n v="53.92"/>
    <n v="53.92"/>
    <n v="0"/>
    <n v="29.78"/>
    <n v="0"/>
    <n v="25"/>
    <n v="0"/>
    <n v="45.440000000000005"/>
    <n v="10"/>
    <n v="8.5"/>
    <n v="0"/>
    <n v="0.95440000000000003"/>
    <n v="0.55229970326409494"/>
    <n v="0.88939999999999997"/>
    <s v="5 livers - 2 omentums- 2 hearts"/>
    <m/>
    <m/>
    <m/>
    <m/>
    <m/>
    <n v="0"/>
    <m/>
    <m/>
  </r>
  <r>
    <x v="1615"/>
    <x v="0"/>
    <m/>
    <x v="14"/>
    <n v="69"/>
    <n v="67"/>
    <n v="2"/>
    <s v="2 carcasses due to C.Bovis in their hearts."/>
    <n v="33973"/>
    <n v="33973"/>
    <n v="0"/>
    <x v="2194"/>
    <n v="600"/>
    <n v="507.05970149253733"/>
    <n v="507.05970149253733"/>
    <n v="0"/>
    <n v="304.23134328358208"/>
    <n v="8.9552238805970141"/>
    <n v="24.104477611940297"/>
    <n v="0"/>
    <n v="48.611940298507456"/>
    <n v="10"/>
    <n v="8.5"/>
    <n v="0"/>
    <n v="0.96820895522388051"/>
    <n v="0.59999116945809905"/>
    <n v="0.91216417910447745"/>
    <s v="1 liver - 1 head"/>
    <m/>
    <m/>
    <m/>
    <m/>
    <m/>
    <n v="44"/>
    <m/>
    <m/>
  </r>
  <r>
    <x v="1616"/>
    <x v="0"/>
    <m/>
    <x v="33"/>
    <n v="75"/>
    <n v="73"/>
    <n v="2"/>
    <s v="1 bull lumby skin disease + 1 carcass due to miliary tb "/>
    <n v="32440"/>
    <n v="32440"/>
    <n v="0"/>
    <x v="2195"/>
    <n v="539"/>
    <n v="444.38356164383561"/>
    <n v="444.38356164383561"/>
    <n v="0"/>
    <n v="267.68219178082188"/>
    <n v="7.3835616438356162"/>
    <n v="25"/>
    <n v="0"/>
    <n v="48.31506849315069"/>
    <n v="10"/>
    <n v="8.5"/>
    <n v="0"/>
    <n v="0.98315068493150692"/>
    <n v="0.60236744759556105"/>
    <n v="0.91815068493150687"/>
    <s v="4 livers - 4 kidneys - 1 lung"/>
    <m/>
    <m/>
    <m/>
    <m/>
    <m/>
    <n v="0"/>
    <m/>
    <m/>
  </r>
  <r>
    <x v="1616"/>
    <x v="1"/>
    <m/>
    <x v="14"/>
    <n v="50"/>
    <n v="49"/>
    <n v="1"/>
    <s v="1 carcass due to Jaundice."/>
    <n v="2778"/>
    <n v="2778"/>
    <n v="0"/>
    <x v="2196"/>
    <n v="0"/>
    <n v="56.693877551020407"/>
    <n v="56.693877551020407"/>
    <n v="0"/>
    <n v="35.036734693877548"/>
    <n v="0"/>
    <n v="25"/>
    <n v="0"/>
    <n v="43.908163265306122"/>
    <n v="10"/>
    <n v="8.5"/>
    <n v="0"/>
    <n v="0.93908163265306122"/>
    <n v="0.61799856011519072"/>
    <n v="0.87408163265306116"/>
    <s v="2 livers - 1 kidney - 2 hearts "/>
    <m/>
    <m/>
    <m/>
    <m/>
    <m/>
    <n v="60"/>
    <m/>
    <m/>
  </r>
  <r>
    <x v="1617"/>
    <x v="0"/>
    <m/>
    <x v="33"/>
    <n v="72"/>
    <n v="72"/>
    <n v="0"/>
    <m/>
    <n v="31690"/>
    <n v="31690"/>
    <n v="0"/>
    <x v="2197"/>
    <n v="508"/>
    <n v="440.13888888888891"/>
    <n v="440.13888888888891"/>
    <n v="0"/>
    <n v="264.98749999999995"/>
    <n v="7.0555555555555554"/>
    <n v="25"/>
    <n v="0"/>
    <n v="48.319444444444443"/>
    <n v="10"/>
    <n v="8.5"/>
    <n v="0"/>
    <n v="0.98319444444444448"/>
    <n v="0.60205427579678128"/>
    <n v="0.91819444444444442"/>
    <s v="5 livers - 6 kidneys - 5 lungs - 1 fore quarter"/>
    <m/>
    <m/>
    <m/>
    <m/>
    <m/>
    <n v="0"/>
    <m/>
    <m/>
  </r>
  <r>
    <x v="1618"/>
    <x v="0"/>
    <m/>
    <x v="33"/>
    <n v="70"/>
    <n v="70"/>
    <n v="0"/>
    <m/>
    <n v="31446"/>
    <n v="31446"/>
    <n v="0"/>
    <x v="2198"/>
    <n v="0"/>
    <n v="449.22857142857146"/>
    <n v="449.22857142857146"/>
    <n v="0"/>
    <n v="271.89857142857147"/>
    <n v="0"/>
    <n v="25"/>
    <n v="0"/>
    <n v="48.792857142857144"/>
    <n v="10"/>
    <n v="8.5"/>
    <n v="0"/>
    <n v="0.98792857142857149"/>
    <n v="0.60525663041404321"/>
    <n v="0.92292857142857143"/>
    <s v="6 livers - 5 kidneys"/>
    <m/>
    <m/>
    <m/>
    <m/>
    <m/>
    <n v="0"/>
    <m/>
    <m/>
  </r>
  <r>
    <x v="1618"/>
    <x v="1"/>
    <m/>
    <x v="14"/>
    <n v="50"/>
    <n v="50"/>
    <n v="0"/>
    <m/>
    <n v="2673"/>
    <n v="2673"/>
    <n v="0"/>
    <x v="2199"/>
    <n v="0"/>
    <n v="53.46"/>
    <n v="53.46"/>
    <n v="0"/>
    <n v="30.87"/>
    <n v="0"/>
    <n v="25"/>
    <n v="0"/>
    <n v="43.9"/>
    <n v="10"/>
    <n v="8.5"/>
    <n v="0"/>
    <n v="0.93900000000000006"/>
    <n v="0.57744107744107742"/>
    <n v="0.87400000000000011"/>
    <s v="14 livers"/>
    <m/>
    <m/>
    <m/>
    <m/>
    <m/>
    <n v="0"/>
    <m/>
    <m/>
  </r>
  <r>
    <x v="1619"/>
    <x v="0"/>
    <m/>
    <x v="9"/>
    <n v="60"/>
    <n v="60"/>
    <n v="0"/>
    <m/>
    <n v="32643"/>
    <n v="32643"/>
    <n v="0"/>
    <x v="2200"/>
    <n v="615"/>
    <n v="544.04999999999995"/>
    <n v="544.04999999999995"/>
    <n v="0"/>
    <n v="326.43333333333334"/>
    <n v="10.25"/>
    <n v="24.75"/>
    <n v="0"/>
    <n v="46.966666666666661"/>
    <n v="10"/>
    <n v="8.5"/>
    <n v="0"/>
    <n v="0.96466666666666656"/>
    <n v="0.60000612688784727"/>
    <n v="0.90216666666666667"/>
    <s v="3 livers - 8 kidneys - 2 heads - 2 lungs - 1 heart "/>
    <m/>
    <m/>
    <m/>
    <m/>
    <m/>
    <n v="30"/>
    <m/>
    <m/>
  </r>
  <r>
    <x v="1619"/>
    <x v="1"/>
    <m/>
    <x v="14"/>
    <n v="72"/>
    <n v="72"/>
    <n v="0"/>
    <m/>
    <n v="4030"/>
    <n v="4030"/>
    <n v="0"/>
    <x v="2201"/>
    <n v="0"/>
    <n v="55.972222222222221"/>
    <n v="55.972222222222221"/>
    <n v="0"/>
    <n v="31.122222222222224"/>
    <n v="0"/>
    <n v="25"/>
    <n v="0"/>
    <n v="44.513888888888886"/>
    <n v="10"/>
    <n v="8.5"/>
    <n v="0"/>
    <n v="0.94513888888888886"/>
    <n v="0.55602977667493803"/>
    <n v="0.8801388888888888"/>
    <s v="2 livers - 1 omentum"/>
    <m/>
    <m/>
    <m/>
    <m/>
    <m/>
    <n v="0"/>
    <m/>
    <m/>
  </r>
  <r>
    <x v="1619"/>
    <x v="0"/>
    <m/>
    <x v="0"/>
    <n v="60"/>
    <n v="60"/>
    <n v="0"/>
    <m/>
    <n v="33785"/>
    <n v="33785"/>
    <n v="0"/>
    <x v="2202"/>
    <n v="689"/>
    <n v="563.08333333333337"/>
    <n v="563.08333333333337"/>
    <n v="0"/>
    <n v="337.83"/>
    <n v="11.483333333333333"/>
    <n v="24.416666666666664"/>
    <n v="0"/>
    <n v="46.400000000000006"/>
    <n v="10"/>
    <n v="8.5"/>
    <n v="0"/>
    <n v="0.95233333333333337"/>
    <n v="0.59996448127867397"/>
    <n v="0.89316666666666666"/>
    <s v="4 livers - 8 kidneys - 1 head - 2 lungs - 1 fore quarter "/>
    <m/>
    <m/>
    <m/>
    <m/>
    <m/>
    <n v="23"/>
    <m/>
    <m/>
  </r>
  <r>
    <x v="1620"/>
    <x v="0"/>
    <m/>
    <x v="33"/>
    <n v="82"/>
    <n v="81"/>
    <n v="1"/>
    <s v="1 carcass due to C.Bovis in the heart."/>
    <n v="35415"/>
    <n v="35415"/>
    <n v="0"/>
    <x v="2203"/>
    <n v="579"/>
    <n v="437.22222222222223"/>
    <n v="437.22222222222223"/>
    <n v="0"/>
    <n v="265.95802469135799"/>
    <n v="7.1481481481481479"/>
    <n v="25"/>
    <n v="0"/>
    <n v="46.765432098765437"/>
    <n v="10"/>
    <n v="8.5"/>
    <n v="0"/>
    <n v="0.96765432098765436"/>
    <n v="0.60829027248341094"/>
    <n v="0.90265432098765441"/>
    <s v="6 livers - 6 kidneys - 6 lungs - 1 spleen"/>
    <m/>
    <m/>
    <m/>
    <m/>
    <m/>
    <n v="0"/>
    <m/>
    <m/>
  </r>
  <r>
    <x v="1620"/>
    <x v="1"/>
    <m/>
    <x v="14"/>
    <n v="48"/>
    <n v="48"/>
    <n v="0"/>
    <m/>
    <n v="2545"/>
    <n v="2545"/>
    <n v="0"/>
    <x v="2204"/>
    <n v="0"/>
    <n v="53.020833333333336"/>
    <n v="53.020833333333336"/>
    <n v="0"/>
    <n v="30.066666666666666"/>
    <n v="0"/>
    <n v="25"/>
    <n v="0"/>
    <n v="48.520833333333336"/>
    <n v="10"/>
    <n v="8.5"/>
    <n v="0"/>
    <n v="0.98520833333333335"/>
    <n v="0.56707269155206286"/>
    <n v="0.92020833333333341"/>
    <s v="2 livers - 1 heart - 1 lung - 3 heads"/>
    <m/>
    <m/>
    <m/>
    <m/>
    <m/>
    <n v="0"/>
    <m/>
    <m/>
  </r>
  <r>
    <x v="1621"/>
    <x v="0"/>
    <m/>
    <x v="33"/>
    <n v="48"/>
    <n v="48"/>
    <n v="0"/>
    <m/>
    <n v="19960"/>
    <n v="19960"/>
    <n v="0"/>
    <x v="2205"/>
    <n v="313"/>
    <n v="415.83333333333331"/>
    <n v="415.83333333333331"/>
    <n v="0"/>
    <n v="249.84583333333333"/>
    <n v="6.520833333333333"/>
    <n v="25"/>
    <n v="0"/>
    <n v="48.270833333333329"/>
    <n v="10"/>
    <n v="8.5"/>
    <n v="0"/>
    <n v="0.98270833333333329"/>
    <n v="0.60083166332665328"/>
    <n v="0.91770833333333324"/>
    <s v="2 livers - 2 kidneys - 1 lung - 2 testicles"/>
    <m/>
    <m/>
    <m/>
    <m/>
    <m/>
    <n v="0"/>
    <m/>
    <m/>
  </r>
  <r>
    <x v="1621"/>
    <x v="1"/>
    <m/>
    <x v="14"/>
    <n v="55"/>
    <n v="55"/>
    <n v="0"/>
    <m/>
    <n v="2861"/>
    <n v="2861"/>
    <n v="0"/>
    <x v="2206"/>
    <n v="0"/>
    <n v="52.018181818181816"/>
    <n v="52.018181818181816"/>
    <n v="0"/>
    <n v="30.530909090909091"/>
    <n v="0"/>
    <n v="25"/>
    <n v="0"/>
    <n v="46.527272727272731"/>
    <n v="10"/>
    <n v="8.5"/>
    <n v="0"/>
    <n v="0.96527272727272728"/>
    <n v="0.58692764767563788"/>
    <n v="0.90027272727272734"/>
    <s v="5 livers - 1 omentum"/>
    <m/>
    <m/>
    <m/>
    <m/>
    <m/>
    <n v="0"/>
    <m/>
    <m/>
  </r>
  <r>
    <x v="1621"/>
    <x v="0"/>
    <m/>
    <x v="27"/>
    <n v="54"/>
    <n v="53"/>
    <n v="1"/>
    <s v="1 carcass due to sarcosyctic esinophilic myositis."/>
    <n v="29240"/>
    <n v="29240"/>
    <n v="0"/>
    <x v="2207"/>
    <n v="534"/>
    <n v="551.69811320754718"/>
    <n v="551.69811320754718"/>
    <n v="0"/>
    <n v="344.34905660377359"/>
    <n v="10.075471698113208"/>
    <n v="24.90566037735849"/>
    <n v="0"/>
    <n v="45.301886792452834"/>
    <n v="10"/>
    <n v="8.5"/>
    <n v="0"/>
    <n v="0.95113207547169809"/>
    <n v="0.62416210670314642"/>
    <n v="0.88707547169811318"/>
    <s v="5  livers - 8 kidneys - 8  lungs "/>
    <m/>
    <m/>
    <m/>
    <m/>
    <m/>
    <n v="25"/>
    <m/>
    <m/>
  </r>
  <r>
    <x v="1622"/>
    <x v="0"/>
    <m/>
    <x v="26"/>
    <n v="48"/>
    <n v="47"/>
    <n v="1"/>
    <s v="1 carcass due to C. Bovis in the heart."/>
    <n v="22954"/>
    <n v="22954"/>
    <n v="0"/>
    <x v="2208"/>
    <n v="319"/>
    <n v="488.38297872340428"/>
    <n v="488.38297872340428"/>
    <n v="0"/>
    <n v="297.49148936170212"/>
    <n v="6.7872340425531918"/>
    <n v="25"/>
    <n v="0"/>
    <n v="43.872340425531917"/>
    <n v="10"/>
    <n v="8.5"/>
    <n v="0"/>
    <n v="0.93872340425531919"/>
    <n v="0.60913566262960706"/>
    <n v="0.87372340425531914"/>
    <s v="2 livers - 6 lungs - 1 heart "/>
    <m/>
    <m/>
    <m/>
    <m/>
    <m/>
    <n v="9"/>
    <m/>
    <m/>
  </r>
  <r>
    <x v="1622"/>
    <x v="0"/>
    <m/>
    <x v="9"/>
    <n v="80"/>
    <n v="79"/>
    <n v="1"/>
    <s v="1 bull lumby skin disease "/>
    <n v="45250"/>
    <n v="45250"/>
    <n v="0"/>
    <x v="2209"/>
    <n v="804"/>
    <n v="572.78481012658233"/>
    <n v="572.78481012658233"/>
    <n v="0"/>
    <n v="343.64556962025318"/>
    <n v="10.177215189873417"/>
    <n v="23.73417721518987"/>
    <n v="0"/>
    <n v="48.0126582278481"/>
    <n v="10"/>
    <n v="8.5"/>
    <n v="0"/>
    <n v="0.95481012658227837"/>
    <n v="0.59995580110497237"/>
    <n v="0.90246835443037965"/>
    <s v="2 livers - 6 kidneys - 2 hearts - 2 lungs"/>
    <m/>
    <m/>
    <m/>
    <m/>
    <m/>
    <n v="60"/>
    <m/>
    <m/>
  </r>
  <r>
    <x v="1622"/>
    <x v="1"/>
    <m/>
    <x v="14"/>
    <n v="34"/>
    <n v="34"/>
    <n v="0"/>
    <m/>
    <n v="1899"/>
    <n v="1899"/>
    <n v="0"/>
    <x v="2210"/>
    <n v="0"/>
    <n v="55.852941176470587"/>
    <n v="55.852941176470587"/>
    <n v="0"/>
    <n v="31.861764705882351"/>
    <n v="0"/>
    <n v="25"/>
    <n v="0"/>
    <n v="45.617647058823529"/>
    <n v="10"/>
    <n v="8.5"/>
    <n v="0"/>
    <n v="0.95617647058823529"/>
    <n v="0.57045813586097949"/>
    <n v="0.89117647058823535"/>
    <s v="2 livers "/>
    <m/>
    <m/>
    <m/>
    <m/>
    <m/>
    <n v="0"/>
    <m/>
    <m/>
  </r>
  <r>
    <x v="1623"/>
    <x v="0"/>
    <m/>
    <x v="9"/>
    <n v="65"/>
    <n v="62"/>
    <n v="3"/>
    <s v="3 carcass due to C. Bovis in the heart."/>
    <n v="32990"/>
    <n v="32990"/>
    <n v="0"/>
    <x v="2211"/>
    <n v="432"/>
    <n v="532.09677419354841"/>
    <n v="532.09677419354841"/>
    <n v="0"/>
    <n v="319.25806451612902"/>
    <n v="6.967741935483871"/>
    <n v="24.741935483870968"/>
    <n v="0"/>
    <n v="47.241935483870968"/>
    <n v="10"/>
    <n v="8.5"/>
    <n v="0"/>
    <n v="0.96725806451612906"/>
    <n v="0.6"/>
    <n v="0.90483870967741931"/>
    <s v="2  livers - 3 lungs - 4 hearts - 18 kidneys - 1 leg "/>
    <m/>
    <m/>
    <m/>
    <m/>
    <m/>
    <n v="29"/>
    <m/>
    <m/>
  </r>
  <r>
    <x v="1623"/>
    <x v="0"/>
    <m/>
    <x v="14"/>
    <n v="76"/>
    <n v="75"/>
    <n v="1"/>
    <s v="1 carcass due to purulent pericarditis"/>
    <n v="41795"/>
    <n v="41795"/>
    <n v="0"/>
    <x v="2212"/>
    <n v="748"/>
    <n v="557.26666666666665"/>
    <n v="557.26666666666665"/>
    <n v="0"/>
    <n v="334.37066666666664"/>
    <n v="9.9733333333333327"/>
    <n v="22.933333333333337"/>
    <n v="0"/>
    <n v="47.706666666666678"/>
    <n v="10"/>
    <n v="8.5"/>
    <n v="0"/>
    <n v="0.93573333333333353"/>
    <n v="0.60001914104557963"/>
    <n v="0.89140000000000019"/>
    <s v="4 livers - 1 intestine - 1 heart - 8 kidneys - 4 lungs "/>
    <m/>
    <m/>
    <m/>
    <m/>
    <m/>
    <n v="55"/>
    <m/>
    <m/>
  </r>
  <r>
    <x v="1623"/>
    <x v="1"/>
    <m/>
    <x v="14"/>
    <n v="70"/>
    <n v="70"/>
    <n v="0"/>
    <m/>
    <n v="3920"/>
    <n v="3920"/>
    <n v="0"/>
    <x v="2213"/>
    <n v="0"/>
    <n v="56"/>
    <n v="56"/>
    <n v="0"/>
    <n v="31.868571428571432"/>
    <n v="0"/>
    <n v="25"/>
    <n v="0"/>
    <n v="47.942857142857143"/>
    <n v="10"/>
    <n v="8.5"/>
    <n v="0"/>
    <n v="0.97942857142857143"/>
    <n v="0.56908163265306122"/>
    <n v="0.91442857142857148"/>
    <s v="3 livers - 1 heart"/>
    <m/>
    <m/>
    <m/>
    <m/>
    <m/>
    <n v="0"/>
    <m/>
    <m/>
  </r>
  <r>
    <x v="1624"/>
    <x v="0"/>
    <m/>
    <x v="33"/>
    <n v="73"/>
    <n v="73"/>
    <n v="0"/>
    <m/>
    <n v="32108"/>
    <n v="32108"/>
    <n v="0"/>
    <x v="2214"/>
    <n v="461"/>
    <n v="439.83561643835617"/>
    <n v="439.83561643835617"/>
    <n v="0"/>
    <n v="266.56712328767128"/>
    <n v="6.3150684931506849"/>
    <n v="24.986301369863018"/>
    <n v="0"/>
    <n v="48.191780821917817"/>
    <n v="10"/>
    <n v="8.5"/>
    <n v="0"/>
    <n v="0.98164383561643853"/>
    <n v="0.60606079481749098"/>
    <n v="0.9167808219178083"/>
    <s v=" 1 fore quarter - 2 livers - 1 heart - 2 kidneys - 2 lungs - 1 leg "/>
    <m/>
    <m/>
    <m/>
    <m/>
    <m/>
    <n v="0"/>
    <m/>
    <m/>
  </r>
  <r>
    <x v="1624"/>
    <x v="1"/>
    <m/>
    <x v="14"/>
    <n v="38"/>
    <n v="38"/>
    <n v="0"/>
    <m/>
    <n v="2029"/>
    <n v="2029"/>
    <n v="0"/>
    <x v="2215"/>
    <n v="0"/>
    <n v="53.39473684210526"/>
    <n v="53.39473684210526"/>
    <n v="0"/>
    <n v="31.534210526315789"/>
    <n v="0"/>
    <n v="25"/>
    <n v="0"/>
    <n v="47.394736842105267"/>
    <n v="10"/>
    <n v="8.5"/>
    <n v="0"/>
    <n v="0.97394736842105267"/>
    <n v="0.59058649581074418"/>
    <n v="0.90894736842105261"/>
    <s v="1 liver - 8 kidneys"/>
    <m/>
    <m/>
    <m/>
    <m/>
    <m/>
    <n v="0"/>
    <m/>
    <m/>
  </r>
  <r>
    <x v="1625"/>
    <x v="0"/>
    <m/>
    <x v="33"/>
    <n v="53"/>
    <n v="53"/>
    <n v="0"/>
    <m/>
    <n v="21858"/>
    <n v="21858"/>
    <n v="0"/>
    <x v="2216"/>
    <n v="311"/>
    <n v="412.41509433962267"/>
    <n v="412.41509433962267"/>
    <n v="0"/>
    <n v="248.80188679245282"/>
    <n v="5.867924528301887"/>
    <n v="25"/>
    <n v="0"/>
    <n v="47.7"/>
    <n v="10"/>
    <n v="8.5"/>
    <n v="0"/>
    <n v="0.97700000000000009"/>
    <n v="0.60328026351907771"/>
    <n v="0.91200000000000003"/>
    <s v="1 fore quarter - 2_x000a_livers - 1 heart - 7"/>
    <m/>
    <m/>
    <m/>
    <m/>
    <m/>
    <n v="0"/>
    <m/>
    <m/>
  </r>
  <r>
    <x v="1625"/>
    <x v="1"/>
    <m/>
    <x v="14"/>
    <n v="27"/>
    <n v="27"/>
    <n v="0"/>
    <m/>
    <n v="1442"/>
    <n v="1442"/>
    <n v="0"/>
    <x v="2217"/>
    <n v="0"/>
    <n v="53.407407407407405"/>
    <n v="53.407407407407405"/>
    <n v="0"/>
    <n v="30.633333333333333"/>
    <n v="0"/>
    <n v="25"/>
    <n v="0"/>
    <n v="48.074074074074083"/>
    <n v="10"/>
    <n v="8.5"/>
    <n v="0"/>
    <n v="0.98074074074074091"/>
    <n v="0.57357836338418866"/>
    <n v="0.91574074074074074"/>
    <s v="2 livers - 4 kidneys - 2 hearts "/>
    <m/>
    <m/>
    <m/>
    <m/>
    <m/>
    <n v="0"/>
    <m/>
    <m/>
  </r>
  <r>
    <x v="1626"/>
    <x v="0"/>
    <m/>
    <x v="33"/>
    <n v="18"/>
    <n v="18"/>
    <n v="0"/>
    <m/>
    <n v="8131"/>
    <n v="8131"/>
    <n v="0"/>
    <x v="2218"/>
    <n v="155"/>
    <n v="451.72222222222223"/>
    <n v="451.72222222222223"/>
    <n v="0"/>
    <n v="274.18888888888887"/>
    <n v="8.6111111111111107"/>
    <n v="25"/>
    <n v="0"/>
    <n v="47"/>
    <n v="10"/>
    <n v="8.5"/>
    <n v="0"/>
    <n v="0.97"/>
    <n v="0.60698561062599921"/>
    <n v="0.90500000000000003"/>
    <s v="3 livers - 1 lung"/>
    <m/>
    <m/>
    <m/>
    <m/>
    <m/>
    <n v="0"/>
    <m/>
    <m/>
  </r>
  <r>
    <x v="1626"/>
    <x v="1"/>
    <m/>
    <x v="14"/>
    <n v="32"/>
    <n v="32"/>
    <n v="0"/>
    <m/>
    <n v="1825"/>
    <n v="1825"/>
    <n v="0"/>
    <x v="2219"/>
    <n v="0"/>
    <n v="57.03125"/>
    <n v="57.03125"/>
    <n v="0"/>
    <n v="33.581249999999997"/>
    <n v="0"/>
    <n v="25"/>
    <n v="0"/>
    <n v="45.8125"/>
    <n v="10"/>
    <n v="8.5"/>
    <n v="0"/>
    <n v="0.958125"/>
    <n v="0.58882191780821913"/>
    <n v="0.89312499999999995"/>
    <s v="5 livers - 1 heart "/>
    <m/>
    <m/>
    <m/>
    <m/>
    <m/>
    <n v="0"/>
    <m/>
    <m/>
  </r>
  <r>
    <x v="1627"/>
    <x v="0"/>
    <m/>
    <x v="33"/>
    <n v="44"/>
    <n v="44"/>
    <n v="0"/>
    <m/>
    <n v="18111"/>
    <n v="18111"/>
    <n v="0"/>
    <x v="2220"/>
    <n v="255"/>
    <n v="411.61363636363637"/>
    <n v="411.61363636363637"/>
    <n v="0"/>
    <n v="247.7"/>
    <n v="5.7954545454545459"/>
    <n v="25"/>
    <n v="0"/>
    <n v="47.02272727272728"/>
    <n v="10"/>
    <n v="8.5"/>
    <n v="0"/>
    <n v="0.97022727272727283"/>
    <n v="0.6017779250179448"/>
    <n v="0.90522727272727277"/>
    <s v="5 livers - 3 lungs"/>
    <m/>
    <m/>
    <m/>
    <m/>
    <m/>
    <n v="0"/>
    <m/>
    <m/>
  </r>
  <r>
    <x v="1628"/>
    <x v="0"/>
    <m/>
    <x v="9"/>
    <n v="71"/>
    <n v="70"/>
    <n v="1"/>
    <s v="1 carcass due to Sarcocystic Eosinophilic Myositis and severe bruises"/>
    <n v="36046"/>
    <n v="36046"/>
    <n v="0"/>
    <x v="2221"/>
    <n v="602"/>
    <n v="514.94285714285718"/>
    <n v="514.94285714285718"/>
    <n v="0"/>
    <n v="308.95428571428573"/>
    <n v="8.6"/>
    <n v="25"/>
    <n v="0"/>
    <n v="48.957142857142856"/>
    <n v="10"/>
    <n v="8.5"/>
    <n v="0"/>
    <n v="0.98957142857142855"/>
    <n v="0.59997780613660323"/>
    <n v="0.9245714285714286"/>
    <s v="4 livers - 2 lungs"/>
    <m/>
    <m/>
    <m/>
    <m/>
    <m/>
    <n v="9"/>
    <m/>
    <m/>
  </r>
  <r>
    <x v="1628"/>
    <x v="1"/>
    <m/>
    <x v="14"/>
    <n v="43"/>
    <n v="42"/>
    <n v="1"/>
    <s v="1 Female carcass."/>
    <n v="2200"/>
    <n v="2200"/>
    <n v="0"/>
    <x v="2222"/>
    <n v="0"/>
    <n v="52.38095238095238"/>
    <n v="52.38095238095238"/>
    <n v="0"/>
    <n v="29.342857142857145"/>
    <n v="0"/>
    <n v="25"/>
    <n v="0"/>
    <n v="48.642857142857139"/>
    <n v="10"/>
    <n v="8.5"/>
    <n v="0"/>
    <n v="0.98642857142857143"/>
    <n v="0.56018181818181823"/>
    <n v="0.92142857142857137"/>
    <s v="3 livers - 1 heart "/>
    <m/>
    <m/>
    <m/>
    <m/>
    <m/>
    <n v="0"/>
    <m/>
    <m/>
  </r>
  <r>
    <x v="1629"/>
    <x v="0"/>
    <m/>
    <x v="45"/>
    <n v="8"/>
    <n v="8"/>
    <n v="0"/>
    <m/>
    <n v="3893"/>
    <n v="3893"/>
    <n v="0"/>
    <x v="2223"/>
    <n v="79.599999999999994"/>
    <n v="486.625"/>
    <n v="486.625"/>
    <n v="0"/>
    <n v="291.5"/>
    <n v="9.9499999999999993"/>
    <n v="25"/>
    <n v="0"/>
    <n v="45"/>
    <n v="10"/>
    <n v="8.5"/>
    <n v="0"/>
    <n v="0.95"/>
    <n v="0.5990238890315952"/>
    <n v="0.88500000000000001"/>
    <s v="none"/>
    <m/>
    <m/>
    <m/>
    <m/>
    <m/>
    <n v="1"/>
    <m/>
    <m/>
  </r>
  <r>
    <x v="1629"/>
    <x v="0"/>
    <m/>
    <x v="0"/>
    <n v="58"/>
    <n v="58"/>
    <n v="0"/>
    <m/>
    <n v="33092"/>
    <n v="33092"/>
    <n v="0"/>
    <x v="2224"/>
    <n v="726"/>
    <n v="570.55172413793105"/>
    <n v="570.55172413793105"/>
    <n v="0"/>
    <n v="342.32758620689657"/>
    <n v="12.517241379310345"/>
    <n v="23.275862068965516"/>
    <n v="0"/>
    <n v="48.655172413793103"/>
    <n v="10"/>
    <n v="8.5"/>
    <n v="0"/>
    <n v="0.95206896551724141"/>
    <n v="0.59999395624320073"/>
    <n v="0.90431034482758621"/>
    <s v="1 head - 3 livers - 4 kidneys - 1 lung"/>
    <m/>
    <m/>
    <m/>
    <m/>
    <m/>
    <n v="10"/>
    <m/>
    <m/>
  </r>
  <r>
    <x v="1630"/>
    <x v="0"/>
    <m/>
    <x v="45"/>
    <n v="24"/>
    <n v="23"/>
    <n v="1"/>
    <s v="1 carcass due to C. Bovis in the heart."/>
    <n v="10908"/>
    <n v="10908"/>
    <n v="0"/>
    <x v="2225"/>
    <n v="179"/>
    <n v="474.26086956521738"/>
    <n v="474.26086956521738"/>
    <n v="0"/>
    <n v="284.30434782608694"/>
    <n v="7.7826086956521738"/>
    <n v="25"/>
    <n v="0"/>
    <n v="39.586956521739125"/>
    <n v="10"/>
    <n v="8.5"/>
    <n v="0"/>
    <n v="0.89586956521739125"/>
    <n v="0.59946828016134945"/>
    <n v="0.8308695652173913"/>
    <s v="4 livers - 1 lung - 3 kidneys - 2 hearts - 2 spleens 1 intestine"/>
    <m/>
    <m/>
    <m/>
    <m/>
    <m/>
    <n v="7"/>
    <m/>
    <m/>
  </r>
  <r>
    <x v="1630"/>
    <x v="0"/>
    <m/>
    <x v="33"/>
    <n v="36"/>
    <n v="36"/>
    <n v="0"/>
    <m/>
    <n v="14621"/>
    <n v="14621"/>
    <n v="0"/>
    <x v="2226"/>
    <n v="214"/>
    <n v="406.13888888888891"/>
    <n v="406.13888888888891"/>
    <n v="0"/>
    <n v="245.91666666666666"/>
    <n v="5.9444444444444446"/>
    <n v="25"/>
    <n v="0"/>
    <n v="47.138888888888893"/>
    <n v="10"/>
    <n v="8.5"/>
    <n v="0"/>
    <n v="0.97138888888888886"/>
    <n v="0.60549893988099313"/>
    <n v="0.90638888888888891"/>
    <s v="1 fore quarter - 4 livers - 5 lungs "/>
    <m/>
    <m/>
    <m/>
    <m/>
    <m/>
    <n v="0"/>
    <m/>
    <m/>
  </r>
  <r>
    <x v="1630"/>
    <x v="1"/>
    <m/>
    <x v="14"/>
    <n v="62"/>
    <n v="62"/>
    <n v="0"/>
    <m/>
    <n v="3437"/>
    <n v="3437"/>
    <n v="0"/>
    <x v="2227"/>
    <n v="0"/>
    <n v="55.435483870967744"/>
    <n v="55.435483870967744"/>
    <n v="0"/>
    <n v="30.774193548387096"/>
    <n v="0"/>
    <n v="25"/>
    <n v="0"/>
    <n v="46.161290322580648"/>
    <n v="10"/>
    <n v="8.5"/>
    <n v="0"/>
    <n v="0.9616129032258065"/>
    <n v="0.55513529240616821"/>
    <n v="0.89661290322580645"/>
    <s v="1 liver "/>
    <m/>
    <m/>
    <m/>
    <m/>
    <m/>
    <n v="0"/>
    <m/>
    <m/>
  </r>
  <r>
    <x v="1631"/>
    <x v="0"/>
    <m/>
    <x v="33"/>
    <n v="88"/>
    <n v="86"/>
    <n v="2"/>
    <s v="2 carcasses due to Sarcocystic Eosinophilic Myositis and Miliary tb. "/>
    <n v="36919"/>
    <n v="36919"/>
    <n v="0"/>
    <x v="2228"/>
    <n v="554"/>
    <n v="429.2906976744186"/>
    <n v="429.2906976744186"/>
    <n v="0"/>
    <n v="258.17441860465118"/>
    <n v="6.441860465116279"/>
    <n v="25"/>
    <n v="0"/>
    <n v="48.517441860465119"/>
    <n v="10"/>
    <n v="8.5"/>
    <n v="0"/>
    <n v="0.98517441860465116"/>
    <n v="0.60139765432433168"/>
    <n v="0.9201744186046511"/>
    <s v="7 livers - 5 kidneys - 1 heart - 4 tescticls - 2 lungs "/>
    <m/>
    <m/>
    <m/>
    <m/>
    <m/>
    <n v="0"/>
    <m/>
    <m/>
  </r>
  <r>
    <x v="1631"/>
    <x v="1"/>
    <m/>
    <x v="14"/>
    <n v="56"/>
    <n v="56"/>
    <n v="0"/>
    <m/>
    <n v="3110"/>
    <n v="3110"/>
    <n v="0"/>
    <x v="2229"/>
    <n v="0"/>
    <n v="55.535714285714285"/>
    <n v="55.535714285714285"/>
    <n v="0"/>
    <n v="31.535714285714285"/>
    <n v="0"/>
    <n v="25"/>
    <n v="0"/>
    <n v="48.482142857142854"/>
    <n v="10"/>
    <n v="8.5"/>
    <n v="0"/>
    <n v="0.98482142857142851"/>
    <n v="0.5678456591639871"/>
    <n v="0.91982142857142857"/>
    <s v="8 kidneys - 1 heart "/>
    <m/>
    <m/>
    <m/>
    <m/>
    <m/>
    <n v="0"/>
    <m/>
    <m/>
  </r>
  <r>
    <x v="1632"/>
    <x v="0"/>
    <m/>
    <x v="9"/>
    <n v="63"/>
    <n v="63"/>
    <n v="0"/>
    <m/>
    <n v="36716"/>
    <n v="36716"/>
    <n v="0"/>
    <x v="2230"/>
    <n v="719"/>
    <n v="582.79365079365084"/>
    <n v="582.79365079365084"/>
    <n v="0"/>
    <n v="349.6825396825397"/>
    <n v="11.412698412698413"/>
    <n v="23.253968253968253"/>
    <n v="0"/>
    <n v="46.984126984126995"/>
    <n v="10"/>
    <n v="8.5"/>
    <n v="0"/>
    <n v="0.93492063492063493"/>
    <n v="0.60001089443294475"/>
    <n v="0.88738095238095238"/>
    <s v="1 fore quarter - 3 livers - 26 kidneys - 1 lung - 1 intestine "/>
    <m/>
    <m/>
    <m/>
    <m/>
    <m/>
    <n v="45"/>
    <m/>
    <m/>
  </r>
  <r>
    <x v="1632"/>
    <x v="1"/>
    <m/>
    <x v="14"/>
    <n v="56"/>
    <n v="55"/>
    <n v="1"/>
    <s v="1 sheep carcass due to sheep measles."/>
    <n v="2947"/>
    <n v="2947"/>
    <n v="0"/>
    <x v="2231"/>
    <n v="0"/>
    <n v="53.581818181818178"/>
    <n v="53.581818181818178"/>
    <n v="0"/>
    <n v="30.563636363636363"/>
    <n v="0"/>
    <n v="25"/>
    <n v="0"/>
    <n v="45.13636363636364"/>
    <n v="10"/>
    <n v="8.5"/>
    <n v="0"/>
    <n v="0.95136363636363641"/>
    <n v="0.57041058703766545"/>
    <n v="0.88636363636363635"/>
    <s v="1 liver - 5 kidneys - 2 testicles "/>
    <m/>
    <m/>
    <m/>
    <m/>
    <m/>
    <n v="0"/>
    <m/>
    <m/>
  </r>
  <r>
    <x v="1633"/>
    <x v="0"/>
    <m/>
    <x v="33"/>
    <n v="74"/>
    <n v="74"/>
    <n v="0"/>
    <m/>
    <n v="31476"/>
    <n v="31476"/>
    <n v="0"/>
    <x v="2232"/>
    <n v="447"/>
    <n v="425.35135135135135"/>
    <n v="425.35135135135135"/>
    <n v="0"/>
    <n v="259.2837837837838"/>
    <n v="6.0405405405405403"/>
    <n v="25"/>
    <n v="0"/>
    <n v="48.405405405405403"/>
    <n v="10"/>
    <n v="8.5"/>
    <n v="0"/>
    <n v="0.98405405405405411"/>
    <n v="0.60957554962511118"/>
    <n v="0.91905405405405405"/>
    <s v="1 fore quarter - 6  livers - 2 hearts - 5  lungs - 1 intestine - 1 head "/>
    <m/>
    <m/>
    <m/>
    <m/>
    <m/>
    <n v="0"/>
    <m/>
    <m/>
  </r>
  <r>
    <x v="1634"/>
    <x v="0"/>
    <m/>
    <x v="33"/>
    <n v="56"/>
    <n v="55"/>
    <n v="1"/>
    <s v="1 miliary TB "/>
    <n v="24134"/>
    <n v="24134"/>
    <n v="0"/>
    <x v="2233"/>
    <n v="426"/>
    <n v="438.8"/>
    <n v="438.8"/>
    <n v="0"/>
    <n v="264.55818181818182"/>
    <n v="7.7454545454545451"/>
    <n v="25"/>
    <n v="0"/>
    <n v="48.25454545454545"/>
    <n v="10"/>
    <n v="8.5"/>
    <n v="0"/>
    <n v="0.9825454545454545"/>
    <n v="0.60291290295848188"/>
    <n v="0.91754545454545455"/>
    <s v="3 livers - 1 heart - 4 lungs "/>
    <m/>
    <m/>
    <m/>
    <m/>
    <m/>
    <n v="0"/>
    <m/>
    <m/>
  </r>
  <r>
    <x v="1634"/>
    <x v="1"/>
    <m/>
    <x v="14"/>
    <n v="50"/>
    <n v="50"/>
    <n v="0"/>
    <m/>
    <n v="2771"/>
    <n v="2771"/>
    <n v="0"/>
    <x v="2234"/>
    <n v="0"/>
    <n v="55.42"/>
    <n v="55.42"/>
    <n v="0"/>
    <n v="31.763999999999999"/>
    <n v="0"/>
    <n v="25"/>
    <n v="0"/>
    <n v="48.98"/>
    <n v="10"/>
    <n v="8.5"/>
    <n v="0"/>
    <n v="0.98980000000000001"/>
    <n v="0.57315048718874051"/>
    <n v="0.92479999999999984"/>
    <s v="6 kidneys - 1 liver "/>
    <m/>
    <m/>
    <m/>
    <m/>
    <m/>
    <n v="0"/>
    <m/>
    <m/>
  </r>
  <r>
    <x v="1635"/>
    <x v="0"/>
    <m/>
    <x v="0"/>
    <n v="55"/>
    <n v="55"/>
    <n v="0"/>
    <m/>
    <n v="28394"/>
    <n v="28394"/>
    <n v="0"/>
    <x v="2235"/>
    <n v="573"/>
    <n v="516.25454545454545"/>
    <n v="516.25454545454545"/>
    <n v="0"/>
    <n v="309.74545454545455"/>
    <n v="10.418181818181818"/>
    <n v="25"/>
    <n v="0"/>
    <n v="43.472727272727269"/>
    <n v="10"/>
    <n v="8.5"/>
    <n v="0"/>
    <n v="0.93472727272727263"/>
    <n v="0.59998591251672884"/>
    <n v="0.86972727272727268"/>
    <s v="6 livers - 4 kidneys - 4 lungs "/>
    <m/>
    <m/>
    <m/>
    <m/>
    <m/>
    <n v="0"/>
    <m/>
    <m/>
  </r>
  <r>
    <x v="1636"/>
    <x v="0"/>
    <m/>
    <x v="14"/>
    <n v="67"/>
    <n v="65"/>
    <n v="2"/>
    <s v="2 carcasses due to Jaundice and C.Bovis in the heart"/>
    <n v="36558"/>
    <n v="36558"/>
    <n v="0"/>
    <x v="2236"/>
    <n v="770"/>
    <n v="562.43076923076922"/>
    <n v="562.43076923076922"/>
    <n v="0"/>
    <n v="337.45846153846151"/>
    <n v="11.846153846153847"/>
    <n v="22.23076923076923"/>
    <n v="0"/>
    <n v="47.530769230769231"/>
    <n v="10"/>
    <n v="8.5"/>
    <n v="0"/>
    <n v="0.91992307692307684"/>
    <n v="0.6"/>
    <n v="0.88261538461538469"/>
    <s v="3 livers - 9 kidneys - 1 intestine - 1 spleen "/>
    <m/>
    <m/>
    <m/>
    <m/>
    <m/>
    <n v="63"/>
    <m/>
    <m/>
  </r>
  <r>
    <x v="1636"/>
    <x v="1"/>
    <m/>
    <x v="14"/>
    <n v="80"/>
    <n v="80"/>
    <n v="0"/>
    <m/>
    <n v="4163"/>
    <n v="4163"/>
    <n v="0"/>
    <x v="2237"/>
    <n v="0"/>
    <n v="52.037500000000001"/>
    <n v="52.037500000000001"/>
    <n v="0"/>
    <n v="29.883749999999999"/>
    <n v="0"/>
    <n v="25"/>
    <n v="0"/>
    <n v="44.756250000000001"/>
    <n v="10"/>
    <n v="8.5"/>
    <n v="0"/>
    <n v="0.94756250000000009"/>
    <n v="0.57427336055729039"/>
    <n v="0.88256249999999992"/>
    <s v="5 kidneys - 1 liver "/>
    <m/>
    <m/>
    <m/>
    <m/>
    <m/>
    <n v="0"/>
    <m/>
    <m/>
  </r>
  <r>
    <x v="1637"/>
    <x v="0"/>
    <m/>
    <x v="9"/>
    <n v="16"/>
    <n v="16"/>
    <n v="0"/>
    <m/>
    <n v="9063"/>
    <n v="9063"/>
    <n v="0"/>
    <x v="2238"/>
    <n v="151"/>
    <n v="566.4375"/>
    <n v="566.4375"/>
    <n v="0"/>
    <n v="339.86250000000001"/>
    <n v="9.4375"/>
    <n v="23.125"/>
    <n v="0"/>
    <n v="46.6875"/>
    <n v="10"/>
    <n v="8.5"/>
    <n v="0"/>
    <n v="0.92937500000000006"/>
    <n v="0.6"/>
    <n v="0.88312500000000005"/>
    <s v="1 liver - 4 kidneys - 1 heart "/>
    <m/>
    <m/>
    <m/>
    <m/>
    <m/>
    <n v="14"/>
    <m/>
    <m/>
  </r>
  <r>
    <x v="1637"/>
    <x v="0"/>
    <m/>
    <x v="33"/>
    <n v="84"/>
    <n v="84"/>
    <n v="0"/>
    <m/>
    <n v="37570"/>
    <n v="37570"/>
    <n v="0"/>
    <x v="2239"/>
    <n v="622"/>
    <n v="447.26190476190476"/>
    <n v="447.26190476190476"/>
    <n v="0"/>
    <n v="271.27619047619049"/>
    <n v="7.4047619047619051"/>
    <n v="25"/>
    <n v="0"/>
    <n v="48.833333333333329"/>
    <n v="10"/>
    <n v="8.5"/>
    <n v="0"/>
    <n v="0.98833333333333329"/>
    <n v="0.60652648389672614"/>
    <n v="0.92333333333333334"/>
    <s v="5 livers - 10 kidneys - 1 heart - 3 lungs "/>
    <m/>
    <m/>
    <m/>
    <m/>
    <m/>
    <n v="0"/>
    <m/>
    <m/>
  </r>
  <r>
    <x v="1638"/>
    <x v="0"/>
    <m/>
    <x v="33"/>
    <n v="75"/>
    <n v="74"/>
    <n v="1"/>
    <s v="1 carcass due to Sarcocystic Eosinophilic Myositis"/>
    <n v="32515"/>
    <n v="32515"/>
    <n v="0"/>
    <x v="2240"/>
    <n v="439"/>
    <n v="439.39189189189187"/>
    <n v="439.39189189189187"/>
    <n v="0"/>
    <n v="265.16081081081086"/>
    <n v="5.9324324324324325"/>
    <n v="25"/>
    <n v="0"/>
    <n v="48.202702702702702"/>
    <n v="10"/>
    <n v="8.5"/>
    <n v="0"/>
    <n v="0.98202702702702704"/>
    <n v="0.60347224357988627"/>
    <n v="0.9170270270270271"/>
    <s v="1 fore quarter - 1 head - 7 livers - 6 kidneys - 6 lungs"/>
    <m/>
    <m/>
    <m/>
    <m/>
    <m/>
    <n v="0"/>
    <m/>
    <m/>
  </r>
  <r>
    <x v="1638"/>
    <x v="1"/>
    <m/>
    <x v="33"/>
    <n v="84"/>
    <n v="83"/>
    <n v="1"/>
    <s v="1 Sheep measles "/>
    <n v="4227"/>
    <n v="4227"/>
    <n v="0"/>
    <x v="2241"/>
    <m/>
    <n v="50.927710843373497"/>
    <n v="50.927710843373497"/>
    <n v="0"/>
    <n v="28.522891566265063"/>
    <n v="0"/>
    <n v="25"/>
    <n v="0"/>
    <n v="47.686746987951814"/>
    <n v="10"/>
    <n v="8.5"/>
    <n v="0"/>
    <n v="0.97686746987951811"/>
    <n v="0.56006624083274192"/>
    <n v="0.91186746987951806"/>
    <s v="2 kidneys - 12 livers - 3 hearts"/>
    <m/>
    <m/>
    <m/>
    <m/>
    <m/>
    <n v="0"/>
    <m/>
    <m/>
  </r>
  <r>
    <x v="1639"/>
    <x v="0"/>
    <m/>
    <x v="33"/>
    <n v="80"/>
    <n v="80"/>
    <n v="0"/>
    <m/>
    <n v="34156"/>
    <n v="34156"/>
    <n v="0"/>
    <x v="2242"/>
    <n v="460"/>
    <n v="426.95"/>
    <n v="426.95"/>
    <n v="0"/>
    <n v="257.21249999999998"/>
    <n v="5.75"/>
    <n v="25"/>
    <n v="0"/>
    <n v="47.937500000000007"/>
    <n v="10"/>
    <n v="8.5"/>
    <n v="0"/>
    <n v="0.97937500000000011"/>
    <n v="0.60244173790842015"/>
    <n v="0.91437500000000005"/>
    <s v="1 fore quarter - 1 heart - 6 livers - 4 kidneys - 6 lungs - 2 spleens - 1 intestine"/>
    <m/>
    <m/>
    <m/>
    <m/>
    <m/>
    <n v="0"/>
    <m/>
    <m/>
  </r>
  <r>
    <x v="1640"/>
    <x v="0"/>
    <m/>
    <x v="33"/>
    <n v="72"/>
    <n v="72"/>
    <n v="0"/>
    <m/>
    <n v="31850"/>
    <n v="31850"/>
    <n v="0"/>
    <x v="2243"/>
    <n v="456"/>
    <n v="442.36111111111109"/>
    <n v="442.36111111111109"/>
    <n v="0"/>
    <n v="269.27361111111111"/>
    <n v="6.333333333333333"/>
    <n v="25"/>
    <n v="0"/>
    <n v="47.30555555555555"/>
    <n v="10"/>
    <n v="8.5"/>
    <n v="0"/>
    <n v="0.97305555555555556"/>
    <n v="0.60871899529042384"/>
    <n v="0.90805555555555539"/>
    <s v="1 heart - 8 livers - 14 kidneys - 4 lungs - 2 spleens "/>
    <m/>
    <m/>
    <m/>
    <m/>
    <m/>
    <n v="0"/>
    <m/>
    <m/>
  </r>
  <r>
    <x v="1640"/>
    <x v="1"/>
    <m/>
    <x v="14"/>
    <n v="75"/>
    <n v="75"/>
    <n v="0"/>
    <m/>
    <n v="4144"/>
    <n v="4144"/>
    <n v="0"/>
    <x v="2244"/>
    <n v="0"/>
    <n v="55.25333333333333"/>
    <n v="55.25333333333333"/>
    <n v="0"/>
    <n v="31.625333333333334"/>
    <n v="0"/>
    <n v="25"/>
    <n v="0"/>
    <n v="48.180000000000007"/>
    <n v="10"/>
    <n v="8.5"/>
    <n v="0"/>
    <n v="0.98180000000000001"/>
    <n v="0.57236969111969116"/>
    <n v="0.91680000000000006"/>
    <s v="3 livers - 3 omentumes - 1 heart - 3 kidneys "/>
    <m/>
    <m/>
    <m/>
    <m/>
    <m/>
    <n v="0"/>
    <m/>
    <m/>
  </r>
  <r>
    <x v="1641"/>
    <x v="0"/>
    <m/>
    <x v="0"/>
    <n v="32"/>
    <n v="32"/>
    <n v="0"/>
    <m/>
    <n v="15293"/>
    <n v="15293"/>
    <n v="0"/>
    <x v="2245"/>
    <n v="290"/>
    <n v="477.90625"/>
    <n v="477.90625"/>
    <n v="0"/>
    <n v="286.734375"/>
    <n v="9.0625"/>
    <n v="25"/>
    <n v="0"/>
    <n v="43.78125"/>
    <n v="10"/>
    <n v="8.5"/>
    <n v="0"/>
    <n v="0.93781249999999994"/>
    <n v="0.59998038318184788"/>
    <n v="0.87281249999999999"/>
    <s v="2 livers - 10 kidneys - 3 lungs "/>
    <m/>
    <m/>
    <m/>
    <m/>
    <m/>
    <n v="1"/>
    <m/>
    <m/>
  </r>
  <r>
    <x v="1641"/>
    <x v="0"/>
    <s v="Imported"/>
    <x v="44"/>
    <n v="30"/>
    <n v="30"/>
    <n v="0"/>
    <m/>
    <n v="16354"/>
    <n v="16354"/>
    <n v="0"/>
    <x v="2246"/>
    <n v="0"/>
    <n v="545.13333333333333"/>
    <n v="545.13333333333333"/>
    <n v="0"/>
    <n v="358.33333333333331"/>
    <n v="0"/>
    <n v="24"/>
    <n v="4"/>
    <n v="44.11666666666666"/>
    <n v="10"/>
    <n v="8.5"/>
    <n v="0"/>
    <n v="0.92116666666666658"/>
    <n v="0.65733153968448088"/>
    <n v="0.90616666666666656"/>
    <s v="3 livers - 3 kidneys  "/>
    <m/>
    <m/>
    <m/>
    <m/>
    <m/>
    <n v="21"/>
    <m/>
    <m/>
  </r>
  <r>
    <x v="1642"/>
    <x v="0"/>
    <m/>
    <x v="14"/>
    <n v="59"/>
    <n v="59"/>
    <n v="0"/>
    <m/>
    <n v="32657"/>
    <n v="32657"/>
    <n v="0"/>
    <x v="2247"/>
    <n v="595"/>
    <n v="553.50847457627117"/>
    <n v="553.50847457627117"/>
    <n v="0"/>
    <n v="332.10677966101696"/>
    <n v="10.084745762711865"/>
    <n v="22.79661016949153"/>
    <n v="0"/>
    <n v="43.49152542372881"/>
    <n v="10"/>
    <n v="8.5"/>
    <n v="0"/>
    <n v="0.8908474576271187"/>
    <n v="0.60000306213063048"/>
    <n v="0.84788135593220348"/>
    <s v="5 livers - 16 kidneys - 1 heart - 2 testicles - 3 spleens - 1 intestine - 1 lung "/>
    <m/>
    <m/>
    <m/>
    <m/>
    <m/>
    <n v="55"/>
    <m/>
    <m/>
  </r>
  <r>
    <x v="1642"/>
    <x v="1"/>
    <m/>
    <x v="14"/>
    <n v="89"/>
    <n v="83"/>
    <n v="6"/>
    <s v="6 live sheep due to Mange"/>
    <n v="4225"/>
    <n v="4225"/>
    <n v="0"/>
    <x v="2248"/>
    <n v="0"/>
    <n v="50.903614457831324"/>
    <n v="50.903614457831324"/>
    <n v="0"/>
    <n v="30.333734939759033"/>
    <n v="0"/>
    <n v="25"/>
    <n v="0"/>
    <n v="49.481927710843379"/>
    <n v="10"/>
    <n v="8.5"/>
    <n v="0"/>
    <n v="0.99481927710843387"/>
    <n v="0.59590532544378694"/>
    <n v="0.92981927710843382"/>
    <s v="3 livers - 4 kidneys "/>
    <m/>
    <m/>
    <m/>
    <m/>
    <m/>
    <n v="0"/>
    <m/>
    <m/>
  </r>
  <r>
    <x v="1643"/>
    <x v="0"/>
    <m/>
    <x v="33"/>
    <n v="90"/>
    <n v="90"/>
    <n v="0"/>
    <m/>
    <n v="39207"/>
    <n v="39207"/>
    <n v="0"/>
    <x v="2249"/>
    <n v="688"/>
    <n v="435.63333333333333"/>
    <n v="435.63333333333333"/>
    <n v="0"/>
    <n v="265.66000000000003"/>
    <n v="7.6444444444444448"/>
    <n v="25"/>
    <n v="0"/>
    <n v="49.188888888888883"/>
    <n v="10"/>
    <n v="8.5"/>
    <n v="0"/>
    <n v="0.99188888888888882"/>
    <n v="0.60982477618792563"/>
    <n v="0.92688888888888887"/>
    <s v="3 livers - 4 kidneys - 1 heart - 3 lungs "/>
    <m/>
    <m/>
    <m/>
    <m/>
    <m/>
    <n v="0"/>
    <m/>
    <m/>
  </r>
  <r>
    <x v="1643"/>
    <x v="1"/>
    <m/>
    <x v="21"/>
    <n v="30"/>
    <n v="28"/>
    <n v="2"/>
    <s v="2 carcasses due to C. ovis and jaundice"/>
    <n v="1445"/>
    <n v="1445"/>
    <n v="0"/>
    <x v="2250"/>
    <n v="0"/>
    <n v="51.607142857142854"/>
    <n v="51.607142857142854"/>
    <n v="0"/>
    <n v="27.696428571428573"/>
    <n v="0"/>
    <n v="25"/>
    <n v="0"/>
    <n v="46.910714285714285"/>
    <n v="10"/>
    <n v="8.5"/>
    <n v="0"/>
    <n v="0.96910714285714283"/>
    <n v="0.53667820069204153"/>
    <n v="0.90410714285714278"/>
    <s v="7 livers - 3 kidneys - 1 heart - 1 omentum  "/>
    <m/>
    <m/>
    <m/>
    <m/>
    <m/>
    <n v="0"/>
    <m/>
    <m/>
  </r>
  <r>
    <x v="1644"/>
    <x v="1"/>
    <m/>
    <x v="33"/>
    <n v="69"/>
    <n v="68"/>
    <n v="1"/>
    <s v="1 Sheep measles "/>
    <n v="3135"/>
    <n v="3135"/>
    <n v="0"/>
    <x v="2251"/>
    <n v="0"/>
    <n v="46.102941176470587"/>
    <n v="46.102941176470587"/>
    <n v="0"/>
    <n v="24.333823529411767"/>
    <n v="0"/>
    <n v="25"/>
    <n v="0"/>
    <n v="47.147058823529413"/>
    <n v="10"/>
    <n v="8.5"/>
    <n v="0"/>
    <n v="0.97147058823529409"/>
    <n v="0.5278149920255184"/>
    <n v="0.90647058823529425"/>
    <s v="10 livers - 2 kidneys - 8 hearts   "/>
    <m/>
    <m/>
    <m/>
    <m/>
    <m/>
    <n v="0"/>
    <m/>
    <m/>
  </r>
  <r>
    <x v="1644"/>
    <x v="0"/>
    <m/>
    <x v="33"/>
    <n v="60"/>
    <n v="60"/>
    <n v="0"/>
    <m/>
    <n v="25513"/>
    <n v="25513"/>
    <n v="0"/>
    <x v="2252"/>
    <n v="423"/>
    <n v="425.21666666666664"/>
    <n v="425.21666666666664"/>
    <n v="0"/>
    <n v="262.10833333333335"/>
    <n v="7.05"/>
    <n v="25"/>
    <n v="0"/>
    <n v="47.333333333333336"/>
    <n v="10"/>
    <n v="8.5"/>
    <n v="0"/>
    <n v="0.97333333333333338"/>
    <n v="0.61641124132795044"/>
    <n v="0.90833333333333344"/>
    <s v="13 livers - 6 kidneys - 2 hearts - 2 lungs "/>
    <m/>
    <m/>
    <m/>
    <m/>
    <m/>
    <n v="0"/>
    <m/>
    <m/>
  </r>
  <r>
    <x v="1645"/>
    <x v="0"/>
    <m/>
    <x v="33"/>
    <n v="64"/>
    <n v="64"/>
    <n v="0"/>
    <m/>
    <n v="26842"/>
    <n v="26842"/>
    <n v="0"/>
    <x v="2253"/>
    <n v="396"/>
    <n v="419.40625"/>
    <n v="419.40625"/>
    <n v="0"/>
    <n v="256.05312500000002"/>
    <n v="6.1875"/>
    <n v="25"/>
    <n v="0"/>
    <n v="49.109375"/>
    <n v="10"/>
    <n v="8.5"/>
    <n v="0"/>
    <n v="0.99109375"/>
    <n v="0.61051337456225319"/>
    <n v="0.92609375000000005"/>
    <s v="5 livers - 2 kidneys - 1 heart "/>
    <m/>
    <m/>
    <m/>
    <m/>
    <m/>
    <n v="0"/>
    <m/>
    <m/>
  </r>
  <r>
    <x v="1646"/>
    <x v="0"/>
    <m/>
    <x v="33"/>
    <n v="54"/>
    <n v="54"/>
    <n v="0"/>
    <m/>
    <n v="22620"/>
    <n v="22620"/>
    <n v="0"/>
    <x v="2254"/>
    <n v="363"/>
    <n v="418.88888888888891"/>
    <n v="418.88888888888891"/>
    <n v="0"/>
    <n v="255.68148148148146"/>
    <n v="6.7222222222222223"/>
    <n v="25"/>
    <n v="0"/>
    <n v="48.018518518518519"/>
    <n v="10"/>
    <n v="8.5"/>
    <n v="0"/>
    <n v="0.98018518518518527"/>
    <n v="0.61038019451812553"/>
    <n v="0.91518518518518521"/>
    <s v="5 livers - 3 lungs - 1 heart - 1 rumen - 1 spleen  "/>
    <m/>
    <m/>
    <m/>
    <m/>
    <m/>
    <n v="0"/>
    <m/>
    <m/>
  </r>
  <r>
    <x v="1646"/>
    <x v="1"/>
    <m/>
    <x v="14"/>
    <n v="37"/>
    <n v="37"/>
    <n v="0"/>
    <m/>
    <n v="2151"/>
    <n v="2151"/>
    <n v="0"/>
    <x v="2255"/>
    <n v="0"/>
    <n v="58.135135135135137"/>
    <n v="58.135135135135137"/>
    <n v="0"/>
    <n v="34.281081081081084"/>
    <n v="0"/>
    <n v="25"/>
    <n v="0"/>
    <n v="48.810810810810807"/>
    <n v="10"/>
    <n v="8.5"/>
    <n v="0"/>
    <n v="0.98810810810810801"/>
    <n v="0.58967921896792197"/>
    <n v="0.92310810810810806"/>
    <s v="1 liver"/>
    <m/>
    <m/>
    <m/>
    <m/>
    <m/>
    <n v="0"/>
    <m/>
    <m/>
  </r>
  <r>
    <x v="1647"/>
    <x v="0"/>
    <m/>
    <x v="27"/>
    <n v="56"/>
    <n v="56"/>
    <n v="0"/>
    <m/>
    <n v="29962"/>
    <n v="29962"/>
    <n v="0"/>
    <x v="2256"/>
    <n v="563"/>
    <n v="535.03571428571433"/>
    <n v="535.03571428571433"/>
    <n v="0"/>
    <n v="338.36964285714288"/>
    <n v="10.053571428571429"/>
    <n v="24.375"/>
    <n v="0"/>
    <n v="46"/>
    <n v="10"/>
    <n v="8.5"/>
    <n v="0"/>
    <n v="0.94750000000000001"/>
    <n v="0.63242440424537749"/>
    <n v="0.88875000000000004"/>
    <s v="1 liver - 1 heart - 6 kidneys - 2 lungs "/>
    <m/>
    <m/>
    <m/>
    <m/>
    <m/>
    <n v="46"/>
    <m/>
    <m/>
  </r>
  <r>
    <x v="1647"/>
    <x v="1"/>
    <m/>
    <x v="14"/>
    <n v="35"/>
    <n v="35"/>
    <n v="0"/>
    <m/>
    <n v="1835"/>
    <n v="1835"/>
    <n v="0"/>
    <x v="2257"/>
    <n v="0"/>
    <n v="52.428571428571431"/>
    <n v="52.428571428571431"/>
    <n v="0"/>
    <n v="30.914285714285715"/>
    <n v="0"/>
    <n v="25"/>
    <n v="0"/>
    <n v="44.871428571428574"/>
    <n v="10"/>
    <n v="8.5"/>
    <n v="0"/>
    <n v="0.94871428571428573"/>
    <n v="0.58964577656675754"/>
    <n v="0.88371428571428567"/>
    <s v="1 kidney"/>
    <m/>
    <m/>
    <m/>
    <m/>
    <m/>
    <n v="0"/>
    <m/>
    <m/>
  </r>
  <r>
    <x v="1648"/>
    <x v="1"/>
    <m/>
    <x v="14"/>
    <n v="35"/>
    <n v="35"/>
    <n v="0"/>
    <m/>
    <n v="1865"/>
    <n v="1865"/>
    <n v="0"/>
    <x v="2258"/>
    <n v="0"/>
    <n v="53.285714285714285"/>
    <n v="53.285714285714285"/>
    <n v="0"/>
    <n v="29.40285714285714"/>
    <n v="0"/>
    <n v="25"/>
    <n v="0"/>
    <n v="47.957142857142856"/>
    <n v="10"/>
    <n v="8.5"/>
    <n v="0"/>
    <n v="0.97957142857142854"/>
    <n v="0.55179624664879356"/>
    <n v="0.91457142857142859"/>
    <s v="5 kidneys - 1 rumen"/>
    <m/>
    <m/>
    <m/>
    <m/>
    <m/>
    <n v="0"/>
    <m/>
    <m/>
  </r>
  <r>
    <x v="1648"/>
    <x v="0"/>
    <m/>
    <x v="14"/>
    <n v="63"/>
    <n v="61"/>
    <n v="2"/>
    <s v="2 carcasses due to drug residues and C.Bovis in the heart"/>
    <n v="31251"/>
    <n v="31251"/>
    <n v="0"/>
    <x v="2259"/>
    <n v="590"/>
    <n v="512.31147540983602"/>
    <n v="512.31147540983602"/>
    <n v="0"/>
    <n v="307.38524590163934"/>
    <n v="9.6721311475409841"/>
    <n v="24.016393442622949"/>
    <n v="0"/>
    <n v="47.344262295081968"/>
    <n v="10"/>
    <n v="8.5"/>
    <n v="0"/>
    <n v="0.95377049180327866"/>
    <n v="0.59999680010239675"/>
    <n v="0.8986065573770492"/>
    <s v="9 livers - 3 hearts - 6 kidneys - 1 lung "/>
    <m/>
    <m/>
    <m/>
    <m/>
    <m/>
    <n v="41"/>
    <m/>
    <m/>
  </r>
  <r>
    <x v="1649"/>
    <x v="1"/>
    <m/>
    <x v="14"/>
    <n v="23"/>
    <n v="23"/>
    <n v="0"/>
    <m/>
    <n v="1205"/>
    <n v="1205"/>
    <n v="0"/>
    <x v="2260"/>
    <n v="0"/>
    <n v="52.391304347826086"/>
    <n v="52.391304347826086"/>
    <n v="0"/>
    <n v="28.160869565217393"/>
    <n v="0"/>
    <n v="25"/>
    <n v="0"/>
    <n v="47.826086956521735"/>
    <n v="10"/>
    <n v="8.5"/>
    <n v="0"/>
    <n v="0.97826086956521729"/>
    <n v="0.53751037344398345"/>
    <n v="0.91326086956521735"/>
    <s v="none"/>
    <m/>
    <m/>
    <m/>
    <m/>
    <m/>
    <n v="0"/>
    <m/>
    <m/>
  </r>
  <r>
    <x v="1649"/>
    <x v="0"/>
    <m/>
    <x v="0"/>
    <n v="63"/>
    <n v="63"/>
    <n v="0"/>
    <m/>
    <n v="35417"/>
    <n v="35417"/>
    <n v="0"/>
    <x v="2261"/>
    <n v="798"/>
    <n v="562.17460317460313"/>
    <n v="562.17460317460313"/>
    <n v="0"/>
    <n v="337.30158730158729"/>
    <n v="12.666666666666666"/>
    <n v="24.920634920634921"/>
    <n v="0"/>
    <n v="48.619047619047613"/>
    <n v="10"/>
    <n v="8.5"/>
    <n v="0"/>
    <n v="0.98460317460317448"/>
    <n v="0.5999943529943248"/>
    <n v="0.92039682539682532"/>
    <s v="3 livers - 2 lungs"/>
    <m/>
    <m/>
    <m/>
    <m/>
    <m/>
    <n v="9"/>
    <m/>
    <m/>
  </r>
  <r>
    <x v="1650"/>
    <x v="0"/>
    <m/>
    <x v="33"/>
    <n v="48"/>
    <n v="48"/>
    <n v="0"/>
    <m/>
    <n v="21197"/>
    <n v="21197"/>
    <n v="0"/>
    <x v="2262"/>
    <n v="390"/>
    <n v="441.60416666666669"/>
    <n v="441.60416666666669"/>
    <n v="0"/>
    <n v="265.79583333333335"/>
    <n v="8.125"/>
    <n v="25"/>
    <n v="0"/>
    <n v="45.427083333333336"/>
    <n v="10"/>
    <n v="8.5"/>
    <n v="0"/>
    <n v="0.9542708333333334"/>
    <n v="0.60188705948955046"/>
    <n v="0.88927083333333345"/>
    <s v="5 livers - 13 kidneys - 1 lung - 1 spleen "/>
    <m/>
    <m/>
    <m/>
    <m/>
    <m/>
    <n v="0"/>
    <m/>
    <m/>
  </r>
  <r>
    <x v="1650"/>
    <x v="1"/>
    <m/>
    <x v="14"/>
    <n v="34"/>
    <n v="34"/>
    <n v="0"/>
    <m/>
    <n v="1915"/>
    <n v="1915"/>
    <n v="0"/>
    <x v="2263"/>
    <n v="0"/>
    <n v="56.323529411764703"/>
    <n v="56.323529411764703"/>
    <n v="0"/>
    <n v="32.441176470588232"/>
    <n v="0"/>
    <n v="25"/>
    <n v="0"/>
    <n v="48.264705882352942"/>
    <n v="10"/>
    <n v="8.5"/>
    <n v="0"/>
    <n v="0.98264705882352943"/>
    <n v="0.57597911227154042"/>
    <n v="0.91764705882352937"/>
    <s v="1 liver - 6 kidneys - 4 testicles "/>
    <m/>
    <m/>
    <m/>
    <m/>
    <m/>
    <n v="0"/>
    <m/>
    <m/>
  </r>
  <r>
    <x v="1651"/>
    <x v="0"/>
    <m/>
    <x v="33"/>
    <n v="48"/>
    <n v="48"/>
    <n v="0"/>
    <m/>
    <n v="20930"/>
    <n v="20930"/>
    <n v="0"/>
    <x v="2264"/>
    <n v="351"/>
    <n v="436.04166666666669"/>
    <n v="436.04166666666669"/>
    <n v="0"/>
    <n v="262.06041666666664"/>
    <n v="7.3125"/>
    <n v="25"/>
    <n v="0"/>
    <n v="47.604166666666664"/>
    <n v="10"/>
    <n v="8.5"/>
    <n v="0"/>
    <n v="0.9760416666666667"/>
    <n v="0.60099856665074058"/>
    <n v="0.91104166666666653"/>
    <s v="2 livers - 1 heart - 2 kidneys - 1 lung - 1 spleen"/>
    <m/>
    <m/>
    <m/>
    <m/>
    <m/>
    <n v="0"/>
    <m/>
    <m/>
  </r>
  <r>
    <x v="1651"/>
    <x v="1"/>
    <m/>
    <x v="14"/>
    <n v="37"/>
    <n v="36"/>
    <n v="1"/>
    <s v="1 carcass due to jaundice"/>
    <n v="1977"/>
    <n v="1977"/>
    <n v="0"/>
    <x v="2265"/>
    <n v="0"/>
    <n v="54.916666666666664"/>
    <n v="54.916666666666664"/>
    <n v="0"/>
    <n v="31.291666666666668"/>
    <n v="0"/>
    <n v="25"/>
    <n v="0"/>
    <n v="47.19444444444445"/>
    <n v="10"/>
    <n v="8.5"/>
    <n v="0"/>
    <n v="0.9719444444444445"/>
    <n v="0.56980273141122917"/>
    <n v="0.90694444444444455"/>
    <s v="5 livers - 1 heart - 6 kidneys - 1 omentum "/>
    <m/>
    <m/>
    <m/>
    <m/>
    <m/>
    <n v="0"/>
    <m/>
    <m/>
  </r>
  <r>
    <x v="1652"/>
    <x v="0"/>
    <m/>
    <x v="33"/>
    <n v="55"/>
    <n v="55"/>
    <n v="0"/>
    <m/>
    <n v="23644"/>
    <n v="23644"/>
    <n v="0"/>
    <x v="2266"/>
    <n v="428"/>
    <n v="429.89090909090908"/>
    <n v="429.89090909090908"/>
    <n v="0"/>
    <n v="261.68545454545455"/>
    <n v="7.7818181818181822"/>
    <n v="25"/>
    <n v="0"/>
    <n v="45.772727272727266"/>
    <n v="10"/>
    <n v="8.5"/>
    <n v="0"/>
    <n v="0.95772727272727265"/>
    <n v="0.60872525799357136"/>
    <n v="0.8927272727272727"/>
    <s v="5 livers - 7 kidneys - 1 head - 1 heart"/>
    <m/>
    <m/>
    <m/>
    <m/>
    <m/>
    <n v="0"/>
    <m/>
    <m/>
  </r>
  <r>
    <x v="1652"/>
    <x v="1"/>
    <m/>
    <x v="14"/>
    <n v="34"/>
    <n v="34"/>
    <n v="0"/>
    <m/>
    <n v="1839"/>
    <n v="1839"/>
    <n v="0"/>
    <x v="2267"/>
    <n v="0"/>
    <n v="54.088235294117645"/>
    <n v="54.088235294117645"/>
    <n v="0"/>
    <n v="31.135294117647057"/>
    <n v="0"/>
    <n v="25"/>
    <n v="0"/>
    <n v="46.323529411764703"/>
    <n v="10"/>
    <n v="8.5"/>
    <n v="0"/>
    <n v="0.96323529411764697"/>
    <n v="0.57563893420337131"/>
    <n v="0.89823529411764691"/>
    <s v="6 livers - 8 kidneys - 3 hearts - 2 omentumes - 2 testicles"/>
    <m/>
    <m/>
    <m/>
    <m/>
    <m/>
    <n v="0"/>
    <m/>
    <m/>
  </r>
  <r>
    <x v="1653"/>
    <x v="0"/>
    <m/>
    <x v="33"/>
    <n v="64"/>
    <n v="64"/>
    <n v="0"/>
    <m/>
    <n v="27210"/>
    <n v="27210"/>
    <n v="0"/>
    <x v="2268"/>
    <n v="452"/>
    <n v="425.15625"/>
    <n v="425.15625"/>
    <n v="0"/>
    <n v="256.3984375"/>
    <n v="7.0625"/>
    <n v="25"/>
    <n v="0"/>
    <n v="49.234375"/>
    <n v="10"/>
    <n v="8.5"/>
    <n v="0"/>
    <n v="0.99234375000000008"/>
    <n v="0.60306872473355388"/>
    <n v="0.92734375000000002"/>
    <s v="3 livers - 3 lungs - 2 kidneys "/>
    <m/>
    <m/>
    <m/>
    <m/>
    <m/>
    <n v="0"/>
    <m/>
    <m/>
  </r>
  <r>
    <x v="1653"/>
    <x v="1"/>
    <m/>
    <x v="14"/>
    <n v="63"/>
    <n v="63"/>
    <n v="0"/>
    <m/>
    <n v="3400"/>
    <n v="3400"/>
    <n v="0"/>
    <x v="2269"/>
    <n v="0"/>
    <n v="53.968253968253968"/>
    <n v="53.968253968253968"/>
    <n v="0"/>
    <n v="30.563492063492063"/>
    <n v="0"/>
    <n v="25"/>
    <n v="0"/>
    <n v="47.952380952380949"/>
    <n v="10"/>
    <n v="8.5"/>
    <n v="0"/>
    <n v="0.97952380952380946"/>
    <n v="0.56632352941176467"/>
    <n v="0.91452380952380952"/>
    <s v="2 livers - 2 kidneys "/>
    <m/>
    <m/>
    <m/>
    <m/>
    <m/>
    <n v="0"/>
    <m/>
    <m/>
  </r>
  <r>
    <x v="1653"/>
    <x v="0"/>
    <m/>
    <x v="0"/>
    <n v="64"/>
    <n v="64"/>
    <n v="0"/>
    <m/>
    <n v="34588"/>
    <n v="34588"/>
    <n v="0"/>
    <x v="2270"/>
    <n v="703"/>
    <n v="540.4375"/>
    <n v="540.4375"/>
    <n v="0"/>
    <n v="324.265625"/>
    <n v="10.984375"/>
    <n v="25"/>
    <n v="0"/>
    <n v="48.96875"/>
    <n v="10"/>
    <n v="8.5"/>
    <n v="0"/>
    <n v="0.98968750000000005"/>
    <n v="0.60000578235226087"/>
    <n v="0.9246875"/>
    <s v="1 top Sirloin Cap - 4 livers - 6 kidneys - 1 lung "/>
    <m/>
    <m/>
    <m/>
    <m/>
    <m/>
    <n v="2"/>
    <m/>
    <m/>
  </r>
  <r>
    <x v="1654"/>
    <x v="0"/>
    <m/>
    <x v="33"/>
    <n v="68"/>
    <n v="66"/>
    <n v="2"/>
    <s v="2 carcasses due to Sarcocystic Eosinophilic Myositis and C. Bovis in the heart."/>
    <n v="28279"/>
    <n v="28279"/>
    <n v="0"/>
    <x v="2271"/>
    <n v="458"/>
    <n v="428.469696969697"/>
    <n v="428.469696969697"/>
    <n v="0"/>
    <n v="259.20606060606059"/>
    <n v="6.9393939393939394"/>
    <n v="25"/>
    <n v="0"/>
    <n v="48.11363636363636"/>
    <n v="10"/>
    <n v="8.5"/>
    <n v="0"/>
    <n v="0.98113636363636358"/>
    <n v="0.60495774249443046"/>
    <n v="0.91613636363636364"/>
    <s v="1 fore quarter - 5 livers - 3 lungs - 6 kidneys - 1 testicle "/>
    <m/>
    <m/>
    <m/>
    <m/>
    <m/>
    <n v="0"/>
    <m/>
    <m/>
  </r>
  <r>
    <x v="1654"/>
    <x v="1"/>
    <m/>
    <x v="14"/>
    <n v="37"/>
    <n v="37"/>
    <n v="0"/>
    <m/>
    <n v="2055"/>
    <n v="2055"/>
    <n v="0"/>
    <x v="2272"/>
    <n v="0"/>
    <n v="55.54054054054054"/>
    <n v="55.54054054054054"/>
    <n v="0"/>
    <n v="31.121621621621621"/>
    <n v="0"/>
    <n v="25"/>
    <n v="0"/>
    <n v="47.621621621621635"/>
    <n v="10"/>
    <n v="8.5"/>
    <n v="0"/>
    <n v="0.97621621621621635"/>
    <n v="0.56034063260340627"/>
    <n v="0.9112162162162164"/>
    <s v="4 livers - 4 kidneys "/>
    <m/>
    <m/>
    <m/>
    <m/>
    <m/>
    <n v="0"/>
    <m/>
    <m/>
  </r>
  <r>
    <x v="1655"/>
    <x v="0"/>
    <m/>
    <x v="14"/>
    <n v="66"/>
    <n v="64"/>
    <n v="2"/>
    <s v="2 carcasses due to C. Bovis in their hearts."/>
    <n v="33718"/>
    <n v="33718"/>
    <n v="0"/>
    <x v="2273"/>
    <n v="659"/>
    <n v="526.84375"/>
    <n v="526.84375"/>
    <n v="0"/>
    <n v="316.10624999999999"/>
    <n v="10.296875"/>
    <n v="23.828125"/>
    <n v="0"/>
    <n v="46.734375"/>
    <n v="10"/>
    <n v="8.5"/>
    <n v="0"/>
    <n v="0.94390624999999995"/>
    <n v="0.6"/>
    <n v="0.890625"/>
    <s v="6 livers - 1 lung - 19 kidneys - 1 testicle - 2 spleens - 1 intestine - 3 hearts "/>
    <m/>
    <m/>
    <m/>
    <m/>
    <m/>
    <n v="35"/>
    <m/>
    <m/>
  </r>
  <r>
    <x v="1656"/>
    <x v="0"/>
    <m/>
    <x v="33"/>
    <n v="98"/>
    <n v="97"/>
    <n v="1"/>
    <s v="1 carcass due to C. Bovis in the heart"/>
    <n v="41918"/>
    <n v="41918"/>
    <n v="0"/>
    <x v="2274"/>
    <n v="0"/>
    <n v="432.14432989690721"/>
    <n v="432.14432989690721"/>
    <n v="0"/>
    <n v="261.25154639175258"/>
    <n v="0"/>
    <n v="25"/>
    <n v="0"/>
    <n v="48.298969072164944"/>
    <n v="10"/>
    <n v="8.5"/>
    <n v="0"/>
    <n v="0.98298969072164943"/>
    <n v="0.6045469726609094"/>
    <n v="0.91798969072164938"/>
    <s v="4 livers - 12 kidneys - 2 spleens - 1 intestine "/>
    <m/>
    <m/>
    <m/>
    <m/>
    <m/>
    <n v="1"/>
    <m/>
    <m/>
  </r>
  <r>
    <x v="1657"/>
    <x v="0"/>
    <m/>
    <x v="9"/>
    <n v="68"/>
    <n v="63"/>
    <n v="5"/>
    <s v="5 carcasses due to C. Bovis in the heart"/>
    <n v="33494"/>
    <n v="33494"/>
    <n v="0"/>
    <x v="2275"/>
    <n v="606"/>
    <n v="531.65079365079362"/>
    <n v="531.65079365079362"/>
    <n v="0"/>
    <n v="318.98888888888888"/>
    <n v="9.6190476190476186"/>
    <n v="24.079365079365079"/>
    <n v="0"/>
    <n v="45.63492063492064"/>
    <n v="10"/>
    <n v="8.5"/>
    <n v="0"/>
    <n v="0.93793650793650796"/>
    <n v="0.59999701439063713"/>
    <n v="0.88214285714285723"/>
    <s v="6 livers - 32 kidneys - 1 heart - 1 intestine - 4 lungs "/>
    <m/>
    <m/>
    <m/>
    <m/>
    <m/>
    <n v="36"/>
    <m/>
    <m/>
  </r>
  <r>
    <x v="1657"/>
    <x v="1"/>
    <m/>
    <x v="14"/>
    <n v="40"/>
    <n v="40"/>
    <n v="0"/>
    <m/>
    <n v="1970"/>
    <n v="1970"/>
    <n v="0"/>
    <x v="2276"/>
    <n v="0"/>
    <n v="49.25"/>
    <n v="49.25"/>
    <n v="0"/>
    <n v="27.860000000000003"/>
    <n v="0"/>
    <n v="25"/>
    <n v="0"/>
    <n v="46.924999999999997"/>
    <n v="10"/>
    <n v="8.5"/>
    <n v="0"/>
    <n v="0.96924999999999994"/>
    <n v="0.5656852791878173"/>
    <n v="0.90425"/>
    <s v="6 livers - 1 heart"/>
    <m/>
    <m/>
    <m/>
    <m/>
    <m/>
    <n v="0"/>
    <m/>
    <m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_rels/pivotTable3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 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4DCA0BDA-B3E1-4C44-84B7-2E61297FEA13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5:E9" firstHeaderRow="0" firstDataRow="1" firstDataCol="1" rowPageCount="3" colPageCount="1"/>
  <pivotFields count="39">
    <pivotField numFmtId="167" showAll="0">
      <items count="16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t="default"/>
      </items>
    </pivotField>
    <pivotField axis="axisPage" multipleItemSelectionAllowed="1" showAll="0">
      <items count="5">
        <item h="1" x="3"/>
        <item h="1" x="0"/>
        <item h="1" x="2"/>
        <item x="1"/>
        <item t="default"/>
      </items>
    </pivotField>
    <pivotField showAll="0"/>
    <pivotField axis="axisRow" showAll="0" sortType="ascending">
      <items count="47">
        <item x="36"/>
        <item x="26"/>
        <item x="34"/>
        <item x="28"/>
        <item x="9"/>
        <item x="39"/>
        <item x="45"/>
        <item x="29"/>
        <item x="33"/>
        <item x="32"/>
        <item x="14"/>
        <item x="41"/>
        <item x="37"/>
        <item x="11"/>
        <item x="40"/>
        <item x="8"/>
        <item x="12"/>
        <item x="15"/>
        <item x="21"/>
        <item x="30"/>
        <item x="10"/>
        <item x="43"/>
        <item x="35"/>
        <item x="6"/>
        <item x="31"/>
        <item x="24"/>
        <item x="7"/>
        <item x="18"/>
        <item x="2"/>
        <item x="27"/>
        <item x="0"/>
        <item x="4"/>
        <item x="23"/>
        <item x="44"/>
        <item x="22"/>
        <item x="17"/>
        <item x="1"/>
        <item x="25"/>
        <item x="19"/>
        <item x="38"/>
        <item x="42"/>
        <item x="20"/>
        <item x="5"/>
        <item x="16"/>
        <item x="13"/>
        <item x="3"/>
        <item t="default"/>
      </items>
    </pivotField>
    <pivotField dataField="1" showAll="0"/>
    <pivotField dataField="1" showAll="0"/>
    <pivotField dataField="1"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>
      <items count="15">
        <item h="1" sd="0" x="0"/>
        <item h="1" sd="0" x="1"/>
        <item h="1" sd="0" x="2"/>
        <item sd="0" x="3"/>
        <item h="1" sd="0" x="4"/>
        <item h="1" sd="0" x="5"/>
        <item h="1" sd="0" x="6"/>
        <item h="1" sd="0" x="7"/>
        <item h="1" sd="0" x="8"/>
        <item h="1" sd="0" x="9"/>
        <item h="1" sd="0" x="10"/>
        <item h="1" sd="0" x="11"/>
        <item h="1" sd="0" x="12"/>
        <item h="1" sd="0" x="13"/>
        <item t="default"/>
      </items>
    </pivotField>
    <pivotField showAll="0">
      <items count="7">
        <item sd="0" x="0"/>
        <item sd="0" x="1"/>
        <item sd="0" x="2"/>
        <item sd="0" x="3"/>
        <item sd="0" x="4"/>
        <item sd="0" x="5"/>
        <item t="default"/>
      </items>
    </pivotField>
    <pivotField axis="axisPage" multipleItemSelectionAllowed="1" showAll="0">
      <items count="12">
        <item h="1" sd="0" x="0"/>
        <item h="1" sd="0" x="1"/>
        <item h="1" sd="0" x="2"/>
        <item h="1" sd="0" x="3"/>
        <item h="1" sd="0" x="4"/>
        <item h="1" sd="0" x="5"/>
        <item h="1" sd="0" x="6"/>
        <item h="1" sd="0" x="7"/>
        <item h="1" sd="0" x="8"/>
        <item sd="0" x="9"/>
        <item h="1" sd="0" x="10"/>
        <item t="default"/>
      </items>
    </pivotField>
  </pivotFields>
  <rowFields count="1">
    <field x="3"/>
  </rowFields>
  <rowItems count="4">
    <i>
      <x v="8"/>
    </i>
    <i>
      <x v="10"/>
    </i>
    <i>
      <x v="18"/>
    </i>
    <i t="grand">
      <x/>
    </i>
  </rowItems>
  <colFields count="1">
    <field x="-2"/>
  </colFields>
  <colItems count="4">
    <i>
      <x/>
    </i>
    <i i="1">
      <x v="1"/>
    </i>
    <i i="2">
      <x v="2"/>
    </i>
    <i i="3">
      <x v="3"/>
    </i>
  </colItems>
  <pageFields count="3">
    <pageField fld="1" hier="-1"/>
    <pageField fld="38" hier="-1"/>
    <pageField fld="36" hier="-1"/>
  </pageFields>
  <dataFields count="4">
    <dataField name="Sum of number" fld="4" baseField="0" baseItem="0"/>
    <dataField name="Sum of received" fld="5" baseField="0" baseItem="0"/>
    <dataField name="Sum of rejected" fld="6" baseField="0" baseItem="0"/>
    <dataField name="Count of rejection reasons" fld="7" subtotal="count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B5F37B96-CE2D-407D-8141-B8A9F7DB0729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E13" firstHeaderRow="1" firstDataRow="2" firstDataCol="1" rowPageCount="1" colPageCount="1"/>
  <pivotFields count="39">
    <pivotField numFmtId="167" showAll="0">
      <items count="16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t="default"/>
      </items>
    </pivotField>
    <pivotField axis="axisCol" showAll="0">
      <items count="5">
        <item x="3"/>
        <item x="0"/>
        <item x="2"/>
        <item x="1"/>
        <item t="default"/>
      </items>
    </pivotField>
    <pivotField showAll="0"/>
    <pivotField showAll="0"/>
    <pivotField dataField="1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Page" multipleItemSelectionAllowed="1" showAll="0" defaultSubtotal="0">
      <items count="14">
        <item h="1" sd="0" x="0"/>
        <item sd="0" x="1"/>
        <item sd="0" x="2"/>
        <item sd="0" x="3"/>
        <item sd="0" x="4"/>
        <item sd="0" x="5"/>
        <item sd="0" x="6"/>
        <item sd="0" x="7"/>
        <item sd="0" x="8"/>
        <item h="1" sd="0" x="9"/>
        <item h="1" sd="0" x="10"/>
        <item h="1" sd="0" x="11"/>
        <item h="1" sd="0" x="12"/>
        <item h="1"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1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</items>
    </pivotField>
  </pivotFields>
  <rowFields count="1">
    <field x="38"/>
  </rowFields>
  <rowItems count="9"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 t="grand">
      <x/>
    </i>
  </rowItems>
  <colFields count="1">
    <field x="1"/>
  </colFields>
  <colItems count="4">
    <i>
      <x/>
    </i>
    <i>
      <x v="1"/>
    </i>
    <i>
      <x v="3"/>
    </i>
    <i t="grand">
      <x/>
    </i>
  </colItems>
  <pageFields count="1">
    <pageField fld="36" hier="-1"/>
  </pageFields>
  <dataFields count="1">
    <dataField name="Sum of number" fld="4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3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26FB4A3-6ADB-46E4-B740-ECD20B263CE1}" name="PivotTable1" cacheId="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>
  <location ref="A3:A28" firstHeaderRow="1" firstDataRow="1" firstDataCol="1"/>
  <pivotFields count="39">
    <pivotField axis="axisRow" numFmtId="167" showAll="0">
      <items count="1659">
        <item x="0"/>
        <item x="1"/>
        <item x="2"/>
        <item x="3"/>
        <item x="4"/>
        <item x="5"/>
        <item x="6"/>
        <item x="7"/>
        <item x="8"/>
        <item x="9"/>
        <item x="10"/>
        <item x="11"/>
        <item x="12"/>
        <item x="13"/>
        <item x="14"/>
        <item x="15"/>
        <item x="16"/>
        <item x="17"/>
        <item x="18"/>
        <item x="19"/>
        <item x="20"/>
        <item x="21"/>
        <item x="22"/>
        <item x="23"/>
        <item x="24"/>
        <item x="25"/>
        <item x="26"/>
        <item x="27"/>
        <item x="28"/>
        <item x="29"/>
        <item x="30"/>
        <item x="31"/>
        <item x="32"/>
        <item x="33"/>
        <item x="34"/>
        <item x="35"/>
        <item x="36"/>
        <item x="37"/>
        <item x="38"/>
        <item x="39"/>
        <item x="40"/>
        <item x="41"/>
        <item x="42"/>
        <item x="43"/>
        <item x="44"/>
        <item x="45"/>
        <item x="46"/>
        <item x="47"/>
        <item x="48"/>
        <item x="49"/>
        <item x="50"/>
        <item x="51"/>
        <item x="52"/>
        <item x="53"/>
        <item x="54"/>
        <item x="55"/>
        <item x="56"/>
        <item x="57"/>
        <item x="58"/>
        <item x="59"/>
        <item x="60"/>
        <item x="61"/>
        <item x="62"/>
        <item x="63"/>
        <item x="64"/>
        <item x="65"/>
        <item x="66"/>
        <item x="67"/>
        <item x="68"/>
        <item x="69"/>
        <item x="70"/>
        <item x="71"/>
        <item x="72"/>
        <item x="73"/>
        <item x="74"/>
        <item x="75"/>
        <item x="76"/>
        <item x="77"/>
        <item x="78"/>
        <item x="79"/>
        <item x="80"/>
        <item x="81"/>
        <item x="82"/>
        <item x="83"/>
        <item x="84"/>
        <item x="85"/>
        <item x="86"/>
        <item x="87"/>
        <item x="88"/>
        <item x="89"/>
        <item x="90"/>
        <item x="91"/>
        <item x="92"/>
        <item x="93"/>
        <item x="94"/>
        <item x="95"/>
        <item x="96"/>
        <item x="97"/>
        <item x="98"/>
        <item x="99"/>
        <item x="100"/>
        <item x="101"/>
        <item x="102"/>
        <item x="103"/>
        <item x="104"/>
        <item x="105"/>
        <item x="106"/>
        <item x="107"/>
        <item x="108"/>
        <item x="109"/>
        <item x="110"/>
        <item x="111"/>
        <item x="112"/>
        <item x="113"/>
        <item x="114"/>
        <item x="115"/>
        <item x="116"/>
        <item x="117"/>
        <item x="118"/>
        <item x="119"/>
        <item x="120"/>
        <item x="121"/>
        <item x="122"/>
        <item x="123"/>
        <item x="124"/>
        <item x="125"/>
        <item x="126"/>
        <item x="127"/>
        <item x="128"/>
        <item x="129"/>
        <item x="130"/>
        <item x="131"/>
        <item x="132"/>
        <item x="133"/>
        <item x="134"/>
        <item x="135"/>
        <item x="136"/>
        <item x="137"/>
        <item x="138"/>
        <item x="139"/>
        <item x="140"/>
        <item x="141"/>
        <item x="142"/>
        <item x="143"/>
        <item x="144"/>
        <item x="145"/>
        <item x="146"/>
        <item x="147"/>
        <item x="148"/>
        <item x="149"/>
        <item x="150"/>
        <item x="151"/>
        <item x="152"/>
        <item x="153"/>
        <item x="154"/>
        <item x="155"/>
        <item x="156"/>
        <item x="157"/>
        <item x="158"/>
        <item x="159"/>
        <item x="160"/>
        <item x="161"/>
        <item x="162"/>
        <item x="163"/>
        <item x="164"/>
        <item x="165"/>
        <item x="166"/>
        <item x="167"/>
        <item x="168"/>
        <item x="169"/>
        <item x="170"/>
        <item x="171"/>
        <item x="172"/>
        <item x="173"/>
        <item x="174"/>
        <item x="175"/>
        <item x="176"/>
        <item x="177"/>
        <item x="178"/>
        <item x="179"/>
        <item x="180"/>
        <item x="181"/>
        <item x="182"/>
        <item x="183"/>
        <item x="184"/>
        <item x="185"/>
        <item x="186"/>
        <item x="187"/>
        <item x="188"/>
        <item x="189"/>
        <item x="190"/>
        <item x="191"/>
        <item x="192"/>
        <item x="193"/>
        <item x="194"/>
        <item x="195"/>
        <item x="196"/>
        <item x="197"/>
        <item x="198"/>
        <item x="199"/>
        <item x="200"/>
        <item x="201"/>
        <item x="202"/>
        <item x="203"/>
        <item x="204"/>
        <item x="205"/>
        <item x="206"/>
        <item x="207"/>
        <item x="208"/>
        <item x="209"/>
        <item x="210"/>
        <item x="211"/>
        <item x="212"/>
        <item x="213"/>
        <item x="214"/>
        <item x="215"/>
        <item x="216"/>
        <item x="217"/>
        <item x="218"/>
        <item x="219"/>
        <item x="220"/>
        <item x="221"/>
        <item x="222"/>
        <item x="223"/>
        <item x="224"/>
        <item x="225"/>
        <item x="226"/>
        <item x="227"/>
        <item x="228"/>
        <item x="229"/>
        <item x="230"/>
        <item x="231"/>
        <item x="232"/>
        <item x="233"/>
        <item x="234"/>
        <item x="235"/>
        <item x="236"/>
        <item x="237"/>
        <item x="238"/>
        <item x="239"/>
        <item x="240"/>
        <item x="241"/>
        <item x="242"/>
        <item x="243"/>
        <item x="244"/>
        <item x="245"/>
        <item x="246"/>
        <item x="247"/>
        <item x="248"/>
        <item x="249"/>
        <item x="250"/>
        <item x="251"/>
        <item x="252"/>
        <item x="253"/>
        <item x="254"/>
        <item x="255"/>
        <item x="256"/>
        <item x="257"/>
        <item x="258"/>
        <item x="259"/>
        <item x="260"/>
        <item x="261"/>
        <item x="262"/>
        <item x="263"/>
        <item x="264"/>
        <item x="265"/>
        <item x="266"/>
        <item x="267"/>
        <item x="268"/>
        <item x="269"/>
        <item x="270"/>
        <item x="271"/>
        <item x="272"/>
        <item x="273"/>
        <item x="274"/>
        <item x="275"/>
        <item x="276"/>
        <item x="277"/>
        <item x="278"/>
        <item x="279"/>
        <item x="280"/>
        <item x="281"/>
        <item x="282"/>
        <item x="283"/>
        <item x="284"/>
        <item x="285"/>
        <item x="286"/>
        <item x="287"/>
        <item x="288"/>
        <item x="289"/>
        <item x="290"/>
        <item x="291"/>
        <item x="292"/>
        <item x="293"/>
        <item x="294"/>
        <item x="295"/>
        <item x="296"/>
        <item x="297"/>
        <item x="298"/>
        <item x="299"/>
        <item x="300"/>
        <item x="301"/>
        <item x="302"/>
        <item x="303"/>
        <item x="304"/>
        <item x="305"/>
        <item x="306"/>
        <item x="307"/>
        <item x="308"/>
        <item x="309"/>
        <item x="310"/>
        <item x="311"/>
        <item x="312"/>
        <item x="313"/>
        <item x="314"/>
        <item x="315"/>
        <item x="316"/>
        <item x="317"/>
        <item x="318"/>
        <item x="319"/>
        <item x="320"/>
        <item x="321"/>
        <item x="322"/>
        <item x="323"/>
        <item x="324"/>
        <item x="325"/>
        <item x="326"/>
        <item x="327"/>
        <item x="328"/>
        <item x="329"/>
        <item x="330"/>
        <item x="331"/>
        <item x="332"/>
        <item x="333"/>
        <item x="334"/>
        <item x="335"/>
        <item x="336"/>
        <item x="337"/>
        <item x="338"/>
        <item x="339"/>
        <item x="340"/>
        <item x="341"/>
        <item x="342"/>
        <item x="343"/>
        <item x="344"/>
        <item x="345"/>
        <item x="346"/>
        <item x="347"/>
        <item x="348"/>
        <item x="349"/>
        <item x="350"/>
        <item x="351"/>
        <item x="352"/>
        <item x="353"/>
        <item x="354"/>
        <item x="355"/>
        <item x="356"/>
        <item x="357"/>
        <item x="358"/>
        <item x="359"/>
        <item x="360"/>
        <item x="361"/>
        <item x="362"/>
        <item x="363"/>
        <item x="364"/>
        <item x="365"/>
        <item x="366"/>
        <item x="367"/>
        <item x="368"/>
        <item x="369"/>
        <item x="370"/>
        <item x="371"/>
        <item x="372"/>
        <item x="373"/>
        <item x="374"/>
        <item x="375"/>
        <item x="376"/>
        <item x="377"/>
        <item x="378"/>
        <item x="379"/>
        <item x="380"/>
        <item x="381"/>
        <item x="382"/>
        <item x="383"/>
        <item x="384"/>
        <item x="385"/>
        <item x="386"/>
        <item x="387"/>
        <item x="388"/>
        <item x="389"/>
        <item x="390"/>
        <item x="391"/>
        <item x="392"/>
        <item x="393"/>
        <item x="394"/>
        <item x="395"/>
        <item x="396"/>
        <item x="397"/>
        <item x="398"/>
        <item x="399"/>
        <item x="400"/>
        <item x="401"/>
        <item x="402"/>
        <item x="403"/>
        <item x="404"/>
        <item x="405"/>
        <item x="406"/>
        <item x="407"/>
        <item x="408"/>
        <item x="409"/>
        <item x="410"/>
        <item x="411"/>
        <item x="412"/>
        <item x="413"/>
        <item x="414"/>
        <item x="415"/>
        <item x="416"/>
        <item x="417"/>
        <item x="418"/>
        <item x="419"/>
        <item x="420"/>
        <item x="421"/>
        <item x="422"/>
        <item x="423"/>
        <item x="424"/>
        <item x="425"/>
        <item x="426"/>
        <item x="427"/>
        <item x="428"/>
        <item x="429"/>
        <item x="430"/>
        <item x="431"/>
        <item x="432"/>
        <item x="433"/>
        <item x="434"/>
        <item x="435"/>
        <item x="436"/>
        <item x="437"/>
        <item x="438"/>
        <item x="439"/>
        <item x="440"/>
        <item x="441"/>
        <item x="442"/>
        <item x="443"/>
        <item x="444"/>
        <item x="445"/>
        <item x="446"/>
        <item x="447"/>
        <item x="448"/>
        <item x="449"/>
        <item x="450"/>
        <item x="451"/>
        <item x="452"/>
        <item x="453"/>
        <item x="454"/>
        <item x="455"/>
        <item x="456"/>
        <item x="457"/>
        <item x="458"/>
        <item x="459"/>
        <item x="460"/>
        <item x="461"/>
        <item x="462"/>
        <item x="463"/>
        <item x="464"/>
        <item x="465"/>
        <item x="466"/>
        <item x="467"/>
        <item x="468"/>
        <item x="469"/>
        <item x="470"/>
        <item x="471"/>
        <item x="472"/>
        <item x="473"/>
        <item x="474"/>
        <item x="475"/>
        <item x="476"/>
        <item x="477"/>
        <item x="478"/>
        <item x="479"/>
        <item x="480"/>
        <item x="481"/>
        <item x="482"/>
        <item x="483"/>
        <item x="484"/>
        <item x="485"/>
        <item x="486"/>
        <item x="487"/>
        <item x="488"/>
        <item x="489"/>
        <item x="490"/>
        <item x="491"/>
        <item x="492"/>
        <item x="493"/>
        <item x="494"/>
        <item x="495"/>
        <item x="496"/>
        <item x="497"/>
        <item x="498"/>
        <item x="499"/>
        <item x="500"/>
        <item x="501"/>
        <item x="502"/>
        <item x="503"/>
        <item x="504"/>
        <item x="505"/>
        <item x="506"/>
        <item x="507"/>
        <item x="508"/>
        <item x="509"/>
        <item x="510"/>
        <item x="511"/>
        <item x="512"/>
        <item x="513"/>
        <item x="514"/>
        <item x="515"/>
        <item x="516"/>
        <item x="517"/>
        <item x="518"/>
        <item x="519"/>
        <item x="520"/>
        <item x="521"/>
        <item x="522"/>
        <item x="523"/>
        <item x="524"/>
        <item x="525"/>
        <item x="526"/>
        <item x="527"/>
        <item x="528"/>
        <item x="529"/>
        <item x="530"/>
        <item x="531"/>
        <item x="532"/>
        <item x="533"/>
        <item x="534"/>
        <item x="535"/>
        <item x="536"/>
        <item x="537"/>
        <item x="538"/>
        <item x="539"/>
        <item x="540"/>
        <item x="541"/>
        <item x="542"/>
        <item x="543"/>
        <item x="544"/>
        <item x="545"/>
        <item x="546"/>
        <item x="547"/>
        <item x="548"/>
        <item x="549"/>
        <item x="550"/>
        <item x="551"/>
        <item x="552"/>
        <item x="553"/>
        <item x="554"/>
        <item x="555"/>
        <item x="556"/>
        <item x="557"/>
        <item x="558"/>
        <item x="559"/>
        <item x="560"/>
        <item x="561"/>
        <item x="562"/>
        <item x="563"/>
        <item x="564"/>
        <item x="565"/>
        <item x="566"/>
        <item x="567"/>
        <item x="568"/>
        <item x="569"/>
        <item x="570"/>
        <item x="571"/>
        <item x="572"/>
        <item x="573"/>
        <item x="574"/>
        <item x="575"/>
        <item x="576"/>
        <item x="577"/>
        <item x="578"/>
        <item x="579"/>
        <item x="580"/>
        <item x="581"/>
        <item x="582"/>
        <item x="583"/>
        <item x="584"/>
        <item x="585"/>
        <item x="586"/>
        <item x="587"/>
        <item x="588"/>
        <item x="589"/>
        <item x="590"/>
        <item x="591"/>
        <item x="592"/>
        <item x="593"/>
        <item x="594"/>
        <item x="595"/>
        <item x="596"/>
        <item x="597"/>
        <item x="598"/>
        <item x="599"/>
        <item x="600"/>
        <item x="601"/>
        <item x="602"/>
        <item x="603"/>
        <item x="604"/>
        <item x="605"/>
        <item x="606"/>
        <item x="607"/>
        <item x="608"/>
        <item x="609"/>
        <item x="610"/>
        <item x="611"/>
        <item x="612"/>
        <item x="613"/>
        <item x="614"/>
        <item x="615"/>
        <item x="616"/>
        <item x="617"/>
        <item x="618"/>
        <item x="619"/>
        <item x="620"/>
        <item x="621"/>
        <item x="622"/>
        <item x="623"/>
        <item x="624"/>
        <item x="625"/>
        <item x="626"/>
        <item x="627"/>
        <item x="628"/>
        <item x="629"/>
        <item x="630"/>
        <item x="631"/>
        <item x="632"/>
        <item x="633"/>
        <item x="634"/>
        <item x="635"/>
        <item x="636"/>
        <item x="637"/>
        <item x="638"/>
        <item x="639"/>
        <item x="640"/>
        <item x="641"/>
        <item x="642"/>
        <item x="643"/>
        <item x="644"/>
        <item x="645"/>
        <item x="646"/>
        <item x="647"/>
        <item x="648"/>
        <item x="649"/>
        <item x="650"/>
        <item x="651"/>
        <item x="652"/>
        <item x="653"/>
        <item x="654"/>
        <item x="655"/>
        <item x="656"/>
        <item x="657"/>
        <item x="658"/>
        <item x="659"/>
        <item x="660"/>
        <item x="661"/>
        <item x="662"/>
        <item x="663"/>
        <item x="664"/>
        <item x="665"/>
        <item x="666"/>
        <item x="667"/>
        <item x="668"/>
        <item x="669"/>
        <item x="670"/>
        <item x="671"/>
        <item x="672"/>
        <item x="673"/>
        <item x="674"/>
        <item x="675"/>
        <item x="676"/>
        <item x="677"/>
        <item x="678"/>
        <item x="679"/>
        <item x="680"/>
        <item x="681"/>
        <item x="682"/>
        <item x="683"/>
        <item x="684"/>
        <item x="685"/>
        <item x="686"/>
        <item x="687"/>
        <item x="688"/>
        <item x="689"/>
        <item x="690"/>
        <item x="691"/>
        <item x="692"/>
        <item x="693"/>
        <item x="694"/>
        <item x="695"/>
        <item x="696"/>
        <item x="697"/>
        <item x="698"/>
        <item x="699"/>
        <item x="700"/>
        <item x="701"/>
        <item x="702"/>
        <item x="703"/>
        <item x="704"/>
        <item x="705"/>
        <item x="706"/>
        <item x="707"/>
        <item x="708"/>
        <item x="709"/>
        <item x="710"/>
        <item x="711"/>
        <item x="712"/>
        <item x="713"/>
        <item x="714"/>
        <item x="715"/>
        <item x="716"/>
        <item x="717"/>
        <item x="718"/>
        <item x="719"/>
        <item x="720"/>
        <item x="721"/>
        <item x="722"/>
        <item x="723"/>
        <item x="724"/>
        <item x="725"/>
        <item x="726"/>
        <item x="727"/>
        <item x="728"/>
        <item x="729"/>
        <item x="730"/>
        <item x="731"/>
        <item x="732"/>
        <item x="733"/>
        <item x="734"/>
        <item x="735"/>
        <item x="736"/>
        <item x="737"/>
        <item x="738"/>
        <item x="739"/>
        <item x="740"/>
        <item x="741"/>
        <item x="742"/>
        <item x="743"/>
        <item x="744"/>
        <item x="745"/>
        <item x="746"/>
        <item x="747"/>
        <item x="748"/>
        <item x="749"/>
        <item x="750"/>
        <item x="751"/>
        <item x="752"/>
        <item x="753"/>
        <item x="754"/>
        <item x="755"/>
        <item x="756"/>
        <item x="757"/>
        <item x="758"/>
        <item x="759"/>
        <item x="760"/>
        <item x="761"/>
        <item x="762"/>
        <item x="763"/>
        <item x="764"/>
        <item x="765"/>
        <item x="766"/>
        <item x="767"/>
        <item x="768"/>
        <item x="769"/>
        <item x="770"/>
        <item x="771"/>
        <item x="772"/>
        <item x="773"/>
        <item x="774"/>
        <item x="775"/>
        <item x="776"/>
        <item x="777"/>
        <item x="778"/>
        <item x="779"/>
        <item x="780"/>
        <item x="781"/>
        <item x="782"/>
        <item x="783"/>
        <item x="784"/>
        <item x="785"/>
        <item x="786"/>
        <item x="787"/>
        <item x="788"/>
        <item x="789"/>
        <item x="790"/>
        <item x="791"/>
        <item x="792"/>
        <item x="793"/>
        <item x="794"/>
        <item x="795"/>
        <item x="796"/>
        <item x="797"/>
        <item x="798"/>
        <item x="799"/>
        <item x="800"/>
        <item x="801"/>
        <item x="802"/>
        <item x="803"/>
        <item x="804"/>
        <item x="805"/>
        <item x="806"/>
        <item x="807"/>
        <item x="808"/>
        <item x="809"/>
        <item x="810"/>
        <item x="811"/>
        <item x="812"/>
        <item x="813"/>
        <item x="814"/>
        <item x="815"/>
        <item x="816"/>
        <item x="817"/>
        <item x="818"/>
        <item x="819"/>
        <item x="820"/>
        <item x="821"/>
        <item x="822"/>
        <item x="823"/>
        <item x="824"/>
        <item x="825"/>
        <item x="826"/>
        <item x="827"/>
        <item x="828"/>
        <item x="829"/>
        <item x="830"/>
        <item x="831"/>
        <item x="832"/>
        <item x="833"/>
        <item x="834"/>
        <item x="835"/>
        <item x="836"/>
        <item x="837"/>
        <item x="838"/>
        <item x="839"/>
        <item x="840"/>
        <item x="841"/>
        <item x="842"/>
        <item x="843"/>
        <item x="844"/>
        <item x="845"/>
        <item x="846"/>
        <item x="847"/>
        <item x="848"/>
        <item x="849"/>
        <item x="850"/>
        <item x="851"/>
        <item x="852"/>
        <item x="853"/>
        <item x="854"/>
        <item x="855"/>
        <item x="856"/>
        <item x="857"/>
        <item x="858"/>
        <item x="859"/>
        <item x="860"/>
        <item x="861"/>
        <item x="862"/>
        <item x="863"/>
        <item x="864"/>
        <item x="865"/>
        <item x="866"/>
        <item x="867"/>
        <item x="868"/>
        <item x="869"/>
        <item x="870"/>
        <item x="871"/>
        <item x="872"/>
        <item x="873"/>
        <item x="874"/>
        <item x="875"/>
        <item x="876"/>
        <item x="877"/>
        <item x="878"/>
        <item x="879"/>
        <item x="880"/>
        <item x="881"/>
        <item x="882"/>
        <item x="883"/>
        <item x="884"/>
        <item x="885"/>
        <item x="886"/>
        <item x="887"/>
        <item x="888"/>
        <item x="889"/>
        <item x="890"/>
        <item x="891"/>
        <item x="892"/>
        <item x="893"/>
        <item x="894"/>
        <item x="895"/>
        <item x="896"/>
        <item x="897"/>
        <item x="898"/>
        <item x="899"/>
        <item x="900"/>
        <item x="901"/>
        <item x="902"/>
        <item x="903"/>
        <item x="904"/>
        <item x="905"/>
        <item x="906"/>
        <item x="907"/>
        <item x="908"/>
        <item x="909"/>
        <item x="910"/>
        <item x="911"/>
        <item x="912"/>
        <item x="913"/>
        <item x="914"/>
        <item x="915"/>
        <item x="916"/>
        <item x="917"/>
        <item x="918"/>
        <item x="919"/>
        <item x="920"/>
        <item x="921"/>
        <item x="922"/>
        <item x="923"/>
        <item x="924"/>
        <item x="925"/>
        <item x="926"/>
        <item x="927"/>
        <item x="928"/>
        <item x="929"/>
        <item x="930"/>
        <item x="931"/>
        <item x="932"/>
        <item x="933"/>
        <item x="934"/>
        <item x="935"/>
        <item x="936"/>
        <item x="937"/>
        <item x="938"/>
        <item x="939"/>
        <item x="940"/>
        <item x="941"/>
        <item x="942"/>
        <item x="943"/>
        <item x="944"/>
        <item x="945"/>
        <item x="946"/>
        <item x="947"/>
        <item x="948"/>
        <item x="949"/>
        <item x="950"/>
        <item x="951"/>
        <item x="952"/>
        <item x="953"/>
        <item x="954"/>
        <item x="955"/>
        <item x="956"/>
        <item x="957"/>
        <item x="958"/>
        <item x="959"/>
        <item x="960"/>
        <item x="961"/>
        <item x="962"/>
        <item x="963"/>
        <item x="964"/>
        <item x="965"/>
        <item x="966"/>
        <item x="967"/>
        <item x="968"/>
        <item x="969"/>
        <item x="970"/>
        <item x="971"/>
        <item x="972"/>
        <item x="973"/>
        <item x="974"/>
        <item x="975"/>
        <item x="976"/>
        <item x="977"/>
        <item x="978"/>
        <item x="979"/>
        <item x="980"/>
        <item x="981"/>
        <item x="982"/>
        <item x="983"/>
        <item x="984"/>
        <item x="985"/>
        <item x="986"/>
        <item x="987"/>
        <item x="988"/>
        <item x="989"/>
        <item x="990"/>
        <item x="991"/>
        <item x="992"/>
        <item x="993"/>
        <item x="994"/>
        <item x="995"/>
        <item x="996"/>
        <item x="997"/>
        <item x="998"/>
        <item x="999"/>
        <item x="1000"/>
        <item x="1001"/>
        <item x="1002"/>
        <item x="1003"/>
        <item x="1004"/>
        <item x="1005"/>
        <item x="1006"/>
        <item x="1007"/>
        <item x="1008"/>
        <item x="1009"/>
        <item x="1010"/>
        <item x="1011"/>
        <item x="1012"/>
        <item x="1013"/>
        <item x="1014"/>
        <item x="1015"/>
        <item x="1016"/>
        <item x="1017"/>
        <item x="1018"/>
        <item x="1019"/>
        <item x="1020"/>
        <item x="1021"/>
        <item x="1022"/>
        <item x="1023"/>
        <item x="1024"/>
        <item x="1025"/>
        <item x="1026"/>
        <item x="1027"/>
        <item x="1028"/>
        <item x="1029"/>
        <item x="1030"/>
        <item x="1031"/>
        <item x="1032"/>
        <item x="1033"/>
        <item x="1034"/>
        <item x="1035"/>
        <item x="1036"/>
        <item x="1037"/>
        <item x="1038"/>
        <item x="1039"/>
        <item x="1040"/>
        <item x="1041"/>
        <item x="1042"/>
        <item x="1043"/>
        <item x="1044"/>
        <item x="1045"/>
        <item x="1046"/>
        <item x="1047"/>
        <item x="1048"/>
        <item x="1049"/>
        <item x="1050"/>
        <item x="1051"/>
        <item x="1052"/>
        <item x="1053"/>
        <item x="1054"/>
        <item x="1055"/>
        <item x="1056"/>
        <item x="1057"/>
        <item x="1058"/>
        <item x="1059"/>
        <item x="1060"/>
        <item x="1061"/>
        <item x="1062"/>
        <item x="1063"/>
        <item x="1064"/>
        <item x="1065"/>
        <item x="1066"/>
        <item x="1067"/>
        <item x="1068"/>
        <item x="1069"/>
        <item x="1070"/>
        <item x="1071"/>
        <item x="1072"/>
        <item x="1073"/>
        <item x="1074"/>
        <item x="1075"/>
        <item x="1076"/>
        <item x="1077"/>
        <item x="1078"/>
        <item x="1079"/>
        <item x="1080"/>
        <item x="1081"/>
        <item x="1082"/>
        <item x="1083"/>
        <item x="1084"/>
        <item x="1085"/>
        <item x="1086"/>
        <item x="1087"/>
        <item x="1088"/>
        <item x="1089"/>
        <item x="1090"/>
        <item x="1091"/>
        <item x="1092"/>
        <item x="1093"/>
        <item x="1094"/>
        <item x="1095"/>
        <item x="1096"/>
        <item x="1097"/>
        <item x="1098"/>
        <item x="1099"/>
        <item x="1100"/>
        <item x="1101"/>
        <item x="1102"/>
        <item x="1103"/>
        <item x="1104"/>
        <item x="1105"/>
        <item x="1106"/>
        <item x="1107"/>
        <item x="1108"/>
        <item x="1109"/>
        <item x="1110"/>
        <item x="1111"/>
        <item x="1112"/>
        <item x="1113"/>
        <item x="1114"/>
        <item x="1115"/>
        <item x="1116"/>
        <item x="1117"/>
        <item x="1118"/>
        <item x="1119"/>
        <item x="1120"/>
        <item x="1121"/>
        <item x="1122"/>
        <item x="1123"/>
        <item x="1124"/>
        <item x="1125"/>
        <item x="1126"/>
        <item x="1127"/>
        <item x="1128"/>
        <item x="1129"/>
        <item x="1130"/>
        <item x="1131"/>
        <item x="1132"/>
        <item x="1133"/>
        <item x="1134"/>
        <item x="1135"/>
        <item x="1136"/>
        <item x="1137"/>
        <item x="1138"/>
        <item x="1139"/>
        <item x="1140"/>
        <item x="1141"/>
        <item x="1142"/>
        <item x="1143"/>
        <item x="1144"/>
        <item x="1145"/>
        <item x="1146"/>
        <item x="1147"/>
        <item x="1148"/>
        <item x="1149"/>
        <item x="1150"/>
        <item x="1151"/>
        <item x="1152"/>
        <item x="1153"/>
        <item x="1154"/>
        <item x="1155"/>
        <item x="1156"/>
        <item x="1157"/>
        <item x="1158"/>
        <item x="1159"/>
        <item x="1160"/>
        <item x="1161"/>
        <item x="1162"/>
        <item x="1163"/>
        <item x="1164"/>
        <item x="1165"/>
        <item x="1166"/>
        <item x="1167"/>
        <item x="1168"/>
        <item x="1169"/>
        <item x="1170"/>
        <item x="1171"/>
        <item x="1172"/>
        <item x="1173"/>
        <item x="1174"/>
        <item x="1175"/>
        <item x="1176"/>
        <item x="1177"/>
        <item x="1178"/>
        <item x="1179"/>
        <item x="1180"/>
        <item x="1181"/>
        <item x="1182"/>
        <item x="1183"/>
        <item x="1184"/>
        <item x="1185"/>
        <item x="1186"/>
        <item x="1187"/>
        <item x="1188"/>
        <item x="1189"/>
        <item x="1190"/>
        <item x="1191"/>
        <item x="1192"/>
        <item x="1193"/>
        <item x="1194"/>
        <item x="1195"/>
        <item x="1196"/>
        <item x="1197"/>
        <item x="1198"/>
        <item x="1199"/>
        <item x="1200"/>
        <item x="1201"/>
        <item x="1202"/>
        <item x="1203"/>
        <item x="1204"/>
        <item x="1205"/>
        <item x="1206"/>
        <item x="1207"/>
        <item x="1208"/>
        <item x="1209"/>
        <item x="1210"/>
        <item x="1211"/>
        <item x="1212"/>
        <item x="1213"/>
        <item x="1214"/>
        <item x="1215"/>
        <item x="1216"/>
        <item x="1217"/>
        <item x="1218"/>
        <item x="1219"/>
        <item x="1220"/>
        <item x="1221"/>
        <item x="1222"/>
        <item x="1223"/>
        <item x="1224"/>
        <item x="1225"/>
        <item x="1226"/>
        <item x="1227"/>
        <item x="1228"/>
        <item x="1229"/>
        <item x="1230"/>
        <item x="1231"/>
        <item x="1232"/>
        <item x="1233"/>
        <item x="1234"/>
        <item x="1235"/>
        <item x="1236"/>
        <item x="1237"/>
        <item x="1238"/>
        <item x="1239"/>
        <item x="1240"/>
        <item x="1241"/>
        <item x="1242"/>
        <item x="1243"/>
        <item x="1244"/>
        <item x="1245"/>
        <item x="1246"/>
        <item x="1247"/>
        <item x="1248"/>
        <item x="1249"/>
        <item x="1250"/>
        <item x="1251"/>
        <item x="1252"/>
        <item x="1253"/>
        <item x="1254"/>
        <item x="1255"/>
        <item x="1256"/>
        <item x="1257"/>
        <item x="1258"/>
        <item x="1259"/>
        <item x="1260"/>
        <item x="1261"/>
        <item x="1262"/>
        <item x="1263"/>
        <item x="1264"/>
        <item x="1265"/>
        <item x="1266"/>
        <item x="1267"/>
        <item x="1268"/>
        <item x="1269"/>
        <item x="1270"/>
        <item x="1271"/>
        <item x="1272"/>
        <item x="1273"/>
        <item x="1274"/>
        <item x="1275"/>
        <item x="1276"/>
        <item x="1277"/>
        <item x="1278"/>
        <item x="1279"/>
        <item x="1280"/>
        <item x="1281"/>
        <item x="1282"/>
        <item x="1283"/>
        <item x="1284"/>
        <item x="1285"/>
        <item x="1286"/>
        <item x="1287"/>
        <item x="1288"/>
        <item x="1289"/>
        <item x="1290"/>
        <item x="1291"/>
        <item x="1292"/>
        <item x="1293"/>
        <item x="1294"/>
        <item x="1295"/>
        <item x="1296"/>
        <item x="1297"/>
        <item x="1298"/>
        <item x="1299"/>
        <item x="1300"/>
        <item x="1301"/>
        <item x="1302"/>
        <item x="1303"/>
        <item x="1304"/>
        <item x="1305"/>
        <item x="1306"/>
        <item x="1307"/>
        <item x="1308"/>
        <item x="1309"/>
        <item x="1310"/>
        <item x="1311"/>
        <item x="1312"/>
        <item x="1313"/>
        <item x="1314"/>
        <item x="1315"/>
        <item x="1316"/>
        <item x="1317"/>
        <item x="1318"/>
        <item x="1319"/>
        <item x="1320"/>
        <item x="1321"/>
        <item x="1322"/>
        <item x="1323"/>
        <item x="1324"/>
        <item x="1325"/>
        <item x="1326"/>
        <item x="1327"/>
        <item x="1328"/>
        <item x="1329"/>
        <item x="1330"/>
        <item x="1331"/>
        <item x="1332"/>
        <item x="1333"/>
        <item x="1334"/>
        <item x="1335"/>
        <item x="1336"/>
        <item x="1337"/>
        <item x="1338"/>
        <item x="1339"/>
        <item x="1340"/>
        <item x="1341"/>
        <item x="1342"/>
        <item x="1343"/>
        <item x="1344"/>
        <item x="1345"/>
        <item x="1346"/>
        <item x="1347"/>
        <item x="1348"/>
        <item x="1349"/>
        <item x="1350"/>
        <item x="1351"/>
        <item x="1352"/>
        <item x="1353"/>
        <item x="1354"/>
        <item x="1355"/>
        <item x="1356"/>
        <item x="1357"/>
        <item x="1358"/>
        <item x="1359"/>
        <item x="1360"/>
        <item x="1361"/>
        <item x="1362"/>
        <item x="1363"/>
        <item x="1364"/>
        <item x="1365"/>
        <item x="1366"/>
        <item x="1367"/>
        <item x="1368"/>
        <item x="1369"/>
        <item x="1370"/>
        <item x="1371"/>
        <item x="1372"/>
        <item x="1373"/>
        <item x="1374"/>
        <item x="1375"/>
        <item x="1376"/>
        <item x="1377"/>
        <item x="1378"/>
        <item x="1379"/>
        <item x="1380"/>
        <item x="1381"/>
        <item x="1382"/>
        <item x="1383"/>
        <item x="1384"/>
        <item x="1385"/>
        <item x="1386"/>
        <item x="1387"/>
        <item x="1388"/>
        <item x="1389"/>
        <item x="1390"/>
        <item x="1391"/>
        <item x="1392"/>
        <item x="1393"/>
        <item x="1394"/>
        <item x="1395"/>
        <item x="1396"/>
        <item x="1397"/>
        <item x="1398"/>
        <item x="1399"/>
        <item x="1400"/>
        <item x="1401"/>
        <item x="1402"/>
        <item x="1403"/>
        <item x="1404"/>
        <item x="1405"/>
        <item x="1406"/>
        <item x="1407"/>
        <item x="1408"/>
        <item x="1409"/>
        <item x="1410"/>
        <item x="1411"/>
        <item x="1412"/>
        <item x="1413"/>
        <item x="1414"/>
        <item x="1415"/>
        <item x="1416"/>
        <item x="1417"/>
        <item x="1418"/>
        <item x="1419"/>
        <item x="1420"/>
        <item x="1421"/>
        <item x="1422"/>
        <item x="1423"/>
        <item x="1424"/>
        <item x="1425"/>
        <item x="1426"/>
        <item x="1427"/>
        <item x="1428"/>
        <item x="1429"/>
        <item x="1430"/>
        <item x="1431"/>
        <item x="1432"/>
        <item x="1433"/>
        <item x="1434"/>
        <item x="1435"/>
        <item x="1436"/>
        <item x="1437"/>
        <item x="1438"/>
        <item x="1439"/>
        <item x="1440"/>
        <item x="1441"/>
        <item x="1442"/>
        <item x="1443"/>
        <item x="1444"/>
        <item x="1445"/>
        <item x="1446"/>
        <item x="1447"/>
        <item x="1448"/>
        <item x="1449"/>
        <item x="1450"/>
        <item x="1451"/>
        <item x="1452"/>
        <item x="1453"/>
        <item x="1454"/>
        <item x="1455"/>
        <item x="1456"/>
        <item x="1457"/>
        <item x="1458"/>
        <item x="1459"/>
        <item x="1460"/>
        <item x="1461"/>
        <item x="1462"/>
        <item x="1463"/>
        <item x="1464"/>
        <item x="1465"/>
        <item x="1466"/>
        <item x="1467"/>
        <item x="1468"/>
        <item x="1469"/>
        <item x="1470"/>
        <item x="1471"/>
        <item x="1472"/>
        <item x="1473"/>
        <item x="1474"/>
        <item x="1475"/>
        <item x="1476"/>
        <item x="1477"/>
        <item x="1478"/>
        <item x="1479"/>
        <item x="1480"/>
        <item x="1481"/>
        <item x="1482"/>
        <item x="1483"/>
        <item x="1484"/>
        <item x="1485"/>
        <item x="1486"/>
        <item x="1487"/>
        <item x="1488"/>
        <item x="1489"/>
        <item x="1490"/>
        <item x="1491"/>
        <item x="1492"/>
        <item x="1493"/>
        <item x="1494"/>
        <item x="1495"/>
        <item x="1496"/>
        <item x="1497"/>
        <item x="1498"/>
        <item x="1499"/>
        <item x="1500"/>
        <item x="1501"/>
        <item x="1502"/>
        <item x="1503"/>
        <item x="1504"/>
        <item x="1505"/>
        <item x="1506"/>
        <item x="1507"/>
        <item x="1508"/>
        <item x="1509"/>
        <item x="1510"/>
        <item x="1511"/>
        <item x="1512"/>
        <item x="1513"/>
        <item x="1514"/>
        <item x="1515"/>
        <item x="1516"/>
        <item x="1517"/>
        <item x="1518"/>
        <item x="1519"/>
        <item x="1520"/>
        <item x="1521"/>
        <item x="1522"/>
        <item x="1523"/>
        <item x="1524"/>
        <item x="1525"/>
        <item x="1526"/>
        <item x="1527"/>
        <item x="1528"/>
        <item x="1529"/>
        <item x="1530"/>
        <item x="1531"/>
        <item x="1532"/>
        <item x="1533"/>
        <item x="1534"/>
        <item x="1535"/>
        <item x="1536"/>
        <item x="1537"/>
        <item x="1538"/>
        <item x="1539"/>
        <item x="1540"/>
        <item x="1541"/>
        <item x="1542"/>
        <item x="1543"/>
        <item x="1544"/>
        <item x="1545"/>
        <item x="1546"/>
        <item x="1547"/>
        <item x="1548"/>
        <item x="1549"/>
        <item x="1550"/>
        <item x="1551"/>
        <item x="1552"/>
        <item x="1553"/>
        <item x="1554"/>
        <item x="1555"/>
        <item x="1556"/>
        <item x="1557"/>
        <item x="1558"/>
        <item x="1559"/>
        <item x="1560"/>
        <item x="1561"/>
        <item x="1562"/>
        <item x="1563"/>
        <item x="1564"/>
        <item x="1565"/>
        <item x="1566"/>
        <item x="1567"/>
        <item x="1568"/>
        <item x="1569"/>
        <item x="1570"/>
        <item x="1571"/>
        <item x="1572"/>
        <item x="1573"/>
        <item x="1574"/>
        <item x="1575"/>
        <item x="1576"/>
        <item x="1577"/>
        <item x="1578"/>
        <item x="1579"/>
        <item x="1580"/>
        <item x="1581"/>
        <item x="1582"/>
        <item x="1583"/>
        <item x="1584"/>
        <item x="1585"/>
        <item x="1586"/>
        <item x="1587"/>
        <item x="1588"/>
        <item x="1589"/>
        <item x="1590"/>
        <item x="1591"/>
        <item x="1592"/>
        <item x="1593"/>
        <item x="1594"/>
        <item x="1595"/>
        <item x="1596"/>
        <item x="1597"/>
        <item x="1598"/>
        <item x="1599"/>
        <item x="1600"/>
        <item x="1601"/>
        <item x="1602"/>
        <item x="1603"/>
        <item x="1604"/>
        <item x="1605"/>
        <item x="1606"/>
        <item x="1607"/>
        <item x="1608"/>
        <item x="1609"/>
        <item x="1610"/>
        <item x="1611"/>
        <item x="1612"/>
        <item x="1613"/>
        <item x="1614"/>
        <item x="1615"/>
        <item x="1616"/>
        <item x="1617"/>
        <item x="1618"/>
        <item x="1619"/>
        <item x="1620"/>
        <item x="1621"/>
        <item x="1622"/>
        <item x="1623"/>
        <item x="1624"/>
        <item x="1625"/>
        <item x="1626"/>
        <item x="1627"/>
        <item x="1628"/>
        <item x="1629"/>
        <item x="1630"/>
        <item x="1631"/>
        <item x="1632"/>
        <item x="1633"/>
        <item x="1634"/>
        <item x="1635"/>
        <item x="1636"/>
        <item x="1637"/>
        <item x="1638"/>
        <item x="1639"/>
        <item x="1640"/>
        <item x="1641"/>
        <item x="1642"/>
        <item x="1643"/>
        <item x="1644"/>
        <item x="1645"/>
        <item x="1646"/>
        <item x="1647"/>
        <item x="1648"/>
        <item x="1649"/>
        <item x="1650"/>
        <item x="1651"/>
        <item x="1652"/>
        <item x="1653"/>
        <item x="1654"/>
        <item x="1655"/>
        <item x="1656"/>
        <item x="1657"/>
        <item t="default"/>
      </items>
    </pivotField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 defaultSubtotal="0">
      <items count="14">
        <item sd="0" x="0"/>
        <item sd="0" x="1"/>
        <item sd="0" x="2"/>
        <item sd="0" x="3"/>
        <item sd="0" x="4"/>
        <item sd="0" x="5"/>
        <item sd="0" x="6"/>
        <item sd="0" x="7"/>
        <item sd="0" x="8"/>
        <item sd="0" x="9"/>
        <item sd="0" x="10"/>
        <item sd="0" x="11"/>
        <item sd="0" x="12"/>
        <item sd="0" x="13"/>
      </items>
    </pivotField>
    <pivotField showAll="0" defaultSubtotal="0">
      <items count="6">
        <item sd="0" x="0"/>
        <item sd="0" x="1"/>
        <item sd="0" x="2"/>
        <item sd="0" x="3"/>
        <item sd="0" x="4"/>
        <item sd="0" x="5"/>
      </items>
    </pivotField>
    <pivotField axis="axisRow" showAll="0" defaultSubtotal="0">
      <items count="11">
        <item sd="0" x="0"/>
        <item sd="0" x="1"/>
        <item sd="0" x="2"/>
        <item sd="0" x="3"/>
        <item sd="0" x="4"/>
        <item sd="0" x="5"/>
        <item sd="0" x="6"/>
        <item sd="0" x="7"/>
        <item x="8"/>
        <item x="9"/>
        <item sd="0" x="10"/>
      </items>
    </pivotField>
  </pivotFields>
  <rowFields count="3">
    <field x="38"/>
    <field x="36"/>
    <field x="0"/>
  </rowFields>
  <rowItems count="25"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 r="1">
      <x v="1"/>
    </i>
    <i r="1">
      <x v="2"/>
    </i>
    <i r="1">
      <x v="3"/>
    </i>
    <i r="1">
      <x v="4"/>
    </i>
    <i r="1">
      <x v="5"/>
    </i>
    <i r="1">
      <x v="6"/>
    </i>
    <i r="1">
      <x v="7"/>
    </i>
    <i r="1">
      <x v="8"/>
    </i>
    <i r="1">
      <x v="9"/>
    </i>
    <i r="1">
      <x v="10"/>
    </i>
    <i r="1">
      <x v="11"/>
    </i>
    <i r="1">
      <x v="12"/>
    </i>
    <i>
      <x v="9"/>
    </i>
    <i r="1">
      <x v="1"/>
    </i>
    <i r="1">
      <x v="2"/>
    </i>
    <i r="1">
      <x v="3"/>
    </i>
    <i t="grand">
      <x/>
    </i>
  </rowItems>
  <colItems count="1">
    <i/>
  </colItem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00000000-0016-0000-0500-000000000000}" autoFormatId="16" applyNumberFormats="0" applyBorderFormats="0" applyFontFormats="0" applyPatternFormats="0" applyAlignmentFormats="0" applyWidthHeightFormats="0">
  <queryTableRefresh nextId="46">
    <queryTableFields count="45">
      <queryTableField id="1" name="Name" tableColumnId="1"/>
      <queryTableField id="2" name="Extension" tableColumnId="2"/>
      <queryTableField id="3" name="Date accessed" tableColumnId="3"/>
      <queryTableField id="4" name="Date modified" tableColumnId="4"/>
      <queryTableField id="5" name="Date created" tableColumnId="5"/>
      <queryTableField id="6" name="Folder Path" tableColumnId="6"/>
      <queryTableField id="7" name="FileName" tableColumnId="7"/>
      <queryTableField id="8" name="Date" tableColumnId="8"/>
      <queryTableField id="45" dataBound="0" tableColumnId="45"/>
      <queryTableField id="44" dataBound="0" tableColumnId="44"/>
      <queryTableField id="9" name="Type" tableColumnId="9"/>
      <queryTableField id="10" name="Breed" tableColumnId="10"/>
      <queryTableField id="11" name="Farm" tableColumnId="11"/>
      <queryTableField id="12" name="Number" tableColumnId="12"/>
      <queryTableField id="13" name="Received" tableColumnId="13"/>
      <queryTableField id="14" name="Rejected" tableColumnId="14"/>
      <queryTableField id="15" name="RejectionReasons" tableColumnId="15"/>
      <queryTableField id="16" name="TotalWeight" tableColumnId="16"/>
      <queryTableField id="17" name="ReceivingWeight" tableColumnId="17"/>
      <queryTableField id="18" name="TransportationLoss" tableColumnId="18"/>
      <queryTableField id="19" name="CarcassWeight" tableColumnId="19"/>
      <queryTableField id="20" name="KidneysFatQuantity" tableColumnId="20"/>
      <queryTableField id="21" name="AvTotalWeight" tableColumnId="21"/>
      <queryTableField id="22" name="AvReceivingWeight" tableColumnId="22"/>
      <queryTableField id="23" name="AvTransportationLoss" tableColumnId="23"/>
      <queryTableField id="24" name="AvCarcassWeight" tableColumnId="24"/>
      <queryTableField id="25" name="AvKidneysFat" tableColumnId="25"/>
      <queryTableField id="26" name="AM" tableColumnId="26"/>
      <queryTableField id="27" name="SlaughterHouseHygiene" tableColumnId="27"/>
      <queryTableField id="28" name="PM" tableColumnId="28"/>
      <queryTableField id="29" name="MeatScore" tableColumnId="29"/>
      <queryTableField id="30" name="MeatTransportation" tableColumnId="30"/>
      <queryTableField id="31" name="WeightLoss" tableColumnId="31"/>
      <queryTableField id="32" name="Examination" tableColumnId="32"/>
      <queryTableField id="33" name="DressingPercent" tableColumnId="33"/>
      <queryTableField id="34" name="SlaughteringEvaluation" tableColumnId="34"/>
      <queryTableField id="35" name="Condemnation" tableColumnId="35"/>
      <queryTableField id="36" name="CuttingLegLigmants" tableColumnId="36"/>
      <queryTableField id="37" name="Trimming" tableColumnId="37"/>
      <queryTableField id="38" name="HeterogenousSelection" tableColumnId="38"/>
      <queryTableField id="39" name="BadStamping" tableColumnId="39"/>
      <queryTableField id="40" name="Bruises" tableColumnId="40"/>
      <queryTableField id="41" name="AcceptedAsException" tableColumnId="41"/>
      <queryTableField id="42" name="OverCapacityAndRoughHandling" tableColumnId="42"/>
      <queryTableField id="43" name="TotalRejectedWeight" tableColumnId="43"/>
    </queryTableFields>
  </queryTableRefresh>
</queryTable>
</file>

<file path=xl/tables/_rels/table5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 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FE1719FF-0C9B-4269-AC05-F53E93D1515B}" name="Table93" displayName="Table93" ref="A16:K23" totalsRowCount="1">
  <autoFilter ref="A16:K22" xr:uid="{FE1719FF-0C9B-4269-AC05-F53E93D1515B}"/>
  <sortState xmlns:xlrd2="http://schemas.microsoft.com/office/spreadsheetml/2017/richdata2" ref="A17:K22">
    <sortCondition descending="1" ref="B16:B22"/>
  </sortState>
  <tableColumns count="11">
    <tableColumn id="2" xr3:uid="{4E6F21E5-CCB0-41C4-BB90-E1F4621F659A}" name="Farm" totalsRowLabel="Total" dataDxfId="46" totalsRowDxfId="45"/>
    <tableColumn id="3" xr3:uid="{5D81F9C6-7F6A-48C6-8178-014A2F5BB3A4}" name="Number" totalsRowFunction="sum" dataDxfId="44" totalsRowDxfId="43"/>
    <tableColumn id="4" xr3:uid="{2BE3377D-511D-4B42-9310-464D1AEC98E0}" name="%" dataDxfId="42" totalsRowDxfId="41" dataCellStyle="Percent"/>
    <tableColumn id="5" xr3:uid="{F4D58C20-8275-4DF2-98AC-24639761D2B0}" name="Rejected " totalsRowFunction="sum" dataDxfId="40" totalsRowDxfId="39"/>
    <tableColumn id="6" xr3:uid="{43B43FBB-EA80-498C-8C99-BF2D5E279776}" name="Rejection %" totalsRowFunction="custom" dataDxfId="38" totalsRowDxfId="37" dataCellStyle="Percent">
      <calculatedColumnFormula>Table93[[#This Row],[Rejected ]]/Table93[[#This Row],[Number]]</calculatedColumnFormula>
      <totalsRowFormula>Table93[[#Totals],[Rejected ]]/Table93[[#Totals],[Number]]</totalsRowFormula>
    </tableColumn>
    <tableColumn id="7" xr3:uid="{431A8786-1C1D-4AEC-92C9-F4E53B446F98}" name="Carcass" totalsRowFunction="sum" dataDxfId="36" totalsRowDxfId="35"/>
    <tableColumn id="8" xr3:uid="{A0F123E8-5988-4ABC-8A4B-22A307EB5F17}" name="Live" totalsRowFunction="sum" dataDxfId="34" totalsRowDxfId="33"/>
    <tableColumn id="9" xr3:uid="{4C91CDEB-25A0-46B1-9EE9-641E40CE8146}" name="Parasitic " totalsRowFunction="sum" dataDxfId="32" totalsRowDxfId="31"/>
    <tableColumn id="10" xr3:uid="{E7D56EB2-FDBE-4724-9E4D-75A1064C5C9D}" name="Viral" totalsRowFunction="sum" dataDxfId="30" totalsRowDxfId="29"/>
    <tableColumn id="14" xr3:uid="{788FE5F0-8111-4FC7-AB7D-3004BC329A9E}" name="TB" totalsRowFunction="sum" dataDxfId="28" totalsRowDxfId="27"/>
    <tableColumn id="11" xr3:uid="{0C4D72A8-93D8-452C-A877-F0A8C1F35A19}" name="Managemntal" totalsRowFunction="sum" dataDxfId="26" totalsRowDxfId="25"/>
  </tableColumns>
  <tableStyleInfo name="TableStyleLight11"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FABD20EF-B5B3-48BE-AEF0-35713AAA50BB}" name="Table104" displayName="Table104" ref="A28:H32" totalsRowCount="1" dataDxfId="24" tableBorderDxfId="23">
  <autoFilter ref="A28:H31" xr:uid="{FABD20EF-B5B3-48BE-AEF0-35713AAA50BB}"/>
  <sortState xmlns:xlrd2="http://schemas.microsoft.com/office/spreadsheetml/2017/richdata2" ref="A29:H31">
    <sortCondition descending="1" ref="B28:B31"/>
  </sortState>
  <tableColumns count="8">
    <tableColumn id="2" xr3:uid="{406C123E-F72C-480C-B5AA-30C3125DBD9D}" name="Farm" dataDxfId="22" totalsRowDxfId="21"/>
    <tableColumn id="3" xr3:uid="{467E9D09-595C-42B5-9CC6-0CB1695D75BA}" name="Number" totalsRowFunction="sum" dataDxfId="20" totalsRowDxfId="19"/>
    <tableColumn id="4" xr3:uid="{1AF47D13-76E8-4146-9201-5FF1C3C6EBA0}" name="%" dataDxfId="18" totalsRowDxfId="17" dataCellStyle="Percent">
      <calculatedColumnFormula>Table104[[#This Row],[Number]]/Table104[[#Totals],[Number]]</calculatedColumnFormula>
    </tableColumn>
    <tableColumn id="5" xr3:uid="{ED71DF02-C7EF-4CD7-A960-5B08AFCCFD63}" name="Rejected " totalsRowFunction="sum" dataDxfId="16" totalsRowDxfId="15"/>
    <tableColumn id="6" xr3:uid="{FD446320-7A6C-4E62-9149-E0BCF8D648C2}" name="Rejection %" totalsRowFunction="custom" dataDxfId="14" totalsRowDxfId="13" dataCellStyle="Percent">
      <calculatedColumnFormula>Table104[[#This Row],[Rejected ]]/Table104[[#This Row],[Number]]</calculatedColumnFormula>
      <totalsRowFormula>Table104[[#Totals],[Rejected ]]/Table104[[#Totals],[Number]]</totalsRowFormula>
    </tableColumn>
    <tableColumn id="7" xr3:uid="{B8CEAD32-5994-4808-9EB8-9F9831880127}" name="Carcass" totalsRowFunction="sum" dataDxfId="12" totalsRowDxfId="11"/>
    <tableColumn id="9" xr3:uid="{910EAAC4-9918-406E-ACA7-4279C9F98623}" name="Parasitic " totalsRowFunction="sum" dataDxfId="10" totalsRowDxfId="9"/>
    <tableColumn id="11" xr3:uid="{21C06ECB-992F-47A0-96C6-8E6C23812112}" name="Managemntal" totalsRowFunction="sum" dataDxfId="8" totalsRowDxfId="7"/>
  </tableColumns>
  <tableStyleInfo name="TableStyleLight11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D20418B9-8864-446F-B65A-42B935B2BDBE}" name="Table6" displayName="Table6" ref="A3:AJ92" totalsRowShown="0">
  <autoFilter ref="A3:AJ92" xr:uid="{D20418B9-8864-446F-B65A-42B935B2BDBE}"/>
  <tableColumns count="36">
    <tableColumn id="1" xr3:uid="{2EDF3742-18A7-4548-BA56-E51E5C48BCE6}" name="date" dataDxfId="6"/>
    <tableColumn id="2" xr3:uid="{796B40DC-45BB-4A72-A1AA-ABC8B83C3C0E}" name="type"/>
    <tableColumn id="3" xr3:uid="{C446AF34-BC8C-4F65-8E2F-461C3A8E92ED}" name="Breed"/>
    <tableColumn id="4" xr3:uid="{1E3BAEB0-424B-4FE3-B32E-81E03F338F19}" name="farm"/>
    <tableColumn id="5" xr3:uid="{A0D081AC-05FE-4923-A12E-C003719D6B33}" name="number"/>
    <tableColumn id="6" xr3:uid="{041F9901-72E1-4003-9345-E7F5C4EED8E8}" name="received"/>
    <tableColumn id="7" xr3:uid="{6EEAA2FE-469F-4C6B-A29D-8C37DB4F55CE}" name="rejected"/>
    <tableColumn id="8" xr3:uid="{02151DAC-9989-4900-B52B-F029B1EAF85F}" name="rejection reasons"/>
    <tableColumn id="9" xr3:uid="{11B926CC-DB11-4854-8292-8E64BD62F302}" name="total weight"/>
    <tableColumn id="10" xr3:uid="{DE9105A8-29E8-4E5C-870C-C96BA29128A8}" name="receiving weight"/>
    <tableColumn id="11" xr3:uid="{2A2AA72B-EBAB-4A92-A0FF-64C5B02088B1}" name="transportation loss "/>
    <tableColumn id="12" xr3:uid="{FD8613FC-AA9A-4B6D-8AD3-C408FB48738A}" name=" carcass weight"/>
    <tableColumn id="13" xr3:uid="{8F69EA19-070F-4700-9FC9-C6A822EF6C08}" name=" kidneys fat quantity"/>
    <tableColumn id="14" xr3:uid="{7184A340-344E-49FB-BCBE-8E5709C78FF9}" name="av.total weight"/>
    <tableColumn id="15" xr3:uid="{6751A494-7E39-46E3-A643-1F9D7C3BD9A2}" name="av. Receiving weight"/>
    <tableColumn id="16" xr3:uid="{C6A9DD68-4B99-4333-959F-8CAD0D271CE0}" name="av. Transportation loss"/>
    <tableColumn id="17" xr3:uid="{0EB2CB7C-DD35-412C-A2B6-BAF5B6790335}" name="av. Carcass weight"/>
    <tableColumn id="18" xr3:uid="{DB7E7EFB-B226-407F-92BE-50986CC25DED}" name="av. Kidneys fat"/>
    <tableColumn id="19" xr3:uid="{DE29DF71-DE8E-42B6-A392-83D7E42EB38D}" name="am"/>
    <tableColumn id="20" xr3:uid="{279E3D3B-C6FC-4479-9F88-19DDF5235D58}" name="slaughter house hygiene"/>
    <tableColumn id="21" xr3:uid="{2BA4E058-84ED-4A70-8B98-15CD2F3CCF71}" name="pm"/>
    <tableColumn id="22" xr3:uid="{BD4A80F1-8850-4881-8441-30894D142131}" name="meat score"/>
    <tableColumn id="23" xr3:uid="{28F664F2-15D1-4CA7-B430-B6CB04F53086}" name="meat transportation"/>
    <tableColumn id="24" xr3:uid="{70AAFBDB-3E75-4866-B826-957E2E0C5B1E}" name="wight loss"/>
    <tableColumn id="25" xr3:uid="{1FD17521-4FA2-44F3-B4DD-D38BDEEE6C25}" name="examination"/>
    <tableColumn id="26" xr3:uid="{A7670D13-2B58-4CDC-B42F-4C51201C0E29}" name="dressing %"/>
    <tableColumn id="27" xr3:uid="{F44A80DD-919A-4090-93A9-253269254CFE}" name="slaughtering evaluation"/>
    <tableColumn id="28" xr3:uid="{A1E21EB2-9597-436B-A14D-481DBC21CD09}" name="condemnation"/>
    <tableColumn id="29" xr3:uid="{0D4DDE25-626D-428D-9137-7E7AA7E91623}" name="cutting leg ligmants"/>
    <tableColumn id="30" xr3:uid="{BCCCB43E-75DE-4C9F-A0B8-3D109FAF2FA0}" name="trimming"/>
    <tableColumn id="31" xr3:uid="{CC490F49-DBFC-4B98-9101-2F389CE337D2}" name="heterogenous selection"/>
    <tableColumn id="32" xr3:uid="{672B6511-A823-4A7A-ABE1-B3F94E4D897E}" name="bad stamping"/>
    <tableColumn id="33" xr3:uid="{2BED55C0-6712-48FA-8471-1080C72408D5}" name="bruises"/>
    <tableColumn id="34" xr3:uid="{6CC2B966-862F-46C2-A458-DB018D76E54E}" name="accepted as exception"/>
    <tableColumn id="35" xr3:uid="{A4E4C005-66FA-4741-A82A-BBB1AF8C33EE}" name="over capacity &amp; rough handling"/>
    <tableColumn id="36" xr3:uid="{9C953F6D-7770-4F97-B31B-3744FC1BA05C}" name="total rejected weight"/>
  </tableColumns>
  <tableStyleInfo name="TableStyleMedium9" showFirstColumn="0" showLastColumn="0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grand" displayName="grand" ref="A1:AL2647" totalsRowCount="1" headerRowDxfId="117" dataDxfId="116">
  <autoFilter ref="A1:AL2646" xr:uid="{00000000-000C-0000-FFFF-FFFF00000000}">
    <filterColumn colId="0">
      <filters>
        <dateGroupItem year="2026" dateTimeGrouping="year"/>
      </filters>
    </filterColumn>
    <filterColumn colId="3">
      <filters>
        <filter val="Bulls"/>
      </filters>
    </filterColumn>
    <filterColumn colId="8">
      <filters>
        <filter val="1"/>
        <filter val="10"/>
        <filter val="11"/>
        <filter val="12"/>
        <filter val="14"/>
        <filter val="15"/>
        <filter val="19"/>
        <filter val="2"/>
        <filter val="3"/>
        <filter val="4"/>
        <filter val="40"/>
        <filter val="5"/>
        <filter val="6"/>
        <filter val="8"/>
      </filters>
    </filterColumn>
  </autoFilter>
  <sortState xmlns:xlrd2="http://schemas.microsoft.com/office/spreadsheetml/2017/richdata2" ref="A1134:AL2645">
    <sortCondition ref="A1:A2646"/>
  </sortState>
  <tableColumns count="38">
    <tableColumn id="1" xr3:uid="{00000000-0010-0000-0000-000001000000}" name="date" totalsRowLabel="Total" dataDxfId="115" totalsRowDxfId="114"/>
    <tableColumn id="37" xr3:uid="{284CE340-AE69-467C-8D38-7E7DE9843339}" name="Hejri date " dataDxfId="113" totalsRowDxfId="112"/>
    <tableColumn id="38" xr3:uid="{BF9D2706-E725-420F-A1F1-D4AA17B63CAA}" name="Season" dataDxfId="111" totalsRowDxfId="110">
      <calculatedColumnFormula>IF(MID(B2,4,2)="09","Ramadan",IF(AND(MID(B2,4,2)="12",VALUE(LEFT(B2,2))&lt;=9),"Adha Season","Normal"))</calculatedColumnFormula>
    </tableColumn>
    <tableColumn id="2" xr3:uid="{00000000-0010-0000-0000-000002000000}" name="type" dataDxfId="109" totalsRowDxfId="108"/>
    <tableColumn id="36" xr3:uid="{024ABFC4-7A77-44C0-86AB-E7C0E9119174}" name="Breed" dataDxfId="107" totalsRowDxfId="106"/>
    <tableColumn id="3" xr3:uid="{00000000-0010-0000-0000-000003000000}" name="farm" dataDxfId="105" totalsRowDxfId="104"/>
    <tableColumn id="4" xr3:uid="{00000000-0010-0000-0000-000004000000}" name="number" totalsRowFunction="sum" totalsRowDxfId="103"/>
    <tableColumn id="5" xr3:uid="{00000000-0010-0000-0000-000005000000}" name="received" totalsRowDxfId="102"/>
    <tableColumn id="6" xr3:uid="{00000000-0010-0000-0000-000006000000}" name="rejected" dataDxfId="101" totalsRowDxfId="100">
      <calculatedColumnFormula>grand[[#This Row],[number]]-grand[[#This Row],[received]]</calculatedColumnFormula>
    </tableColumn>
    <tableColumn id="34" xr3:uid="{00000000-0010-0000-0000-000022000000}" name="rejection reasons" dataDxfId="99" totalsRowDxfId="98"/>
    <tableColumn id="20" xr3:uid="{00000000-0010-0000-0000-000014000000}" name="total weight" dataDxfId="97" totalsRowDxfId="96"/>
    <tableColumn id="19" xr3:uid="{00000000-0010-0000-0000-000013000000}" name="receiving weight" dataDxfId="95" totalsRowDxfId="94"/>
    <tableColumn id="18" xr3:uid="{00000000-0010-0000-0000-000012000000}" name="transportation loss " dataDxfId="93" totalsRowDxfId="92">
      <calculatedColumnFormula>K2-L2</calculatedColumnFormula>
    </tableColumn>
    <tableColumn id="17" xr3:uid="{00000000-0010-0000-0000-000011000000}" name=" carcass weight" totalsRowFunction="sum" dataDxfId="91" totalsRowDxfId="90"/>
    <tableColumn id="16" xr3:uid="{00000000-0010-0000-0000-000010000000}" name=" kidneys fat quantity" dataDxfId="89" totalsRowDxfId="88"/>
    <tableColumn id="26" xr3:uid="{00000000-0010-0000-0000-00001A000000}" name="av.total weight" dataDxfId="87" totalsRowDxfId="86">
      <calculatedColumnFormula>grand[[#This Row],[total weight]]/grand[[#This Row],[received]]</calculatedColumnFormula>
    </tableColumn>
    <tableColumn id="25" xr3:uid="{00000000-0010-0000-0000-000019000000}" name="av. Receiving weight" dataDxfId="85" totalsRowDxfId="84">
      <calculatedColumnFormula>grand[[#This Row],[receiving weight]]/grand[[#This Row],[received]]</calculatedColumnFormula>
    </tableColumn>
    <tableColumn id="24" xr3:uid="{00000000-0010-0000-0000-000018000000}" name="av. Transportation loss" dataDxfId="83" totalsRowDxfId="82">
      <calculatedColumnFormula>grand[[#This Row],[transportation loss ]]/grand[[#This Row],[received]]</calculatedColumnFormula>
    </tableColumn>
    <tableColumn id="23" xr3:uid="{00000000-0010-0000-0000-000017000000}" name="av. Carcass weight" dataDxfId="81" totalsRowDxfId="80">
      <calculatedColumnFormula>grand[[#This Row],[ carcass weight]]/grand[[#This Row],[received]]</calculatedColumnFormula>
    </tableColumn>
    <tableColumn id="22" xr3:uid="{00000000-0010-0000-0000-000016000000}" name="av. Kidneys fat" dataDxfId="79" totalsRowDxfId="78">
      <calculatedColumnFormula>grand[[#This Row],[ kidneys fat quantity]]/grand[[#This Row],[received]]</calculatedColumnFormula>
    </tableColumn>
    <tableColumn id="7" xr3:uid="{00000000-0010-0000-0000-000007000000}" name="am" totalsRowDxfId="77"/>
    <tableColumn id="8" xr3:uid="{00000000-0010-0000-0000-000008000000}" name="slaughter house hygiene" totalsRowDxfId="76"/>
    <tableColumn id="9" xr3:uid="{00000000-0010-0000-0000-000009000000}" name="pm" totalsRowDxfId="75"/>
    <tableColumn id="10" xr3:uid="{00000000-0010-0000-0000-00000A000000}" name="meat score" totalsRowDxfId="74"/>
    <tableColumn id="11" xr3:uid="{00000000-0010-0000-0000-00000B000000}" name="meat transportation" totalsRowDxfId="73"/>
    <tableColumn id="12" xr3:uid="{00000000-0010-0000-0000-00000C000000}" name="wight loss" dataDxfId="72" totalsRowDxfId="71">
      <calculatedColumnFormula>grand[[#This Row],[av. Transportation loss]]/grand[[#This Row],[av.total weight]]</calculatedColumnFormula>
    </tableColumn>
    <tableColumn id="13" xr3:uid="{00000000-0010-0000-0000-00000D000000}" name="examination" dataDxfId="70" totalsRowDxfId="69">
      <calculatedColumnFormula>AVERAGE((grand[[#This Row],[am]]/25),(grand[[#This Row],[pm]]/50))</calculatedColumnFormula>
    </tableColumn>
    <tableColumn id="14" xr3:uid="{00000000-0010-0000-0000-00000E000000}" name="dressing %" dataDxfId="68" totalsRowDxfId="67">
      <calculatedColumnFormula>grand[[#This Row],[ carcass weight]]/grand[[#This Row],[total weight]]</calculatedColumnFormula>
    </tableColumn>
    <tableColumn id="15" xr3:uid="{00000000-0010-0000-0000-00000F000000}" name="slaughtering evaluation" dataDxfId="66" totalsRowDxfId="65">
      <calculatedColumnFormula>SUM(grand[[#This Row],[am]:[meat transportation]])/100</calculatedColumnFormula>
    </tableColumn>
    <tableColumn id="21" xr3:uid="{00000000-0010-0000-0000-000015000000}" name="condemnation" dataDxfId="64" totalsRowDxfId="63"/>
    <tableColumn id="27" xr3:uid="{00000000-0010-0000-0000-00001B000000}" name="cutting leg ligmants" dataDxfId="62" totalsRowDxfId="61"/>
    <tableColumn id="28" xr3:uid="{00000000-0010-0000-0000-00001C000000}" name="trimming" dataDxfId="60" totalsRowDxfId="59"/>
    <tableColumn id="29" xr3:uid="{00000000-0010-0000-0000-00001D000000}" name="heterogenous selection" dataDxfId="58" totalsRowDxfId="57"/>
    <tableColumn id="30" xr3:uid="{00000000-0010-0000-0000-00001E000000}" name="bad stamping" dataDxfId="56" totalsRowDxfId="55"/>
    <tableColumn id="31" xr3:uid="{00000000-0010-0000-0000-00001F000000}" name="bruises" dataDxfId="54" totalsRowDxfId="53"/>
    <tableColumn id="32" xr3:uid="{00000000-0010-0000-0000-000020000000}" name="accepted as exception" dataDxfId="52" totalsRowDxfId="51"/>
    <tableColumn id="33" xr3:uid="{00000000-0010-0000-0000-000021000000}" name="over capacity &amp; rough handling" dataDxfId="50" totalsRowDxfId="49"/>
    <tableColumn id="35" xr3:uid="{00000000-0010-0000-0000-000023000000}" name="total rejected weight" totalsRowFunction="sum" dataDxfId="48" totalsRowDxfId="47"/>
  </tableColumns>
  <tableStyleInfo name="TableStyleLight20" showFirstColumn="1" showLastColumn="1" showRowStripes="0" showColumnStripes="1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AAD11440-5EA2-4EFD-ABB3-29F340D4AB46}" name="Query1" displayName="Query1" ref="A1:AS52" tableType="queryTable" totalsRowShown="0">
  <autoFilter ref="A1:AS52" xr:uid="{AAD11440-5EA2-4EFD-ABB3-29F340D4AB46}"/>
  <tableColumns count="45">
    <tableColumn id="1" xr3:uid="{79800FA6-F07E-4217-8D87-4E2D97E7C1E3}" uniqueName="1" name="Name" queryTableFieldId="1" dataDxfId="5"/>
    <tableColumn id="2" xr3:uid="{B508098F-F8E2-4075-AD0F-D22F4715A43D}" uniqueName="2" name="Extension" queryTableFieldId="2" dataDxfId="4"/>
    <tableColumn id="3" xr3:uid="{FEEA5E2F-72FA-402C-854B-2F6F37A8B4DA}" uniqueName="3" name="Date accessed" queryTableFieldId="3" dataDxfId="3"/>
    <tableColumn id="4" xr3:uid="{6EF65CCC-1F50-42B2-A67C-31E63AD7D409}" uniqueName="4" name="Date modified" queryTableFieldId="4" dataDxfId="2"/>
    <tableColumn id="5" xr3:uid="{7F0278ED-F12A-45E5-9B60-C24BEC0E7355}" uniqueName="5" name="Date created" queryTableFieldId="5" dataDxfId="1"/>
    <tableColumn id="6" xr3:uid="{3795F899-A3DC-4077-AC35-CFA5238DCB06}" uniqueName="6" name="Folder Path" queryTableFieldId="6" dataDxfId="0"/>
    <tableColumn id="7" xr3:uid="{9EF4F7B5-C11E-4DAE-85CB-D249A35B5FC5}" uniqueName="7" name="FileName" queryTableFieldId="7"/>
    <tableColumn id="8" xr3:uid="{0654CC62-C62B-49E1-B714-FCB7673B2563}" uniqueName="8" name="Date" queryTableFieldId="8"/>
    <tableColumn id="45" xr3:uid="{E0B0B1FD-CB70-4733-BE18-F01F30066E76}" uniqueName="45" name="Column2" queryTableFieldId="45"/>
    <tableColumn id="44" xr3:uid="{B948DDAB-75CC-4ADF-98CB-BBCE32F854EE}" uniqueName="44" name="Column1" queryTableFieldId="44"/>
    <tableColumn id="9" xr3:uid="{5463352D-A03D-4C7F-986D-3DEB8A04C866}" uniqueName="9" name="Type" queryTableFieldId="9"/>
    <tableColumn id="10" xr3:uid="{6D2B3EE6-6F1B-4708-9D35-675C87854728}" uniqueName="10" name="Breed" queryTableFieldId="10"/>
    <tableColumn id="11" xr3:uid="{A36A410D-E4E6-4C79-B0BC-2F4B811CA6A4}" uniqueName="11" name="Farm" queryTableFieldId="11"/>
    <tableColumn id="12" xr3:uid="{776E63FD-E98E-42A0-A072-3FD44E2C173A}" uniqueName="12" name="Number" queryTableFieldId="12"/>
    <tableColumn id="13" xr3:uid="{28924B02-64F0-416E-88C7-1F5D6EDB4D7C}" uniqueName="13" name="Received" queryTableFieldId="13"/>
    <tableColumn id="14" xr3:uid="{A5AB6DF9-27DB-44FF-A1E4-A0AB88F2CF33}" uniqueName="14" name="Rejected" queryTableFieldId="14"/>
    <tableColumn id="15" xr3:uid="{F34206C2-D5E8-451C-8884-3E31597C3B48}" uniqueName="15" name="RejectionReasons" queryTableFieldId="15"/>
    <tableColumn id="16" xr3:uid="{D865E3C8-5117-46A8-B09D-DB4703716851}" uniqueName="16" name="TotalWeight" queryTableFieldId="16"/>
    <tableColumn id="17" xr3:uid="{8EF663A4-823E-4D7F-9361-EE19ED33F200}" uniqueName="17" name="ReceivingWeight" queryTableFieldId="17"/>
    <tableColumn id="18" xr3:uid="{CC9A3B61-D137-4B73-AE37-9CB0AD5B721C}" uniqueName="18" name="TransportationLoss" queryTableFieldId="18"/>
    <tableColumn id="19" xr3:uid="{9D6916C3-DBA2-4CA6-9219-E41B15017780}" uniqueName="19" name="CarcassWeight" queryTableFieldId="19"/>
    <tableColumn id="20" xr3:uid="{E64EA22C-E530-46CF-995C-0EAB29B232E7}" uniqueName="20" name="KidneysFatQuantity" queryTableFieldId="20"/>
    <tableColumn id="21" xr3:uid="{B5C750E4-C9B9-4C3F-9899-3C52BC5B9365}" uniqueName="21" name="AvTotalWeight" queryTableFieldId="21"/>
    <tableColumn id="22" xr3:uid="{F20C1C9F-F791-4636-B40C-5534879CA7D0}" uniqueName="22" name="AvReceivingWeight" queryTableFieldId="22"/>
    <tableColumn id="23" xr3:uid="{4B819314-6C35-4ECC-BA0C-A8FA0DC38C0B}" uniqueName="23" name="AvTransportationLoss" queryTableFieldId="23"/>
    <tableColumn id="24" xr3:uid="{7CA5A426-3B9A-4D2D-A538-BFF246E493B2}" uniqueName="24" name="AvCarcassWeight" queryTableFieldId="24"/>
    <tableColumn id="25" xr3:uid="{2863DF91-F26A-4EC7-8E6F-0E862C834EDD}" uniqueName="25" name="AvKidneysFat" queryTableFieldId="25"/>
    <tableColumn id="26" xr3:uid="{512E1E42-349E-47A8-8C5D-E946A968A901}" uniqueName="26" name="AM" queryTableFieldId="26"/>
    <tableColumn id="27" xr3:uid="{EAD0FDBB-0699-4D8A-AC9D-F2D7CB0BA4EF}" uniqueName="27" name="SlaughterHouseHygiene" queryTableFieldId="27"/>
    <tableColumn id="28" xr3:uid="{4DFD3A13-CB0B-442C-A335-EA757655399A}" uniqueName="28" name="PM" queryTableFieldId="28"/>
    <tableColumn id="29" xr3:uid="{1C66B501-96DF-43B0-BE0A-8A01754E61C5}" uniqueName="29" name="MeatScore" queryTableFieldId="29"/>
    <tableColumn id="30" xr3:uid="{5B207063-5F1A-447C-A2ED-B158608CA18D}" uniqueName="30" name="MeatTransportation" queryTableFieldId="30"/>
    <tableColumn id="31" xr3:uid="{E253C4BC-2D7E-4B87-B559-5046BD096D59}" uniqueName="31" name="WeightLoss" queryTableFieldId="31"/>
    <tableColumn id="32" xr3:uid="{52D33664-BFC2-4621-984D-C91192E9D15C}" uniqueName="32" name="Examination" queryTableFieldId="32"/>
    <tableColumn id="33" xr3:uid="{EDA6DEBC-0C62-43CD-B822-A06C4FC6533B}" uniqueName="33" name="DressingPercent" queryTableFieldId="33"/>
    <tableColumn id="34" xr3:uid="{C7EBE0EC-6E61-4C87-B0FD-D31318AC50E9}" uniqueName="34" name="SlaughteringEvaluation" queryTableFieldId="34"/>
    <tableColumn id="35" xr3:uid="{29CF47BF-BC98-4634-B5EB-A047BDDFE0B2}" uniqueName="35" name="Condemnation" queryTableFieldId="35"/>
    <tableColumn id="36" xr3:uid="{978FBB84-C637-4615-81E0-1BEF99573B1F}" uniqueName="36" name="CuttingLegLigmants" queryTableFieldId="36"/>
    <tableColumn id="37" xr3:uid="{81C147BC-1384-415B-AAD9-9AB43F3B9FA6}" uniqueName="37" name="Trimming" queryTableFieldId="37"/>
    <tableColumn id="38" xr3:uid="{D8325DC5-750E-482B-9E44-5A551C7699D5}" uniqueName="38" name="HeterogenousSelection" queryTableFieldId="38"/>
    <tableColumn id="39" xr3:uid="{54DEAEEB-118C-4C38-828C-EC42F8B3FDE8}" uniqueName="39" name="BadStamping" queryTableFieldId="39"/>
    <tableColumn id="40" xr3:uid="{B416EDD5-9F4A-42FF-8A1C-CFF1DF771860}" uniqueName="40" name="Bruises" queryTableFieldId="40"/>
    <tableColumn id="41" xr3:uid="{0FAABBA8-BE7B-4BA1-A5DA-1802B57E45A2}" uniqueName="41" name="AcceptedAsException" queryTableFieldId="41"/>
    <tableColumn id="42" xr3:uid="{73618DAE-78A4-4837-89DE-9D719683987D}" uniqueName="42" name="OverCapacityAndRoughHandling" queryTableFieldId="42"/>
    <tableColumn id="43" xr3:uid="{F901D63C-9D3B-4121-AB0A-ABD235E764D8}" uniqueName="43" name="TotalRejectedWeight" queryTableFieldId="43"/>
  </tableColumns>
  <tableStyleInfo name="TableStyleMedium7" showFirstColumn="0" showLastColumn="0" showRowStripes="1" showColumnStripes="0"/>
</table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L504" dT="2022-01-03T15:41:40.03" personId="{00000000-0000-0000-0000-000000000000}" id="{A4EF3D08-736B-4613-A257-059EE466ED5C}">
    <text>تم ارسال واتس لمحمد على و معرفة ان ميزان المورد نفسه فيه مشكلة و نعتمد زي ماهو</text>
  </threadedComment>
  <threadedComment ref="Z504" dT="2022-01-03T15:40:50.77" personId="{00000000-0000-0000-0000-000000000000}" id="{9D32FA9B-D303-480C-AF77-80C728062533}">
    <text>رساله واتس من محمد علي</text>
  </threadedComment>
</ThreadedComments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 /><Relationship Id="rId2" Type="http://schemas.openxmlformats.org/officeDocument/2006/relationships/table" Target="../tables/table1.xml" /><Relationship Id="rId1" Type="http://schemas.openxmlformats.org/officeDocument/2006/relationships/pivotTable" Target="../pivotTables/pivotTable1.xml" 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 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2.xml" 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3.xml" /></Relationships>
</file>

<file path=xl/worksheets/_rels/sheet5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 /><Relationship Id="rId2" Type="http://schemas.openxmlformats.org/officeDocument/2006/relationships/vmlDrawing" Target="../drawings/vmlDrawing1.vml" /><Relationship Id="rId1" Type="http://schemas.openxmlformats.org/officeDocument/2006/relationships/printerSettings" Target="../printerSettings/printerSettings1.bin" /><Relationship Id="rId5" Type="http://schemas.microsoft.com/office/2017/10/relationships/threadedComment" Target="../threadedComments/threadedComment1.xml" /><Relationship Id="rId4" Type="http://schemas.openxmlformats.org/officeDocument/2006/relationships/comments" Target="../comments1.xml" 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5.xml" 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9FC1534-3C51-4801-8FBD-2EB2553DB3A7}">
  <dimension ref="A1:K32"/>
  <sheetViews>
    <sheetView workbookViewId="0">
      <selection activeCell="H5" sqref="H5"/>
    </sheetView>
  </sheetViews>
  <sheetFormatPr defaultRowHeight="15" x14ac:dyDescent="0.2"/>
  <cols>
    <col min="1" max="1" width="12.77734375" bestFit="1" customWidth="1"/>
    <col min="2" max="2" width="13.85546875" bestFit="1" customWidth="1"/>
    <col min="3" max="4" width="14.125" bestFit="1" customWidth="1"/>
    <col min="5" max="5" width="23.26953125" bestFit="1" customWidth="1"/>
  </cols>
  <sheetData>
    <row r="1" spans="1:11" x14ac:dyDescent="0.2">
      <c r="A1" s="31" t="s">
        <v>1</v>
      </c>
      <c r="B1" t="s">
        <v>294</v>
      </c>
    </row>
    <row r="2" spans="1:11" x14ac:dyDescent="0.2">
      <c r="A2" s="31" t="s">
        <v>941</v>
      </c>
      <c r="B2" t="s">
        <v>940</v>
      </c>
    </row>
    <row r="3" spans="1:11" x14ac:dyDescent="0.2">
      <c r="A3" s="31" t="s">
        <v>1022</v>
      </c>
      <c r="B3" t="s">
        <v>1075</v>
      </c>
    </row>
    <row r="5" spans="1:11" x14ac:dyDescent="0.2">
      <c r="A5" s="31" t="s">
        <v>936</v>
      </c>
      <c r="B5" t="s">
        <v>938</v>
      </c>
      <c r="C5" t="s">
        <v>1074</v>
      </c>
      <c r="D5" t="s">
        <v>939</v>
      </c>
      <c r="E5" t="s">
        <v>1076</v>
      </c>
    </row>
    <row r="6" spans="1:11" x14ac:dyDescent="0.2">
      <c r="A6" s="9" t="s">
        <v>656</v>
      </c>
      <c r="B6">
        <v>153</v>
      </c>
      <c r="C6">
        <v>151</v>
      </c>
      <c r="D6">
        <v>2</v>
      </c>
      <c r="E6">
        <v>2</v>
      </c>
    </row>
    <row r="7" spans="1:11" x14ac:dyDescent="0.2">
      <c r="A7" s="9" t="s">
        <v>165</v>
      </c>
      <c r="B7">
        <v>669</v>
      </c>
      <c r="C7">
        <v>662</v>
      </c>
      <c r="D7">
        <v>7</v>
      </c>
      <c r="E7">
        <v>2</v>
      </c>
    </row>
    <row r="8" spans="1:11" x14ac:dyDescent="0.2">
      <c r="A8" s="9" t="s">
        <v>334</v>
      </c>
      <c r="B8">
        <v>30</v>
      </c>
      <c r="C8">
        <v>28</v>
      </c>
      <c r="D8">
        <v>2</v>
      </c>
      <c r="E8">
        <v>1</v>
      </c>
    </row>
    <row r="9" spans="1:11" x14ac:dyDescent="0.2">
      <c r="A9" s="9" t="s">
        <v>937</v>
      </c>
      <c r="B9">
        <v>852</v>
      </c>
      <c r="C9">
        <v>841</v>
      </c>
      <c r="D9">
        <v>11</v>
      </c>
      <c r="E9">
        <v>5</v>
      </c>
    </row>
    <row r="14" spans="1:11" x14ac:dyDescent="0.2">
      <c r="A14" s="51">
        <v>46082</v>
      </c>
    </row>
    <row r="15" spans="1:11" x14ac:dyDescent="0.2">
      <c r="A15" s="65" t="s">
        <v>45</v>
      </c>
      <c r="B15" s="66"/>
      <c r="C15" s="66"/>
      <c r="D15" s="66"/>
      <c r="E15" s="66"/>
      <c r="F15" s="66"/>
      <c r="G15" s="67"/>
      <c r="H15" s="68" t="s">
        <v>945</v>
      </c>
      <c r="I15" s="69"/>
      <c r="J15" s="69"/>
      <c r="K15" s="70"/>
    </row>
    <row r="16" spans="1:11" x14ac:dyDescent="0.2">
      <c r="A16" s="34" t="s">
        <v>946</v>
      </c>
      <c r="B16" s="41" t="s">
        <v>944</v>
      </c>
      <c r="C16" s="42" t="s">
        <v>956</v>
      </c>
      <c r="D16" s="41" t="s">
        <v>947</v>
      </c>
      <c r="E16" s="43" t="s">
        <v>943</v>
      </c>
      <c r="F16" s="41" t="s">
        <v>948</v>
      </c>
      <c r="G16" s="43" t="s">
        <v>949</v>
      </c>
      <c r="H16" s="41" t="s">
        <v>950</v>
      </c>
      <c r="I16" s="42" t="s">
        <v>951</v>
      </c>
      <c r="J16" s="42" t="s">
        <v>953</v>
      </c>
      <c r="K16" s="43" t="s">
        <v>952</v>
      </c>
    </row>
    <row r="17" spans="1:11" x14ac:dyDescent="0.2">
      <c r="A17" s="35" t="s">
        <v>954</v>
      </c>
      <c r="B17" s="2">
        <v>1090</v>
      </c>
      <c r="C17" s="23">
        <f>Table93[[#This Row],[Number]]/Table93[[#Totals],[Number]]</f>
        <v>0.63042220936957782</v>
      </c>
      <c r="D17" s="2">
        <v>5</v>
      </c>
      <c r="E17" s="44">
        <f>Table93[[#This Row],[Rejected ]]/Table93[[#This Row],[Number]]</f>
        <v>4.5871559633027525E-3</v>
      </c>
      <c r="F17" s="45">
        <v>5</v>
      </c>
      <c r="G17" s="46">
        <v>0</v>
      </c>
      <c r="H17" s="45">
        <v>4</v>
      </c>
      <c r="I17" s="2"/>
      <c r="J17" s="2">
        <v>1</v>
      </c>
      <c r="K17" s="46"/>
    </row>
    <row r="18" spans="1:11" x14ac:dyDescent="0.2">
      <c r="A18" s="35" t="s">
        <v>165</v>
      </c>
      <c r="B18" s="2">
        <v>255</v>
      </c>
      <c r="C18" s="23">
        <f>Table93[[#This Row],[Number]]/Table93[[#Totals],[Number]]</f>
        <v>0.1474840948525159</v>
      </c>
      <c r="D18" s="2">
        <v>6</v>
      </c>
      <c r="E18" s="44">
        <f>Table93[[#This Row],[Rejected ]]/Table93[[#This Row],[Number]]</f>
        <v>2.3529411764705882E-2</v>
      </c>
      <c r="F18" s="45">
        <v>6</v>
      </c>
      <c r="G18" s="46">
        <v>0</v>
      </c>
      <c r="H18" s="45">
        <v>4</v>
      </c>
      <c r="I18" s="2"/>
      <c r="J18" s="2"/>
      <c r="K18" s="46">
        <v>2</v>
      </c>
    </row>
    <row r="19" spans="1:11" x14ac:dyDescent="0.2">
      <c r="A19" s="35" t="s">
        <v>46</v>
      </c>
      <c r="B19" s="2">
        <v>214</v>
      </c>
      <c r="C19" s="23">
        <f>Table93[[#This Row],[Number]]/Table93[[#Totals],[Number]]</f>
        <v>0.12377096587622903</v>
      </c>
      <c r="D19" s="2">
        <v>0</v>
      </c>
      <c r="E19" s="44">
        <f>Table93[[#This Row],[Rejected ]]/Table93[[#This Row],[Number]]</f>
        <v>0</v>
      </c>
      <c r="F19" s="45"/>
      <c r="G19" s="46"/>
      <c r="H19" s="45"/>
      <c r="I19" s="2"/>
      <c r="J19" s="2"/>
      <c r="K19" s="46"/>
    </row>
    <row r="20" spans="1:11" x14ac:dyDescent="0.2">
      <c r="A20" s="35" t="s">
        <v>746</v>
      </c>
      <c r="B20" s="2">
        <v>84</v>
      </c>
      <c r="C20" s="23">
        <f>Table93[[#This Row],[Number]]/Table93[[#Totals],[Number]]</f>
        <v>4.8582995951417005E-2</v>
      </c>
      <c r="D20" s="2">
        <v>5</v>
      </c>
      <c r="E20" s="44">
        <f>Table93[[#This Row],[Rejected ]]/Table93[[#This Row],[Number]]</f>
        <v>5.9523809523809521E-2</v>
      </c>
      <c r="F20" s="45">
        <v>5</v>
      </c>
      <c r="G20" s="46"/>
      <c r="H20" s="45">
        <v>5</v>
      </c>
      <c r="I20" s="2"/>
      <c r="J20" s="2"/>
      <c r="K20" s="46"/>
    </row>
    <row r="21" spans="1:11" x14ac:dyDescent="0.2">
      <c r="A21" s="35" t="s">
        <v>955</v>
      </c>
      <c r="B21" s="2">
        <v>56</v>
      </c>
      <c r="C21" s="23">
        <f>Table93[[#This Row],[Number]]/Table93[[#Totals],[Number]]</f>
        <v>3.2388663967611336E-2</v>
      </c>
      <c r="D21" s="2">
        <v>0</v>
      </c>
      <c r="E21" s="44">
        <f>Table93[[#This Row],[Rejected ]]/Table93[[#This Row],[Number]]</f>
        <v>0</v>
      </c>
      <c r="F21" s="45"/>
      <c r="G21" s="46"/>
      <c r="H21" s="45"/>
      <c r="I21" s="2"/>
      <c r="J21" s="2"/>
      <c r="K21" s="46"/>
    </row>
    <row r="22" spans="1:11" x14ac:dyDescent="0.2">
      <c r="A22" s="35" t="s">
        <v>770</v>
      </c>
      <c r="B22" s="2">
        <v>30</v>
      </c>
      <c r="C22" s="23">
        <f>Table93[[#This Row],[Number]]/Table93[[#Totals],[Number]]</f>
        <v>1.7351069982648931E-2</v>
      </c>
      <c r="D22" s="2">
        <v>0</v>
      </c>
      <c r="E22" s="44">
        <f>Table93[[#This Row],[Rejected ]]/Table93[[#This Row],[Number]]</f>
        <v>0</v>
      </c>
      <c r="F22" s="45"/>
      <c r="G22" s="46"/>
      <c r="H22" s="45"/>
      <c r="I22" s="2"/>
      <c r="J22" s="2"/>
      <c r="K22" s="46"/>
    </row>
    <row r="23" spans="1:11" x14ac:dyDescent="0.2">
      <c r="A23" s="36" t="s">
        <v>957</v>
      </c>
      <c r="B23" s="47">
        <f>SUBTOTAL(109,Table93[Number])</f>
        <v>1729</v>
      </c>
      <c r="C23" s="48"/>
      <c r="D23" s="47">
        <f>SUBTOTAL(109,Table93[[Rejected ]])</f>
        <v>16</v>
      </c>
      <c r="E23" s="49">
        <f>Table93[[#Totals],[Rejected ]]/Table93[[#Totals],[Number]]</f>
        <v>9.2539039907460954E-3</v>
      </c>
      <c r="F23" s="47">
        <f>SUBTOTAL(109,Table93[Carcass])</f>
        <v>16</v>
      </c>
      <c r="G23" s="50">
        <f>SUBTOTAL(109,Table93[Live])</f>
        <v>0</v>
      </c>
      <c r="H23" s="47">
        <f>SUBTOTAL(109,Table93[[Parasitic ]])</f>
        <v>13</v>
      </c>
      <c r="I23" s="48">
        <f>SUBTOTAL(109,Table93[Viral])</f>
        <v>0</v>
      </c>
      <c r="J23" s="48">
        <f>SUBTOTAL(109,Table93[TB])</f>
        <v>1</v>
      </c>
      <c r="K23" s="50">
        <f>SUBTOTAL(109,Table93[Managemntal])</f>
        <v>2</v>
      </c>
    </row>
    <row r="27" spans="1:11" x14ac:dyDescent="0.2">
      <c r="A27" s="65" t="s">
        <v>294</v>
      </c>
      <c r="B27" s="66"/>
      <c r="C27" s="66"/>
      <c r="D27" s="66"/>
      <c r="E27" s="66"/>
      <c r="F27" s="66"/>
      <c r="G27" s="65" t="s">
        <v>945</v>
      </c>
      <c r="H27" s="67"/>
    </row>
    <row r="28" spans="1:11" x14ac:dyDescent="0.2">
      <c r="A28" t="s">
        <v>946</v>
      </c>
      <c r="B28" s="2" t="s">
        <v>944</v>
      </c>
      <c r="C28" s="2" t="s">
        <v>956</v>
      </c>
      <c r="D28" s="2" t="s">
        <v>947</v>
      </c>
      <c r="E28" s="2" t="s">
        <v>943</v>
      </c>
      <c r="F28" s="2" t="s">
        <v>948</v>
      </c>
      <c r="G28" s="2" t="s">
        <v>950</v>
      </c>
      <c r="H28" s="2" t="s">
        <v>952</v>
      </c>
    </row>
    <row r="29" spans="1:11" x14ac:dyDescent="0.2">
      <c r="A29" s="32" t="s">
        <v>165</v>
      </c>
      <c r="B29" s="2">
        <v>669</v>
      </c>
      <c r="C29" s="23">
        <f>Table104[[#This Row],[Number]]/Table104[[#Totals],[Number]]</f>
        <v>0.78521126760563376</v>
      </c>
      <c r="D29" s="2">
        <v>7</v>
      </c>
      <c r="E29" s="37">
        <f>Table104[[#This Row],[Rejected ]]/Table104[[#This Row],[Number]]</f>
        <v>1.0463378176382661E-2</v>
      </c>
      <c r="F29" s="38">
        <v>7</v>
      </c>
      <c r="G29" s="38"/>
      <c r="H29" s="38">
        <v>7</v>
      </c>
    </row>
    <row r="30" spans="1:11" x14ac:dyDescent="0.2">
      <c r="A30" s="33" t="s">
        <v>954</v>
      </c>
      <c r="B30" s="2">
        <v>153</v>
      </c>
      <c r="C30" s="23">
        <f>Table104[[#This Row],[Number]]/Table104[[#Totals],[Number]]</f>
        <v>0.1795774647887324</v>
      </c>
      <c r="D30" s="2">
        <v>2</v>
      </c>
      <c r="E30" s="37">
        <f>Table104[[#This Row],[Rejected ]]/Table104[[#This Row],[Number]]</f>
        <v>1.3071895424836602E-2</v>
      </c>
      <c r="F30" s="38">
        <v>2</v>
      </c>
      <c r="G30" s="38">
        <v>2</v>
      </c>
      <c r="H30" s="38"/>
    </row>
    <row r="31" spans="1:11" x14ac:dyDescent="0.2">
      <c r="A31" s="33" t="s">
        <v>772</v>
      </c>
      <c r="B31" s="2">
        <v>30</v>
      </c>
      <c r="C31" s="23">
        <f>Table104[[#This Row],[Number]]/Table104[[#Totals],[Number]]</f>
        <v>3.5211267605633804E-2</v>
      </c>
      <c r="D31" s="2">
        <v>2</v>
      </c>
      <c r="E31" s="37">
        <f>Table104[[#This Row],[Rejected ]]/Table104[[#This Row],[Number]]</f>
        <v>6.6666666666666666E-2</v>
      </c>
      <c r="F31" s="38">
        <v>2</v>
      </c>
      <c r="G31" s="38">
        <v>2</v>
      </c>
      <c r="H31" s="38"/>
    </row>
    <row r="32" spans="1:11" x14ac:dyDescent="0.2">
      <c r="A32" s="32"/>
      <c r="B32" s="39">
        <f>SUBTOTAL(109,Table104[Number])</f>
        <v>852</v>
      </c>
      <c r="C32" s="2"/>
      <c r="D32" s="39">
        <f>SUBTOTAL(109,Table104[[Rejected ]])</f>
        <v>11</v>
      </c>
      <c r="E32" s="40">
        <f>Table104[[#Totals],[Rejected ]]/Table104[[#Totals],[Number]]</f>
        <v>1.2910798122065728E-2</v>
      </c>
      <c r="F32" s="2">
        <f>SUBTOTAL(109,Table104[Carcass])</f>
        <v>11</v>
      </c>
      <c r="G32" s="2">
        <f>SUBTOTAL(109,Table104[[Parasitic ]])</f>
        <v>4</v>
      </c>
      <c r="H32" s="2">
        <f>SUBTOTAL(109,Table104[Managemntal])</f>
        <v>7</v>
      </c>
    </row>
  </sheetData>
  <mergeCells count="4">
    <mergeCell ref="A15:G15"/>
    <mergeCell ref="H15:K15"/>
    <mergeCell ref="A27:F27"/>
    <mergeCell ref="G27:H27"/>
  </mergeCells>
  <pageMargins left="0.7" right="0.7" top="0.75" bottom="0.75" header="0.3" footer="0.3"/>
  <tableParts count="2">
    <tablePart r:id="rId2"/>
    <tablePart r:id="rId3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7C2141C-C383-4A06-9348-47293AB17613}">
  <dimension ref="A1:AJ92"/>
  <sheetViews>
    <sheetView workbookViewId="0">
      <selection activeCell="A3" sqref="A3:AJ92"/>
    </sheetView>
  </sheetViews>
  <sheetFormatPr defaultRowHeight="15" x14ac:dyDescent="0.2"/>
  <cols>
    <col min="1" max="3" width="8.875" bestFit="1" customWidth="1"/>
    <col min="4" max="4" width="11.8359375" bestFit="1" customWidth="1"/>
    <col min="5" max="5" width="9.68359375" bestFit="1" customWidth="1"/>
    <col min="6" max="6" width="10.0859375" bestFit="1" customWidth="1"/>
    <col min="7" max="7" width="9.953125" bestFit="1" customWidth="1"/>
    <col min="8" max="8" width="71.4296875" bestFit="1" customWidth="1"/>
    <col min="9" max="9" width="13.1796875" bestFit="1" customWidth="1"/>
    <col min="10" max="10" width="16.6796875" bestFit="1" customWidth="1"/>
    <col min="11" max="11" width="19.7734375" bestFit="1" customWidth="1"/>
    <col min="12" max="12" width="15.73828125" bestFit="1" customWidth="1"/>
    <col min="13" max="13" width="20.4453125" bestFit="1" customWidth="1"/>
    <col min="14" max="14" width="15.73828125" bestFit="1" customWidth="1"/>
    <col min="15" max="15" width="20.04296875" bestFit="1" customWidth="1"/>
    <col min="16" max="16" width="22.46484375" bestFit="1" customWidth="1"/>
    <col min="17" max="17" width="18.4296875" bestFit="1" customWidth="1"/>
    <col min="18" max="18" width="15.33203125" bestFit="1" customWidth="1"/>
    <col min="19" max="19" width="8.875" bestFit="1" customWidth="1"/>
    <col min="20" max="20" width="23.67578125" bestFit="1" customWidth="1"/>
    <col min="21" max="21" width="8.875" bestFit="1" customWidth="1"/>
    <col min="22" max="22" width="12.375" bestFit="1" customWidth="1"/>
    <col min="23" max="23" width="20.4453125" bestFit="1" customWidth="1"/>
    <col min="24" max="24" width="11.296875" bestFit="1" customWidth="1"/>
    <col min="25" max="25" width="13.5859375" bestFit="1" customWidth="1"/>
    <col min="26" max="26" width="11.8359375" bestFit="1" customWidth="1"/>
    <col min="27" max="27" width="22.8671875" bestFit="1" customWidth="1"/>
    <col min="28" max="28" width="64.5703125" bestFit="1" customWidth="1"/>
    <col min="29" max="29" width="19.50390625" bestFit="1" customWidth="1"/>
    <col min="30" max="30" width="10.76171875" bestFit="1" customWidth="1"/>
    <col min="31" max="31" width="22.8671875" bestFit="1" customWidth="1"/>
    <col min="32" max="32" width="14.390625" bestFit="1" customWidth="1"/>
    <col min="33" max="33" width="9.14453125" bestFit="1" customWidth="1"/>
    <col min="34" max="34" width="21.7890625" bestFit="1" customWidth="1"/>
    <col min="35" max="35" width="29.32421875" bestFit="1" customWidth="1"/>
    <col min="36" max="36" width="20.71484375" bestFit="1" customWidth="1"/>
  </cols>
  <sheetData>
    <row r="1" spans="1:36" x14ac:dyDescent="0.2">
      <c r="A1" s="55" t="s">
        <v>3156</v>
      </c>
    </row>
    <row r="3" spans="1:36" x14ac:dyDescent="0.2">
      <c r="A3" t="s">
        <v>0</v>
      </c>
      <c r="B3" t="s">
        <v>1</v>
      </c>
      <c r="C3" t="s">
        <v>539</v>
      </c>
      <c r="D3" t="s">
        <v>2</v>
      </c>
      <c r="E3" t="s">
        <v>3</v>
      </c>
      <c r="F3" t="s">
        <v>4</v>
      </c>
      <c r="G3" t="s">
        <v>5</v>
      </c>
      <c r="H3" t="s">
        <v>6</v>
      </c>
      <c r="I3" t="s">
        <v>7</v>
      </c>
      <c r="J3" t="s">
        <v>8</v>
      </c>
      <c r="K3" t="s">
        <v>9</v>
      </c>
      <c r="L3" t="s">
        <v>10</v>
      </c>
      <c r="M3" t="s">
        <v>11</v>
      </c>
      <c r="N3" t="s">
        <v>12</v>
      </c>
      <c r="O3" t="s">
        <v>13</v>
      </c>
      <c r="P3" t="s">
        <v>14</v>
      </c>
      <c r="Q3" t="s">
        <v>15</v>
      </c>
      <c r="R3" t="s">
        <v>16</v>
      </c>
      <c r="S3" t="s">
        <v>17</v>
      </c>
      <c r="T3" t="s">
        <v>18</v>
      </c>
      <c r="U3" t="s">
        <v>19</v>
      </c>
      <c r="V3" t="s">
        <v>20</v>
      </c>
      <c r="W3" t="s">
        <v>21</v>
      </c>
      <c r="X3" t="s">
        <v>22</v>
      </c>
      <c r="Y3" t="s">
        <v>23</v>
      </c>
      <c r="Z3" t="s">
        <v>24</v>
      </c>
      <c r="AA3" t="s">
        <v>25</v>
      </c>
      <c r="AB3" t="s">
        <v>26</v>
      </c>
      <c r="AC3" t="s">
        <v>27</v>
      </c>
      <c r="AD3" t="s">
        <v>28</v>
      </c>
      <c r="AE3" t="s">
        <v>29</v>
      </c>
      <c r="AF3" t="s">
        <v>30</v>
      </c>
      <c r="AG3" t="s">
        <v>31</v>
      </c>
      <c r="AH3" t="s">
        <v>32</v>
      </c>
      <c r="AI3" t="s">
        <v>33</v>
      </c>
      <c r="AJ3" t="s">
        <v>34</v>
      </c>
    </row>
    <row r="4" spans="1:36" x14ac:dyDescent="0.2">
      <c r="A4" s="56">
        <v>46112</v>
      </c>
      <c r="B4" t="s">
        <v>45</v>
      </c>
      <c r="D4" t="s">
        <v>43</v>
      </c>
      <c r="E4">
        <v>68</v>
      </c>
      <c r="F4">
        <v>63</v>
      </c>
      <c r="G4">
        <v>5</v>
      </c>
      <c r="H4" t="s">
        <v>1073</v>
      </c>
      <c r="I4">
        <v>33494</v>
      </c>
      <c r="J4">
        <v>33494</v>
      </c>
      <c r="K4">
        <v>0</v>
      </c>
      <c r="L4">
        <v>20096.3</v>
      </c>
      <c r="M4">
        <v>606</v>
      </c>
      <c r="N4">
        <v>531.65079365079362</v>
      </c>
      <c r="O4">
        <v>531.65079365079362</v>
      </c>
      <c r="P4">
        <v>0</v>
      </c>
      <c r="Q4">
        <v>318.98888888888888</v>
      </c>
      <c r="R4">
        <v>9.6190476190476186</v>
      </c>
      <c r="S4">
        <v>24.079365079365079</v>
      </c>
      <c r="T4">
        <v>0</v>
      </c>
      <c r="U4">
        <v>45.63492063492064</v>
      </c>
      <c r="V4">
        <v>10</v>
      </c>
      <c r="W4">
        <v>8.5</v>
      </c>
      <c r="X4">
        <v>0</v>
      </c>
      <c r="Y4">
        <v>0.93793650793650796</v>
      </c>
      <c r="Z4">
        <v>0.59999701439063713</v>
      </c>
      <c r="AA4">
        <v>0.88214285714285723</v>
      </c>
      <c r="AB4" t="s">
        <v>1052</v>
      </c>
      <c r="AH4">
        <v>36</v>
      </c>
    </row>
    <row r="5" spans="1:36" x14ac:dyDescent="0.2">
      <c r="A5" s="56">
        <v>46111</v>
      </c>
      <c r="B5" t="s">
        <v>45</v>
      </c>
      <c r="D5" t="s">
        <v>656</v>
      </c>
      <c r="E5">
        <v>98</v>
      </c>
      <c r="F5">
        <v>97</v>
      </c>
      <c r="G5">
        <v>1</v>
      </c>
      <c r="H5" t="s">
        <v>1072</v>
      </c>
      <c r="I5">
        <v>41918</v>
      </c>
      <c r="J5">
        <v>41918</v>
      </c>
      <c r="K5">
        <v>0</v>
      </c>
      <c r="L5">
        <v>25341.4</v>
      </c>
      <c r="M5">
        <v>0</v>
      </c>
      <c r="N5">
        <v>432.14432989690721</v>
      </c>
      <c r="O5">
        <v>432.14432989690721</v>
      </c>
      <c r="P5">
        <v>0</v>
      </c>
      <c r="Q5">
        <v>261.25154639175258</v>
      </c>
      <c r="R5">
        <v>0</v>
      </c>
      <c r="S5">
        <v>25</v>
      </c>
      <c r="T5">
        <v>0</v>
      </c>
      <c r="U5">
        <v>48.298969072164944</v>
      </c>
      <c r="V5">
        <v>10</v>
      </c>
      <c r="W5">
        <v>8.5</v>
      </c>
      <c r="X5">
        <v>0</v>
      </c>
      <c r="Y5">
        <v>0.98298969072164943</v>
      </c>
      <c r="Z5">
        <v>0.6045469726609094</v>
      </c>
      <c r="AA5">
        <v>0.91798969072164938</v>
      </c>
      <c r="AB5" t="s">
        <v>1051</v>
      </c>
      <c r="AH5">
        <v>1</v>
      </c>
    </row>
    <row r="6" spans="1:36" x14ac:dyDescent="0.2">
      <c r="A6" s="56">
        <v>46110</v>
      </c>
      <c r="B6" t="s">
        <v>45</v>
      </c>
      <c r="D6" t="s">
        <v>165</v>
      </c>
      <c r="E6">
        <v>66</v>
      </c>
      <c r="F6">
        <v>64</v>
      </c>
      <c r="G6">
        <v>2</v>
      </c>
      <c r="H6" t="s">
        <v>1071</v>
      </c>
      <c r="I6">
        <v>33718</v>
      </c>
      <c r="J6">
        <v>33718</v>
      </c>
      <c r="K6">
        <v>0</v>
      </c>
      <c r="L6">
        <v>20230.8</v>
      </c>
      <c r="M6">
        <v>659</v>
      </c>
      <c r="N6">
        <v>526.84375</v>
      </c>
      <c r="O6">
        <v>526.84375</v>
      </c>
      <c r="P6">
        <v>0</v>
      </c>
      <c r="Q6">
        <v>316.10624999999999</v>
      </c>
      <c r="R6">
        <v>10.296875</v>
      </c>
      <c r="S6">
        <v>23.828125</v>
      </c>
      <c r="T6">
        <v>0</v>
      </c>
      <c r="U6">
        <v>46.734375</v>
      </c>
      <c r="V6">
        <v>10</v>
      </c>
      <c r="W6">
        <v>8.5</v>
      </c>
      <c r="X6">
        <v>0</v>
      </c>
      <c r="Y6">
        <v>0.94390624999999995</v>
      </c>
      <c r="Z6">
        <v>0.6</v>
      </c>
      <c r="AA6">
        <v>0.890625</v>
      </c>
      <c r="AB6" t="s">
        <v>1049</v>
      </c>
      <c r="AH6">
        <v>35</v>
      </c>
    </row>
    <row r="7" spans="1:36" x14ac:dyDescent="0.2">
      <c r="A7" s="56">
        <v>46109</v>
      </c>
      <c r="B7" t="s">
        <v>45</v>
      </c>
      <c r="D7" t="s">
        <v>656</v>
      </c>
      <c r="E7">
        <v>68</v>
      </c>
      <c r="F7">
        <v>66</v>
      </c>
      <c r="G7">
        <v>2</v>
      </c>
      <c r="H7" t="s">
        <v>1070</v>
      </c>
      <c r="I7">
        <v>28279</v>
      </c>
      <c r="J7">
        <v>28279</v>
      </c>
      <c r="K7">
        <v>0</v>
      </c>
      <c r="L7">
        <v>17107.599999999999</v>
      </c>
      <c r="M7">
        <v>458</v>
      </c>
      <c r="N7">
        <v>428.469696969697</v>
      </c>
      <c r="O7">
        <v>428.469696969697</v>
      </c>
      <c r="P7">
        <v>0</v>
      </c>
      <c r="Q7">
        <v>259.20606060606059</v>
      </c>
      <c r="R7">
        <v>6.9393939393939394</v>
      </c>
      <c r="S7">
        <v>25</v>
      </c>
      <c r="T7">
        <v>0</v>
      </c>
      <c r="U7">
        <v>48.11363636363636</v>
      </c>
      <c r="V7">
        <v>10</v>
      </c>
      <c r="W7">
        <v>8.5</v>
      </c>
      <c r="X7">
        <v>0</v>
      </c>
      <c r="Y7">
        <v>0.98113636363636358</v>
      </c>
      <c r="Z7">
        <v>0.60495774249443046</v>
      </c>
      <c r="AA7">
        <v>0.91613636363636364</v>
      </c>
      <c r="AB7" t="s">
        <v>1048</v>
      </c>
      <c r="AH7">
        <v>0</v>
      </c>
    </row>
    <row r="8" spans="1:36" x14ac:dyDescent="0.2">
      <c r="A8" s="56">
        <v>46107</v>
      </c>
      <c r="B8" t="s">
        <v>45</v>
      </c>
      <c r="D8" t="s">
        <v>46</v>
      </c>
      <c r="E8">
        <v>64</v>
      </c>
      <c r="F8">
        <v>64</v>
      </c>
      <c r="G8">
        <v>0</v>
      </c>
      <c r="I8">
        <v>34588</v>
      </c>
      <c r="J8">
        <v>34588</v>
      </c>
      <c r="K8">
        <v>0</v>
      </c>
      <c r="L8">
        <v>20753</v>
      </c>
      <c r="M8">
        <v>703</v>
      </c>
      <c r="N8">
        <v>540.4375</v>
      </c>
      <c r="O8">
        <v>540.4375</v>
      </c>
      <c r="P8">
        <v>0</v>
      </c>
      <c r="Q8">
        <v>324.265625</v>
      </c>
      <c r="R8">
        <v>10.984375</v>
      </c>
      <c r="S8">
        <v>25</v>
      </c>
      <c r="T8">
        <v>0</v>
      </c>
      <c r="U8">
        <v>48.96875</v>
      </c>
      <c r="V8">
        <v>10</v>
      </c>
      <c r="W8">
        <v>8.5</v>
      </c>
      <c r="X8">
        <v>0</v>
      </c>
      <c r="Y8">
        <v>0.98968750000000005</v>
      </c>
      <c r="Z8">
        <v>0.60000578235226087</v>
      </c>
      <c r="AA8">
        <v>0.9246875</v>
      </c>
      <c r="AB8" t="s">
        <v>1046</v>
      </c>
      <c r="AH8">
        <v>2</v>
      </c>
    </row>
    <row r="9" spans="1:36" x14ac:dyDescent="0.2">
      <c r="A9" s="56">
        <v>46107</v>
      </c>
      <c r="B9" t="s">
        <v>45</v>
      </c>
      <c r="D9" t="s">
        <v>656</v>
      </c>
      <c r="E9">
        <v>64</v>
      </c>
      <c r="F9">
        <v>64</v>
      </c>
      <c r="G9">
        <v>0</v>
      </c>
      <c r="I9">
        <v>27210</v>
      </c>
      <c r="J9">
        <v>27210</v>
      </c>
      <c r="K9">
        <v>0</v>
      </c>
      <c r="L9">
        <v>16409.5</v>
      </c>
      <c r="M9">
        <v>452</v>
      </c>
      <c r="N9">
        <v>425.15625</v>
      </c>
      <c r="O9">
        <v>425.15625</v>
      </c>
      <c r="P9">
        <v>0</v>
      </c>
      <c r="Q9">
        <v>256.3984375</v>
      </c>
      <c r="R9">
        <v>7.0625</v>
      </c>
      <c r="S9">
        <v>25</v>
      </c>
      <c r="T9">
        <v>0</v>
      </c>
      <c r="U9">
        <v>49.234375</v>
      </c>
      <c r="V9">
        <v>10</v>
      </c>
      <c r="W9">
        <v>8.5</v>
      </c>
      <c r="X9">
        <v>0</v>
      </c>
      <c r="Y9">
        <v>0.99234375000000008</v>
      </c>
      <c r="Z9">
        <v>0.60306872473355388</v>
      </c>
      <c r="AA9">
        <v>0.92734375000000002</v>
      </c>
      <c r="AB9" t="s">
        <v>1047</v>
      </c>
      <c r="AH9">
        <v>0</v>
      </c>
    </row>
    <row r="10" spans="1:36" x14ac:dyDescent="0.2">
      <c r="A10" s="56">
        <v>46106</v>
      </c>
      <c r="B10" t="s">
        <v>45</v>
      </c>
      <c r="D10" t="s">
        <v>656</v>
      </c>
      <c r="E10">
        <v>55</v>
      </c>
      <c r="F10">
        <v>55</v>
      </c>
      <c r="G10">
        <v>0</v>
      </c>
      <c r="I10">
        <v>23644</v>
      </c>
      <c r="J10">
        <v>23644</v>
      </c>
      <c r="K10">
        <v>0</v>
      </c>
      <c r="L10">
        <v>14392.7</v>
      </c>
      <c r="M10">
        <v>428</v>
      </c>
      <c r="N10">
        <v>429.89090909090908</v>
      </c>
      <c r="O10">
        <v>429.89090909090908</v>
      </c>
      <c r="P10">
        <v>0</v>
      </c>
      <c r="Q10">
        <v>261.68545454545455</v>
      </c>
      <c r="R10">
        <v>7.7818181818181822</v>
      </c>
      <c r="S10">
        <v>25</v>
      </c>
      <c r="T10">
        <v>0</v>
      </c>
      <c r="U10">
        <v>45.772727272727266</v>
      </c>
      <c r="V10">
        <v>10</v>
      </c>
      <c r="W10">
        <v>8.5</v>
      </c>
      <c r="X10">
        <v>0</v>
      </c>
      <c r="Y10">
        <v>0.95772727272727265</v>
      </c>
      <c r="Z10">
        <v>0.60872525799357136</v>
      </c>
      <c r="AA10">
        <v>0.8927272727272727</v>
      </c>
      <c r="AB10" t="s">
        <v>1044</v>
      </c>
      <c r="AH10">
        <v>0</v>
      </c>
    </row>
    <row r="11" spans="1:36" x14ac:dyDescent="0.2">
      <c r="A11" s="56">
        <v>46105</v>
      </c>
      <c r="B11" t="s">
        <v>45</v>
      </c>
      <c r="D11" t="s">
        <v>656</v>
      </c>
      <c r="E11">
        <v>48</v>
      </c>
      <c r="F11">
        <v>48</v>
      </c>
      <c r="G11">
        <v>0</v>
      </c>
      <c r="I11">
        <v>20930</v>
      </c>
      <c r="J11">
        <v>20930</v>
      </c>
      <c r="K11">
        <v>0</v>
      </c>
      <c r="L11">
        <v>12578.9</v>
      </c>
      <c r="M11">
        <v>351</v>
      </c>
      <c r="N11">
        <v>436.04166666666669</v>
      </c>
      <c r="O11">
        <v>436.04166666666669</v>
      </c>
      <c r="P11">
        <v>0</v>
      </c>
      <c r="Q11">
        <v>262.06041666666664</v>
      </c>
      <c r="R11">
        <v>7.3125</v>
      </c>
      <c r="S11">
        <v>25</v>
      </c>
      <c r="T11">
        <v>0</v>
      </c>
      <c r="U11">
        <v>47.604166666666664</v>
      </c>
      <c r="V11">
        <v>10</v>
      </c>
      <c r="W11">
        <v>8.5</v>
      </c>
      <c r="X11">
        <v>0</v>
      </c>
      <c r="Y11">
        <v>0.9760416666666667</v>
      </c>
      <c r="Z11">
        <v>0.60099856665074058</v>
      </c>
      <c r="AA11">
        <v>0.91104166666666653</v>
      </c>
      <c r="AB11" t="s">
        <v>1043</v>
      </c>
      <c r="AH11">
        <v>0</v>
      </c>
    </row>
    <row r="12" spans="1:36" x14ac:dyDescent="0.2">
      <c r="A12" s="56">
        <v>46104</v>
      </c>
      <c r="B12" t="s">
        <v>45</v>
      </c>
      <c r="D12" t="s">
        <v>656</v>
      </c>
      <c r="E12">
        <v>48</v>
      </c>
      <c r="F12">
        <v>48</v>
      </c>
      <c r="G12">
        <v>0</v>
      </c>
      <c r="I12">
        <v>21197</v>
      </c>
      <c r="J12">
        <v>21197</v>
      </c>
      <c r="K12">
        <v>0</v>
      </c>
      <c r="L12">
        <v>12758.2</v>
      </c>
      <c r="M12">
        <v>390</v>
      </c>
      <c r="N12">
        <v>441.60416666666669</v>
      </c>
      <c r="O12">
        <v>441.60416666666669</v>
      </c>
      <c r="P12">
        <v>0</v>
      </c>
      <c r="Q12">
        <v>265.79583333333335</v>
      </c>
      <c r="R12">
        <v>8.125</v>
      </c>
      <c r="S12">
        <v>25</v>
      </c>
      <c r="T12">
        <v>0</v>
      </c>
      <c r="U12">
        <v>45.427083333333336</v>
      </c>
      <c r="V12">
        <v>10</v>
      </c>
      <c r="W12">
        <v>8.5</v>
      </c>
      <c r="X12">
        <v>0</v>
      </c>
      <c r="Y12">
        <v>0.9542708333333334</v>
      </c>
      <c r="Z12">
        <v>0.60188705948955046</v>
      </c>
      <c r="AA12">
        <v>0.88927083333333345</v>
      </c>
      <c r="AB12" t="s">
        <v>1040</v>
      </c>
      <c r="AH12">
        <v>0</v>
      </c>
    </row>
    <row r="13" spans="1:36" x14ac:dyDescent="0.2">
      <c r="A13" s="56">
        <v>46100</v>
      </c>
      <c r="B13" t="s">
        <v>45</v>
      </c>
      <c r="D13" t="s">
        <v>46</v>
      </c>
      <c r="E13">
        <v>63</v>
      </c>
      <c r="F13">
        <v>63</v>
      </c>
      <c r="G13">
        <v>0</v>
      </c>
      <c r="I13">
        <v>35417</v>
      </c>
      <c r="J13">
        <v>35417</v>
      </c>
      <c r="K13">
        <v>0</v>
      </c>
      <c r="L13">
        <v>21250</v>
      </c>
      <c r="M13">
        <v>798</v>
      </c>
      <c r="N13">
        <v>562.17460317460313</v>
      </c>
      <c r="O13">
        <v>562.17460317460313</v>
      </c>
      <c r="P13">
        <v>0</v>
      </c>
      <c r="Q13">
        <v>337.30158730158729</v>
      </c>
      <c r="R13">
        <v>12.666666666666666</v>
      </c>
      <c r="S13">
        <v>24.920634920634921</v>
      </c>
      <c r="T13">
        <v>0</v>
      </c>
      <c r="U13">
        <v>48.619047619047613</v>
      </c>
      <c r="V13">
        <v>10</v>
      </c>
      <c r="W13">
        <v>8.5</v>
      </c>
      <c r="X13">
        <v>0</v>
      </c>
      <c r="Y13">
        <v>0.98460317460317448</v>
      </c>
      <c r="Z13">
        <v>0.5999943529943248</v>
      </c>
      <c r="AA13">
        <v>0.92039682539682532</v>
      </c>
      <c r="AB13" t="s">
        <v>1037</v>
      </c>
      <c r="AH13">
        <v>9</v>
      </c>
    </row>
    <row r="14" spans="1:36" x14ac:dyDescent="0.2">
      <c r="A14" s="56">
        <v>46099</v>
      </c>
      <c r="B14" t="s">
        <v>45</v>
      </c>
      <c r="D14" t="s">
        <v>165</v>
      </c>
      <c r="E14">
        <v>63</v>
      </c>
      <c r="F14">
        <v>61</v>
      </c>
      <c r="G14">
        <v>2</v>
      </c>
      <c r="H14" t="s">
        <v>1068</v>
      </c>
      <c r="I14">
        <v>31251</v>
      </c>
      <c r="J14">
        <v>31251</v>
      </c>
      <c r="K14">
        <v>0</v>
      </c>
      <c r="L14">
        <v>18750.5</v>
      </c>
      <c r="M14">
        <v>590</v>
      </c>
      <c r="N14">
        <v>512.31147540983602</v>
      </c>
      <c r="O14">
        <v>512.31147540983602</v>
      </c>
      <c r="P14">
        <v>0</v>
      </c>
      <c r="Q14">
        <v>307.38524590163934</v>
      </c>
      <c r="R14">
        <v>9.6721311475409841</v>
      </c>
      <c r="S14">
        <v>24.016393442622949</v>
      </c>
      <c r="T14">
        <v>0</v>
      </c>
      <c r="U14">
        <v>47.344262295081968</v>
      </c>
      <c r="V14">
        <v>10</v>
      </c>
      <c r="W14">
        <v>8.5</v>
      </c>
      <c r="X14">
        <v>0</v>
      </c>
      <c r="Y14">
        <v>0.95377049180327866</v>
      </c>
      <c r="Z14">
        <v>0.59999680010239675</v>
      </c>
      <c r="AA14">
        <v>0.8986065573770492</v>
      </c>
      <c r="AB14" t="s">
        <v>1035</v>
      </c>
      <c r="AH14">
        <v>41</v>
      </c>
    </row>
    <row r="15" spans="1:36" x14ac:dyDescent="0.2">
      <c r="A15" s="56">
        <v>46098</v>
      </c>
      <c r="B15" t="s">
        <v>45</v>
      </c>
      <c r="D15" t="s">
        <v>576</v>
      </c>
      <c r="E15">
        <v>56</v>
      </c>
      <c r="F15">
        <v>56</v>
      </c>
      <c r="G15">
        <v>0</v>
      </c>
      <c r="I15">
        <v>29962</v>
      </c>
      <c r="J15">
        <v>29962</v>
      </c>
      <c r="K15">
        <v>0</v>
      </c>
      <c r="L15">
        <v>18948.7</v>
      </c>
      <c r="M15">
        <v>563</v>
      </c>
      <c r="N15">
        <v>535.03571428571433</v>
      </c>
      <c r="O15">
        <v>535.03571428571433</v>
      </c>
      <c r="P15">
        <v>0</v>
      </c>
      <c r="Q15">
        <v>338.36964285714288</v>
      </c>
      <c r="R15">
        <v>10.053571428571429</v>
      </c>
      <c r="S15">
        <v>24.375</v>
      </c>
      <c r="T15">
        <v>0</v>
      </c>
      <c r="U15">
        <v>46</v>
      </c>
      <c r="V15">
        <v>10</v>
      </c>
      <c r="W15">
        <v>8.5</v>
      </c>
      <c r="X15">
        <v>0</v>
      </c>
      <c r="Y15">
        <v>0.94750000000000001</v>
      </c>
      <c r="Z15">
        <v>0.63242440424537749</v>
      </c>
      <c r="AA15">
        <v>0.88875000000000004</v>
      </c>
      <c r="AB15" t="s">
        <v>1034</v>
      </c>
      <c r="AH15">
        <v>46</v>
      </c>
    </row>
    <row r="16" spans="1:36" x14ac:dyDescent="0.2">
      <c r="A16" s="56">
        <v>46097</v>
      </c>
      <c r="B16" t="s">
        <v>45</v>
      </c>
      <c r="D16" t="s">
        <v>656</v>
      </c>
      <c r="E16">
        <v>54</v>
      </c>
      <c r="F16">
        <v>54</v>
      </c>
      <c r="G16">
        <v>0</v>
      </c>
      <c r="I16">
        <v>22620</v>
      </c>
      <c r="J16">
        <v>22620</v>
      </c>
      <c r="K16">
        <v>0</v>
      </c>
      <c r="L16">
        <v>13806.8</v>
      </c>
      <c r="M16">
        <v>363</v>
      </c>
      <c r="N16">
        <v>418.88888888888891</v>
      </c>
      <c r="O16">
        <v>418.88888888888891</v>
      </c>
      <c r="P16">
        <v>0</v>
      </c>
      <c r="Q16">
        <v>255.68148148148146</v>
      </c>
      <c r="R16">
        <v>6.7222222222222223</v>
      </c>
      <c r="S16">
        <v>25</v>
      </c>
      <c r="T16">
        <v>0</v>
      </c>
      <c r="U16">
        <v>48.018518518518519</v>
      </c>
      <c r="V16">
        <v>10</v>
      </c>
      <c r="W16">
        <v>8.5</v>
      </c>
      <c r="X16">
        <v>0</v>
      </c>
      <c r="Y16">
        <v>0.98018518518518527</v>
      </c>
      <c r="Z16">
        <v>0.61038019451812553</v>
      </c>
      <c r="AA16">
        <v>0.91518518518518521</v>
      </c>
      <c r="AB16" t="s">
        <v>1033</v>
      </c>
      <c r="AH16">
        <v>0</v>
      </c>
    </row>
    <row r="17" spans="1:34" x14ac:dyDescent="0.2">
      <c r="A17" s="56">
        <v>46096</v>
      </c>
      <c r="B17" t="s">
        <v>45</v>
      </c>
      <c r="D17" t="s">
        <v>656</v>
      </c>
      <c r="E17">
        <v>64</v>
      </c>
      <c r="F17">
        <v>64</v>
      </c>
      <c r="G17">
        <v>0</v>
      </c>
      <c r="I17">
        <v>26842</v>
      </c>
      <c r="J17">
        <v>26842</v>
      </c>
      <c r="K17">
        <v>0</v>
      </c>
      <c r="L17">
        <v>16387.400000000001</v>
      </c>
      <c r="M17">
        <v>396</v>
      </c>
      <c r="N17">
        <v>419.40625</v>
      </c>
      <c r="O17">
        <v>419.40625</v>
      </c>
      <c r="P17">
        <v>0</v>
      </c>
      <c r="Q17">
        <v>256.05312500000002</v>
      </c>
      <c r="R17">
        <v>6.1875</v>
      </c>
      <c r="S17">
        <v>25</v>
      </c>
      <c r="T17">
        <v>0</v>
      </c>
      <c r="U17">
        <v>49.109375</v>
      </c>
      <c r="V17">
        <v>10</v>
      </c>
      <c r="W17">
        <v>8.5</v>
      </c>
      <c r="X17">
        <v>0</v>
      </c>
      <c r="Y17">
        <v>0.99109375</v>
      </c>
      <c r="Z17">
        <v>0.61051337456225319</v>
      </c>
      <c r="AA17">
        <v>0.92609375000000005</v>
      </c>
      <c r="AB17" t="s">
        <v>1032</v>
      </c>
      <c r="AH17">
        <v>0</v>
      </c>
    </row>
    <row r="18" spans="1:34" x14ac:dyDescent="0.2">
      <c r="A18" s="56">
        <v>46095</v>
      </c>
      <c r="B18" t="s">
        <v>45</v>
      </c>
      <c r="D18" t="s">
        <v>656</v>
      </c>
      <c r="E18">
        <v>60</v>
      </c>
      <c r="F18">
        <v>60</v>
      </c>
      <c r="G18">
        <v>0</v>
      </c>
      <c r="I18">
        <v>25513</v>
      </c>
      <c r="J18">
        <v>25513</v>
      </c>
      <c r="K18">
        <v>0</v>
      </c>
      <c r="L18">
        <v>15726.5</v>
      </c>
      <c r="M18">
        <v>423</v>
      </c>
      <c r="N18">
        <v>425.21666666666664</v>
      </c>
      <c r="O18">
        <v>425.21666666666664</v>
      </c>
      <c r="P18">
        <v>0</v>
      </c>
      <c r="Q18">
        <v>262.10833333333335</v>
      </c>
      <c r="R18">
        <v>7.05</v>
      </c>
      <c r="S18">
        <v>25</v>
      </c>
      <c r="T18">
        <v>0</v>
      </c>
      <c r="U18">
        <v>47.333333333333336</v>
      </c>
      <c r="V18">
        <v>10</v>
      </c>
      <c r="W18">
        <v>8.5</v>
      </c>
      <c r="X18">
        <v>0</v>
      </c>
      <c r="Y18">
        <v>0.97333333333333338</v>
      </c>
      <c r="Z18">
        <v>0.61641124132795044</v>
      </c>
      <c r="AA18">
        <v>0.90833333333333344</v>
      </c>
      <c r="AB18" t="s">
        <v>1031</v>
      </c>
      <c r="AH18">
        <v>0</v>
      </c>
    </row>
    <row r="19" spans="1:34" x14ac:dyDescent="0.2">
      <c r="A19" s="56">
        <v>46093</v>
      </c>
      <c r="B19" t="s">
        <v>45</v>
      </c>
      <c r="D19" t="s">
        <v>656</v>
      </c>
      <c r="E19">
        <v>90</v>
      </c>
      <c r="F19">
        <v>90</v>
      </c>
      <c r="G19">
        <v>0</v>
      </c>
      <c r="I19">
        <v>39207</v>
      </c>
      <c r="J19">
        <v>39207</v>
      </c>
      <c r="K19">
        <v>0</v>
      </c>
      <c r="L19">
        <v>23909.4</v>
      </c>
      <c r="M19">
        <v>688</v>
      </c>
      <c r="N19">
        <v>435.63333333333333</v>
      </c>
      <c r="O19">
        <v>435.63333333333333</v>
      </c>
      <c r="P19">
        <v>0</v>
      </c>
      <c r="Q19">
        <v>265.66000000000003</v>
      </c>
      <c r="R19">
        <v>7.6444444444444448</v>
      </c>
      <c r="S19">
        <v>25</v>
      </c>
      <c r="T19">
        <v>0</v>
      </c>
      <c r="U19">
        <v>49.188888888888883</v>
      </c>
      <c r="V19">
        <v>10</v>
      </c>
      <c r="W19">
        <v>8.5</v>
      </c>
      <c r="X19">
        <v>0</v>
      </c>
      <c r="Y19">
        <v>0.99188888888888882</v>
      </c>
      <c r="Z19">
        <v>0.60982477618792563</v>
      </c>
      <c r="AA19">
        <v>0.92688888888888887</v>
      </c>
      <c r="AB19" t="s">
        <v>1029</v>
      </c>
      <c r="AH19">
        <v>0</v>
      </c>
    </row>
    <row r="20" spans="1:34" x14ac:dyDescent="0.2">
      <c r="A20" s="56">
        <v>46092</v>
      </c>
      <c r="B20" t="s">
        <v>45</v>
      </c>
      <c r="D20" t="s">
        <v>165</v>
      </c>
      <c r="E20">
        <v>59</v>
      </c>
      <c r="F20">
        <v>59</v>
      </c>
      <c r="G20">
        <v>0</v>
      </c>
      <c r="I20">
        <v>32657</v>
      </c>
      <c r="J20">
        <v>32657</v>
      </c>
      <c r="K20">
        <v>0</v>
      </c>
      <c r="L20">
        <v>19594.3</v>
      </c>
      <c r="M20">
        <v>595</v>
      </c>
      <c r="N20">
        <v>553.50847457627117</v>
      </c>
      <c r="O20">
        <v>553.50847457627117</v>
      </c>
      <c r="P20">
        <v>0</v>
      </c>
      <c r="Q20">
        <v>332.10677966101696</v>
      </c>
      <c r="R20">
        <v>10.084745762711865</v>
      </c>
      <c r="S20">
        <v>22.79661016949153</v>
      </c>
      <c r="T20">
        <v>0</v>
      </c>
      <c r="U20">
        <v>43.49152542372881</v>
      </c>
      <c r="V20">
        <v>10</v>
      </c>
      <c r="W20">
        <v>8.5</v>
      </c>
      <c r="X20">
        <v>0</v>
      </c>
      <c r="Y20">
        <v>0.8908474576271187</v>
      </c>
      <c r="Z20">
        <v>0.60000306213063048</v>
      </c>
      <c r="AA20">
        <v>0.84788135593220348</v>
      </c>
      <c r="AB20" t="s">
        <v>1027</v>
      </c>
      <c r="AH20">
        <v>55</v>
      </c>
    </row>
    <row r="21" spans="1:34" x14ac:dyDescent="0.2">
      <c r="A21" s="56">
        <v>46091</v>
      </c>
      <c r="B21" t="s">
        <v>45</v>
      </c>
      <c r="C21" t="s">
        <v>528</v>
      </c>
      <c r="D21" t="s">
        <v>916</v>
      </c>
      <c r="E21">
        <v>30</v>
      </c>
      <c r="F21">
        <v>30</v>
      </c>
      <c r="G21">
        <v>0</v>
      </c>
      <c r="I21">
        <v>16354</v>
      </c>
      <c r="J21">
        <v>16354</v>
      </c>
      <c r="K21">
        <v>0</v>
      </c>
      <c r="L21">
        <v>10750</v>
      </c>
      <c r="M21">
        <v>0</v>
      </c>
      <c r="N21">
        <v>545.13333333333333</v>
      </c>
      <c r="O21">
        <v>545.13333333333333</v>
      </c>
      <c r="P21">
        <v>0</v>
      </c>
      <c r="Q21">
        <v>358.33333333333331</v>
      </c>
      <c r="R21">
        <v>0</v>
      </c>
      <c r="S21">
        <v>24</v>
      </c>
      <c r="T21">
        <v>4</v>
      </c>
      <c r="U21">
        <v>44.11666666666666</v>
      </c>
      <c r="V21">
        <v>10</v>
      </c>
      <c r="W21">
        <v>8.5</v>
      </c>
      <c r="X21">
        <v>0</v>
      </c>
      <c r="Y21">
        <v>0.92116666666666658</v>
      </c>
      <c r="Z21">
        <v>0.65733153968448088</v>
      </c>
      <c r="AA21">
        <v>0.90616666666666656</v>
      </c>
      <c r="AB21" t="s">
        <v>1026</v>
      </c>
      <c r="AH21">
        <v>21</v>
      </c>
    </row>
    <row r="22" spans="1:34" x14ac:dyDescent="0.2">
      <c r="A22" s="56">
        <v>46091</v>
      </c>
      <c r="B22" t="s">
        <v>45</v>
      </c>
      <c r="D22" t="s">
        <v>46</v>
      </c>
      <c r="E22">
        <v>32</v>
      </c>
      <c r="F22">
        <v>32</v>
      </c>
      <c r="G22">
        <v>0</v>
      </c>
      <c r="I22">
        <v>15293</v>
      </c>
      <c r="J22">
        <v>15293</v>
      </c>
      <c r="K22">
        <v>0</v>
      </c>
      <c r="L22">
        <v>9175.5</v>
      </c>
      <c r="M22">
        <v>290</v>
      </c>
      <c r="N22">
        <v>477.90625</v>
      </c>
      <c r="O22">
        <v>477.90625</v>
      </c>
      <c r="P22">
        <v>0</v>
      </c>
      <c r="Q22">
        <v>286.734375</v>
      </c>
      <c r="R22">
        <v>9.0625</v>
      </c>
      <c r="S22">
        <v>25</v>
      </c>
      <c r="T22">
        <v>0</v>
      </c>
      <c r="U22">
        <v>43.78125</v>
      </c>
      <c r="V22">
        <v>10</v>
      </c>
      <c r="W22">
        <v>8.5</v>
      </c>
      <c r="X22">
        <v>0</v>
      </c>
      <c r="Y22">
        <v>0.93781249999999994</v>
      </c>
      <c r="Z22">
        <v>0.59998038318184788</v>
      </c>
      <c r="AA22">
        <v>0.87281249999999999</v>
      </c>
      <c r="AB22" t="s">
        <v>1025</v>
      </c>
      <c r="AH22">
        <v>1</v>
      </c>
    </row>
    <row r="23" spans="1:34" x14ac:dyDescent="0.2">
      <c r="A23" s="56">
        <v>46090</v>
      </c>
      <c r="B23" t="s">
        <v>45</v>
      </c>
      <c r="D23" t="s">
        <v>656</v>
      </c>
      <c r="E23">
        <v>72</v>
      </c>
      <c r="F23">
        <v>72</v>
      </c>
      <c r="G23">
        <v>0</v>
      </c>
      <c r="I23">
        <v>31850</v>
      </c>
      <c r="J23">
        <v>31850</v>
      </c>
      <c r="K23">
        <v>0</v>
      </c>
      <c r="L23">
        <v>19387.7</v>
      </c>
      <c r="M23">
        <v>456</v>
      </c>
      <c r="N23">
        <v>442.36111111111109</v>
      </c>
      <c r="O23">
        <v>442.36111111111109</v>
      </c>
      <c r="P23">
        <v>0</v>
      </c>
      <c r="Q23">
        <v>269.27361111111111</v>
      </c>
      <c r="R23">
        <v>6.333333333333333</v>
      </c>
      <c r="S23">
        <v>25</v>
      </c>
      <c r="T23">
        <v>0</v>
      </c>
      <c r="U23">
        <v>47.30555555555555</v>
      </c>
      <c r="V23">
        <v>10</v>
      </c>
      <c r="W23">
        <v>8.5</v>
      </c>
      <c r="X23">
        <v>0</v>
      </c>
      <c r="Y23">
        <v>0.97305555555555556</v>
      </c>
      <c r="Z23">
        <v>0.60871899529042384</v>
      </c>
      <c r="AA23">
        <v>0.90805555555555539</v>
      </c>
      <c r="AB23" t="s">
        <v>1061</v>
      </c>
      <c r="AH23">
        <v>0</v>
      </c>
    </row>
    <row r="24" spans="1:34" x14ac:dyDescent="0.2">
      <c r="A24" s="56">
        <v>46089</v>
      </c>
      <c r="B24" t="s">
        <v>45</v>
      </c>
      <c r="D24" t="s">
        <v>656</v>
      </c>
      <c r="E24">
        <v>80</v>
      </c>
      <c r="F24">
        <v>80</v>
      </c>
      <c r="G24">
        <v>0</v>
      </c>
      <c r="I24">
        <v>34156</v>
      </c>
      <c r="J24">
        <v>34156</v>
      </c>
      <c r="K24">
        <v>0</v>
      </c>
      <c r="L24">
        <v>20577</v>
      </c>
      <c r="M24">
        <v>460</v>
      </c>
      <c r="N24">
        <v>426.95</v>
      </c>
      <c r="O24">
        <v>426.95</v>
      </c>
      <c r="P24">
        <v>0</v>
      </c>
      <c r="Q24">
        <v>257.21249999999998</v>
      </c>
      <c r="R24">
        <v>5.75</v>
      </c>
      <c r="S24">
        <v>25</v>
      </c>
      <c r="T24">
        <v>0</v>
      </c>
      <c r="U24">
        <v>47.937500000000007</v>
      </c>
      <c r="V24">
        <v>10</v>
      </c>
      <c r="W24">
        <v>8.5</v>
      </c>
      <c r="X24">
        <v>0</v>
      </c>
      <c r="Y24">
        <v>0.97937500000000011</v>
      </c>
      <c r="Z24">
        <v>0.60244173790842015</v>
      </c>
      <c r="AA24">
        <v>0.91437500000000005</v>
      </c>
      <c r="AB24" t="s">
        <v>1060</v>
      </c>
      <c r="AH24">
        <v>0</v>
      </c>
    </row>
    <row r="25" spans="1:34" x14ac:dyDescent="0.2">
      <c r="A25" s="56">
        <v>46088</v>
      </c>
      <c r="B25" t="s">
        <v>45</v>
      </c>
      <c r="D25" t="s">
        <v>656</v>
      </c>
      <c r="E25">
        <v>75</v>
      </c>
      <c r="F25">
        <v>74</v>
      </c>
      <c r="G25">
        <v>1</v>
      </c>
      <c r="H25" t="s">
        <v>1064</v>
      </c>
      <c r="I25">
        <v>32515</v>
      </c>
      <c r="J25">
        <v>32515</v>
      </c>
      <c r="K25">
        <v>0</v>
      </c>
      <c r="L25">
        <v>19621.900000000001</v>
      </c>
      <c r="M25">
        <v>439</v>
      </c>
      <c r="N25">
        <v>439.39189189189187</v>
      </c>
      <c r="O25">
        <v>439.39189189189187</v>
      </c>
      <c r="P25">
        <v>0</v>
      </c>
      <c r="Q25">
        <v>265.16081081081086</v>
      </c>
      <c r="R25">
        <v>5.9324324324324325</v>
      </c>
      <c r="S25">
        <v>25</v>
      </c>
      <c r="T25">
        <v>0</v>
      </c>
      <c r="U25">
        <v>48.202702702702702</v>
      </c>
      <c r="V25">
        <v>10</v>
      </c>
      <c r="W25">
        <v>8.5</v>
      </c>
      <c r="X25">
        <v>0</v>
      </c>
      <c r="Y25">
        <v>0.98202702702702704</v>
      </c>
      <c r="Z25">
        <v>0.60347224357988627</v>
      </c>
      <c r="AA25">
        <v>0.9170270270270271</v>
      </c>
      <c r="AB25" t="s">
        <v>1058</v>
      </c>
      <c r="AH25">
        <v>0</v>
      </c>
    </row>
    <row r="26" spans="1:34" x14ac:dyDescent="0.2">
      <c r="A26" s="56">
        <v>46086</v>
      </c>
      <c r="B26" t="s">
        <v>45</v>
      </c>
      <c r="D26" t="s">
        <v>656</v>
      </c>
      <c r="E26">
        <v>84</v>
      </c>
      <c r="F26">
        <v>84</v>
      </c>
      <c r="G26">
        <v>0</v>
      </c>
      <c r="I26">
        <v>37570</v>
      </c>
      <c r="J26">
        <v>37570</v>
      </c>
      <c r="K26">
        <v>0</v>
      </c>
      <c r="L26">
        <v>22787.200000000001</v>
      </c>
      <c r="M26">
        <v>622</v>
      </c>
      <c r="N26">
        <v>447.26190476190476</v>
      </c>
      <c r="O26">
        <v>447.26190476190476</v>
      </c>
      <c r="P26">
        <v>0</v>
      </c>
      <c r="Q26">
        <v>271.27619047619049</v>
      </c>
      <c r="R26">
        <v>7.4047619047619051</v>
      </c>
      <c r="S26">
        <v>25</v>
      </c>
      <c r="T26">
        <v>0</v>
      </c>
      <c r="U26">
        <v>48.833333333333329</v>
      </c>
      <c r="V26">
        <v>10</v>
      </c>
      <c r="W26">
        <v>8.5</v>
      </c>
      <c r="X26">
        <v>0</v>
      </c>
      <c r="Y26">
        <v>0.98833333333333329</v>
      </c>
      <c r="Z26">
        <v>0.60652648389672614</v>
      </c>
      <c r="AA26">
        <v>0.92333333333333334</v>
      </c>
      <c r="AB26" t="s">
        <v>1057</v>
      </c>
      <c r="AH26">
        <v>0</v>
      </c>
    </row>
    <row r="27" spans="1:34" x14ac:dyDescent="0.2">
      <c r="A27" s="56">
        <v>46086</v>
      </c>
      <c r="B27" t="s">
        <v>45</v>
      </c>
      <c r="D27" t="s">
        <v>43</v>
      </c>
      <c r="E27">
        <v>16</v>
      </c>
      <c r="F27">
        <v>16</v>
      </c>
      <c r="G27">
        <v>0</v>
      </c>
      <c r="I27">
        <v>9063</v>
      </c>
      <c r="J27">
        <v>9063</v>
      </c>
      <c r="K27">
        <v>0</v>
      </c>
      <c r="L27">
        <v>5437.8</v>
      </c>
      <c r="M27">
        <v>151</v>
      </c>
      <c r="N27">
        <v>566.4375</v>
      </c>
      <c r="O27">
        <v>566.4375</v>
      </c>
      <c r="P27">
        <v>0</v>
      </c>
      <c r="Q27">
        <v>339.86250000000001</v>
      </c>
      <c r="R27">
        <v>9.4375</v>
      </c>
      <c r="S27">
        <v>23.125</v>
      </c>
      <c r="T27">
        <v>0</v>
      </c>
      <c r="U27">
        <v>46.6875</v>
      </c>
      <c r="V27">
        <v>10</v>
      </c>
      <c r="W27">
        <v>8.5</v>
      </c>
      <c r="X27">
        <v>0</v>
      </c>
      <c r="Y27">
        <v>0.92937500000000006</v>
      </c>
      <c r="Z27">
        <v>0.6</v>
      </c>
      <c r="AA27">
        <v>0.88312500000000005</v>
      </c>
      <c r="AB27" t="s">
        <v>1056</v>
      </c>
      <c r="AH27">
        <v>14</v>
      </c>
    </row>
    <row r="28" spans="1:34" x14ac:dyDescent="0.2">
      <c r="A28" s="56">
        <v>46085</v>
      </c>
      <c r="B28" t="s">
        <v>45</v>
      </c>
      <c r="D28" t="s">
        <v>165</v>
      </c>
      <c r="E28">
        <v>67</v>
      </c>
      <c r="F28">
        <v>65</v>
      </c>
      <c r="G28">
        <v>2</v>
      </c>
      <c r="H28" t="s">
        <v>1063</v>
      </c>
      <c r="I28">
        <v>36558</v>
      </c>
      <c r="J28">
        <v>36558</v>
      </c>
      <c r="K28">
        <v>0</v>
      </c>
      <c r="L28">
        <v>21934.799999999999</v>
      </c>
      <c r="M28">
        <v>770</v>
      </c>
      <c r="N28">
        <v>562.43076923076922</v>
      </c>
      <c r="O28">
        <v>562.43076923076922</v>
      </c>
      <c r="P28">
        <v>0</v>
      </c>
      <c r="Q28">
        <v>337.45846153846151</v>
      </c>
      <c r="R28">
        <v>11.846153846153847</v>
      </c>
      <c r="S28">
        <v>22.23076923076923</v>
      </c>
      <c r="T28">
        <v>0</v>
      </c>
      <c r="U28">
        <v>47.530769230769231</v>
      </c>
      <c r="V28">
        <v>10</v>
      </c>
      <c r="W28">
        <v>8.5</v>
      </c>
      <c r="X28">
        <v>0</v>
      </c>
      <c r="Y28">
        <v>0.91992307692307684</v>
      </c>
      <c r="Z28">
        <v>0.6</v>
      </c>
      <c r="AA28">
        <v>0.88261538461538469</v>
      </c>
      <c r="AB28" t="s">
        <v>1054</v>
      </c>
      <c r="AH28">
        <v>63</v>
      </c>
    </row>
    <row r="29" spans="1:34" x14ac:dyDescent="0.2">
      <c r="A29" s="56">
        <v>46084</v>
      </c>
      <c r="B29" t="s">
        <v>45</v>
      </c>
      <c r="D29" t="s">
        <v>46</v>
      </c>
      <c r="E29">
        <v>55</v>
      </c>
      <c r="F29">
        <v>55</v>
      </c>
      <c r="G29">
        <v>0</v>
      </c>
      <c r="I29">
        <v>28394</v>
      </c>
      <c r="J29">
        <v>28394</v>
      </c>
      <c r="K29">
        <v>0</v>
      </c>
      <c r="L29">
        <v>17036</v>
      </c>
      <c r="M29">
        <v>573</v>
      </c>
      <c r="N29">
        <v>516.25454545454545</v>
      </c>
      <c r="O29">
        <v>516.25454545454545</v>
      </c>
      <c r="P29">
        <v>0</v>
      </c>
      <c r="Q29">
        <v>309.74545454545455</v>
      </c>
      <c r="R29">
        <v>10.418181818181818</v>
      </c>
      <c r="S29">
        <v>25</v>
      </c>
      <c r="T29">
        <v>0</v>
      </c>
      <c r="U29">
        <v>43.472727272727269</v>
      </c>
      <c r="V29">
        <v>10</v>
      </c>
      <c r="W29">
        <v>8.5</v>
      </c>
      <c r="X29">
        <v>0</v>
      </c>
      <c r="Y29">
        <v>0.93472727272727263</v>
      </c>
      <c r="Z29">
        <v>0.59998591251672884</v>
      </c>
      <c r="AA29">
        <v>0.86972727272727268</v>
      </c>
      <c r="AB29" t="s">
        <v>1050</v>
      </c>
      <c r="AH29">
        <v>0</v>
      </c>
    </row>
    <row r="30" spans="1:34" x14ac:dyDescent="0.2">
      <c r="A30" s="56">
        <v>46083</v>
      </c>
      <c r="B30" t="s">
        <v>45</v>
      </c>
      <c r="D30" t="s">
        <v>656</v>
      </c>
      <c r="E30">
        <v>56</v>
      </c>
      <c r="F30">
        <v>55</v>
      </c>
      <c r="G30">
        <v>1</v>
      </c>
      <c r="H30" t="s">
        <v>648</v>
      </c>
      <c r="I30">
        <v>24134</v>
      </c>
      <c r="J30">
        <v>24134</v>
      </c>
      <c r="K30">
        <v>0</v>
      </c>
      <c r="L30">
        <v>14550.7</v>
      </c>
      <c r="M30">
        <v>426</v>
      </c>
      <c r="N30">
        <v>438.8</v>
      </c>
      <c r="O30">
        <v>438.8</v>
      </c>
      <c r="P30">
        <v>0</v>
      </c>
      <c r="Q30">
        <v>264.55818181818182</v>
      </c>
      <c r="R30">
        <v>7.7454545454545451</v>
      </c>
      <c r="S30">
        <v>25</v>
      </c>
      <c r="T30">
        <v>0</v>
      </c>
      <c r="U30">
        <v>48.25454545454545</v>
      </c>
      <c r="V30">
        <v>10</v>
      </c>
      <c r="W30">
        <v>8.5</v>
      </c>
      <c r="X30">
        <v>0</v>
      </c>
      <c r="Y30">
        <v>0.9825454545454545</v>
      </c>
      <c r="Z30">
        <v>0.60291290295848188</v>
      </c>
      <c r="AA30">
        <v>0.91754545454545455</v>
      </c>
      <c r="AB30" t="s">
        <v>1038</v>
      </c>
      <c r="AH30">
        <v>0</v>
      </c>
    </row>
    <row r="31" spans="1:34" x14ac:dyDescent="0.2">
      <c r="A31" s="56">
        <v>46082</v>
      </c>
      <c r="B31" t="s">
        <v>45</v>
      </c>
      <c r="D31" t="s">
        <v>656</v>
      </c>
      <c r="E31">
        <v>74</v>
      </c>
      <c r="F31">
        <v>74</v>
      </c>
      <c r="G31">
        <v>0</v>
      </c>
      <c r="I31">
        <v>31476</v>
      </c>
      <c r="J31">
        <v>31476</v>
      </c>
      <c r="K31">
        <v>0</v>
      </c>
      <c r="L31">
        <v>19187</v>
      </c>
      <c r="M31">
        <v>447</v>
      </c>
      <c r="N31">
        <v>425.35135135135135</v>
      </c>
      <c r="O31">
        <v>425.35135135135135</v>
      </c>
      <c r="P31">
        <v>0</v>
      </c>
      <c r="Q31">
        <v>259.2837837837838</v>
      </c>
      <c r="R31">
        <v>6.0405405405405403</v>
      </c>
      <c r="S31">
        <v>25</v>
      </c>
      <c r="T31">
        <v>0</v>
      </c>
      <c r="U31">
        <v>48.405405405405403</v>
      </c>
      <c r="V31">
        <v>10</v>
      </c>
      <c r="W31">
        <v>8.5</v>
      </c>
      <c r="X31">
        <v>0</v>
      </c>
      <c r="Y31">
        <v>0.98405405405405411</v>
      </c>
      <c r="Z31">
        <v>0.60957554962511118</v>
      </c>
      <c r="AA31">
        <v>0.91905405405405405</v>
      </c>
      <c r="AB31" t="s">
        <v>1024</v>
      </c>
      <c r="AH31">
        <v>0</v>
      </c>
    </row>
    <row r="32" spans="1:34" x14ac:dyDescent="0.2">
      <c r="A32" s="56">
        <v>46081</v>
      </c>
      <c r="B32" t="s">
        <v>45</v>
      </c>
      <c r="D32" t="s">
        <v>43</v>
      </c>
      <c r="E32">
        <v>63</v>
      </c>
      <c r="F32">
        <v>63</v>
      </c>
      <c r="G32">
        <v>0</v>
      </c>
      <c r="I32">
        <v>36716</v>
      </c>
      <c r="J32">
        <v>36716</v>
      </c>
      <c r="K32">
        <v>0</v>
      </c>
      <c r="L32">
        <v>22030</v>
      </c>
      <c r="M32">
        <v>719</v>
      </c>
      <c r="N32">
        <v>582.79365079365084</v>
      </c>
      <c r="O32">
        <v>582.79365079365084</v>
      </c>
      <c r="P32">
        <v>0</v>
      </c>
      <c r="Q32">
        <v>349.6825396825397</v>
      </c>
      <c r="R32">
        <v>11.412698412698413</v>
      </c>
      <c r="S32">
        <v>23.253968253968253</v>
      </c>
      <c r="T32">
        <v>0</v>
      </c>
      <c r="U32">
        <v>46.984126984126995</v>
      </c>
      <c r="V32">
        <v>10</v>
      </c>
      <c r="W32">
        <v>8.5</v>
      </c>
      <c r="X32">
        <v>0</v>
      </c>
      <c r="Y32">
        <v>0.93492063492063493</v>
      </c>
      <c r="Z32">
        <v>0.60001089443294475</v>
      </c>
      <c r="AA32">
        <v>0.88738095238095238</v>
      </c>
      <c r="AB32" t="s">
        <v>993</v>
      </c>
      <c r="AH32">
        <v>45</v>
      </c>
    </row>
    <row r="33" spans="1:34" x14ac:dyDescent="0.2">
      <c r="A33" s="56">
        <v>46079</v>
      </c>
      <c r="B33" t="s">
        <v>45</v>
      </c>
      <c r="D33" t="s">
        <v>656</v>
      </c>
      <c r="E33">
        <v>88</v>
      </c>
      <c r="F33">
        <v>86</v>
      </c>
      <c r="G33">
        <v>2</v>
      </c>
      <c r="H33" t="s">
        <v>1020</v>
      </c>
      <c r="I33">
        <v>36919</v>
      </c>
      <c r="J33">
        <v>36919</v>
      </c>
      <c r="K33">
        <v>0</v>
      </c>
      <c r="L33">
        <v>22203</v>
      </c>
      <c r="M33">
        <v>554</v>
      </c>
      <c r="N33">
        <v>429.2906976744186</v>
      </c>
      <c r="O33">
        <v>429.2906976744186</v>
      </c>
      <c r="P33">
        <v>0</v>
      </c>
      <c r="Q33">
        <v>258.17441860465118</v>
      </c>
      <c r="R33">
        <v>6.441860465116279</v>
      </c>
      <c r="S33">
        <v>25</v>
      </c>
      <c r="T33">
        <v>0</v>
      </c>
      <c r="U33">
        <v>48.517441860465119</v>
      </c>
      <c r="V33">
        <v>10</v>
      </c>
      <c r="W33">
        <v>8.5</v>
      </c>
      <c r="X33">
        <v>0</v>
      </c>
      <c r="Y33">
        <v>0.98517441860465116</v>
      </c>
      <c r="Z33">
        <v>0.60139765432433168</v>
      </c>
      <c r="AA33">
        <v>0.9201744186046511</v>
      </c>
      <c r="AB33" t="s">
        <v>992</v>
      </c>
      <c r="AH33">
        <v>0</v>
      </c>
    </row>
    <row r="34" spans="1:34" x14ac:dyDescent="0.2">
      <c r="A34" s="56">
        <v>46078</v>
      </c>
      <c r="B34" t="s">
        <v>45</v>
      </c>
      <c r="D34" t="s">
        <v>656</v>
      </c>
      <c r="E34">
        <v>36</v>
      </c>
      <c r="F34">
        <v>36</v>
      </c>
      <c r="G34">
        <v>0</v>
      </c>
      <c r="I34">
        <v>14621</v>
      </c>
      <c r="J34">
        <v>14621</v>
      </c>
      <c r="K34">
        <v>0</v>
      </c>
      <c r="L34">
        <v>8853</v>
      </c>
      <c r="M34">
        <v>214</v>
      </c>
      <c r="N34">
        <v>406.13888888888891</v>
      </c>
      <c r="O34">
        <v>406.13888888888891</v>
      </c>
      <c r="P34">
        <v>0</v>
      </c>
      <c r="Q34">
        <v>245.91666666666666</v>
      </c>
      <c r="R34">
        <v>5.9444444444444446</v>
      </c>
      <c r="S34">
        <v>25</v>
      </c>
      <c r="T34">
        <v>0</v>
      </c>
      <c r="U34">
        <v>47.138888888888893</v>
      </c>
      <c r="V34">
        <v>10</v>
      </c>
      <c r="W34">
        <v>8.5</v>
      </c>
      <c r="X34">
        <v>0</v>
      </c>
      <c r="Y34">
        <v>0.97138888888888886</v>
      </c>
      <c r="Z34">
        <v>0.60549893988099313</v>
      </c>
      <c r="AA34">
        <v>0.90638888888888891</v>
      </c>
      <c r="AB34" t="s">
        <v>990</v>
      </c>
      <c r="AH34">
        <v>0</v>
      </c>
    </row>
    <row r="35" spans="1:34" x14ac:dyDescent="0.2">
      <c r="A35" s="56">
        <v>46078</v>
      </c>
      <c r="B35" t="s">
        <v>45</v>
      </c>
      <c r="D35" t="s">
        <v>986</v>
      </c>
      <c r="E35">
        <v>24</v>
      </c>
      <c r="F35">
        <v>23</v>
      </c>
      <c r="G35">
        <v>1</v>
      </c>
      <c r="H35" t="s">
        <v>1015</v>
      </c>
      <c r="I35">
        <v>10908</v>
      </c>
      <c r="J35">
        <v>10908</v>
      </c>
      <c r="K35">
        <v>0</v>
      </c>
      <c r="L35">
        <v>6539</v>
      </c>
      <c r="M35">
        <v>179</v>
      </c>
      <c r="N35">
        <v>474.26086956521738</v>
      </c>
      <c r="O35">
        <v>474.26086956521738</v>
      </c>
      <c r="P35">
        <v>0</v>
      </c>
      <c r="Q35">
        <v>284.30434782608694</v>
      </c>
      <c r="R35">
        <v>7.7826086956521738</v>
      </c>
      <c r="S35">
        <v>25</v>
      </c>
      <c r="T35">
        <v>0</v>
      </c>
      <c r="U35">
        <v>39.586956521739125</v>
      </c>
      <c r="V35">
        <v>10</v>
      </c>
      <c r="W35">
        <v>8.5</v>
      </c>
      <c r="X35">
        <v>0</v>
      </c>
      <c r="Y35">
        <v>0.89586956521739125</v>
      </c>
      <c r="Z35">
        <v>0.59946828016134945</v>
      </c>
      <c r="AA35">
        <v>0.8308695652173913</v>
      </c>
      <c r="AB35" t="s">
        <v>989</v>
      </c>
      <c r="AH35">
        <v>7</v>
      </c>
    </row>
    <row r="36" spans="1:34" x14ac:dyDescent="0.2">
      <c r="A36" s="56">
        <v>46077</v>
      </c>
      <c r="B36" t="s">
        <v>45</v>
      </c>
      <c r="D36" t="s">
        <v>46</v>
      </c>
      <c r="E36">
        <v>58</v>
      </c>
      <c r="F36">
        <v>58</v>
      </c>
      <c r="G36">
        <v>0</v>
      </c>
      <c r="I36">
        <v>33092</v>
      </c>
      <c r="J36">
        <v>33092</v>
      </c>
      <c r="K36">
        <v>0</v>
      </c>
      <c r="L36">
        <v>19855</v>
      </c>
      <c r="M36">
        <v>726</v>
      </c>
      <c r="N36">
        <v>570.55172413793105</v>
      </c>
      <c r="O36">
        <v>570.55172413793105</v>
      </c>
      <c r="P36">
        <v>0</v>
      </c>
      <c r="Q36">
        <v>342.32758620689657</v>
      </c>
      <c r="R36">
        <v>12.517241379310345</v>
      </c>
      <c r="S36">
        <v>23.275862068965516</v>
      </c>
      <c r="T36">
        <v>0</v>
      </c>
      <c r="U36">
        <v>48.655172413793103</v>
      </c>
      <c r="V36">
        <v>10</v>
      </c>
      <c r="W36">
        <v>8.5</v>
      </c>
      <c r="X36">
        <v>0</v>
      </c>
      <c r="Y36">
        <v>0.95206896551724141</v>
      </c>
      <c r="Z36">
        <v>0.59999395624320073</v>
      </c>
      <c r="AA36">
        <v>0.90431034482758621</v>
      </c>
      <c r="AB36" t="s">
        <v>988</v>
      </c>
      <c r="AH36">
        <v>10</v>
      </c>
    </row>
    <row r="37" spans="1:34" x14ac:dyDescent="0.2">
      <c r="A37" s="56">
        <v>46077</v>
      </c>
      <c r="B37" t="s">
        <v>45</v>
      </c>
      <c r="D37" t="s">
        <v>986</v>
      </c>
      <c r="E37">
        <v>8</v>
      </c>
      <c r="F37">
        <v>8</v>
      </c>
      <c r="G37">
        <v>0</v>
      </c>
      <c r="I37">
        <v>3893</v>
      </c>
      <c r="J37">
        <v>3893</v>
      </c>
      <c r="K37">
        <v>0</v>
      </c>
      <c r="L37">
        <v>2332</v>
      </c>
      <c r="M37">
        <v>79.599999999999994</v>
      </c>
      <c r="N37">
        <v>486.625</v>
      </c>
      <c r="O37">
        <v>486.625</v>
      </c>
      <c r="P37">
        <v>0</v>
      </c>
      <c r="Q37">
        <v>291.5</v>
      </c>
      <c r="R37">
        <v>9.9499999999999993</v>
      </c>
      <c r="S37">
        <v>25</v>
      </c>
      <c r="T37">
        <v>0</v>
      </c>
      <c r="U37">
        <v>45</v>
      </c>
      <c r="V37">
        <v>10</v>
      </c>
      <c r="W37">
        <v>8.5</v>
      </c>
      <c r="X37">
        <v>0</v>
      </c>
      <c r="Y37">
        <v>0.95</v>
      </c>
      <c r="Z37">
        <v>0.5990238890315952</v>
      </c>
      <c r="AA37">
        <v>0.88500000000000001</v>
      </c>
      <c r="AB37" t="s">
        <v>987</v>
      </c>
      <c r="AH37">
        <v>1</v>
      </c>
    </row>
    <row r="38" spans="1:34" x14ac:dyDescent="0.2">
      <c r="A38" s="56">
        <v>46076</v>
      </c>
      <c r="B38" t="s">
        <v>45</v>
      </c>
      <c r="D38" t="s">
        <v>43</v>
      </c>
      <c r="E38">
        <v>71</v>
      </c>
      <c r="F38">
        <v>70</v>
      </c>
      <c r="G38">
        <v>1</v>
      </c>
      <c r="H38" t="s">
        <v>1019</v>
      </c>
      <c r="I38">
        <v>36046</v>
      </c>
      <c r="J38">
        <v>36046</v>
      </c>
      <c r="K38">
        <v>0</v>
      </c>
      <c r="L38">
        <v>21626.799999999999</v>
      </c>
      <c r="M38">
        <v>602</v>
      </c>
      <c r="N38">
        <v>514.94285714285718</v>
      </c>
      <c r="O38">
        <v>514.94285714285718</v>
      </c>
      <c r="P38">
        <v>0</v>
      </c>
      <c r="Q38">
        <v>308.95428571428573</v>
      </c>
      <c r="R38">
        <v>8.6</v>
      </c>
      <c r="S38">
        <v>25</v>
      </c>
      <c r="T38">
        <v>0</v>
      </c>
      <c r="U38">
        <v>48.957142857142856</v>
      </c>
      <c r="V38">
        <v>10</v>
      </c>
      <c r="W38">
        <v>8.5</v>
      </c>
      <c r="X38">
        <v>0</v>
      </c>
      <c r="Y38">
        <v>0.98957142857142855</v>
      </c>
      <c r="Z38">
        <v>0.59997780613660323</v>
      </c>
      <c r="AA38">
        <v>0.9245714285714286</v>
      </c>
      <c r="AB38" t="s">
        <v>985</v>
      </c>
      <c r="AH38">
        <v>9</v>
      </c>
    </row>
    <row r="39" spans="1:34" x14ac:dyDescent="0.2">
      <c r="A39" s="56">
        <v>46075</v>
      </c>
      <c r="B39" t="s">
        <v>45</v>
      </c>
      <c r="D39" t="s">
        <v>656</v>
      </c>
      <c r="E39">
        <v>44</v>
      </c>
      <c r="F39">
        <v>44</v>
      </c>
      <c r="G39">
        <v>0</v>
      </c>
      <c r="I39">
        <v>18111</v>
      </c>
      <c r="J39">
        <v>18111</v>
      </c>
      <c r="K39">
        <v>0</v>
      </c>
      <c r="L39">
        <v>10898.8</v>
      </c>
      <c r="M39">
        <v>255</v>
      </c>
      <c r="N39">
        <v>411.61363636363637</v>
      </c>
      <c r="O39">
        <v>411.61363636363637</v>
      </c>
      <c r="P39">
        <v>0</v>
      </c>
      <c r="Q39">
        <v>247.7</v>
      </c>
      <c r="R39">
        <v>5.7954545454545459</v>
      </c>
      <c r="S39">
        <v>25</v>
      </c>
      <c r="T39">
        <v>0</v>
      </c>
      <c r="U39">
        <v>47.02272727272728</v>
      </c>
      <c r="V39">
        <v>10</v>
      </c>
      <c r="W39">
        <v>8.5</v>
      </c>
      <c r="X39">
        <v>0</v>
      </c>
      <c r="Y39">
        <v>0.97022727272727283</v>
      </c>
      <c r="Z39">
        <v>0.6017779250179448</v>
      </c>
      <c r="AA39">
        <v>0.90522727272727277</v>
      </c>
      <c r="AB39" t="s">
        <v>983</v>
      </c>
      <c r="AH39">
        <v>0</v>
      </c>
    </row>
    <row r="40" spans="1:34" x14ac:dyDescent="0.2">
      <c r="A40" s="56">
        <v>46074</v>
      </c>
      <c r="B40" t="s">
        <v>45</v>
      </c>
      <c r="D40" t="s">
        <v>656</v>
      </c>
      <c r="E40">
        <v>18</v>
      </c>
      <c r="F40">
        <v>18</v>
      </c>
      <c r="G40">
        <v>0</v>
      </c>
      <c r="I40">
        <v>8131</v>
      </c>
      <c r="J40">
        <v>8131</v>
      </c>
      <c r="K40">
        <v>0</v>
      </c>
      <c r="L40">
        <v>4935.3999999999996</v>
      </c>
      <c r="M40">
        <v>155</v>
      </c>
      <c r="N40">
        <v>451.72222222222223</v>
      </c>
      <c r="O40">
        <v>451.72222222222223</v>
      </c>
      <c r="P40">
        <v>0</v>
      </c>
      <c r="Q40">
        <v>274.18888888888887</v>
      </c>
      <c r="R40">
        <v>8.6111111111111107</v>
      </c>
      <c r="S40">
        <v>25</v>
      </c>
      <c r="T40">
        <v>0</v>
      </c>
      <c r="U40">
        <v>47</v>
      </c>
      <c r="V40">
        <v>10</v>
      </c>
      <c r="W40">
        <v>8.5</v>
      </c>
      <c r="X40">
        <v>0</v>
      </c>
      <c r="Y40">
        <v>0.97</v>
      </c>
      <c r="Z40">
        <v>0.60698561062599921</v>
      </c>
      <c r="AA40">
        <v>0.90500000000000003</v>
      </c>
      <c r="AB40" t="s">
        <v>982</v>
      </c>
      <c r="AH40">
        <v>0</v>
      </c>
    </row>
    <row r="41" spans="1:34" ht="27.75" x14ac:dyDescent="0.2">
      <c r="A41" s="56">
        <v>46072</v>
      </c>
      <c r="B41" t="s">
        <v>45</v>
      </c>
      <c r="D41" t="s">
        <v>656</v>
      </c>
      <c r="E41">
        <v>53</v>
      </c>
      <c r="F41">
        <v>53</v>
      </c>
      <c r="G41">
        <v>0</v>
      </c>
      <c r="I41">
        <v>21858</v>
      </c>
      <c r="J41">
        <v>21858</v>
      </c>
      <c r="K41">
        <v>0</v>
      </c>
      <c r="L41">
        <v>13186.5</v>
      </c>
      <c r="M41">
        <v>311</v>
      </c>
      <c r="N41">
        <v>412.41509433962267</v>
      </c>
      <c r="O41">
        <v>412.41509433962267</v>
      </c>
      <c r="P41">
        <v>0</v>
      </c>
      <c r="Q41">
        <v>248.80188679245282</v>
      </c>
      <c r="R41">
        <v>5.867924528301887</v>
      </c>
      <c r="S41">
        <v>25</v>
      </c>
      <c r="T41">
        <v>0</v>
      </c>
      <c r="U41">
        <v>47.7</v>
      </c>
      <c r="V41">
        <v>10</v>
      </c>
      <c r="W41">
        <v>8.5</v>
      </c>
      <c r="X41">
        <v>0</v>
      </c>
      <c r="Y41">
        <v>0.97700000000000009</v>
      </c>
      <c r="Z41">
        <v>0.60328026351907771</v>
      </c>
      <c r="AA41">
        <v>0.91200000000000003</v>
      </c>
      <c r="AB41" s="57" t="s">
        <v>977</v>
      </c>
      <c r="AH41">
        <v>0</v>
      </c>
    </row>
    <row r="42" spans="1:34" x14ac:dyDescent="0.2">
      <c r="A42" s="56">
        <v>46071</v>
      </c>
      <c r="B42" t="s">
        <v>45</v>
      </c>
      <c r="D42" t="s">
        <v>656</v>
      </c>
      <c r="E42">
        <v>73</v>
      </c>
      <c r="F42">
        <v>73</v>
      </c>
      <c r="G42">
        <v>0</v>
      </c>
      <c r="I42">
        <v>32108</v>
      </c>
      <c r="J42">
        <v>32108</v>
      </c>
      <c r="K42">
        <v>0</v>
      </c>
      <c r="L42">
        <v>19459.400000000001</v>
      </c>
      <c r="M42">
        <v>461</v>
      </c>
      <c r="N42">
        <v>439.83561643835617</v>
      </c>
      <c r="O42">
        <v>439.83561643835617</v>
      </c>
      <c r="P42">
        <v>0</v>
      </c>
      <c r="Q42">
        <v>266.56712328767128</v>
      </c>
      <c r="R42">
        <v>6.3150684931506849</v>
      </c>
      <c r="S42">
        <v>24.986301369863018</v>
      </c>
      <c r="T42">
        <v>0</v>
      </c>
      <c r="U42">
        <v>48.191780821917817</v>
      </c>
      <c r="V42">
        <v>10</v>
      </c>
      <c r="W42">
        <v>8.5</v>
      </c>
      <c r="X42">
        <v>0</v>
      </c>
      <c r="Y42">
        <v>0.98164383561643853</v>
      </c>
      <c r="Z42">
        <v>0.60606079481749098</v>
      </c>
      <c r="AA42">
        <v>0.9167808219178083</v>
      </c>
      <c r="AB42" t="s">
        <v>976</v>
      </c>
      <c r="AH42">
        <v>0</v>
      </c>
    </row>
    <row r="43" spans="1:34" x14ac:dyDescent="0.2">
      <c r="A43" s="56">
        <v>46070</v>
      </c>
      <c r="B43" t="s">
        <v>45</v>
      </c>
      <c r="D43" t="s">
        <v>165</v>
      </c>
      <c r="E43">
        <v>76</v>
      </c>
      <c r="F43">
        <v>75</v>
      </c>
      <c r="G43">
        <v>1</v>
      </c>
      <c r="H43" t="s">
        <v>1017</v>
      </c>
      <c r="I43">
        <v>41795</v>
      </c>
      <c r="J43">
        <v>41795</v>
      </c>
      <c r="K43">
        <v>0</v>
      </c>
      <c r="L43">
        <v>25077.8</v>
      </c>
      <c r="M43">
        <v>748</v>
      </c>
      <c r="N43">
        <v>557.26666666666665</v>
      </c>
      <c r="O43">
        <v>557.26666666666665</v>
      </c>
      <c r="P43">
        <v>0</v>
      </c>
      <c r="Q43">
        <v>334.37066666666664</v>
      </c>
      <c r="R43">
        <v>9.9733333333333327</v>
      </c>
      <c r="S43">
        <v>22.933333333333337</v>
      </c>
      <c r="T43">
        <v>0</v>
      </c>
      <c r="U43">
        <v>47.706666666666678</v>
      </c>
      <c r="V43">
        <v>10</v>
      </c>
      <c r="W43">
        <v>8.5</v>
      </c>
      <c r="X43">
        <v>0</v>
      </c>
      <c r="Y43">
        <v>0.93573333333333353</v>
      </c>
      <c r="Z43">
        <v>0.60001914104557963</v>
      </c>
      <c r="AA43">
        <v>0.89140000000000019</v>
      </c>
      <c r="AB43" t="s">
        <v>973</v>
      </c>
      <c r="AH43">
        <v>55</v>
      </c>
    </row>
    <row r="44" spans="1:34" x14ac:dyDescent="0.2">
      <c r="A44" s="56">
        <v>46070</v>
      </c>
      <c r="B44" t="s">
        <v>45</v>
      </c>
      <c r="D44" t="s">
        <v>43</v>
      </c>
      <c r="E44">
        <v>65</v>
      </c>
      <c r="F44">
        <v>62</v>
      </c>
      <c r="G44">
        <v>3</v>
      </c>
      <c r="H44" t="s">
        <v>1016</v>
      </c>
      <c r="I44">
        <v>32990</v>
      </c>
      <c r="J44">
        <v>32990</v>
      </c>
      <c r="K44">
        <v>0</v>
      </c>
      <c r="L44">
        <v>19794</v>
      </c>
      <c r="M44">
        <v>432</v>
      </c>
      <c r="N44">
        <v>532.09677419354841</v>
      </c>
      <c r="O44">
        <v>532.09677419354841</v>
      </c>
      <c r="P44">
        <v>0</v>
      </c>
      <c r="Q44">
        <v>319.25806451612902</v>
      </c>
      <c r="R44">
        <v>6.967741935483871</v>
      </c>
      <c r="S44">
        <v>24.741935483870968</v>
      </c>
      <c r="T44">
        <v>0</v>
      </c>
      <c r="U44">
        <v>47.241935483870968</v>
      </c>
      <c r="V44">
        <v>10</v>
      </c>
      <c r="W44">
        <v>8.5</v>
      </c>
      <c r="X44">
        <v>0</v>
      </c>
      <c r="Y44">
        <v>0.96725806451612906</v>
      </c>
      <c r="Z44">
        <v>0.6</v>
      </c>
      <c r="AA44">
        <v>0.90483870967741931</v>
      </c>
      <c r="AB44" t="s">
        <v>974</v>
      </c>
      <c r="AH44">
        <v>29</v>
      </c>
    </row>
    <row r="45" spans="1:34" x14ac:dyDescent="0.2">
      <c r="A45" s="56">
        <v>46069</v>
      </c>
      <c r="B45" t="s">
        <v>45</v>
      </c>
      <c r="D45" t="s">
        <v>43</v>
      </c>
      <c r="E45">
        <v>80</v>
      </c>
      <c r="F45">
        <v>79</v>
      </c>
      <c r="G45">
        <v>1</v>
      </c>
      <c r="H45" t="s">
        <v>1014</v>
      </c>
      <c r="I45">
        <v>45250</v>
      </c>
      <c r="J45">
        <v>45250</v>
      </c>
      <c r="K45">
        <v>0</v>
      </c>
      <c r="L45">
        <v>27148</v>
      </c>
      <c r="M45">
        <v>804</v>
      </c>
      <c r="N45">
        <v>572.78481012658233</v>
      </c>
      <c r="O45">
        <v>572.78481012658233</v>
      </c>
      <c r="P45">
        <v>0</v>
      </c>
      <c r="Q45">
        <v>343.64556962025318</v>
      </c>
      <c r="R45">
        <v>10.177215189873417</v>
      </c>
      <c r="S45">
        <v>23.73417721518987</v>
      </c>
      <c r="T45">
        <v>0</v>
      </c>
      <c r="U45">
        <v>48.0126582278481</v>
      </c>
      <c r="V45">
        <v>10</v>
      </c>
      <c r="W45">
        <v>8.5</v>
      </c>
      <c r="X45">
        <v>0</v>
      </c>
      <c r="Y45">
        <v>0.95481012658227837</v>
      </c>
      <c r="Z45">
        <v>0.59995580110497237</v>
      </c>
      <c r="AA45">
        <v>0.90246835443037965</v>
      </c>
      <c r="AB45" t="s">
        <v>971</v>
      </c>
      <c r="AH45">
        <v>60</v>
      </c>
    </row>
    <row r="46" spans="1:34" x14ac:dyDescent="0.2">
      <c r="A46" s="56">
        <v>46069</v>
      </c>
      <c r="B46" t="s">
        <v>45</v>
      </c>
      <c r="D46" t="s">
        <v>1023</v>
      </c>
      <c r="E46">
        <v>48</v>
      </c>
      <c r="F46">
        <v>47</v>
      </c>
      <c r="G46">
        <v>1</v>
      </c>
      <c r="H46" t="s">
        <v>1015</v>
      </c>
      <c r="I46">
        <v>22954</v>
      </c>
      <c r="J46">
        <v>22954</v>
      </c>
      <c r="K46">
        <v>0</v>
      </c>
      <c r="L46">
        <v>13982.1</v>
      </c>
      <c r="M46">
        <v>319</v>
      </c>
      <c r="N46">
        <v>488.38297872340428</v>
      </c>
      <c r="O46">
        <v>488.38297872340428</v>
      </c>
      <c r="P46">
        <v>0</v>
      </c>
      <c r="Q46">
        <v>297.49148936170212</v>
      </c>
      <c r="R46">
        <v>6.7872340425531918</v>
      </c>
      <c r="S46">
        <v>25</v>
      </c>
      <c r="T46">
        <v>0</v>
      </c>
      <c r="U46">
        <v>43.872340425531917</v>
      </c>
      <c r="V46">
        <v>10</v>
      </c>
      <c r="W46">
        <v>8.5</v>
      </c>
      <c r="X46">
        <v>0</v>
      </c>
      <c r="Y46">
        <v>0.93872340425531919</v>
      </c>
      <c r="Z46">
        <v>0.60913566262960706</v>
      </c>
      <c r="AA46">
        <v>0.87372340425531914</v>
      </c>
      <c r="AB46" t="s">
        <v>972</v>
      </c>
      <c r="AH46">
        <v>9</v>
      </c>
    </row>
    <row r="47" spans="1:34" x14ac:dyDescent="0.2">
      <c r="A47" s="56">
        <v>46068</v>
      </c>
      <c r="B47" t="s">
        <v>45</v>
      </c>
      <c r="D47" t="s">
        <v>576</v>
      </c>
      <c r="E47">
        <v>54</v>
      </c>
      <c r="F47">
        <v>53</v>
      </c>
      <c r="G47">
        <v>1</v>
      </c>
      <c r="H47" t="s">
        <v>1013</v>
      </c>
      <c r="I47">
        <v>29240</v>
      </c>
      <c r="J47">
        <v>29240</v>
      </c>
      <c r="K47">
        <v>0</v>
      </c>
      <c r="L47">
        <v>18250.5</v>
      </c>
      <c r="M47">
        <v>534</v>
      </c>
      <c r="N47">
        <v>551.69811320754718</v>
      </c>
      <c r="O47">
        <v>551.69811320754718</v>
      </c>
      <c r="P47">
        <v>0</v>
      </c>
      <c r="Q47">
        <v>344.34905660377359</v>
      </c>
      <c r="R47">
        <v>10.075471698113208</v>
      </c>
      <c r="S47">
        <v>24.90566037735849</v>
      </c>
      <c r="T47">
        <v>0</v>
      </c>
      <c r="U47">
        <v>45.301886792452834</v>
      </c>
      <c r="V47">
        <v>10</v>
      </c>
      <c r="W47">
        <v>8.5</v>
      </c>
      <c r="X47">
        <v>0</v>
      </c>
      <c r="Y47">
        <v>0.95113207547169809</v>
      </c>
      <c r="Z47">
        <v>0.62416210670314642</v>
      </c>
      <c r="AA47">
        <v>0.88707547169811318</v>
      </c>
      <c r="AB47" t="s">
        <v>968</v>
      </c>
      <c r="AH47">
        <v>25</v>
      </c>
    </row>
    <row r="48" spans="1:34" x14ac:dyDescent="0.2">
      <c r="A48" s="56">
        <v>46068</v>
      </c>
      <c r="B48" t="s">
        <v>45</v>
      </c>
      <c r="D48" t="s">
        <v>656</v>
      </c>
      <c r="E48">
        <v>48</v>
      </c>
      <c r="F48">
        <v>48</v>
      </c>
      <c r="G48">
        <v>0</v>
      </c>
      <c r="I48">
        <v>19960</v>
      </c>
      <c r="J48">
        <v>19960</v>
      </c>
      <c r="K48">
        <v>0</v>
      </c>
      <c r="L48">
        <v>11992.6</v>
      </c>
      <c r="M48">
        <v>313</v>
      </c>
      <c r="N48">
        <v>415.83333333333331</v>
      </c>
      <c r="O48">
        <v>415.83333333333331</v>
      </c>
      <c r="P48">
        <v>0</v>
      </c>
      <c r="Q48">
        <v>249.84583333333333</v>
      </c>
      <c r="R48">
        <v>6.520833333333333</v>
      </c>
      <c r="S48">
        <v>25</v>
      </c>
      <c r="T48">
        <v>0</v>
      </c>
      <c r="U48">
        <v>48.270833333333329</v>
      </c>
      <c r="V48">
        <v>10</v>
      </c>
      <c r="W48">
        <v>8.5</v>
      </c>
      <c r="X48">
        <v>0</v>
      </c>
      <c r="Y48">
        <v>0.98270833333333329</v>
      </c>
      <c r="Z48">
        <v>0.60083166332665328</v>
      </c>
      <c r="AA48">
        <v>0.91770833333333324</v>
      </c>
      <c r="AB48" t="s">
        <v>970</v>
      </c>
      <c r="AH48">
        <v>0</v>
      </c>
    </row>
    <row r="49" spans="1:34" x14ac:dyDescent="0.2">
      <c r="A49" s="56">
        <v>46067</v>
      </c>
      <c r="B49" t="s">
        <v>45</v>
      </c>
      <c r="D49" t="s">
        <v>656</v>
      </c>
      <c r="E49">
        <v>82</v>
      </c>
      <c r="F49">
        <v>81</v>
      </c>
      <c r="G49">
        <v>1</v>
      </c>
      <c r="H49" t="s">
        <v>924</v>
      </c>
      <c r="I49">
        <v>35415</v>
      </c>
      <c r="J49">
        <v>35415</v>
      </c>
      <c r="K49">
        <v>0</v>
      </c>
      <c r="L49">
        <v>21542.6</v>
      </c>
      <c r="M49">
        <v>579</v>
      </c>
      <c r="N49">
        <v>437.22222222222223</v>
      </c>
      <c r="O49">
        <v>437.22222222222223</v>
      </c>
      <c r="P49">
        <v>0</v>
      </c>
      <c r="Q49">
        <v>265.95802469135799</v>
      </c>
      <c r="R49">
        <v>7.1481481481481479</v>
      </c>
      <c r="S49">
        <v>25</v>
      </c>
      <c r="T49">
        <v>0</v>
      </c>
      <c r="U49">
        <v>46.765432098765437</v>
      </c>
      <c r="V49">
        <v>10</v>
      </c>
      <c r="W49">
        <v>8.5</v>
      </c>
      <c r="X49">
        <v>0</v>
      </c>
      <c r="Y49">
        <v>0.96765432098765436</v>
      </c>
      <c r="Z49">
        <v>0.60829027248341094</v>
      </c>
      <c r="AA49">
        <v>0.90265432098765441</v>
      </c>
      <c r="AB49" t="s">
        <v>966</v>
      </c>
      <c r="AH49">
        <v>0</v>
      </c>
    </row>
    <row r="50" spans="1:34" x14ac:dyDescent="0.2">
      <c r="A50" s="56">
        <v>46065</v>
      </c>
      <c r="B50" t="s">
        <v>45</v>
      </c>
      <c r="D50" t="s">
        <v>46</v>
      </c>
      <c r="E50">
        <v>60</v>
      </c>
      <c r="F50">
        <v>60</v>
      </c>
      <c r="G50">
        <v>0</v>
      </c>
      <c r="I50">
        <v>33785</v>
      </c>
      <c r="J50">
        <v>33785</v>
      </c>
      <c r="K50">
        <v>0</v>
      </c>
      <c r="L50">
        <v>20269.8</v>
      </c>
      <c r="M50">
        <v>689</v>
      </c>
      <c r="N50">
        <v>563.08333333333337</v>
      </c>
      <c r="O50">
        <v>563.08333333333337</v>
      </c>
      <c r="P50">
        <v>0</v>
      </c>
      <c r="Q50">
        <v>337.83</v>
      </c>
      <c r="R50">
        <v>11.483333333333333</v>
      </c>
      <c r="S50">
        <v>24.416666666666664</v>
      </c>
      <c r="T50">
        <v>0</v>
      </c>
      <c r="U50">
        <v>46.400000000000006</v>
      </c>
      <c r="V50">
        <v>10</v>
      </c>
      <c r="W50">
        <v>8.5</v>
      </c>
      <c r="X50">
        <v>0</v>
      </c>
      <c r="Y50">
        <v>0.95233333333333337</v>
      </c>
      <c r="Z50">
        <v>0.59996448127867397</v>
      </c>
      <c r="AA50">
        <v>0.89316666666666666</v>
      </c>
      <c r="AB50" t="s">
        <v>964</v>
      </c>
      <c r="AH50">
        <v>23</v>
      </c>
    </row>
    <row r="51" spans="1:34" x14ac:dyDescent="0.2">
      <c r="A51" s="56">
        <v>46065</v>
      </c>
      <c r="B51" t="s">
        <v>45</v>
      </c>
      <c r="D51" t="s">
        <v>43</v>
      </c>
      <c r="E51">
        <v>60</v>
      </c>
      <c r="F51">
        <v>60</v>
      </c>
      <c r="G51">
        <v>0</v>
      </c>
      <c r="I51">
        <v>32643</v>
      </c>
      <c r="J51">
        <v>32643</v>
      </c>
      <c r="K51">
        <v>0</v>
      </c>
      <c r="L51">
        <v>19586</v>
      </c>
      <c r="M51">
        <v>615</v>
      </c>
      <c r="N51">
        <v>544.04999999999995</v>
      </c>
      <c r="O51">
        <v>544.04999999999995</v>
      </c>
      <c r="P51">
        <v>0</v>
      </c>
      <c r="Q51">
        <v>326.43333333333334</v>
      </c>
      <c r="R51">
        <v>10.25</v>
      </c>
      <c r="S51">
        <v>24.75</v>
      </c>
      <c r="T51">
        <v>0</v>
      </c>
      <c r="U51">
        <v>46.966666666666661</v>
      </c>
      <c r="V51">
        <v>10</v>
      </c>
      <c r="W51">
        <v>8.5</v>
      </c>
      <c r="X51">
        <v>0</v>
      </c>
      <c r="Y51">
        <v>0.96466666666666656</v>
      </c>
      <c r="Z51">
        <v>0.60000612688784727</v>
      </c>
      <c r="AA51">
        <v>0.90216666666666667</v>
      </c>
      <c r="AB51" t="s">
        <v>965</v>
      </c>
      <c r="AH51">
        <v>30</v>
      </c>
    </row>
    <row r="52" spans="1:34" x14ac:dyDescent="0.2">
      <c r="A52" s="56">
        <v>46064</v>
      </c>
      <c r="B52" t="s">
        <v>45</v>
      </c>
      <c r="D52" t="s">
        <v>656</v>
      </c>
      <c r="E52">
        <v>70</v>
      </c>
      <c r="F52">
        <v>70</v>
      </c>
      <c r="G52">
        <v>0</v>
      </c>
      <c r="I52">
        <v>31446</v>
      </c>
      <c r="J52">
        <v>31446</v>
      </c>
      <c r="K52">
        <v>0</v>
      </c>
      <c r="L52">
        <v>19032.900000000001</v>
      </c>
      <c r="M52">
        <v>0</v>
      </c>
      <c r="N52">
        <v>449.22857142857146</v>
      </c>
      <c r="O52">
        <v>449.22857142857146</v>
      </c>
      <c r="P52">
        <v>0</v>
      </c>
      <c r="Q52">
        <v>271.89857142857147</v>
      </c>
      <c r="R52">
        <v>0</v>
      </c>
      <c r="S52">
        <v>25</v>
      </c>
      <c r="T52">
        <v>0</v>
      </c>
      <c r="U52">
        <v>48.792857142857144</v>
      </c>
      <c r="V52">
        <v>10</v>
      </c>
      <c r="W52">
        <v>8.5</v>
      </c>
      <c r="X52">
        <v>0</v>
      </c>
      <c r="Y52">
        <v>0.98792857142857149</v>
      </c>
      <c r="Z52">
        <v>0.60525663041404321</v>
      </c>
      <c r="AA52">
        <v>0.92292857142857143</v>
      </c>
      <c r="AB52" t="s">
        <v>962</v>
      </c>
      <c r="AH52">
        <v>0</v>
      </c>
    </row>
    <row r="53" spans="1:34" x14ac:dyDescent="0.2">
      <c r="A53" s="56">
        <v>46063</v>
      </c>
      <c r="B53" t="s">
        <v>45</v>
      </c>
      <c r="D53" t="s">
        <v>656</v>
      </c>
      <c r="E53">
        <v>72</v>
      </c>
      <c r="F53">
        <v>72</v>
      </c>
      <c r="G53">
        <v>0</v>
      </c>
      <c r="I53">
        <v>31690</v>
      </c>
      <c r="J53">
        <v>31690</v>
      </c>
      <c r="K53">
        <v>0</v>
      </c>
      <c r="L53">
        <v>19079.099999999999</v>
      </c>
      <c r="M53">
        <v>508</v>
      </c>
      <c r="N53">
        <v>440.13888888888891</v>
      </c>
      <c r="O53">
        <v>440.13888888888891</v>
      </c>
      <c r="P53">
        <v>0</v>
      </c>
      <c r="Q53">
        <v>264.98749999999995</v>
      </c>
      <c r="R53">
        <v>7.0555555555555554</v>
      </c>
      <c r="S53">
        <v>25</v>
      </c>
      <c r="T53">
        <v>0</v>
      </c>
      <c r="U53">
        <v>48.319444444444443</v>
      </c>
      <c r="V53">
        <v>10</v>
      </c>
      <c r="W53">
        <v>8.5</v>
      </c>
      <c r="X53">
        <v>0</v>
      </c>
      <c r="Y53">
        <v>0.98319444444444448</v>
      </c>
      <c r="Z53">
        <v>0.60205427579678128</v>
      </c>
      <c r="AA53">
        <v>0.91819444444444442</v>
      </c>
      <c r="AB53" t="s">
        <v>960</v>
      </c>
      <c r="AH53">
        <v>0</v>
      </c>
    </row>
    <row r="54" spans="1:34" x14ac:dyDescent="0.2">
      <c r="A54" s="56">
        <v>46062</v>
      </c>
      <c r="B54" t="s">
        <v>45</v>
      </c>
      <c r="D54" t="s">
        <v>656</v>
      </c>
      <c r="E54">
        <v>75</v>
      </c>
      <c r="F54">
        <v>73</v>
      </c>
      <c r="G54">
        <v>2</v>
      </c>
      <c r="H54" t="s">
        <v>1012</v>
      </c>
      <c r="I54">
        <v>32440</v>
      </c>
      <c r="J54">
        <v>32440</v>
      </c>
      <c r="K54">
        <v>0</v>
      </c>
      <c r="L54">
        <v>19540.8</v>
      </c>
      <c r="M54">
        <v>539</v>
      </c>
      <c r="N54">
        <v>444.38356164383561</v>
      </c>
      <c r="O54">
        <v>444.38356164383561</v>
      </c>
      <c r="P54">
        <v>0</v>
      </c>
      <c r="Q54">
        <v>267.68219178082188</v>
      </c>
      <c r="R54">
        <v>7.3835616438356162</v>
      </c>
      <c r="S54">
        <v>25</v>
      </c>
      <c r="T54">
        <v>0</v>
      </c>
      <c r="U54">
        <v>48.31506849315069</v>
      </c>
      <c r="V54">
        <v>10</v>
      </c>
      <c r="W54">
        <v>8.5</v>
      </c>
      <c r="X54">
        <v>0</v>
      </c>
      <c r="Y54">
        <v>0.98315068493150692</v>
      </c>
      <c r="Z54">
        <v>0.60236744759556105</v>
      </c>
      <c r="AA54">
        <v>0.91815068493150687</v>
      </c>
      <c r="AB54" t="s">
        <v>1005</v>
      </c>
      <c r="AH54">
        <v>0</v>
      </c>
    </row>
    <row r="55" spans="1:34" x14ac:dyDescent="0.2">
      <c r="A55" s="56">
        <v>46061</v>
      </c>
      <c r="B55" t="s">
        <v>45</v>
      </c>
      <c r="D55" t="s">
        <v>165</v>
      </c>
      <c r="E55">
        <v>69</v>
      </c>
      <c r="F55">
        <v>67</v>
      </c>
      <c r="G55">
        <v>2</v>
      </c>
      <c r="H55" t="s">
        <v>1010</v>
      </c>
      <c r="I55">
        <v>33973</v>
      </c>
      <c r="J55">
        <v>33973</v>
      </c>
      <c r="K55">
        <v>0</v>
      </c>
      <c r="L55">
        <v>20383.5</v>
      </c>
      <c r="M55">
        <v>600</v>
      </c>
      <c r="N55">
        <v>507.05970149253733</v>
      </c>
      <c r="O55">
        <v>507.05970149253733</v>
      </c>
      <c r="P55">
        <v>0</v>
      </c>
      <c r="Q55">
        <v>304.23134328358208</v>
      </c>
      <c r="R55">
        <v>8.9552238805970141</v>
      </c>
      <c r="S55">
        <v>24.104477611940297</v>
      </c>
      <c r="T55">
        <v>0</v>
      </c>
      <c r="U55">
        <v>48.611940298507456</v>
      </c>
      <c r="V55">
        <v>10</v>
      </c>
      <c r="W55">
        <v>8.5</v>
      </c>
      <c r="X55">
        <v>0</v>
      </c>
      <c r="Y55">
        <v>0.96820895522388051</v>
      </c>
      <c r="Z55">
        <v>0.59999116945809905</v>
      </c>
      <c r="AA55">
        <v>0.91216417910447745</v>
      </c>
      <c r="AB55" t="s">
        <v>1003</v>
      </c>
      <c r="AH55">
        <v>44</v>
      </c>
    </row>
    <row r="56" spans="1:34" x14ac:dyDescent="0.2">
      <c r="A56" s="56">
        <v>46060</v>
      </c>
      <c r="B56" t="s">
        <v>45</v>
      </c>
      <c r="D56" t="s">
        <v>43</v>
      </c>
      <c r="E56">
        <v>62</v>
      </c>
      <c r="F56">
        <v>62</v>
      </c>
      <c r="G56">
        <v>0</v>
      </c>
      <c r="I56">
        <v>34600</v>
      </c>
      <c r="J56">
        <v>34600</v>
      </c>
      <c r="K56">
        <v>0</v>
      </c>
      <c r="L56">
        <v>20758.400000000001</v>
      </c>
      <c r="M56">
        <v>752</v>
      </c>
      <c r="N56">
        <v>558.06451612903231</v>
      </c>
      <c r="O56">
        <v>558.06451612903231</v>
      </c>
      <c r="P56">
        <v>0</v>
      </c>
      <c r="Q56">
        <v>334.81290322580645</v>
      </c>
      <c r="R56">
        <v>12.129032258064516</v>
      </c>
      <c r="S56">
        <v>24.193548387096776</v>
      </c>
      <c r="T56">
        <v>0</v>
      </c>
      <c r="U56">
        <v>47.806451612903231</v>
      </c>
      <c r="V56">
        <v>10</v>
      </c>
      <c r="W56">
        <v>8.5</v>
      </c>
      <c r="X56">
        <v>0</v>
      </c>
      <c r="Y56">
        <v>0.96193548387096783</v>
      </c>
      <c r="Z56">
        <v>0.59995375722543354</v>
      </c>
      <c r="AA56">
        <v>0.90500000000000003</v>
      </c>
      <c r="AB56" t="s">
        <v>1002</v>
      </c>
      <c r="AH56">
        <v>60</v>
      </c>
    </row>
    <row r="57" spans="1:34" x14ac:dyDescent="0.2">
      <c r="A57" s="56">
        <v>46058</v>
      </c>
      <c r="B57" t="s">
        <v>45</v>
      </c>
      <c r="D57" t="s">
        <v>46</v>
      </c>
      <c r="E57">
        <v>64</v>
      </c>
      <c r="F57">
        <v>60</v>
      </c>
      <c r="G57">
        <v>4</v>
      </c>
      <c r="H57" t="s">
        <v>1009</v>
      </c>
      <c r="I57">
        <v>31888</v>
      </c>
      <c r="J57">
        <v>31888</v>
      </c>
      <c r="K57">
        <v>0</v>
      </c>
      <c r="L57">
        <v>19132.7</v>
      </c>
      <c r="M57">
        <v>698</v>
      </c>
      <c r="N57">
        <v>531.4666666666667</v>
      </c>
      <c r="O57">
        <v>531.4666666666667</v>
      </c>
      <c r="P57">
        <v>0</v>
      </c>
      <c r="Q57">
        <v>318.87833333333333</v>
      </c>
      <c r="R57">
        <v>11.633333333333333</v>
      </c>
      <c r="S57">
        <v>24.583333333333332</v>
      </c>
      <c r="T57">
        <v>0</v>
      </c>
      <c r="U57">
        <v>47.2</v>
      </c>
      <c r="V57">
        <v>10</v>
      </c>
      <c r="W57">
        <v>8.5</v>
      </c>
      <c r="X57">
        <v>0</v>
      </c>
      <c r="Y57">
        <v>0.96366666666666667</v>
      </c>
      <c r="Z57">
        <v>0.59999686402408436</v>
      </c>
      <c r="AA57">
        <v>0.90283333333333327</v>
      </c>
      <c r="AB57" t="s">
        <v>1000</v>
      </c>
      <c r="AH57">
        <v>19</v>
      </c>
    </row>
    <row r="58" spans="1:34" x14ac:dyDescent="0.2">
      <c r="A58" s="56">
        <v>46058</v>
      </c>
      <c r="B58" t="s">
        <v>45</v>
      </c>
      <c r="D58" t="s">
        <v>757</v>
      </c>
      <c r="E58">
        <v>45</v>
      </c>
      <c r="F58">
        <v>41</v>
      </c>
      <c r="G58">
        <v>4</v>
      </c>
      <c r="H58" t="s">
        <v>3155</v>
      </c>
      <c r="I58">
        <v>25800</v>
      </c>
      <c r="J58">
        <v>25800</v>
      </c>
      <c r="K58">
        <v>0</v>
      </c>
      <c r="L58">
        <v>15493.6</v>
      </c>
      <c r="M58">
        <v>441</v>
      </c>
      <c r="N58">
        <v>629.26829268292681</v>
      </c>
      <c r="O58">
        <v>629.26829268292681</v>
      </c>
      <c r="P58">
        <v>0</v>
      </c>
      <c r="Q58">
        <v>377.89268292682925</v>
      </c>
      <c r="R58">
        <v>10.75609756097561</v>
      </c>
      <c r="S58">
        <v>24.756097560975611</v>
      </c>
      <c r="T58">
        <v>0</v>
      </c>
      <c r="U58">
        <v>46.219512195121958</v>
      </c>
      <c r="V58">
        <v>10</v>
      </c>
      <c r="W58">
        <v>8.5</v>
      </c>
      <c r="X58">
        <v>0</v>
      </c>
      <c r="Y58">
        <v>0.95731707317073189</v>
      </c>
      <c r="Z58">
        <v>0.6005271317829457</v>
      </c>
      <c r="AA58">
        <v>0.89475609756097574</v>
      </c>
      <c r="AB58" t="s">
        <v>999</v>
      </c>
      <c r="AH58">
        <v>8</v>
      </c>
    </row>
    <row r="59" spans="1:34" x14ac:dyDescent="0.2">
      <c r="A59" s="56">
        <v>46057</v>
      </c>
      <c r="B59" t="s">
        <v>45</v>
      </c>
      <c r="D59" t="s">
        <v>656</v>
      </c>
      <c r="E59">
        <v>70</v>
      </c>
      <c r="F59">
        <v>70</v>
      </c>
      <c r="G59">
        <v>0</v>
      </c>
      <c r="I59">
        <v>31059</v>
      </c>
      <c r="J59">
        <v>31059</v>
      </c>
      <c r="K59">
        <v>0</v>
      </c>
      <c r="L59">
        <v>19077.3</v>
      </c>
      <c r="M59">
        <v>546</v>
      </c>
      <c r="N59">
        <v>443.7</v>
      </c>
      <c r="O59">
        <v>443.7</v>
      </c>
      <c r="P59">
        <v>0</v>
      </c>
      <c r="Q59">
        <v>272.53285714285715</v>
      </c>
      <c r="R59">
        <v>7.8</v>
      </c>
      <c r="S59">
        <v>25</v>
      </c>
      <c r="T59">
        <v>0</v>
      </c>
      <c r="U59">
        <v>48.714285714285715</v>
      </c>
      <c r="V59">
        <v>10</v>
      </c>
      <c r="W59">
        <v>8.5</v>
      </c>
      <c r="X59">
        <v>0</v>
      </c>
      <c r="Y59">
        <v>0.9871428571428571</v>
      </c>
      <c r="Z59">
        <v>0.61422776006954505</v>
      </c>
      <c r="AA59">
        <v>0.92214285714285726</v>
      </c>
      <c r="AB59" t="s">
        <v>997</v>
      </c>
      <c r="AH59">
        <v>0</v>
      </c>
    </row>
    <row r="60" spans="1:34" x14ac:dyDescent="0.2">
      <c r="A60" s="56">
        <v>46056</v>
      </c>
      <c r="B60" t="s">
        <v>45</v>
      </c>
      <c r="D60" t="s">
        <v>656</v>
      </c>
      <c r="E60">
        <v>75</v>
      </c>
      <c r="F60">
        <v>75</v>
      </c>
      <c r="G60">
        <v>0</v>
      </c>
      <c r="I60">
        <v>33294</v>
      </c>
      <c r="J60">
        <v>33294</v>
      </c>
      <c r="K60">
        <v>0</v>
      </c>
      <c r="L60">
        <v>20232.599999999999</v>
      </c>
      <c r="M60">
        <v>577</v>
      </c>
      <c r="N60">
        <v>443.92</v>
      </c>
      <c r="O60">
        <v>443.92</v>
      </c>
      <c r="P60">
        <v>0</v>
      </c>
      <c r="Q60">
        <v>269.76799999999997</v>
      </c>
      <c r="R60">
        <v>7.6933333333333334</v>
      </c>
      <c r="S60">
        <v>24.986666666666668</v>
      </c>
      <c r="T60">
        <v>0</v>
      </c>
      <c r="U60">
        <v>48.62</v>
      </c>
      <c r="V60">
        <v>10</v>
      </c>
      <c r="W60">
        <v>8.5</v>
      </c>
      <c r="X60">
        <v>0</v>
      </c>
      <c r="Y60">
        <v>0.98593333333333333</v>
      </c>
      <c r="Z60">
        <v>0.60769508019462959</v>
      </c>
      <c r="AA60">
        <v>0.9210666666666667</v>
      </c>
      <c r="AB60" t="s">
        <v>995</v>
      </c>
      <c r="AH60">
        <v>0</v>
      </c>
    </row>
    <row r="61" spans="1:34" x14ac:dyDescent="0.2">
      <c r="A61" s="56">
        <v>46055</v>
      </c>
      <c r="B61" t="s">
        <v>45</v>
      </c>
      <c r="D61" t="s">
        <v>815</v>
      </c>
      <c r="E61">
        <v>65</v>
      </c>
      <c r="F61">
        <v>64</v>
      </c>
      <c r="G61">
        <v>1</v>
      </c>
      <c r="H61" t="s">
        <v>1007</v>
      </c>
      <c r="I61">
        <v>29567</v>
      </c>
      <c r="J61">
        <v>29567</v>
      </c>
      <c r="K61">
        <v>0</v>
      </c>
      <c r="L61">
        <v>18438.3</v>
      </c>
      <c r="M61">
        <v>455</v>
      </c>
      <c r="N61">
        <v>461.984375</v>
      </c>
      <c r="O61">
        <v>461.984375</v>
      </c>
      <c r="P61">
        <v>0</v>
      </c>
      <c r="Q61">
        <v>288.09843749999999</v>
      </c>
      <c r="R61">
        <v>7.109375</v>
      </c>
      <c r="S61">
        <v>25</v>
      </c>
      <c r="T61">
        <v>0</v>
      </c>
      <c r="U61">
        <v>47.875</v>
      </c>
      <c r="V61">
        <v>10</v>
      </c>
      <c r="W61">
        <v>8.5</v>
      </c>
      <c r="X61">
        <v>0</v>
      </c>
      <c r="Y61">
        <v>0.97875000000000001</v>
      </c>
      <c r="Z61">
        <v>0.6236107822910677</v>
      </c>
      <c r="AA61">
        <v>0.91374999999999995</v>
      </c>
      <c r="AB61" t="s">
        <v>979</v>
      </c>
      <c r="AH61">
        <v>0</v>
      </c>
    </row>
    <row r="62" spans="1:34" x14ac:dyDescent="0.2">
      <c r="A62" s="56">
        <v>46054</v>
      </c>
      <c r="B62" t="s">
        <v>45</v>
      </c>
      <c r="D62" t="s">
        <v>165</v>
      </c>
      <c r="E62">
        <v>77</v>
      </c>
      <c r="F62">
        <v>75</v>
      </c>
      <c r="G62">
        <v>2</v>
      </c>
      <c r="H62" t="s">
        <v>1006</v>
      </c>
      <c r="I62">
        <v>38178</v>
      </c>
      <c r="J62">
        <v>38178</v>
      </c>
      <c r="K62">
        <v>0</v>
      </c>
      <c r="L62">
        <v>22906.799999999999</v>
      </c>
      <c r="M62">
        <v>798</v>
      </c>
      <c r="N62">
        <v>509.04</v>
      </c>
      <c r="O62">
        <v>509.04</v>
      </c>
      <c r="P62">
        <v>0</v>
      </c>
      <c r="Q62">
        <v>305.42399999999998</v>
      </c>
      <c r="R62">
        <v>10.64</v>
      </c>
      <c r="S62">
        <v>24.8</v>
      </c>
      <c r="T62">
        <v>0</v>
      </c>
      <c r="U62">
        <v>48.720000000000006</v>
      </c>
      <c r="V62">
        <v>10</v>
      </c>
      <c r="W62">
        <v>8.5</v>
      </c>
      <c r="X62">
        <v>0</v>
      </c>
      <c r="Y62">
        <v>0.98320000000000007</v>
      </c>
      <c r="Z62">
        <v>0.6</v>
      </c>
      <c r="AA62">
        <v>0.92020000000000013</v>
      </c>
      <c r="AB62" t="s">
        <v>958</v>
      </c>
      <c r="AH62">
        <v>10</v>
      </c>
    </row>
    <row r="63" spans="1:34" x14ac:dyDescent="0.2">
      <c r="A63" s="56">
        <v>46053</v>
      </c>
      <c r="B63" t="s">
        <v>45</v>
      </c>
      <c r="D63" t="s">
        <v>656</v>
      </c>
      <c r="E63">
        <v>60</v>
      </c>
      <c r="F63">
        <v>60</v>
      </c>
      <c r="G63">
        <v>0</v>
      </c>
      <c r="I63">
        <v>26699</v>
      </c>
      <c r="J63">
        <v>26699</v>
      </c>
      <c r="K63">
        <v>0</v>
      </c>
      <c r="L63">
        <v>16502.3</v>
      </c>
      <c r="M63">
        <v>540</v>
      </c>
      <c r="N63">
        <v>444.98333333333335</v>
      </c>
      <c r="O63">
        <v>444.98333333333335</v>
      </c>
      <c r="P63">
        <v>0</v>
      </c>
      <c r="Q63">
        <v>275.0383333333333</v>
      </c>
      <c r="R63">
        <v>9</v>
      </c>
      <c r="S63">
        <v>25</v>
      </c>
      <c r="T63">
        <v>0</v>
      </c>
      <c r="U63">
        <v>49.45</v>
      </c>
      <c r="V63">
        <v>10</v>
      </c>
      <c r="W63">
        <v>8.5</v>
      </c>
      <c r="X63">
        <v>0</v>
      </c>
      <c r="Y63">
        <v>0.99450000000000005</v>
      </c>
      <c r="Z63">
        <v>0.61808681973107604</v>
      </c>
      <c r="AA63">
        <v>0.92949999999999999</v>
      </c>
      <c r="AB63" t="s">
        <v>736</v>
      </c>
      <c r="AH63">
        <v>0</v>
      </c>
    </row>
    <row r="64" spans="1:34" x14ac:dyDescent="0.2">
      <c r="A64" s="56">
        <v>46051</v>
      </c>
      <c r="B64" t="s">
        <v>45</v>
      </c>
      <c r="D64" t="s">
        <v>656</v>
      </c>
      <c r="E64">
        <v>84</v>
      </c>
      <c r="F64">
        <v>84</v>
      </c>
      <c r="G64">
        <v>0</v>
      </c>
      <c r="I64">
        <v>37014</v>
      </c>
      <c r="J64">
        <v>37014</v>
      </c>
      <c r="K64">
        <v>0</v>
      </c>
      <c r="L64">
        <v>22445.200000000001</v>
      </c>
      <c r="M64">
        <v>627</v>
      </c>
      <c r="N64">
        <v>440.64285714285717</v>
      </c>
      <c r="O64">
        <v>440.64285714285717</v>
      </c>
      <c r="P64">
        <v>0</v>
      </c>
      <c r="Q64">
        <v>267.20476190476194</v>
      </c>
      <c r="R64">
        <v>7.4642857142857144</v>
      </c>
      <c r="S64">
        <v>24.988095238095237</v>
      </c>
      <c r="T64">
        <v>0</v>
      </c>
      <c r="U64">
        <v>48.339285714285715</v>
      </c>
      <c r="V64">
        <v>10</v>
      </c>
      <c r="W64">
        <v>8.5</v>
      </c>
      <c r="X64">
        <v>0</v>
      </c>
      <c r="Y64">
        <v>0.98315476190476192</v>
      </c>
      <c r="Z64">
        <v>0.60639757929432103</v>
      </c>
      <c r="AA64">
        <v>0.91827380952380944</v>
      </c>
      <c r="AB64" t="s">
        <v>908</v>
      </c>
      <c r="AH64">
        <v>0</v>
      </c>
    </row>
    <row r="65" spans="1:34" x14ac:dyDescent="0.2">
      <c r="A65" s="56">
        <v>46050</v>
      </c>
      <c r="B65" t="s">
        <v>45</v>
      </c>
      <c r="D65" t="s">
        <v>656</v>
      </c>
      <c r="E65">
        <v>45</v>
      </c>
      <c r="F65">
        <v>45</v>
      </c>
      <c r="G65">
        <v>0</v>
      </c>
      <c r="I65">
        <v>18986</v>
      </c>
      <c r="J65">
        <v>18986</v>
      </c>
      <c r="K65">
        <v>0</v>
      </c>
      <c r="L65">
        <v>11457.4</v>
      </c>
      <c r="M65">
        <v>342</v>
      </c>
      <c r="N65">
        <v>421.9111111111111</v>
      </c>
      <c r="O65">
        <v>421.9111111111111</v>
      </c>
      <c r="P65">
        <v>0</v>
      </c>
      <c r="Q65">
        <v>254.60888888888888</v>
      </c>
      <c r="R65">
        <v>7.6</v>
      </c>
      <c r="S65">
        <v>24.911111111111111</v>
      </c>
      <c r="T65">
        <v>0</v>
      </c>
      <c r="U65">
        <v>47.955555555555549</v>
      </c>
      <c r="V65">
        <v>10</v>
      </c>
      <c r="W65">
        <v>8.5</v>
      </c>
      <c r="X65">
        <v>0</v>
      </c>
      <c r="Y65">
        <v>0.97777777777777775</v>
      </c>
      <c r="Z65">
        <v>0.60346571157695139</v>
      </c>
      <c r="AA65">
        <v>0.91366666666666663</v>
      </c>
      <c r="AB65" t="s">
        <v>906</v>
      </c>
      <c r="AH65">
        <v>0</v>
      </c>
    </row>
    <row r="66" spans="1:34" x14ac:dyDescent="0.2">
      <c r="A66" s="56">
        <v>46049</v>
      </c>
      <c r="B66" t="s">
        <v>45</v>
      </c>
      <c r="D66" t="s">
        <v>46</v>
      </c>
      <c r="E66">
        <v>44</v>
      </c>
      <c r="F66">
        <v>43</v>
      </c>
      <c r="G66">
        <v>1</v>
      </c>
      <c r="H66" t="s">
        <v>934</v>
      </c>
      <c r="I66">
        <v>21470</v>
      </c>
      <c r="J66">
        <v>21470</v>
      </c>
      <c r="K66">
        <v>0</v>
      </c>
      <c r="L66">
        <v>12882.7</v>
      </c>
      <c r="M66">
        <v>475</v>
      </c>
      <c r="N66">
        <v>499.30232558139534</v>
      </c>
      <c r="O66">
        <v>499.30232558139534</v>
      </c>
      <c r="P66">
        <v>0</v>
      </c>
      <c r="Q66">
        <v>299.59767441860464</v>
      </c>
      <c r="R66">
        <v>11.046511627906977</v>
      </c>
      <c r="S66">
        <v>24.418604651162791</v>
      </c>
      <c r="T66">
        <v>0</v>
      </c>
      <c r="U66">
        <v>48.953488372093027</v>
      </c>
      <c r="V66">
        <v>10</v>
      </c>
      <c r="W66">
        <v>8.5</v>
      </c>
      <c r="X66">
        <v>0</v>
      </c>
      <c r="Y66">
        <v>0.97790697674418614</v>
      </c>
      <c r="Z66">
        <v>0.60003260363297628</v>
      </c>
      <c r="AA66">
        <v>0.91872093023255819</v>
      </c>
      <c r="AB66" t="s">
        <v>905</v>
      </c>
      <c r="AH66">
        <v>18</v>
      </c>
    </row>
    <row r="67" spans="1:34" x14ac:dyDescent="0.2">
      <c r="A67" s="56">
        <v>46048</v>
      </c>
      <c r="B67" t="s">
        <v>45</v>
      </c>
      <c r="D67" t="s">
        <v>884</v>
      </c>
      <c r="E67">
        <v>46</v>
      </c>
      <c r="F67">
        <v>45</v>
      </c>
      <c r="G67">
        <v>1</v>
      </c>
      <c r="H67" t="s">
        <v>935</v>
      </c>
      <c r="I67">
        <v>19918</v>
      </c>
      <c r="J67">
        <v>19918</v>
      </c>
      <c r="K67">
        <v>0</v>
      </c>
      <c r="L67">
        <v>12038.3</v>
      </c>
      <c r="M67">
        <v>324</v>
      </c>
      <c r="N67">
        <v>442.62222222222221</v>
      </c>
      <c r="O67">
        <v>442.62222222222221</v>
      </c>
      <c r="P67">
        <v>0</v>
      </c>
      <c r="Q67">
        <v>267.51777777777778</v>
      </c>
      <c r="R67">
        <v>7.2</v>
      </c>
      <c r="S67">
        <v>25</v>
      </c>
      <c r="T67">
        <v>0</v>
      </c>
      <c r="U67">
        <v>48.355555555555554</v>
      </c>
      <c r="V67">
        <v>10</v>
      </c>
      <c r="W67">
        <v>8.5</v>
      </c>
      <c r="X67">
        <v>0</v>
      </c>
      <c r="Y67">
        <v>0.98355555555555552</v>
      </c>
      <c r="Z67">
        <v>0.60439301134652068</v>
      </c>
      <c r="AA67">
        <v>0.91855555555555557</v>
      </c>
      <c r="AB67" t="s">
        <v>904</v>
      </c>
      <c r="AH67">
        <v>1</v>
      </c>
    </row>
    <row r="68" spans="1:34" x14ac:dyDescent="0.2">
      <c r="A68" s="56">
        <v>46048</v>
      </c>
      <c r="B68" t="s">
        <v>45</v>
      </c>
      <c r="D68" t="s">
        <v>165</v>
      </c>
      <c r="E68">
        <v>20</v>
      </c>
      <c r="F68">
        <v>19</v>
      </c>
      <c r="G68">
        <v>1</v>
      </c>
      <c r="H68" t="s">
        <v>928</v>
      </c>
      <c r="I68">
        <v>10476</v>
      </c>
      <c r="J68">
        <v>10476</v>
      </c>
      <c r="K68">
        <v>0</v>
      </c>
      <c r="L68">
        <v>6285.6</v>
      </c>
      <c r="M68">
        <v>230</v>
      </c>
      <c r="N68">
        <v>551.36842105263156</v>
      </c>
      <c r="O68">
        <v>551.36842105263156</v>
      </c>
      <c r="P68">
        <v>0</v>
      </c>
      <c r="Q68">
        <v>330.82105263157899</v>
      </c>
      <c r="R68">
        <v>12.105263157894736</v>
      </c>
      <c r="S68">
        <v>23.105263157894736</v>
      </c>
      <c r="T68">
        <v>0</v>
      </c>
      <c r="U68">
        <v>45.052631578947363</v>
      </c>
      <c r="V68">
        <v>10</v>
      </c>
      <c r="W68">
        <v>8.5</v>
      </c>
      <c r="X68">
        <v>0</v>
      </c>
      <c r="Y68">
        <v>0.91263157894736835</v>
      </c>
      <c r="Z68">
        <v>0.60000000000000009</v>
      </c>
      <c r="AA68">
        <v>0.866578947368421</v>
      </c>
      <c r="AB68" t="s">
        <v>902</v>
      </c>
      <c r="AH68">
        <v>14</v>
      </c>
    </row>
    <row r="69" spans="1:34" x14ac:dyDescent="0.2">
      <c r="A69" s="56">
        <v>46047</v>
      </c>
      <c r="B69" t="s">
        <v>45</v>
      </c>
      <c r="C69" t="s">
        <v>483</v>
      </c>
      <c r="D69" t="s">
        <v>576</v>
      </c>
      <c r="E69">
        <v>64</v>
      </c>
      <c r="F69">
        <v>64</v>
      </c>
      <c r="G69">
        <v>0</v>
      </c>
      <c r="I69">
        <v>36125</v>
      </c>
      <c r="J69">
        <v>36125</v>
      </c>
      <c r="K69">
        <v>0</v>
      </c>
      <c r="L69">
        <v>22607.200000000001</v>
      </c>
      <c r="M69">
        <v>693</v>
      </c>
      <c r="N69">
        <v>564.453125</v>
      </c>
      <c r="O69">
        <v>564.453125</v>
      </c>
      <c r="P69">
        <v>0</v>
      </c>
      <c r="Q69">
        <v>353.23750000000001</v>
      </c>
      <c r="R69">
        <v>10.828125</v>
      </c>
      <c r="S69">
        <v>25</v>
      </c>
      <c r="T69">
        <v>0</v>
      </c>
      <c r="U69">
        <v>44.5625</v>
      </c>
      <c r="V69">
        <v>10</v>
      </c>
      <c r="W69">
        <v>8.5</v>
      </c>
      <c r="X69">
        <v>0</v>
      </c>
      <c r="Y69">
        <v>0.94562499999999994</v>
      </c>
      <c r="Z69">
        <v>0.62580484429065741</v>
      </c>
      <c r="AA69">
        <v>0.88062499999999999</v>
      </c>
      <c r="AB69" t="s">
        <v>801</v>
      </c>
      <c r="AH69">
        <v>14</v>
      </c>
    </row>
    <row r="70" spans="1:34" x14ac:dyDescent="0.2">
      <c r="A70" s="56">
        <v>46046</v>
      </c>
      <c r="B70" t="s">
        <v>45</v>
      </c>
      <c r="D70" t="s">
        <v>165</v>
      </c>
      <c r="E70">
        <v>44</v>
      </c>
      <c r="F70">
        <v>43</v>
      </c>
      <c r="G70">
        <v>1</v>
      </c>
      <c r="H70" t="s">
        <v>934</v>
      </c>
      <c r="I70">
        <v>21266</v>
      </c>
      <c r="J70">
        <v>21266</v>
      </c>
      <c r="K70">
        <v>0</v>
      </c>
      <c r="L70">
        <v>12759.3</v>
      </c>
      <c r="M70">
        <v>428</v>
      </c>
      <c r="N70">
        <v>494.55813953488371</v>
      </c>
      <c r="O70">
        <v>494.55813953488371</v>
      </c>
      <c r="P70">
        <v>0</v>
      </c>
      <c r="Q70">
        <v>296.72790697674418</v>
      </c>
      <c r="R70">
        <v>9.9534883720930232</v>
      </c>
      <c r="S70">
        <v>24.069767441860463</v>
      </c>
      <c r="T70">
        <v>0</v>
      </c>
      <c r="U70">
        <v>48.558139534883715</v>
      </c>
      <c r="V70">
        <v>10</v>
      </c>
      <c r="W70">
        <v>8.5</v>
      </c>
      <c r="X70">
        <v>0</v>
      </c>
      <c r="Y70">
        <v>0.9669767441860464</v>
      </c>
      <c r="Z70">
        <v>0.5999858929747014</v>
      </c>
      <c r="AA70">
        <v>0.91127906976744188</v>
      </c>
      <c r="AB70" t="s">
        <v>766</v>
      </c>
      <c r="AH70">
        <v>20</v>
      </c>
    </row>
    <row r="71" spans="1:34" x14ac:dyDescent="0.2">
      <c r="A71" s="56">
        <v>46044</v>
      </c>
      <c r="B71" t="s">
        <v>45</v>
      </c>
      <c r="D71" t="s">
        <v>656</v>
      </c>
      <c r="E71">
        <v>82</v>
      </c>
      <c r="F71">
        <v>82</v>
      </c>
      <c r="G71">
        <v>0</v>
      </c>
      <c r="I71">
        <v>33802</v>
      </c>
      <c r="J71">
        <v>33802</v>
      </c>
      <c r="K71">
        <v>0</v>
      </c>
      <c r="L71">
        <v>20740.5</v>
      </c>
      <c r="M71">
        <v>515</v>
      </c>
      <c r="N71">
        <v>412.21951219512198</v>
      </c>
      <c r="O71">
        <v>412.21951219512198</v>
      </c>
      <c r="P71">
        <v>0</v>
      </c>
      <c r="Q71">
        <v>252.9329268292683</v>
      </c>
      <c r="R71">
        <v>6.2804878048780486</v>
      </c>
      <c r="S71">
        <v>24.963414634146343</v>
      </c>
      <c r="T71">
        <v>0</v>
      </c>
      <c r="U71">
        <v>48.256097560975611</v>
      </c>
      <c r="V71">
        <v>10</v>
      </c>
      <c r="W71">
        <v>8.5</v>
      </c>
      <c r="X71">
        <v>0</v>
      </c>
      <c r="Y71">
        <v>0.98182926829268302</v>
      </c>
      <c r="Z71">
        <v>0.61358795337553995</v>
      </c>
      <c r="AA71">
        <v>0.91719512195121955</v>
      </c>
      <c r="AB71" t="s">
        <v>901</v>
      </c>
      <c r="AH71">
        <v>0</v>
      </c>
    </row>
    <row r="72" spans="1:34" x14ac:dyDescent="0.2">
      <c r="A72" s="56">
        <v>46043</v>
      </c>
      <c r="B72" t="s">
        <v>45</v>
      </c>
      <c r="D72" t="s">
        <v>656</v>
      </c>
      <c r="E72">
        <v>48</v>
      </c>
      <c r="F72">
        <v>48</v>
      </c>
      <c r="G72">
        <v>0</v>
      </c>
      <c r="I72">
        <v>20514</v>
      </c>
      <c r="J72">
        <v>20514</v>
      </c>
      <c r="K72">
        <v>0</v>
      </c>
      <c r="L72">
        <v>12510</v>
      </c>
      <c r="M72">
        <v>293</v>
      </c>
      <c r="N72">
        <v>427.375</v>
      </c>
      <c r="O72">
        <v>427.375</v>
      </c>
      <c r="P72">
        <v>0</v>
      </c>
      <c r="Q72">
        <v>260.625</v>
      </c>
      <c r="R72">
        <v>6.104166666666667</v>
      </c>
      <c r="S72">
        <v>25</v>
      </c>
      <c r="T72">
        <v>0</v>
      </c>
      <c r="U72">
        <v>49.343750000000007</v>
      </c>
      <c r="V72">
        <v>10</v>
      </c>
      <c r="W72">
        <v>8.5</v>
      </c>
      <c r="X72">
        <v>0</v>
      </c>
      <c r="Y72">
        <v>0.99343750000000008</v>
      </c>
      <c r="Z72">
        <v>0.60982743492249192</v>
      </c>
      <c r="AA72">
        <v>0.92843750000000003</v>
      </c>
      <c r="AB72" t="s">
        <v>899</v>
      </c>
      <c r="AH72">
        <v>0</v>
      </c>
    </row>
    <row r="73" spans="1:34" x14ac:dyDescent="0.2">
      <c r="A73" s="56">
        <v>46042</v>
      </c>
      <c r="B73" t="s">
        <v>45</v>
      </c>
      <c r="D73" t="s">
        <v>46</v>
      </c>
      <c r="E73">
        <v>44</v>
      </c>
      <c r="F73">
        <v>40</v>
      </c>
      <c r="G73">
        <v>4</v>
      </c>
      <c r="H73" t="s">
        <v>932</v>
      </c>
      <c r="I73">
        <v>20784</v>
      </c>
      <c r="J73">
        <v>20784</v>
      </c>
      <c r="K73">
        <v>0</v>
      </c>
      <c r="L73">
        <v>12470.1</v>
      </c>
      <c r="M73">
        <v>525</v>
      </c>
      <c r="N73">
        <v>519.6</v>
      </c>
      <c r="O73">
        <v>519.6</v>
      </c>
      <c r="P73">
        <v>0</v>
      </c>
      <c r="Q73">
        <v>311.7525</v>
      </c>
      <c r="R73">
        <v>13.125</v>
      </c>
      <c r="S73">
        <v>25</v>
      </c>
      <c r="T73">
        <v>0</v>
      </c>
      <c r="U73">
        <v>46.325000000000003</v>
      </c>
      <c r="V73">
        <v>10</v>
      </c>
      <c r="W73">
        <v>8.5</v>
      </c>
      <c r="X73">
        <v>0</v>
      </c>
      <c r="Y73">
        <v>0.96325000000000005</v>
      </c>
      <c r="Z73">
        <v>0.5999855658198614</v>
      </c>
      <c r="AA73">
        <v>0.89824999999999999</v>
      </c>
      <c r="AB73" t="s">
        <v>898</v>
      </c>
      <c r="AH73">
        <v>6</v>
      </c>
    </row>
    <row r="74" spans="1:34" x14ac:dyDescent="0.2">
      <c r="A74" s="56">
        <v>46041</v>
      </c>
      <c r="B74" t="s">
        <v>45</v>
      </c>
      <c r="D74" t="s">
        <v>815</v>
      </c>
      <c r="E74">
        <v>47</v>
      </c>
      <c r="F74">
        <v>47</v>
      </c>
      <c r="G74">
        <v>0</v>
      </c>
      <c r="I74">
        <v>22255</v>
      </c>
      <c r="J74">
        <v>22255</v>
      </c>
      <c r="K74">
        <v>0</v>
      </c>
      <c r="L74">
        <v>13895.6</v>
      </c>
      <c r="M74">
        <v>419</v>
      </c>
      <c r="N74">
        <v>473.51063829787233</v>
      </c>
      <c r="O74">
        <v>473.51063829787233</v>
      </c>
      <c r="P74">
        <v>0</v>
      </c>
      <c r="Q74">
        <v>295.65106382978723</v>
      </c>
      <c r="R74">
        <v>8.914893617021276</v>
      </c>
      <c r="S74">
        <v>25</v>
      </c>
      <c r="T74">
        <v>0</v>
      </c>
      <c r="U74">
        <v>48.159574468085104</v>
      </c>
      <c r="V74">
        <v>10</v>
      </c>
      <c r="W74">
        <v>8.5</v>
      </c>
      <c r="X74">
        <v>0</v>
      </c>
      <c r="Y74">
        <v>0.98159574468085098</v>
      </c>
      <c r="Z74">
        <v>0.6243810379689958</v>
      </c>
      <c r="AA74">
        <v>0.91659574468085114</v>
      </c>
      <c r="AB74" t="s">
        <v>896</v>
      </c>
      <c r="AH74">
        <v>0</v>
      </c>
    </row>
    <row r="75" spans="1:34" x14ac:dyDescent="0.2">
      <c r="A75" s="56">
        <v>46040</v>
      </c>
      <c r="B75" t="s">
        <v>45</v>
      </c>
      <c r="D75" t="s">
        <v>165</v>
      </c>
      <c r="E75">
        <v>48</v>
      </c>
      <c r="F75">
        <v>48</v>
      </c>
      <c r="G75">
        <v>0</v>
      </c>
      <c r="I75">
        <v>25174</v>
      </c>
      <c r="J75">
        <v>25174</v>
      </c>
      <c r="K75">
        <v>0</v>
      </c>
      <c r="L75">
        <v>15104.4</v>
      </c>
      <c r="M75">
        <v>506</v>
      </c>
      <c r="N75">
        <v>524.45833333333337</v>
      </c>
      <c r="O75">
        <v>524.45833333333337</v>
      </c>
      <c r="P75">
        <v>0</v>
      </c>
      <c r="Q75">
        <v>314.67500000000001</v>
      </c>
      <c r="R75">
        <v>10.541666666666666</v>
      </c>
      <c r="S75">
        <v>24.791666666666668</v>
      </c>
      <c r="T75">
        <v>0</v>
      </c>
      <c r="U75">
        <v>46.020833333333329</v>
      </c>
      <c r="V75">
        <v>10</v>
      </c>
      <c r="W75">
        <v>8.5</v>
      </c>
      <c r="X75">
        <v>0</v>
      </c>
      <c r="Y75">
        <v>0.95604166666666668</v>
      </c>
      <c r="Z75">
        <v>0.6</v>
      </c>
      <c r="AA75">
        <v>0.89312499999999995</v>
      </c>
      <c r="AB75" t="s">
        <v>895</v>
      </c>
      <c r="AH75">
        <v>22</v>
      </c>
    </row>
    <row r="76" spans="1:34" x14ac:dyDescent="0.2">
      <c r="A76" s="56">
        <v>46039</v>
      </c>
      <c r="B76" t="s">
        <v>45</v>
      </c>
      <c r="D76" t="s">
        <v>656</v>
      </c>
      <c r="E76">
        <v>30</v>
      </c>
      <c r="F76">
        <v>29</v>
      </c>
      <c r="G76">
        <v>1</v>
      </c>
      <c r="H76" t="s">
        <v>930</v>
      </c>
      <c r="I76">
        <v>12474</v>
      </c>
      <c r="J76">
        <v>12474</v>
      </c>
      <c r="K76">
        <v>0</v>
      </c>
      <c r="L76">
        <v>7639</v>
      </c>
      <c r="M76">
        <v>235</v>
      </c>
      <c r="N76">
        <v>430.13793103448273</v>
      </c>
      <c r="O76">
        <v>430.13793103448273</v>
      </c>
      <c r="P76">
        <v>0</v>
      </c>
      <c r="Q76">
        <v>263.41379310344826</v>
      </c>
      <c r="R76">
        <v>8.1034482758620694</v>
      </c>
      <c r="S76">
        <v>24.96551724137931</v>
      </c>
      <c r="T76">
        <v>0</v>
      </c>
      <c r="U76">
        <v>47.96551724137931</v>
      </c>
      <c r="V76">
        <v>10</v>
      </c>
      <c r="W76">
        <v>8.5</v>
      </c>
      <c r="X76">
        <v>0</v>
      </c>
      <c r="Y76">
        <v>0.97896551724137926</v>
      </c>
      <c r="Z76">
        <v>0.61239377906044568</v>
      </c>
      <c r="AA76">
        <v>0.91431034482758622</v>
      </c>
      <c r="AB76" t="s">
        <v>894</v>
      </c>
      <c r="AH76">
        <v>0</v>
      </c>
    </row>
    <row r="77" spans="1:34" x14ac:dyDescent="0.2">
      <c r="A77" s="56">
        <v>46037</v>
      </c>
      <c r="B77" t="s">
        <v>45</v>
      </c>
      <c r="D77" t="s">
        <v>757</v>
      </c>
      <c r="E77">
        <v>77</v>
      </c>
      <c r="F77">
        <v>74</v>
      </c>
      <c r="G77">
        <v>3</v>
      </c>
      <c r="H77" t="s">
        <v>942</v>
      </c>
      <c r="I77">
        <v>44000</v>
      </c>
      <c r="J77">
        <v>44000</v>
      </c>
      <c r="K77">
        <v>0</v>
      </c>
      <c r="L77">
        <v>26462.7</v>
      </c>
      <c r="M77">
        <v>729</v>
      </c>
      <c r="N77">
        <v>594.59459459459458</v>
      </c>
      <c r="O77">
        <v>594.59459459459458</v>
      </c>
      <c r="P77">
        <v>0</v>
      </c>
      <c r="Q77">
        <v>357.60405405405407</v>
      </c>
      <c r="R77">
        <v>9.8513513513513509</v>
      </c>
      <c r="S77">
        <v>24.932432432432432</v>
      </c>
      <c r="T77">
        <v>0</v>
      </c>
      <c r="U77">
        <v>46.756756756756751</v>
      </c>
      <c r="V77">
        <v>10</v>
      </c>
      <c r="W77">
        <v>8.5</v>
      </c>
      <c r="X77">
        <v>0</v>
      </c>
      <c r="Y77">
        <v>0.96621621621621612</v>
      </c>
      <c r="Z77">
        <v>0.60142499999999999</v>
      </c>
      <c r="AA77">
        <v>0.90189189189189178</v>
      </c>
      <c r="AB77" t="s">
        <v>893</v>
      </c>
      <c r="AH77">
        <v>31</v>
      </c>
    </row>
    <row r="78" spans="1:34" x14ac:dyDescent="0.2">
      <c r="A78" s="56">
        <v>46036</v>
      </c>
      <c r="B78" t="s">
        <v>45</v>
      </c>
      <c r="D78" t="s">
        <v>656</v>
      </c>
      <c r="E78">
        <v>52</v>
      </c>
      <c r="F78">
        <v>52</v>
      </c>
      <c r="G78">
        <v>0</v>
      </c>
      <c r="I78">
        <v>22566</v>
      </c>
      <c r="J78">
        <v>22566</v>
      </c>
      <c r="K78">
        <v>0</v>
      </c>
      <c r="L78">
        <v>13697.1</v>
      </c>
      <c r="M78">
        <v>398</v>
      </c>
      <c r="N78">
        <v>433.96153846153845</v>
      </c>
      <c r="O78">
        <v>433.96153846153845</v>
      </c>
      <c r="P78">
        <v>0</v>
      </c>
      <c r="Q78">
        <v>263.40576923076924</v>
      </c>
      <c r="R78">
        <v>7.6538461538461542</v>
      </c>
      <c r="S78">
        <v>25</v>
      </c>
      <c r="T78">
        <v>0</v>
      </c>
      <c r="U78">
        <v>48.653846153846146</v>
      </c>
      <c r="V78">
        <v>10</v>
      </c>
      <c r="W78">
        <v>8.5</v>
      </c>
      <c r="X78">
        <v>0</v>
      </c>
      <c r="Y78">
        <v>0.98653846153846148</v>
      </c>
      <c r="Z78">
        <v>0.60697952672161659</v>
      </c>
      <c r="AA78">
        <v>0.92153846153846142</v>
      </c>
      <c r="AB78" t="s">
        <v>822</v>
      </c>
      <c r="AH78">
        <v>0</v>
      </c>
    </row>
    <row r="79" spans="1:34" x14ac:dyDescent="0.2">
      <c r="A79" s="56">
        <v>46035</v>
      </c>
      <c r="B79" t="s">
        <v>45</v>
      </c>
      <c r="D79" t="s">
        <v>462</v>
      </c>
      <c r="E79">
        <v>23</v>
      </c>
      <c r="F79">
        <v>23</v>
      </c>
      <c r="G79">
        <v>0</v>
      </c>
      <c r="I79">
        <v>12401.26582278481</v>
      </c>
      <c r="J79">
        <v>12401.26582278481</v>
      </c>
      <c r="K79">
        <v>0</v>
      </c>
      <c r="L79">
        <v>7837.6</v>
      </c>
      <c r="M79">
        <v>0</v>
      </c>
      <c r="N79">
        <v>539.18547055586134</v>
      </c>
      <c r="O79">
        <v>539.18547055586134</v>
      </c>
      <c r="P79">
        <v>0</v>
      </c>
      <c r="Q79">
        <v>340.76521739130436</v>
      </c>
      <c r="R79">
        <v>0</v>
      </c>
      <c r="S79">
        <v>25</v>
      </c>
      <c r="T79">
        <v>4</v>
      </c>
      <c r="U79">
        <v>45.652173913043477</v>
      </c>
      <c r="V79">
        <v>10</v>
      </c>
      <c r="W79">
        <v>8.5</v>
      </c>
      <c r="X79">
        <v>0</v>
      </c>
      <c r="Y79">
        <v>0.95652173913043481</v>
      </c>
      <c r="Z79">
        <v>0.63200000000000001</v>
      </c>
      <c r="AA79">
        <v>0.93152173913043468</v>
      </c>
      <c r="AB79" t="s">
        <v>890</v>
      </c>
      <c r="AH79">
        <v>13</v>
      </c>
    </row>
    <row r="80" spans="1:34" x14ac:dyDescent="0.2">
      <c r="A80" s="56">
        <v>46035</v>
      </c>
      <c r="B80" t="s">
        <v>45</v>
      </c>
      <c r="D80" t="s">
        <v>46</v>
      </c>
      <c r="E80">
        <v>30</v>
      </c>
      <c r="F80">
        <v>29</v>
      </c>
      <c r="G80">
        <v>1</v>
      </c>
      <c r="H80" t="s">
        <v>924</v>
      </c>
      <c r="I80">
        <v>14312</v>
      </c>
      <c r="J80">
        <v>14312</v>
      </c>
      <c r="K80">
        <v>0</v>
      </c>
      <c r="L80">
        <v>8587.4</v>
      </c>
      <c r="M80">
        <v>298</v>
      </c>
      <c r="N80">
        <v>493.51724137931035</v>
      </c>
      <c r="O80">
        <v>493.51724137931035</v>
      </c>
      <c r="P80">
        <v>0</v>
      </c>
      <c r="Q80">
        <v>296.11724137931031</v>
      </c>
      <c r="R80">
        <v>10.275862068965518</v>
      </c>
      <c r="S80">
        <v>24.827586206896552</v>
      </c>
      <c r="T80">
        <v>0</v>
      </c>
      <c r="U80">
        <v>46.827586206896555</v>
      </c>
      <c r="V80">
        <v>10</v>
      </c>
      <c r="W80">
        <v>8.5</v>
      </c>
      <c r="X80">
        <v>0</v>
      </c>
      <c r="Y80">
        <v>0.96482758620689657</v>
      </c>
      <c r="Z80">
        <v>0.60001397428731129</v>
      </c>
      <c r="AA80">
        <v>0.90155172413793105</v>
      </c>
      <c r="AB80" t="s">
        <v>889</v>
      </c>
      <c r="AH80">
        <v>4</v>
      </c>
    </row>
    <row r="81" spans="1:34" x14ac:dyDescent="0.2">
      <c r="A81" s="56">
        <v>46034</v>
      </c>
      <c r="B81" t="s">
        <v>45</v>
      </c>
      <c r="D81" t="s">
        <v>165</v>
      </c>
      <c r="E81">
        <v>56</v>
      </c>
      <c r="F81">
        <v>56</v>
      </c>
      <c r="G81">
        <v>0</v>
      </c>
      <c r="I81">
        <v>27900</v>
      </c>
      <c r="J81">
        <v>27900</v>
      </c>
      <c r="K81">
        <v>0</v>
      </c>
      <c r="L81">
        <v>16740.099999999999</v>
      </c>
      <c r="M81">
        <v>493</v>
      </c>
      <c r="N81">
        <v>498.21428571428572</v>
      </c>
      <c r="O81">
        <v>498.21428571428572</v>
      </c>
      <c r="P81">
        <v>0</v>
      </c>
      <c r="Q81">
        <v>298.93035714285713</v>
      </c>
      <c r="R81">
        <v>8.8035714285714288</v>
      </c>
      <c r="S81">
        <v>24.267857142857142</v>
      </c>
      <c r="T81">
        <v>0</v>
      </c>
      <c r="U81">
        <v>48.553571428571431</v>
      </c>
      <c r="V81">
        <v>10</v>
      </c>
      <c r="W81">
        <v>8.5</v>
      </c>
      <c r="X81">
        <v>0</v>
      </c>
      <c r="Y81">
        <v>0.97089285714285711</v>
      </c>
      <c r="Z81">
        <v>0.6000035842293906</v>
      </c>
      <c r="AA81">
        <v>0.91321428571428565</v>
      </c>
      <c r="AB81" t="s">
        <v>888</v>
      </c>
      <c r="AH81">
        <v>33</v>
      </c>
    </row>
    <row r="82" spans="1:34" x14ac:dyDescent="0.2">
      <c r="A82" s="56">
        <v>46033</v>
      </c>
      <c r="B82" t="s">
        <v>45</v>
      </c>
      <c r="D82" t="s">
        <v>656</v>
      </c>
      <c r="E82">
        <v>56</v>
      </c>
      <c r="F82">
        <v>55</v>
      </c>
      <c r="G82">
        <v>1</v>
      </c>
      <c r="H82" t="s">
        <v>924</v>
      </c>
      <c r="I82">
        <v>23743</v>
      </c>
      <c r="J82">
        <v>23743</v>
      </c>
      <c r="K82">
        <v>0</v>
      </c>
      <c r="L82">
        <v>14603.9</v>
      </c>
      <c r="M82">
        <v>406</v>
      </c>
      <c r="N82">
        <v>431.69090909090909</v>
      </c>
      <c r="O82">
        <v>431.69090909090909</v>
      </c>
      <c r="P82">
        <v>0</v>
      </c>
      <c r="Q82">
        <v>265.52545454545452</v>
      </c>
      <c r="R82">
        <v>7.3818181818181818</v>
      </c>
      <c r="S82">
        <v>25</v>
      </c>
      <c r="T82">
        <v>0</v>
      </c>
      <c r="U82">
        <v>48.63636363636364</v>
      </c>
      <c r="V82">
        <v>10</v>
      </c>
      <c r="W82">
        <v>8.5</v>
      </c>
      <c r="X82">
        <v>0</v>
      </c>
      <c r="Y82">
        <v>0.98636363636363633</v>
      </c>
      <c r="Z82">
        <v>0.61508234005812235</v>
      </c>
      <c r="AA82">
        <v>0.92136363636363638</v>
      </c>
      <c r="AB82" t="s">
        <v>887</v>
      </c>
      <c r="AH82">
        <v>0</v>
      </c>
    </row>
    <row r="83" spans="1:34" x14ac:dyDescent="0.2">
      <c r="A83" s="56">
        <v>46032</v>
      </c>
      <c r="B83" t="s">
        <v>45</v>
      </c>
      <c r="D83" t="s">
        <v>165</v>
      </c>
      <c r="E83">
        <v>36</v>
      </c>
      <c r="F83">
        <v>35</v>
      </c>
      <c r="G83">
        <v>1</v>
      </c>
      <c r="H83" t="s">
        <v>928</v>
      </c>
      <c r="I83">
        <v>17927</v>
      </c>
      <c r="J83">
        <v>17927</v>
      </c>
      <c r="K83">
        <v>0</v>
      </c>
      <c r="L83">
        <v>10756</v>
      </c>
      <c r="M83">
        <v>341</v>
      </c>
      <c r="N83">
        <v>512.20000000000005</v>
      </c>
      <c r="O83">
        <v>512.20000000000005</v>
      </c>
      <c r="P83">
        <v>0</v>
      </c>
      <c r="Q83">
        <v>307.31428571428569</v>
      </c>
      <c r="R83">
        <v>9.742857142857142</v>
      </c>
      <c r="S83">
        <v>24.428571428571431</v>
      </c>
      <c r="T83">
        <v>0</v>
      </c>
      <c r="U83">
        <v>46.057142857142857</v>
      </c>
      <c r="V83">
        <v>10</v>
      </c>
      <c r="W83">
        <v>8.5</v>
      </c>
      <c r="X83">
        <v>0</v>
      </c>
      <c r="Y83">
        <v>0.94914285714285718</v>
      </c>
      <c r="Z83">
        <v>0.599988843643666</v>
      </c>
      <c r="AA83">
        <v>0.8898571428571429</v>
      </c>
      <c r="AB83" t="s">
        <v>886</v>
      </c>
      <c r="AH83">
        <v>17</v>
      </c>
    </row>
    <row r="84" spans="1:34" x14ac:dyDescent="0.2">
      <c r="A84" s="56">
        <v>46030</v>
      </c>
      <c r="B84" t="s">
        <v>45</v>
      </c>
      <c r="D84" t="s">
        <v>916</v>
      </c>
      <c r="E84">
        <v>32</v>
      </c>
      <c r="F84">
        <v>30</v>
      </c>
      <c r="G84">
        <v>2</v>
      </c>
      <c r="H84" t="s">
        <v>927</v>
      </c>
      <c r="I84">
        <v>15125.949367088608</v>
      </c>
      <c r="J84">
        <v>15125.949367088608</v>
      </c>
      <c r="K84">
        <v>0</v>
      </c>
      <c r="L84">
        <v>9559.6</v>
      </c>
      <c r="M84">
        <v>0</v>
      </c>
      <c r="N84">
        <v>504.19831223628694</v>
      </c>
      <c r="O84">
        <v>504.19831223628694</v>
      </c>
      <c r="P84">
        <v>0</v>
      </c>
      <c r="Q84">
        <v>318.65333333333336</v>
      </c>
      <c r="R84">
        <v>0</v>
      </c>
      <c r="S84">
        <v>24.333333333333336</v>
      </c>
      <c r="T84">
        <v>4</v>
      </c>
      <c r="U84">
        <v>45.333333333333336</v>
      </c>
      <c r="V84">
        <v>10</v>
      </c>
      <c r="W84">
        <v>8.5</v>
      </c>
      <c r="X84">
        <v>0</v>
      </c>
      <c r="Y84">
        <v>0.94000000000000006</v>
      </c>
      <c r="Z84">
        <v>0.63200000000000001</v>
      </c>
      <c r="AA84">
        <v>0.92166666666666675</v>
      </c>
      <c r="AB84" t="s">
        <v>917</v>
      </c>
      <c r="AH84">
        <v>16</v>
      </c>
    </row>
    <row r="85" spans="1:34" x14ac:dyDescent="0.2">
      <c r="A85" s="56">
        <v>46030</v>
      </c>
      <c r="B85" t="s">
        <v>45</v>
      </c>
      <c r="D85" t="s">
        <v>46</v>
      </c>
      <c r="E85">
        <v>50</v>
      </c>
      <c r="F85">
        <v>50</v>
      </c>
      <c r="G85">
        <v>0</v>
      </c>
      <c r="I85">
        <v>25493</v>
      </c>
      <c r="J85">
        <v>25493</v>
      </c>
      <c r="K85">
        <v>0</v>
      </c>
      <c r="L85">
        <v>15295.6</v>
      </c>
      <c r="M85">
        <v>496</v>
      </c>
      <c r="N85">
        <v>509.86</v>
      </c>
      <c r="O85">
        <v>509.86</v>
      </c>
      <c r="P85">
        <v>0</v>
      </c>
      <c r="Q85">
        <v>305.91200000000003</v>
      </c>
      <c r="R85">
        <v>9.92</v>
      </c>
      <c r="S85">
        <v>24.6</v>
      </c>
      <c r="T85">
        <v>0</v>
      </c>
      <c r="U85">
        <v>49.6</v>
      </c>
      <c r="V85">
        <v>10</v>
      </c>
      <c r="W85">
        <v>8.5</v>
      </c>
      <c r="X85">
        <v>0</v>
      </c>
      <c r="Y85">
        <v>0.98799999999999999</v>
      </c>
      <c r="Z85">
        <v>0.59999215470913581</v>
      </c>
      <c r="AA85">
        <v>0.92700000000000005</v>
      </c>
      <c r="AB85" t="s">
        <v>97</v>
      </c>
      <c r="AH85">
        <v>17</v>
      </c>
    </row>
    <row r="86" spans="1:34" x14ac:dyDescent="0.2">
      <c r="A86" s="56">
        <v>46029</v>
      </c>
      <c r="B86" t="s">
        <v>45</v>
      </c>
      <c r="D86" t="s">
        <v>656</v>
      </c>
      <c r="E86">
        <v>64</v>
      </c>
      <c r="F86">
        <v>63</v>
      </c>
      <c r="G86">
        <v>1</v>
      </c>
      <c r="H86" t="s">
        <v>924</v>
      </c>
      <c r="I86">
        <v>27877</v>
      </c>
      <c r="J86">
        <v>27877</v>
      </c>
      <c r="K86">
        <v>0</v>
      </c>
      <c r="L86">
        <v>17031.599999999999</v>
      </c>
      <c r="M86">
        <v>474</v>
      </c>
      <c r="N86">
        <v>442.49206349206349</v>
      </c>
      <c r="O86">
        <v>442.49206349206349</v>
      </c>
      <c r="P86">
        <v>0</v>
      </c>
      <c r="Q86">
        <v>270.3428571428571</v>
      </c>
      <c r="R86">
        <v>7.5238095238095237</v>
      </c>
      <c r="S86">
        <v>25</v>
      </c>
      <c r="T86">
        <v>0</v>
      </c>
      <c r="U86">
        <v>47.857142857142854</v>
      </c>
      <c r="V86">
        <v>10</v>
      </c>
      <c r="W86">
        <v>8.5</v>
      </c>
      <c r="X86">
        <v>0</v>
      </c>
      <c r="Y86">
        <v>0.97857142857142854</v>
      </c>
      <c r="Z86">
        <v>0.61095526778347742</v>
      </c>
      <c r="AA86">
        <v>0.91357142857142859</v>
      </c>
      <c r="AB86" t="s">
        <v>914</v>
      </c>
      <c r="AH86">
        <v>0</v>
      </c>
    </row>
    <row r="87" spans="1:34" x14ac:dyDescent="0.2">
      <c r="A87" s="56">
        <v>46028</v>
      </c>
      <c r="B87" t="s">
        <v>45</v>
      </c>
      <c r="D87" t="s">
        <v>43</v>
      </c>
      <c r="E87">
        <v>69</v>
      </c>
      <c r="F87">
        <v>50</v>
      </c>
      <c r="G87">
        <v>19</v>
      </c>
      <c r="H87" t="s">
        <v>923</v>
      </c>
      <c r="I87">
        <v>24093</v>
      </c>
      <c r="J87">
        <v>24093</v>
      </c>
      <c r="K87">
        <v>0</v>
      </c>
      <c r="L87">
        <v>14455.7</v>
      </c>
      <c r="M87">
        <v>481</v>
      </c>
      <c r="N87">
        <v>481.86</v>
      </c>
      <c r="O87">
        <v>481.86</v>
      </c>
      <c r="P87">
        <v>0</v>
      </c>
      <c r="Q87">
        <v>289.11400000000003</v>
      </c>
      <c r="R87">
        <v>9.6199999999999992</v>
      </c>
      <c r="S87">
        <v>24.3</v>
      </c>
      <c r="T87">
        <v>0</v>
      </c>
      <c r="U87">
        <v>43.3</v>
      </c>
      <c r="V87">
        <v>10</v>
      </c>
      <c r="W87">
        <v>8.5</v>
      </c>
      <c r="X87">
        <v>0</v>
      </c>
      <c r="Y87">
        <v>0.91900000000000004</v>
      </c>
      <c r="Z87">
        <v>0.59999584941684314</v>
      </c>
      <c r="AA87">
        <v>0.86099999999999999</v>
      </c>
      <c r="AB87" t="s">
        <v>913</v>
      </c>
      <c r="AH87">
        <v>22</v>
      </c>
    </row>
    <row r="88" spans="1:34" x14ac:dyDescent="0.2">
      <c r="A88" s="56">
        <v>46027</v>
      </c>
      <c r="B88" t="s">
        <v>45</v>
      </c>
      <c r="D88" t="s">
        <v>815</v>
      </c>
      <c r="E88">
        <v>62</v>
      </c>
      <c r="F88">
        <v>62</v>
      </c>
      <c r="G88">
        <v>0</v>
      </c>
      <c r="I88">
        <v>31087</v>
      </c>
      <c r="J88">
        <v>30260</v>
      </c>
      <c r="K88">
        <v>827</v>
      </c>
      <c r="L88">
        <v>19500.099999999999</v>
      </c>
      <c r="M88">
        <v>599</v>
      </c>
      <c r="N88">
        <v>501.40322580645159</v>
      </c>
      <c r="O88">
        <v>488.06451612903226</v>
      </c>
      <c r="P88">
        <v>13.338709677419354</v>
      </c>
      <c r="Q88">
        <v>314.51774193548385</v>
      </c>
      <c r="R88">
        <v>9.6612903225806459</v>
      </c>
      <c r="S88">
        <v>24.983870967741936</v>
      </c>
      <c r="T88">
        <v>0</v>
      </c>
      <c r="U88">
        <v>48.112903225806456</v>
      </c>
      <c r="V88">
        <v>10</v>
      </c>
      <c r="W88">
        <v>8.5</v>
      </c>
      <c r="X88">
        <v>2.6602759996139865E-2</v>
      </c>
      <c r="Y88">
        <v>0.98080645161290336</v>
      </c>
      <c r="Z88">
        <v>0.62727506674815836</v>
      </c>
      <c r="AA88">
        <v>0.9159677419354838</v>
      </c>
      <c r="AB88" t="s">
        <v>912</v>
      </c>
      <c r="AH88">
        <v>0</v>
      </c>
    </row>
    <row r="89" spans="1:34" x14ac:dyDescent="0.2">
      <c r="A89" s="56">
        <v>46026</v>
      </c>
      <c r="B89" t="s">
        <v>45</v>
      </c>
      <c r="D89" t="s">
        <v>165</v>
      </c>
      <c r="E89">
        <v>64</v>
      </c>
      <c r="F89">
        <v>62</v>
      </c>
      <c r="G89">
        <v>2</v>
      </c>
      <c r="H89" t="s">
        <v>922</v>
      </c>
      <c r="I89">
        <v>33868</v>
      </c>
      <c r="J89">
        <v>33868</v>
      </c>
      <c r="K89">
        <v>0</v>
      </c>
      <c r="L89">
        <v>20320.7</v>
      </c>
      <c r="M89">
        <v>681</v>
      </c>
      <c r="N89">
        <v>546.25806451612902</v>
      </c>
      <c r="O89">
        <v>546.25806451612902</v>
      </c>
      <c r="P89">
        <v>0</v>
      </c>
      <c r="Q89">
        <v>327.75322580645161</v>
      </c>
      <c r="R89">
        <v>10.983870967741936</v>
      </c>
      <c r="S89">
        <v>23.70967741935484</v>
      </c>
      <c r="T89">
        <v>0</v>
      </c>
      <c r="U89">
        <v>47.354838709677416</v>
      </c>
      <c r="V89">
        <v>10</v>
      </c>
      <c r="W89">
        <v>8.5</v>
      </c>
      <c r="X89">
        <v>0</v>
      </c>
      <c r="Y89">
        <v>0.94774193548387098</v>
      </c>
      <c r="Z89">
        <v>0.59999704736034021</v>
      </c>
      <c r="AA89">
        <v>0.89564516129032257</v>
      </c>
      <c r="AB89" t="s">
        <v>910</v>
      </c>
      <c r="AH89">
        <v>51</v>
      </c>
    </row>
    <row r="90" spans="1:34" x14ac:dyDescent="0.2">
      <c r="A90" s="56">
        <v>46025</v>
      </c>
      <c r="B90" t="s">
        <v>45</v>
      </c>
      <c r="D90" t="s">
        <v>43</v>
      </c>
      <c r="E90">
        <v>54</v>
      </c>
      <c r="F90">
        <v>54</v>
      </c>
      <c r="G90">
        <v>0</v>
      </c>
      <c r="I90">
        <v>28115</v>
      </c>
      <c r="J90">
        <v>28115</v>
      </c>
      <c r="K90">
        <v>0</v>
      </c>
      <c r="L90">
        <v>16868.5</v>
      </c>
      <c r="M90">
        <v>608</v>
      </c>
      <c r="N90">
        <v>520.64814814814815</v>
      </c>
      <c r="O90">
        <v>520.64814814814815</v>
      </c>
      <c r="P90">
        <v>0</v>
      </c>
      <c r="Q90">
        <v>312.37962962962962</v>
      </c>
      <c r="R90">
        <v>11.25925925925926</v>
      </c>
      <c r="S90">
        <v>24.537037037037042</v>
      </c>
      <c r="T90">
        <v>0</v>
      </c>
      <c r="U90">
        <v>49.018518518518512</v>
      </c>
      <c r="V90">
        <v>10</v>
      </c>
      <c r="W90">
        <v>8.5</v>
      </c>
      <c r="X90">
        <v>0</v>
      </c>
      <c r="Y90">
        <v>0.98092592592592598</v>
      </c>
      <c r="Z90">
        <v>0.59998221589898626</v>
      </c>
      <c r="AA90">
        <v>0.92055555555555557</v>
      </c>
      <c r="AB90" t="s">
        <v>170</v>
      </c>
      <c r="AH90">
        <v>21</v>
      </c>
    </row>
    <row r="91" spans="1:34" x14ac:dyDescent="0.2">
      <c r="A91" s="56">
        <v>46023</v>
      </c>
      <c r="B91" t="s">
        <v>45</v>
      </c>
      <c r="D91" t="s">
        <v>46</v>
      </c>
      <c r="E91">
        <v>30</v>
      </c>
      <c r="F91">
        <v>30</v>
      </c>
      <c r="G91">
        <v>0</v>
      </c>
      <c r="I91">
        <v>17076</v>
      </c>
      <c r="J91">
        <v>17076</v>
      </c>
      <c r="K91">
        <v>0</v>
      </c>
      <c r="L91">
        <v>10245.6</v>
      </c>
      <c r="M91">
        <v>382</v>
      </c>
      <c r="N91">
        <v>569.20000000000005</v>
      </c>
      <c r="O91">
        <v>569.20000000000005</v>
      </c>
      <c r="P91">
        <v>0</v>
      </c>
      <c r="Q91">
        <v>341.52000000000004</v>
      </c>
      <c r="R91">
        <v>12.733333333333333</v>
      </c>
      <c r="S91">
        <v>24.333333333333336</v>
      </c>
      <c r="T91">
        <v>0</v>
      </c>
      <c r="U91">
        <v>48.633333333333333</v>
      </c>
      <c r="V91">
        <v>10</v>
      </c>
      <c r="W91">
        <v>8.5</v>
      </c>
      <c r="X91">
        <v>0</v>
      </c>
      <c r="Y91">
        <v>0.97300000000000009</v>
      </c>
      <c r="Z91">
        <v>0.6</v>
      </c>
      <c r="AA91">
        <v>0.91466666666666674</v>
      </c>
      <c r="AB91" t="s">
        <v>883</v>
      </c>
      <c r="AH91">
        <v>11</v>
      </c>
    </row>
    <row r="92" spans="1:34" x14ac:dyDescent="0.2">
      <c r="A92" s="56">
        <v>46023</v>
      </c>
      <c r="B92" t="s">
        <v>45</v>
      </c>
      <c r="D92" t="s">
        <v>884</v>
      </c>
      <c r="E92">
        <v>51</v>
      </c>
      <c r="F92">
        <v>50</v>
      </c>
      <c r="G92">
        <v>1</v>
      </c>
      <c r="H92" t="s">
        <v>920</v>
      </c>
      <c r="I92">
        <v>23255</v>
      </c>
      <c r="J92">
        <v>23255</v>
      </c>
      <c r="K92">
        <v>0</v>
      </c>
      <c r="L92">
        <v>14075.6</v>
      </c>
      <c r="M92">
        <v>336</v>
      </c>
      <c r="N92">
        <v>465.1</v>
      </c>
      <c r="O92">
        <v>465.1</v>
      </c>
      <c r="P92">
        <v>0</v>
      </c>
      <c r="Q92">
        <v>281.512</v>
      </c>
      <c r="R92">
        <v>6.72</v>
      </c>
      <c r="S92">
        <v>25</v>
      </c>
      <c r="T92">
        <v>0</v>
      </c>
      <c r="U92">
        <v>48.860000000000007</v>
      </c>
      <c r="V92">
        <v>10</v>
      </c>
      <c r="W92">
        <v>8.5</v>
      </c>
      <c r="X92">
        <v>0</v>
      </c>
      <c r="Y92">
        <v>0.98860000000000015</v>
      </c>
      <c r="Z92">
        <v>0.60527198451945818</v>
      </c>
      <c r="AA92">
        <v>0.92360000000000009</v>
      </c>
      <c r="AB92" t="s">
        <v>885</v>
      </c>
      <c r="AH92">
        <v>1</v>
      </c>
    </row>
  </sheetData>
  <pageMargins left="0.7" right="0.7" top="0.75" bottom="0.75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1735003-4C78-44E0-A6D0-D8A73310D989}">
  <dimension ref="A1:E13"/>
  <sheetViews>
    <sheetView workbookViewId="0">
      <selection activeCell="B6" sqref="B6"/>
    </sheetView>
  </sheetViews>
  <sheetFormatPr defaultRowHeight="15" x14ac:dyDescent="0.2"/>
  <cols>
    <col min="1" max="1" width="13.85546875" bestFit="1" customWidth="1"/>
    <col min="2" max="2" width="16.41015625" bestFit="1" customWidth="1"/>
    <col min="3" max="3" width="5.78125" bestFit="1" customWidth="1"/>
    <col min="4" max="4" width="5.91796875" bestFit="1" customWidth="1"/>
    <col min="5" max="6" width="10.76171875" bestFit="1" customWidth="1"/>
  </cols>
  <sheetData>
    <row r="1" spans="1:5" x14ac:dyDescent="0.2">
      <c r="A1" s="31" t="s">
        <v>1022</v>
      </c>
      <c r="B1" t="s">
        <v>3154</v>
      </c>
    </row>
    <row r="3" spans="1:5" x14ac:dyDescent="0.2">
      <c r="A3" s="31" t="s">
        <v>938</v>
      </c>
      <c r="B3" s="31" t="s">
        <v>3146</v>
      </c>
    </row>
    <row r="4" spans="1:5" x14ac:dyDescent="0.2">
      <c r="A4" s="31" t="s">
        <v>936</v>
      </c>
      <c r="B4" t="s">
        <v>441</v>
      </c>
      <c r="C4" t="s">
        <v>45</v>
      </c>
      <c r="D4" t="s">
        <v>294</v>
      </c>
      <c r="E4" t="s">
        <v>937</v>
      </c>
    </row>
    <row r="5" spans="1:5" x14ac:dyDescent="0.2">
      <c r="A5" s="9" t="s">
        <v>3147</v>
      </c>
      <c r="C5">
        <v>2050</v>
      </c>
      <c r="D5">
        <v>934</v>
      </c>
      <c r="E5">
        <v>2984</v>
      </c>
    </row>
    <row r="6" spans="1:5" x14ac:dyDescent="0.2">
      <c r="A6" s="9" t="s">
        <v>3148</v>
      </c>
      <c r="C6">
        <v>5386</v>
      </c>
      <c r="D6">
        <v>809</v>
      </c>
      <c r="E6">
        <v>6195</v>
      </c>
    </row>
    <row r="7" spans="1:5" x14ac:dyDescent="0.2">
      <c r="A7" s="9" t="s">
        <v>3149</v>
      </c>
      <c r="C7">
        <v>5599</v>
      </c>
      <c r="D7">
        <v>1197</v>
      </c>
      <c r="E7">
        <v>6796</v>
      </c>
    </row>
    <row r="8" spans="1:5" x14ac:dyDescent="0.2">
      <c r="A8" s="9" t="s">
        <v>3150</v>
      </c>
      <c r="B8">
        <v>3</v>
      </c>
      <c r="C8">
        <v>5219</v>
      </c>
      <c r="D8">
        <v>1180</v>
      </c>
      <c r="E8">
        <v>6402</v>
      </c>
    </row>
    <row r="9" spans="1:5" x14ac:dyDescent="0.2">
      <c r="A9" s="9" t="s">
        <v>3151</v>
      </c>
      <c r="C9">
        <v>7014</v>
      </c>
      <c r="D9">
        <v>768</v>
      </c>
      <c r="E9">
        <v>7782</v>
      </c>
    </row>
    <row r="10" spans="1:5" x14ac:dyDescent="0.2">
      <c r="A10" s="9" t="s">
        <v>3152</v>
      </c>
      <c r="C10">
        <v>7617</v>
      </c>
      <c r="D10">
        <v>753</v>
      </c>
      <c r="E10">
        <v>8370</v>
      </c>
    </row>
    <row r="11" spans="1:5" x14ac:dyDescent="0.2">
      <c r="A11" s="9" t="s">
        <v>3153</v>
      </c>
      <c r="C11">
        <v>9840</v>
      </c>
      <c r="D11">
        <v>4179</v>
      </c>
      <c r="E11">
        <v>14019</v>
      </c>
    </row>
    <row r="12" spans="1:5" x14ac:dyDescent="0.2">
      <c r="A12" s="9" t="s">
        <v>940</v>
      </c>
      <c r="C12">
        <v>5094</v>
      </c>
      <c r="D12">
        <v>2405</v>
      </c>
      <c r="E12">
        <v>7499</v>
      </c>
    </row>
    <row r="13" spans="1:5" x14ac:dyDescent="0.2">
      <c r="A13" s="9" t="s">
        <v>937</v>
      </c>
      <c r="B13">
        <v>3</v>
      </c>
      <c r="C13">
        <v>47819</v>
      </c>
      <c r="D13">
        <v>12225</v>
      </c>
      <c r="E13">
        <v>60047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409284-580A-4A22-8AA4-FD61388A6C11}">
  <dimension ref="A3:A28"/>
  <sheetViews>
    <sheetView topLeftCell="A10" workbookViewId="0">
      <selection activeCell="A14" sqref="A14"/>
    </sheetView>
  </sheetViews>
  <sheetFormatPr defaultRowHeight="15" x14ac:dyDescent="0.2"/>
  <cols>
    <col min="1" max="1" width="12.375" bestFit="1" customWidth="1"/>
  </cols>
  <sheetData>
    <row r="3" spans="1:1" x14ac:dyDescent="0.2">
      <c r="A3" s="31" t="s">
        <v>936</v>
      </c>
    </row>
    <row r="4" spans="1:1" x14ac:dyDescent="0.2">
      <c r="A4" s="9" t="s">
        <v>3157</v>
      </c>
    </row>
    <row r="5" spans="1:1" x14ac:dyDescent="0.2">
      <c r="A5" s="9" t="s">
        <v>3147</v>
      </c>
    </row>
    <row r="6" spans="1:1" x14ac:dyDescent="0.2">
      <c r="A6" s="9" t="s">
        <v>3148</v>
      </c>
    </row>
    <row r="7" spans="1:1" x14ac:dyDescent="0.2">
      <c r="A7" s="9" t="s">
        <v>3149</v>
      </c>
    </row>
    <row r="8" spans="1:1" x14ac:dyDescent="0.2">
      <c r="A8" s="9" t="s">
        <v>3150</v>
      </c>
    </row>
    <row r="9" spans="1:1" x14ac:dyDescent="0.2">
      <c r="A9" s="9" t="s">
        <v>3151</v>
      </c>
    </row>
    <row r="10" spans="1:1" x14ac:dyDescent="0.2">
      <c r="A10" s="9" t="s">
        <v>3152</v>
      </c>
    </row>
    <row r="11" spans="1:1" x14ac:dyDescent="0.2">
      <c r="A11" s="9" t="s">
        <v>3153</v>
      </c>
    </row>
    <row r="12" spans="1:1" x14ac:dyDescent="0.2">
      <c r="A12" s="58" t="s">
        <v>3158</v>
      </c>
    </row>
    <row r="13" spans="1:1" x14ac:dyDescent="0.2">
      <c r="A13" s="58" t="s">
        <v>3159</v>
      </c>
    </row>
    <row r="14" spans="1:1" x14ac:dyDescent="0.2">
      <c r="A14" s="58" t="s">
        <v>1075</v>
      </c>
    </row>
    <row r="15" spans="1:1" x14ac:dyDescent="0.2">
      <c r="A15" s="58" t="s">
        <v>3160</v>
      </c>
    </row>
    <row r="16" spans="1:1" x14ac:dyDescent="0.2">
      <c r="A16" s="58" t="s">
        <v>3161</v>
      </c>
    </row>
    <row r="17" spans="1:1" x14ac:dyDescent="0.2">
      <c r="A17" s="58" t="s">
        <v>3162</v>
      </c>
    </row>
    <row r="18" spans="1:1" x14ac:dyDescent="0.2">
      <c r="A18" s="58" t="s">
        <v>3163</v>
      </c>
    </row>
    <row r="19" spans="1:1" x14ac:dyDescent="0.2">
      <c r="A19" s="58" t="s">
        <v>3164</v>
      </c>
    </row>
    <row r="20" spans="1:1" x14ac:dyDescent="0.2">
      <c r="A20" s="58" t="s">
        <v>3165</v>
      </c>
    </row>
    <row r="21" spans="1:1" x14ac:dyDescent="0.2">
      <c r="A21" s="58" t="s">
        <v>3166</v>
      </c>
    </row>
    <row r="22" spans="1:1" x14ac:dyDescent="0.2">
      <c r="A22" s="58" t="s">
        <v>3167</v>
      </c>
    </row>
    <row r="23" spans="1:1" x14ac:dyDescent="0.2">
      <c r="A23" s="58" t="s">
        <v>3168</v>
      </c>
    </row>
    <row r="24" spans="1:1" x14ac:dyDescent="0.2">
      <c r="A24" s="9" t="s">
        <v>940</v>
      </c>
    </row>
    <row r="25" spans="1:1" x14ac:dyDescent="0.2">
      <c r="A25" s="58" t="s">
        <v>3158</v>
      </c>
    </row>
    <row r="26" spans="1:1" x14ac:dyDescent="0.2">
      <c r="A26" s="58" t="s">
        <v>3159</v>
      </c>
    </row>
    <row r="27" spans="1:1" x14ac:dyDescent="0.2">
      <c r="A27" s="58" t="s">
        <v>1075</v>
      </c>
    </row>
    <row r="28" spans="1:1" x14ac:dyDescent="0.2">
      <c r="A28" s="9" t="s">
        <v>937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>
    <tabColor rgb="FF92D050"/>
    <pageSetUpPr fitToPage="1"/>
  </sheetPr>
  <dimension ref="A1:AL2649"/>
  <sheetViews>
    <sheetView showGridLines="0" tabSelected="1" zoomScaleNormal="100" workbookViewId="0">
      <pane xSplit="1" topLeftCell="I1" activePane="topRight" state="frozen"/>
      <selection activeCell="A1082" sqref="A1082"/>
      <selection pane="topRight" activeCell="J2" sqref="J2:J2647"/>
    </sheetView>
  </sheetViews>
  <sheetFormatPr defaultColWidth="9.01171875" defaultRowHeight="15" x14ac:dyDescent="0.2"/>
  <cols>
    <col min="1" max="1" width="10.0859375" style="10" bestFit="1" customWidth="1"/>
    <col min="2" max="2" width="10.4921875" style="1" bestFit="1" customWidth="1"/>
    <col min="3" max="3" width="10.625" style="1" bestFit="1" customWidth="1"/>
    <col min="4" max="4" width="15.73828125" style="1" bestFit="1" customWidth="1"/>
    <col min="5" max="5" width="8.609375" style="1" bestFit="1" customWidth="1"/>
    <col min="6" max="6" width="16.6796875" style="1" customWidth="1"/>
    <col min="7" max="7" width="9.01171875" style="1" customWidth="1"/>
    <col min="8" max="8" width="11.8359375" style="1" customWidth="1"/>
    <col min="9" max="9" width="7.93359375" style="1" customWidth="1"/>
    <col min="10" max="10" width="137.75" style="1" customWidth="1"/>
    <col min="11" max="13" width="11.8359375" style="1" customWidth="1"/>
    <col min="14" max="14" width="13.85546875" style="1" bestFit="1" customWidth="1"/>
    <col min="15" max="15" width="11.8359375" style="1" bestFit="1" customWidth="1"/>
    <col min="16" max="17" width="5.78125" style="1" bestFit="1" customWidth="1"/>
    <col min="18" max="18" width="4.4375" style="1" bestFit="1" customWidth="1"/>
    <col min="19" max="19" width="5.78125" style="1" bestFit="1" customWidth="1"/>
    <col min="20" max="20" width="3.359375" style="1" bestFit="1" customWidth="1"/>
    <col min="21" max="21" width="11.8359375" style="1" customWidth="1"/>
    <col min="22" max="22" width="1.74609375" style="1" bestFit="1" customWidth="1"/>
    <col min="23" max="24" width="11.8359375" style="1" bestFit="1" customWidth="1"/>
    <col min="25" max="25" width="4.3046875" style="1" bestFit="1" customWidth="1"/>
    <col min="26" max="27" width="6.859375" style="1" bestFit="1" customWidth="1"/>
    <col min="28" max="28" width="67.39453125" style="1" customWidth="1"/>
    <col min="29" max="29" width="7.93359375" style="1" customWidth="1"/>
    <col min="30" max="30" width="93.62890625" style="1" customWidth="1"/>
    <col min="31" max="31" width="20.3125" style="1" customWidth="1"/>
    <col min="32" max="32" width="1.74609375" style="1" customWidth="1"/>
    <col min="33" max="33" width="19.90625" style="1" customWidth="1"/>
    <col min="34" max="34" width="2.82421875" style="1" bestFit="1" customWidth="1"/>
    <col min="35" max="35" width="13.44921875" style="1" bestFit="1" customWidth="1"/>
    <col min="36" max="36" width="11.8359375" style="1" bestFit="1" customWidth="1"/>
    <col min="37" max="16384" width="9.01171875" style="2"/>
  </cols>
  <sheetData>
    <row r="1" spans="1:38" s="1" customFormat="1" ht="333.75" x14ac:dyDescent="0.2">
      <c r="A1" s="10" t="s">
        <v>0</v>
      </c>
      <c r="B1" s="10" t="s">
        <v>1213</v>
      </c>
      <c r="C1" s="10" t="s">
        <v>1214</v>
      </c>
      <c r="D1" s="1" t="s">
        <v>1</v>
      </c>
      <c r="E1" s="1" t="s">
        <v>539</v>
      </c>
      <c r="F1" s="1" t="s">
        <v>2</v>
      </c>
      <c r="G1" s="1" t="s">
        <v>3</v>
      </c>
      <c r="H1" s="1" t="s">
        <v>4</v>
      </c>
      <c r="I1" s="1" t="s">
        <v>5</v>
      </c>
      <c r="J1" s="1" t="s">
        <v>6</v>
      </c>
      <c r="K1" s="1" t="s">
        <v>7</v>
      </c>
      <c r="L1" s="1" t="s">
        <v>8</v>
      </c>
      <c r="M1" s="1" t="s">
        <v>9</v>
      </c>
      <c r="N1" s="1" t="s">
        <v>10</v>
      </c>
      <c r="O1" s="1" t="s">
        <v>11</v>
      </c>
      <c r="P1" s="1" t="s">
        <v>12</v>
      </c>
      <c r="Q1" s="1" t="s">
        <v>13</v>
      </c>
      <c r="R1" s="1" t="s">
        <v>14</v>
      </c>
      <c r="S1" s="1" t="s">
        <v>15</v>
      </c>
      <c r="T1" s="1" t="s">
        <v>16</v>
      </c>
      <c r="U1" s="1" t="s">
        <v>17</v>
      </c>
      <c r="V1" s="1" t="s">
        <v>18</v>
      </c>
      <c r="W1" s="1" t="s">
        <v>19</v>
      </c>
      <c r="X1" s="1" t="s">
        <v>20</v>
      </c>
      <c r="Y1" s="1" t="s">
        <v>21</v>
      </c>
      <c r="Z1" s="1" t="s">
        <v>22</v>
      </c>
      <c r="AA1" s="1" t="s">
        <v>23</v>
      </c>
      <c r="AB1" s="1" t="s">
        <v>24</v>
      </c>
      <c r="AC1" s="1" t="s">
        <v>25</v>
      </c>
      <c r="AD1" s="1" t="s">
        <v>26</v>
      </c>
      <c r="AE1" s="1" t="s">
        <v>27</v>
      </c>
      <c r="AF1" s="1" t="s">
        <v>28</v>
      </c>
      <c r="AG1" s="1" t="s">
        <v>29</v>
      </c>
      <c r="AH1" s="1" t="s">
        <v>30</v>
      </c>
      <c r="AI1" s="1" t="s">
        <v>31</v>
      </c>
      <c r="AJ1" s="1" t="s">
        <v>32</v>
      </c>
      <c r="AK1" s="1" t="s">
        <v>33</v>
      </c>
      <c r="AL1" s="1" t="s">
        <v>34</v>
      </c>
    </row>
    <row r="2" spans="1:38" hidden="1" x14ac:dyDescent="0.2">
      <c r="A2" s="11">
        <v>43396</v>
      </c>
      <c r="B2" s="53" t="s">
        <v>1215</v>
      </c>
      <c r="C2" s="52" t="str">
        <f>IF(MID(B2,4,2)="09","Ramadan",IF(AND(MID(B2,4,2)="12",VALUE(LEFT(B2,2))&lt;=9),"Adha Season","Normal"))</f>
        <v>Normal</v>
      </c>
      <c r="D2" s="1" t="s">
        <v>45</v>
      </c>
      <c r="F2" s="4" t="s">
        <v>46</v>
      </c>
      <c r="G2" s="2">
        <v>16</v>
      </c>
      <c r="H2" s="2">
        <v>16</v>
      </c>
      <c r="I2" s="2">
        <f>grand[[#This Row],[number]]-grand[[#This Row],[received]]</f>
        <v>0</v>
      </c>
      <c r="J2" s="2"/>
      <c r="K2" s="2"/>
      <c r="L2" s="2"/>
      <c r="M2" s="2">
        <f>K2-L2</f>
        <v>0</v>
      </c>
      <c r="N2" s="2"/>
      <c r="O2" s="2"/>
      <c r="P2" s="7"/>
      <c r="Q2" s="7"/>
      <c r="R2" s="7"/>
      <c r="S2" s="7"/>
      <c r="T2" s="7"/>
      <c r="U2" s="2">
        <v>19</v>
      </c>
      <c r="V2" s="2"/>
      <c r="W2" s="2">
        <v>40</v>
      </c>
      <c r="X2" s="2">
        <v>6.5</v>
      </c>
      <c r="Y2" s="8">
        <v>4</v>
      </c>
      <c r="Z2" s="3"/>
      <c r="AA2" s="12">
        <f>AVERAGE((grand[[#This Row],[am]]/25),(grand[[#This Row],[pm]]/50))</f>
        <v>0.78</v>
      </c>
      <c r="AB2" s="3"/>
      <c r="AC2" s="3">
        <f>SUM(grand[[#This Row],[am]:[meat transportation]])/100</f>
        <v>0.69499999999999995</v>
      </c>
      <c r="AD2" s="2"/>
      <c r="AE2" s="2"/>
      <c r="AF2" s="2"/>
      <c r="AG2" s="2"/>
      <c r="AH2" s="2"/>
      <c r="AI2" s="2"/>
      <c r="AJ2" s="2"/>
    </row>
    <row r="3" spans="1:38" hidden="1" x14ac:dyDescent="0.2">
      <c r="A3" s="11">
        <v>43398</v>
      </c>
      <c r="B3" s="53" t="s">
        <v>1216</v>
      </c>
      <c r="C3" s="52" t="str">
        <f>IF(MID(B3,4,2)="09","Ramadan",IF(AND(MID(B3,4,2)="12",VALUE(LEFT(B3,2))&lt;=9),"Adha Season","Normal"))</f>
        <v>Normal</v>
      </c>
      <c r="D3" s="1" t="s">
        <v>45</v>
      </c>
      <c r="F3" s="4" t="s">
        <v>46</v>
      </c>
      <c r="G3" s="2">
        <v>16</v>
      </c>
      <c r="H3" s="2">
        <v>16</v>
      </c>
      <c r="I3" s="2">
        <f>grand[[#This Row],[number]]-grand[[#This Row],[received]]</f>
        <v>0</v>
      </c>
      <c r="J3" s="2"/>
      <c r="K3" s="2"/>
      <c r="L3" s="2"/>
      <c r="M3" s="2">
        <f>K3-L3</f>
        <v>0</v>
      </c>
      <c r="N3" s="2"/>
      <c r="O3" s="2"/>
      <c r="P3" s="7"/>
      <c r="Q3" s="7"/>
      <c r="R3" s="7"/>
      <c r="S3" s="7"/>
      <c r="T3" s="7"/>
      <c r="U3" s="2">
        <v>14</v>
      </c>
      <c r="V3" s="2"/>
      <c r="W3" s="2">
        <v>43.5</v>
      </c>
      <c r="X3" s="2">
        <v>9.8000000000000007</v>
      </c>
      <c r="Y3" s="8">
        <v>4</v>
      </c>
      <c r="Z3" s="3"/>
      <c r="AA3" s="12">
        <f>AVERAGE((grand[[#This Row],[am]]/25),(grand[[#This Row],[pm]]/50))</f>
        <v>0.71500000000000008</v>
      </c>
      <c r="AB3" s="3"/>
      <c r="AC3" s="3">
        <f>SUM(grand[[#This Row],[am]:[meat transportation]])/100</f>
        <v>0.71299999999999997</v>
      </c>
      <c r="AD3" s="2"/>
      <c r="AE3" s="2"/>
      <c r="AF3" s="2"/>
      <c r="AG3" s="2"/>
      <c r="AH3" s="2"/>
      <c r="AI3" s="2"/>
      <c r="AJ3" s="2"/>
    </row>
    <row r="4" spans="1:38" hidden="1" x14ac:dyDescent="0.2">
      <c r="A4" s="11">
        <v>43401</v>
      </c>
      <c r="B4" s="53" t="s">
        <v>1217</v>
      </c>
      <c r="C4" s="52" t="str">
        <f>IF(MID(B4,4,2)="09","Ramadan",IF(AND(MID(B4,4,2)="12",VALUE(LEFT(B4,2))&lt;=9),"Adha Season","Normal"))</f>
        <v>Normal</v>
      </c>
      <c r="D4" s="2" t="s">
        <v>294</v>
      </c>
      <c r="E4" s="2"/>
      <c r="F4" s="4" t="s">
        <v>35</v>
      </c>
      <c r="G4" s="2">
        <v>30</v>
      </c>
      <c r="H4" s="2">
        <v>30</v>
      </c>
      <c r="I4" s="2">
        <f>grand[[#This Row],[number]]-grand[[#This Row],[received]]</f>
        <v>0</v>
      </c>
      <c r="J4" s="2"/>
      <c r="K4" s="2"/>
      <c r="L4" s="2"/>
      <c r="M4" s="2">
        <f>K4-L4</f>
        <v>0</v>
      </c>
      <c r="N4" s="2"/>
      <c r="O4" s="2"/>
      <c r="P4" s="7"/>
      <c r="Q4" s="7"/>
      <c r="R4" s="7"/>
      <c r="S4" s="7"/>
      <c r="T4" s="7"/>
      <c r="U4" s="2">
        <v>20</v>
      </c>
      <c r="V4" s="2"/>
      <c r="W4" s="2">
        <v>45</v>
      </c>
      <c r="X4" s="2">
        <v>10</v>
      </c>
      <c r="Y4" s="8">
        <v>4</v>
      </c>
      <c r="Z4" s="3"/>
      <c r="AA4" s="12">
        <f>AVERAGE((grand[[#This Row],[am]]/25),(grand[[#This Row],[pm]]/50))</f>
        <v>0.85000000000000009</v>
      </c>
      <c r="AB4" s="3"/>
      <c r="AC4" s="3">
        <f>SUM(grand[[#This Row],[am]:[meat transportation]])/100</f>
        <v>0.79</v>
      </c>
      <c r="AD4" s="2"/>
      <c r="AE4" s="2"/>
      <c r="AF4" s="2"/>
      <c r="AG4" s="2"/>
      <c r="AH4" s="2"/>
      <c r="AI4" s="2"/>
      <c r="AJ4" s="2"/>
    </row>
    <row r="5" spans="1:38" hidden="1" x14ac:dyDescent="0.2">
      <c r="A5" s="11">
        <v>43401</v>
      </c>
      <c r="B5" s="53" t="s">
        <v>1217</v>
      </c>
      <c r="C5" s="52" t="str">
        <f>IF(MID(B5,4,2)="09","Ramadan",IF(AND(MID(B5,4,2)="12",VALUE(LEFT(B5,2))&lt;=9),"Adha Season","Normal"))</f>
        <v>Normal</v>
      </c>
      <c r="D5" s="1" t="s">
        <v>45</v>
      </c>
      <c r="F5" s="4" t="s">
        <v>36</v>
      </c>
      <c r="G5" s="2">
        <v>16</v>
      </c>
      <c r="H5" s="2">
        <v>16</v>
      </c>
      <c r="I5" s="2">
        <f>grand[[#This Row],[number]]-grand[[#This Row],[received]]</f>
        <v>0</v>
      </c>
      <c r="J5" s="2"/>
      <c r="K5" s="2"/>
      <c r="L5" s="2"/>
      <c r="M5" s="2">
        <f>K5-L5</f>
        <v>0</v>
      </c>
      <c r="N5" s="2"/>
      <c r="O5" s="2"/>
      <c r="P5" s="7"/>
      <c r="Q5" s="7"/>
      <c r="R5" s="7"/>
      <c r="S5" s="7"/>
      <c r="T5" s="7"/>
      <c r="U5" s="2">
        <v>17.5</v>
      </c>
      <c r="V5" s="2"/>
      <c r="W5" s="2">
        <v>44.4</v>
      </c>
      <c r="X5" s="2">
        <v>8.5</v>
      </c>
      <c r="Y5" s="8">
        <v>7.44</v>
      </c>
      <c r="Z5" s="3"/>
      <c r="AA5" s="12">
        <f>AVERAGE((grand[[#This Row],[am]]/25),(grand[[#This Row],[pm]]/50))</f>
        <v>0.79400000000000004</v>
      </c>
      <c r="AB5" s="3"/>
      <c r="AC5" s="3">
        <f>SUM(grand[[#This Row],[am]:[meat transportation]])/100</f>
        <v>0.77839999999999998</v>
      </c>
      <c r="AD5" s="2"/>
      <c r="AE5" s="2"/>
      <c r="AF5" s="2"/>
      <c r="AG5" s="2"/>
      <c r="AH5" s="2"/>
      <c r="AI5" s="2"/>
      <c r="AJ5" s="2"/>
    </row>
    <row r="6" spans="1:38" hidden="1" x14ac:dyDescent="0.2">
      <c r="A6" s="11">
        <v>43403</v>
      </c>
      <c r="B6" s="53" t="s">
        <v>1218</v>
      </c>
      <c r="C6" s="52" t="str">
        <f>IF(MID(B6,4,2)="09","Ramadan",IF(AND(MID(B6,4,2)="12",VALUE(LEFT(B6,2))&lt;=9),"Adha Season","Normal"))</f>
        <v>Normal</v>
      </c>
      <c r="D6" s="1" t="s">
        <v>45</v>
      </c>
      <c r="F6" s="4" t="s">
        <v>46</v>
      </c>
      <c r="G6" s="2">
        <v>16</v>
      </c>
      <c r="H6" s="2">
        <v>16</v>
      </c>
      <c r="I6" s="2">
        <f>grand[[#This Row],[number]]-grand[[#This Row],[received]]</f>
        <v>0</v>
      </c>
      <c r="J6" s="2"/>
      <c r="K6" s="2"/>
      <c r="L6" s="2"/>
      <c r="M6" s="2">
        <f>K6-L6</f>
        <v>0</v>
      </c>
      <c r="N6" s="2"/>
      <c r="O6" s="2"/>
      <c r="P6" s="7"/>
      <c r="Q6" s="7"/>
      <c r="R6" s="7"/>
      <c r="S6" s="7"/>
      <c r="T6" s="7"/>
      <c r="U6" s="2">
        <v>20.100000000000001</v>
      </c>
      <c r="V6" s="2"/>
      <c r="W6" s="2">
        <v>38.799999999999997</v>
      </c>
      <c r="X6" s="2">
        <v>10</v>
      </c>
      <c r="Y6" s="8">
        <v>3.5</v>
      </c>
      <c r="Z6" s="3"/>
      <c r="AA6" s="12">
        <f>AVERAGE((grand[[#This Row],[am]]/25),(grand[[#This Row],[pm]]/50))</f>
        <v>0.79</v>
      </c>
      <c r="AB6" s="3"/>
      <c r="AC6" s="3">
        <f>SUM(grand[[#This Row],[am]:[meat transportation]])/100</f>
        <v>0.72400000000000009</v>
      </c>
      <c r="AD6" s="2"/>
      <c r="AE6" s="2"/>
      <c r="AF6" s="2"/>
      <c r="AG6" s="2"/>
      <c r="AH6" s="2"/>
      <c r="AI6" s="2"/>
      <c r="AJ6" s="2"/>
    </row>
    <row r="7" spans="1:38" hidden="1" x14ac:dyDescent="0.2">
      <c r="A7" s="11">
        <v>43405</v>
      </c>
      <c r="B7" s="53" t="s">
        <v>1219</v>
      </c>
      <c r="C7" s="52" t="str">
        <f>IF(MID(B7,4,2)="09","Ramadan",IF(AND(MID(B7,4,2)="12",VALUE(LEFT(B7,2))&lt;=9),"Adha Season","Normal"))</f>
        <v>Normal</v>
      </c>
      <c r="D7" s="1" t="s">
        <v>45</v>
      </c>
      <c r="F7" s="4" t="s">
        <v>36</v>
      </c>
      <c r="G7" s="2">
        <v>16</v>
      </c>
      <c r="H7" s="2">
        <v>16</v>
      </c>
      <c r="I7" s="2">
        <f>grand[[#This Row],[number]]-grand[[#This Row],[received]]</f>
        <v>0</v>
      </c>
      <c r="J7" s="2"/>
      <c r="K7" s="2"/>
      <c r="L7" s="2"/>
      <c r="M7" s="2">
        <f>K7-L7</f>
        <v>0</v>
      </c>
      <c r="N7" s="2"/>
      <c r="O7" s="2"/>
      <c r="P7" s="7"/>
      <c r="Q7" s="7"/>
      <c r="R7" s="7"/>
      <c r="S7" s="7"/>
      <c r="T7" s="7"/>
      <c r="U7" s="2">
        <v>21</v>
      </c>
      <c r="V7" s="2"/>
      <c r="W7" s="2">
        <v>42.1</v>
      </c>
      <c r="X7" s="2">
        <v>10</v>
      </c>
      <c r="Y7" s="8">
        <v>3.5</v>
      </c>
      <c r="Z7" s="3"/>
      <c r="AA7" s="12">
        <f>AVERAGE((grand[[#This Row],[am]]/25),(grand[[#This Row],[pm]]/50))</f>
        <v>0.84099999999999997</v>
      </c>
      <c r="AB7" s="3"/>
      <c r="AC7" s="3">
        <f>SUM(grand[[#This Row],[am]:[meat transportation]])/100</f>
        <v>0.7659999999999999</v>
      </c>
      <c r="AD7" s="2"/>
      <c r="AE7" s="2"/>
      <c r="AF7" s="2"/>
      <c r="AG7" s="2"/>
      <c r="AH7" s="2"/>
      <c r="AI7" s="2"/>
      <c r="AJ7" s="2"/>
    </row>
    <row r="8" spans="1:38" hidden="1" x14ac:dyDescent="0.2">
      <c r="A8" s="11">
        <v>43408</v>
      </c>
      <c r="B8" s="53" t="s">
        <v>1220</v>
      </c>
      <c r="C8" s="52" t="str">
        <f>IF(MID(B8,4,2)="09","Ramadan",IF(AND(MID(B8,4,2)="12",VALUE(LEFT(B8,2))&lt;=9),"Adha Season","Normal"))</f>
        <v>Normal</v>
      </c>
      <c r="D8" s="2" t="s">
        <v>294</v>
      </c>
      <c r="E8" s="2"/>
      <c r="F8" s="4" t="s">
        <v>35</v>
      </c>
      <c r="G8" s="2">
        <v>30</v>
      </c>
      <c r="H8" s="2">
        <v>30</v>
      </c>
      <c r="I8" s="2">
        <f>grand[[#This Row],[number]]-grand[[#This Row],[received]]</f>
        <v>0</v>
      </c>
      <c r="J8" s="2"/>
      <c r="K8" s="2"/>
      <c r="L8" s="2"/>
      <c r="M8" s="2">
        <f>K8-L8</f>
        <v>0</v>
      </c>
      <c r="N8" s="2"/>
      <c r="O8" s="2"/>
      <c r="P8" s="7"/>
      <c r="Q8" s="7"/>
      <c r="R8" s="7"/>
      <c r="S8" s="7"/>
      <c r="T8" s="7"/>
      <c r="U8" s="2">
        <v>15.5</v>
      </c>
      <c r="V8" s="2"/>
      <c r="W8" s="2">
        <v>44.3</v>
      </c>
      <c r="X8" s="2">
        <v>10</v>
      </c>
      <c r="Y8" s="8">
        <v>4</v>
      </c>
      <c r="Z8" s="3"/>
      <c r="AA8" s="12">
        <f>AVERAGE((grand[[#This Row],[am]]/25),(grand[[#This Row],[pm]]/50))</f>
        <v>0.75299999999999989</v>
      </c>
      <c r="AB8" s="3"/>
      <c r="AC8" s="3">
        <f>SUM(grand[[#This Row],[am]:[meat transportation]])/100</f>
        <v>0.73799999999999999</v>
      </c>
      <c r="AD8" s="2"/>
      <c r="AE8" s="2"/>
      <c r="AF8" s="2"/>
      <c r="AG8" s="2"/>
      <c r="AH8" s="2"/>
      <c r="AI8" s="2"/>
      <c r="AJ8" s="2"/>
    </row>
    <row r="9" spans="1:38" hidden="1" x14ac:dyDescent="0.2">
      <c r="A9" s="11">
        <v>43408</v>
      </c>
      <c r="B9" s="53" t="s">
        <v>1220</v>
      </c>
      <c r="C9" s="52" t="str">
        <f>IF(MID(B9,4,2)="09","Ramadan",IF(AND(MID(B9,4,2)="12",VALUE(LEFT(B9,2))&lt;=9),"Adha Season","Normal"))</f>
        <v>Normal</v>
      </c>
      <c r="D9" s="1" t="s">
        <v>45</v>
      </c>
      <c r="F9" s="4" t="s">
        <v>46</v>
      </c>
      <c r="G9" s="2">
        <v>16</v>
      </c>
      <c r="H9" s="2">
        <v>16</v>
      </c>
      <c r="I9" s="2">
        <f>grand[[#This Row],[number]]-grand[[#This Row],[received]]</f>
        <v>0</v>
      </c>
      <c r="J9" s="2"/>
      <c r="K9" s="2"/>
      <c r="L9" s="2"/>
      <c r="M9" s="2">
        <f>K9-L9</f>
        <v>0</v>
      </c>
      <c r="N9" s="2"/>
      <c r="O9" s="2"/>
      <c r="P9" s="7"/>
      <c r="Q9" s="7"/>
      <c r="R9" s="7"/>
      <c r="S9" s="7"/>
      <c r="T9" s="7"/>
      <c r="U9" s="2">
        <v>17.100000000000001</v>
      </c>
      <c r="V9" s="2"/>
      <c r="W9" s="2">
        <v>43.6</v>
      </c>
      <c r="X9" s="2">
        <v>7.3</v>
      </c>
      <c r="Y9" s="8">
        <v>4</v>
      </c>
      <c r="Z9" s="3"/>
      <c r="AA9" s="12">
        <f>AVERAGE((grand[[#This Row],[am]]/25),(grand[[#This Row],[pm]]/50))</f>
        <v>0.77800000000000002</v>
      </c>
      <c r="AB9" s="3"/>
      <c r="AC9" s="3">
        <f>SUM(grand[[#This Row],[am]:[meat transportation]])/100</f>
        <v>0.72</v>
      </c>
      <c r="AD9" s="2"/>
      <c r="AE9" s="2"/>
      <c r="AF9" s="2"/>
      <c r="AG9" s="2"/>
      <c r="AH9" s="2"/>
      <c r="AI9" s="2"/>
      <c r="AJ9" s="2"/>
    </row>
    <row r="10" spans="1:38" hidden="1" x14ac:dyDescent="0.2">
      <c r="A10" s="11">
        <v>43410</v>
      </c>
      <c r="B10" s="53" t="s">
        <v>1221</v>
      </c>
      <c r="C10" s="52" t="str">
        <f>IF(MID(B10,4,2)="09","Ramadan",IF(AND(MID(B10,4,2)="12",VALUE(LEFT(B10,2))&lt;=9),"Adha Season","Normal"))</f>
        <v>Normal</v>
      </c>
      <c r="D10" s="1" t="s">
        <v>45</v>
      </c>
      <c r="F10" s="4" t="s">
        <v>46</v>
      </c>
      <c r="G10" s="2">
        <v>18</v>
      </c>
      <c r="H10" s="2">
        <v>18</v>
      </c>
      <c r="I10" s="2">
        <f>grand[[#This Row],[number]]-grand[[#This Row],[received]]</f>
        <v>0</v>
      </c>
      <c r="J10" s="2"/>
      <c r="K10" s="2"/>
      <c r="L10" s="2"/>
      <c r="M10" s="2">
        <f>K10-L10</f>
        <v>0</v>
      </c>
      <c r="N10" s="2"/>
      <c r="O10" s="2"/>
      <c r="P10" s="7"/>
      <c r="Q10" s="7"/>
      <c r="R10" s="7"/>
      <c r="S10" s="7"/>
      <c r="T10" s="7"/>
      <c r="U10" s="2">
        <v>15.5</v>
      </c>
      <c r="V10" s="2"/>
      <c r="W10" s="2">
        <v>44.1</v>
      </c>
      <c r="X10" s="2">
        <v>8</v>
      </c>
      <c r="Y10" s="8">
        <v>4</v>
      </c>
      <c r="Z10" s="3"/>
      <c r="AA10" s="12">
        <f>AVERAGE((grand[[#This Row],[am]]/25),(grand[[#This Row],[pm]]/50))</f>
        <v>0.751</v>
      </c>
      <c r="AB10" s="3"/>
      <c r="AC10" s="3">
        <f>SUM(grand[[#This Row],[am]:[meat transportation]])/100</f>
        <v>0.71599999999999997</v>
      </c>
      <c r="AD10" s="2"/>
      <c r="AE10" s="2"/>
      <c r="AF10" s="2"/>
      <c r="AG10" s="2"/>
      <c r="AH10" s="2"/>
      <c r="AI10" s="2"/>
      <c r="AJ10" s="2"/>
    </row>
    <row r="11" spans="1:38" hidden="1" x14ac:dyDescent="0.2">
      <c r="A11" s="11">
        <v>43412</v>
      </c>
      <c r="B11" s="53" t="s">
        <v>1222</v>
      </c>
      <c r="C11" s="52" t="str">
        <f>IF(MID(B11,4,2)="09","Ramadan",IF(AND(MID(B11,4,2)="12",VALUE(LEFT(B11,2))&lt;=9),"Adha Season","Normal"))</f>
        <v>Normal</v>
      </c>
      <c r="D11" s="1" t="s">
        <v>45</v>
      </c>
      <c r="F11" s="4" t="s">
        <v>46</v>
      </c>
      <c r="G11" s="2">
        <v>18</v>
      </c>
      <c r="H11" s="2">
        <v>18</v>
      </c>
      <c r="I11" s="2">
        <f>grand[[#This Row],[number]]-grand[[#This Row],[received]]</f>
        <v>0</v>
      </c>
      <c r="J11" s="2"/>
      <c r="K11" s="2"/>
      <c r="L11" s="2"/>
      <c r="M11" s="2">
        <f>K11-L11</f>
        <v>0</v>
      </c>
      <c r="N11" s="2"/>
      <c r="O11" s="2"/>
      <c r="P11" s="7"/>
      <c r="Q11" s="7"/>
      <c r="R11" s="7"/>
      <c r="S11" s="7"/>
      <c r="T11" s="7"/>
      <c r="U11" s="2">
        <v>23</v>
      </c>
      <c r="V11" s="2"/>
      <c r="W11" s="2">
        <v>44.1</v>
      </c>
      <c r="X11" s="2">
        <v>9</v>
      </c>
      <c r="Y11" s="8">
        <v>4</v>
      </c>
      <c r="Z11" s="3"/>
      <c r="AA11" s="12">
        <f>AVERAGE((grand[[#This Row],[am]]/25),(grand[[#This Row],[pm]]/50))</f>
        <v>0.90100000000000002</v>
      </c>
      <c r="AB11" s="3"/>
      <c r="AC11" s="3">
        <f>SUM(grand[[#This Row],[am]:[meat transportation]])/100</f>
        <v>0.80099999999999993</v>
      </c>
      <c r="AD11" s="2"/>
      <c r="AE11" s="2"/>
      <c r="AF11" s="2"/>
      <c r="AG11" s="2"/>
      <c r="AH11" s="2"/>
      <c r="AI11" s="2"/>
      <c r="AJ11" s="2"/>
    </row>
    <row r="12" spans="1:38" hidden="1" x14ac:dyDescent="0.2">
      <c r="A12" s="11">
        <v>43415</v>
      </c>
      <c r="B12" s="53" t="s">
        <v>1223</v>
      </c>
      <c r="C12" s="52" t="str">
        <f>IF(MID(B12,4,2)="09","Ramadan",IF(AND(MID(B12,4,2)="12",VALUE(LEFT(B12,2))&lt;=9),"Adha Season","Normal"))</f>
        <v>Normal</v>
      </c>
      <c r="D12" s="1" t="s">
        <v>45</v>
      </c>
      <c r="F12" s="4" t="s">
        <v>46</v>
      </c>
      <c r="G12" s="2">
        <v>18</v>
      </c>
      <c r="H12" s="2">
        <v>18</v>
      </c>
      <c r="I12" s="2">
        <f>grand[[#This Row],[number]]-grand[[#This Row],[received]]</f>
        <v>0</v>
      </c>
      <c r="J12" s="2"/>
      <c r="K12" s="2"/>
      <c r="L12" s="2"/>
      <c r="M12" s="2">
        <f>K12-L12</f>
        <v>0</v>
      </c>
      <c r="N12" s="2"/>
      <c r="O12" s="2"/>
      <c r="P12" s="7"/>
      <c r="Q12" s="7"/>
      <c r="R12" s="7"/>
      <c r="S12" s="7"/>
      <c r="T12" s="7"/>
      <c r="U12" s="2">
        <v>17.5</v>
      </c>
      <c r="V12" s="2"/>
      <c r="W12" s="2">
        <v>41.8</v>
      </c>
      <c r="X12" s="2">
        <v>8</v>
      </c>
      <c r="Y12" s="8">
        <v>4</v>
      </c>
      <c r="Z12" s="3"/>
      <c r="AA12" s="12">
        <f>AVERAGE((grand[[#This Row],[am]]/25),(grand[[#This Row],[pm]]/50))</f>
        <v>0.76800000000000002</v>
      </c>
      <c r="AB12" s="3"/>
      <c r="AC12" s="3">
        <f>SUM(grand[[#This Row],[am]:[meat transportation]])/100</f>
        <v>0.71299999999999997</v>
      </c>
      <c r="AD12" s="2"/>
      <c r="AE12" s="2"/>
      <c r="AF12" s="2"/>
      <c r="AG12" s="2"/>
      <c r="AH12" s="2"/>
      <c r="AI12" s="2"/>
      <c r="AJ12" s="2"/>
    </row>
    <row r="13" spans="1:38" hidden="1" x14ac:dyDescent="0.2">
      <c r="A13" s="11">
        <v>43417</v>
      </c>
      <c r="B13" s="53" t="s">
        <v>1224</v>
      </c>
      <c r="C13" s="52" t="str">
        <f>IF(MID(B13,4,2)="09","Ramadan",IF(AND(MID(B13,4,2)="12",VALUE(LEFT(B13,2))&lt;=9),"Adha Season","Normal"))</f>
        <v>Normal</v>
      </c>
      <c r="D13" s="2" t="s">
        <v>294</v>
      </c>
      <c r="E13" s="2"/>
      <c r="F13" s="4" t="s">
        <v>35</v>
      </c>
      <c r="G13" s="2">
        <v>30</v>
      </c>
      <c r="H13" s="2">
        <v>30</v>
      </c>
      <c r="I13" s="2">
        <f>grand[[#This Row],[number]]-grand[[#This Row],[received]]</f>
        <v>0</v>
      </c>
      <c r="J13" s="2"/>
      <c r="K13" s="2"/>
      <c r="L13" s="2"/>
      <c r="M13" s="2">
        <f>K13-L13</f>
        <v>0</v>
      </c>
      <c r="N13" s="2"/>
      <c r="O13" s="2"/>
      <c r="P13" s="7"/>
      <c r="Q13" s="7"/>
      <c r="R13" s="7"/>
      <c r="S13" s="7"/>
      <c r="T13" s="7"/>
      <c r="U13" s="2">
        <v>17.5</v>
      </c>
      <c r="V13" s="2"/>
      <c r="W13" s="2">
        <v>43.7</v>
      </c>
      <c r="X13" s="2">
        <v>10</v>
      </c>
      <c r="Y13" s="8">
        <v>4</v>
      </c>
      <c r="Z13" s="3"/>
      <c r="AA13" s="12">
        <f>AVERAGE((grand[[#This Row],[am]]/25),(grand[[#This Row],[pm]]/50))</f>
        <v>0.78700000000000003</v>
      </c>
      <c r="AB13" s="3"/>
      <c r="AC13" s="3">
        <f>SUM(grand[[#This Row],[am]:[meat transportation]])/100</f>
        <v>0.752</v>
      </c>
      <c r="AD13" s="2"/>
      <c r="AE13" s="2"/>
      <c r="AF13" s="2"/>
      <c r="AG13" s="2"/>
      <c r="AH13" s="2"/>
      <c r="AI13" s="2"/>
      <c r="AJ13" s="2"/>
    </row>
    <row r="14" spans="1:38" hidden="1" x14ac:dyDescent="0.2">
      <c r="A14" s="11">
        <v>43417</v>
      </c>
      <c r="B14" s="53" t="s">
        <v>1224</v>
      </c>
      <c r="C14" s="52" t="str">
        <f>IF(MID(B14,4,2)="09","Ramadan",IF(AND(MID(B14,4,2)="12",VALUE(LEFT(B14,2))&lt;=9),"Adha Season","Normal"))</f>
        <v>Normal</v>
      </c>
      <c r="D14" s="1" t="s">
        <v>45</v>
      </c>
      <c r="F14" s="4" t="s">
        <v>46</v>
      </c>
      <c r="G14" s="2">
        <v>18</v>
      </c>
      <c r="H14" s="2">
        <v>18</v>
      </c>
      <c r="I14" s="2">
        <f>grand[[#This Row],[number]]-grand[[#This Row],[received]]</f>
        <v>0</v>
      </c>
      <c r="J14" s="2"/>
      <c r="K14" s="2"/>
      <c r="L14" s="2"/>
      <c r="M14" s="2">
        <f>K14-L14</f>
        <v>0</v>
      </c>
      <c r="N14" s="2"/>
      <c r="O14" s="2"/>
      <c r="P14" s="7"/>
      <c r="Q14" s="7"/>
      <c r="R14" s="7"/>
      <c r="S14" s="7"/>
      <c r="T14" s="7"/>
      <c r="U14" s="2">
        <v>17.5</v>
      </c>
      <c r="V14" s="2"/>
      <c r="W14" s="2">
        <v>41.5</v>
      </c>
      <c r="X14" s="2">
        <v>8.1999999999999993</v>
      </c>
      <c r="Y14" s="8">
        <v>4</v>
      </c>
      <c r="Z14" s="3"/>
      <c r="AA14" s="12">
        <f>AVERAGE((grand[[#This Row],[am]]/25),(grand[[#This Row],[pm]]/50))</f>
        <v>0.7649999999999999</v>
      </c>
      <c r="AB14" s="3"/>
      <c r="AC14" s="3">
        <f>SUM(grand[[#This Row],[am]:[meat transportation]])/100</f>
        <v>0.71200000000000008</v>
      </c>
      <c r="AD14" s="2"/>
      <c r="AE14" s="2"/>
      <c r="AF14" s="2"/>
      <c r="AG14" s="2"/>
      <c r="AH14" s="2"/>
      <c r="AI14" s="2"/>
      <c r="AJ14" s="2"/>
    </row>
    <row r="15" spans="1:38" hidden="1" x14ac:dyDescent="0.2">
      <c r="A15" s="11">
        <v>43419</v>
      </c>
      <c r="B15" s="53" t="s">
        <v>1225</v>
      </c>
      <c r="C15" s="52" t="str">
        <f>IF(MID(B15,4,2)="09","Ramadan",IF(AND(MID(B15,4,2)="12",VALUE(LEFT(B15,2))&lt;=9),"Adha Season","Normal"))</f>
        <v>Normal</v>
      </c>
      <c r="D15" s="1" t="s">
        <v>45</v>
      </c>
      <c r="F15" s="4" t="s">
        <v>37</v>
      </c>
      <c r="G15" s="2">
        <v>16</v>
      </c>
      <c r="H15" s="2">
        <v>16</v>
      </c>
      <c r="I15" s="2">
        <f>grand[[#This Row],[number]]-grand[[#This Row],[received]]</f>
        <v>0</v>
      </c>
      <c r="J15" s="2"/>
      <c r="K15" s="2"/>
      <c r="L15" s="2"/>
      <c r="M15" s="2">
        <f>K15-L15</f>
        <v>0</v>
      </c>
      <c r="N15" s="2"/>
      <c r="O15" s="2"/>
      <c r="P15" s="7"/>
      <c r="Q15" s="7"/>
      <c r="R15" s="7"/>
      <c r="S15" s="7"/>
      <c r="T15" s="7"/>
      <c r="U15" s="2">
        <v>19</v>
      </c>
      <c r="V15" s="2"/>
      <c r="W15" s="2">
        <v>41.5</v>
      </c>
      <c r="X15" s="2">
        <v>9.4</v>
      </c>
      <c r="Y15" s="8">
        <v>4</v>
      </c>
      <c r="Z15" s="3"/>
      <c r="AA15" s="12">
        <f>AVERAGE((grand[[#This Row],[am]]/25),(grand[[#This Row],[pm]]/50))</f>
        <v>0.79499999999999993</v>
      </c>
      <c r="AB15" s="3"/>
      <c r="AC15" s="3">
        <f>SUM(grand[[#This Row],[am]:[meat transportation]])/100</f>
        <v>0.7390000000000001</v>
      </c>
      <c r="AD15" s="2"/>
      <c r="AE15" s="2"/>
      <c r="AF15" s="2"/>
      <c r="AG15" s="2"/>
      <c r="AH15" s="2"/>
      <c r="AI15" s="2"/>
      <c r="AJ15" s="2"/>
    </row>
    <row r="16" spans="1:38" hidden="1" x14ac:dyDescent="0.2">
      <c r="A16" s="11">
        <v>43424</v>
      </c>
      <c r="B16" s="53" t="s">
        <v>1226</v>
      </c>
      <c r="C16" s="52" t="str">
        <f>IF(MID(B16,4,2)="09","Ramadan",IF(AND(MID(B16,4,2)="12",VALUE(LEFT(B16,2))&lt;=9),"Adha Season","Normal"))</f>
        <v>Normal</v>
      </c>
      <c r="D16" s="1" t="s">
        <v>45</v>
      </c>
      <c r="F16" s="4" t="s">
        <v>46</v>
      </c>
      <c r="G16" s="2">
        <v>16</v>
      </c>
      <c r="H16" s="2">
        <v>16</v>
      </c>
      <c r="I16" s="2">
        <f>grand[[#This Row],[number]]-grand[[#This Row],[received]]</f>
        <v>0</v>
      </c>
      <c r="J16" s="2"/>
      <c r="K16" s="2"/>
      <c r="L16" s="2"/>
      <c r="M16" s="2">
        <f>K16-L16</f>
        <v>0</v>
      </c>
      <c r="N16" s="2"/>
      <c r="O16" s="2"/>
      <c r="P16" s="7"/>
      <c r="Q16" s="7"/>
      <c r="R16" s="7"/>
      <c r="S16" s="7"/>
      <c r="T16" s="7"/>
      <c r="U16" s="2">
        <v>17.5</v>
      </c>
      <c r="V16" s="2"/>
      <c r="W16" s="2">
        <v>42.4</v>
      </c>
      <c r="X16" s="2">
        <v>8</v>
      </c>
      <c r="Y16" s="8">
        <v>8.5</v>
      </c>
      <c r="Z16" s="3"/>
      <c r="AA16" s="12">
        <f>AVERAGE((grand[[#This Row],[am]]/25),(grand[[#This Row],[pm]]/50))</f>
        <v>0.77400000000000002</v>
      </c>
      <c r="AB16" s="3"/>
      <c r="AC16" s="3">
        <f>SUM(grand[[#This Row],[am]:[meat transportation]])/100</f>
        <v>0.76400000000000001</v>
      </c>
      <c r="AD16" s="2"/>
      <c r="AE16" s="2"/>
      <c r="AF16" s="2"/>
      <c r="AG16" s="2"/>
      <c r="AH16" s="2"/>
      <c r="AI16" s="2"/>
      <c r="AJ16" s="2"/>
    </row>
    <row r="17" spans="1:36" hidden="1" x14ac:dyDescent="0.2">
      <c r="A17" s="11">
        <v>43426</v>
      </c>
      <c r="B17" s="53" t="s">
        <v>1227</v>
      </c>
      <c r="C17" s="52" t="str">
        <f>IF(MID(B17,4,2)="09","Ramadan",IF(AND(MID(B17,4,2)="12",VALUE(LEFT(B17,2))&lt;=9),"Adha Season","Normal"))</f>
        <v>Normal</v>
      </c>
      <c r="D17" s="1" t="s">
        <v>45</v>
      </c>
      <c r="F17" s="4" t="s">
        <v>46</v>
      </c>
      <c r="G17" s="2">
        <v>18</v>
      </c>
      <c r="H17" s="2">
        <v>18</v>
      </c>
      <c r="I17" s="2">
        <f>grand[[#This Row],[number]]-grand[[#This Row],[received]]</f>
        <v>0</v>
      </c>
      <c r="J17" s="2"/>
      <c r="K17" s="2"/>
      <c r="L17" s="2"/>
      <c r="M17" s="2">
        <f>K17-L17</f>
        <v>0</v>
      </c>
      <c r="N17" s="2"/>
      <c r="O17" s="2"/>
      <c r="P17" s="7"/>
      <c r="Q17" s="7"/>
      <c r="R17" s="7"/>
      <c r="S17" s="7"/>
      <c r="T17" s="7"/>
      <c r="U17" s="2">
        <v>16.5</v>
      </c>
      <c r="V17" s="2"/>
      <c r="W17" s="2">
        <v>45</v>
      </c>
      <c r="X17" s="2">
        <v>8</v>
      </c>
      <c r="Y17" s="8">
        <v>8.5</v>
      </c>
      <c r="Z17" s="3"/>
      <c r="AA17" s="12">
        <f>AVERAGE((grand[[#This Row],[am]]/25),(grand[[#This Row],[pm]]/50))</f>
        <v>0.78</v>
      </c>
      <c r="AB17" s="3"/>
      <c r="AC17" s="3">
        <f>SUM(grand[[#This Row],[am]:[meat transportation]])/100</f>
        <v>0.78</v>
      </c>
      <c r="AD17" s="2"/>
      <c r="AE17" s="2"/>
      <c r="AF17" s="2"/>
      <c r="AG17" s="2"/>
      <c r="AH17" s="2"/>
      <c r="AI17" s="2"/>
      <c r="AJ17" s="2"/>
    </row>
    <row r="18" spans="1:36" hidden="1" x14ac:dyDescent="0.2">
      <c r="A18" s="11">
        <v>43429</v>
      </c>
      <c r="B18" s="53" t="s">
        <v>1228</v>
      </c>
      <c r="C18" s="52" t="str">
        <f>IF(MID(B18,4,2)="09","Ramadan",IF(AND(MID(B18,4,2)="12",VALUE(LEFT(B18,2))&lt;=9),"Adha Season","Normal"))</f>
        <v>Normal</v>
      </c>
      <c r="D18" s="1" t="s">
        <v>45</v>
      </c>
      <c r="F18" s="4" t="s">
        <v>36</v>
      </c>
      <c r="G18" s="2">
        <v>16</v>
      </c>
      <c r="H18" s="2">
        <v>16</v>
      </c>
      <c r="I18" s="2">
        <f>grand[[#This Row],[number]]-grand[[#This Row],[received]]</f>
        <v>0</v>
      </c>
      <c r="J18" s="2"/>
      <c r="K18" s="2"/>
      <c r="L18" s="2"/>
      <c r="M18" s="2">
        <f>K18-L18</f>
        <v>0</v>
      </c>
      <c r="N18" s="2"/>
      <c r="O18" s="2"/>
      <c r="P18" s="7"/>
      <c r="Q18" s="7"/>
      <c r="R18" s="7"/>
      <c r="S18" s="7"/>
      <c r="T18" s="7"/>
      <c r="U18" s="2">
        <v>18</v>
      </c>
      <c r="V18" s="2"/>
      <c r="W18" s="2">
        <v>44.9</v>
      </c>
      <c r="X18" s="2">
        <v>10</v>
      </c>
      <c r="Y18" s="8">
        <v>5.0999999999999996</v>
      </c>
      <c r="Z18" s="3"/>
      <c r="AA18" s="12">
        <f>AVERAGE((grand[[#This Row],[am]]/25),(grand[[#This Row],[pm]]/50))</f>
        <v>0.80899999999999994</v>
      </c>
      <c r="AB18" s="3"/>
      <c r="AC18" s="3">
        <f>SUM(grand[[#This Row],[am]:[meat transportation]])/100</f>
        <v>0.78</v>
      </c>
      <c r="AD18" s="2"/>
      <c r="AE18" s="2"/>
      <c r="AF18" s="2"/>
      <c r="AG18" s="2"/>
      <c r="AH18" s="2"/>
      <c r="AI18" s="2"/>
      <c r="AJ18" s="2"/>
    </row>
    <row r="19" spans="1:36" hidden="1" x14ac:dyDescent="0.2">
      <c r="A19" s="11">
        <v>43431</v>
      </c>
      <c r="B19" s="53" t="s">
        <v>1229</v>
      </c>
      <c r="C19" s="52" t="str">
        <f>IF(MID(B19,4,2)="09","Ramadan",IF(AND(MID(B19,4,2)="12",VALUE(LEFT(B19,2))&lt;=9),"Adha Season","Normal"))</f>
        <v>Normal</v>
      </c>
      <c r="D19" s="1" t="s">
        <v>45</v>
      </c>
      <c r="F19" s="4" t="s">
        <v>46</v>
      </c>
      <c r="G19" s="2">
        <v>16</v>
      </c>
      <c r="H19" s="2">
        <v>16</v>
      </c>
      <c r="I19" s="2">
        <f>grand[[#This Row],[number]]-grand[[#This Row],[received]]</f>
        <v>0</v>
      </c>
      <c r="J19" s="2"/>
      <c r="K19" s="2"/>
      <c r="L19" s="2"/>
      <c r="M19" s="2">
        <f>K19-L19</f>
        <v>0</v>
      </c>
      <c r="N19" s="2"/>
      <c r="O19" s="2"/>
      <c r="P19" s="7"/>
      <c r="Q19" s="7"/>
      <c r="R19" s="7"/>
      <c r="S19" s="7"/>
      <c r="T19" s="7"/>
      <c r="U19" s="2">
        <v>19</v>
      </c>
      <c r="V19" s="2"/>
      <c r="W19" s="2">
        <v>45</v>
      </c>
      <c r="X19" s="2">
        <v>10</v>
      </c>
      <c r="Y19" s="8">
        <v>5.0999999999999996</v>
      </c>
      <c r="Z19" s="3"/>
      <c r="AA19" s="12">
        <f>AVERAGE((grand[[#This Row],[am]]/25),(grand[[#This Row],[pm]]/50))</f>
        <v>0.83000000000000007</v>
      </c>
      <c r="AB19" s="3"/>
      <c r="AC19" s="3">
        <f>SUM(grand[[#This Row],[am]:[meat transportation]])/100</f>
        <v>0.79099999999999993</v>
      </c>
      <c r="AD19" s="2"/>
      <c r="AE19" s="2"/>
      <c r="AF19" s="2"/>
      <c r="AG19" s="2"/>
      <c r="AH19" s="2"/>
      <c r="AI19" s="2"/>
      <c r="AJ19" s="2"/>
    </row>
    <row r="20" spans="1:36" hidden="1" x14ac:dyDescent="0.2">
      <c r="A20" s="11">
        <v>43433</v>
      </c>
      <c r="B20" s="53" t="s">
        <v>1230</v>
      </c>
      <c r="C20" s="52" t="str">
        <f>IF(MID(B20,4,2)="09","Ramadan",IF(AND(MID(B20,4,2)="12",VALUE(LEFT(B20,2))&lt;=9),"Adha Season","Normal"))</f>
        <v>Normal</v>
      </c>
      <c r="D20" s="1" t="s">
        <v>45</v>
      </c>
      <c r="F20" s="4" t="s">
        <v>37</v>
      </c>
      <c r="G20" s="2">
        <v>16</v>
      </c>
      <c r="H20" s="2">
        <v>16</v>
      </c>
      <c r="I20" s="2">
        <f>grand[[#This Row],[number]]-grand[[#This Row],[received]]</f>
        <v>0</v>
      </c>
      <c r="J20" s="2"/>
      <c r="K20" s="2"/>
      <c r="L20" s="2"/>
      <c r="M20" s="2">
        <f>K20-L20</f>
        <v>0</v>
      </c>
      <c r="N20" s="2"/>
      <c r="O20" s="2"/>
      <c r="P20" s="7"/>
      <c r="Q20" s="7"/>
      <c r="R20" s="7"/>
      <c r="S20" s="7"/>
      <c r="T20" s="7"/>
      <c r="U20" s="2">
        <v>23.1</v>
      </c>
      <c r="V20" s="2"/>
      <c r="W20" s="2">
        <v>44.3</v>
      </c>
      <c r="X20" s="2">
        <v>10</v>
      </c>
      <c r="Y20" s="8">
        <v>5.0999999999999996</v>
      </c>
      <c r="Z20" s="3"/>
      <c r="AA20" s="12">
        <f>AVERAGE((grand[[#This Row],[am]]/25),(grand[[#This Row],[pm]]/50))</f>
        <v>0.90500000000000003</v>
      </c>
      <c r="AB20" s="3"/>
      <c r="AC20" s="3">
        <f>SUM(grand[[#This Row],[am]:[meat transportation]])/100</f>
        <v>0.82499999999999996</v>
      </c>
      <c r="AD20" s="2"/>
      <c r="AE20" s="2"/>
      <c r="AF20" s="2"/>
      <c r="AG20" s="2"/>
      <c r="AH20" s="2"/>
      <c r="AI20" s="2"/>
      <c r="AJ20" s="2"/>
    </row>
    <row r="21" spans="1:36" hidden="1" x14ac:dyDescent="0.2">
      <c r="A21" s="11">
        <v>43436</v>
      </c>
      <c r="B21" s="53" t="s">
        <v>1231</v>
      </c>
      <c r="C21" s="52" t="str">
        <f>IF(MID(B21,4,2)="09","Ramadan",IF(AND(MID(B21,4,2)="12",VALUE(LEFT(B21,2))&lt;=9),"Adha Season","Normal"))</f>
        <v>Normal</v>
      </c>
      <c r="D21" s="1" t="s">
        <v>45</v>
      </c>
      <c r="F21" s="4" t="s">
        <v>36</v>
      </c>
      <c r="G21" s="2">
        <v>16</v>
      </c>
      <c r="H21" s="2">
        <v>16</v>
      </c>
      <c r="I21" s="2">
        <f>grand[[#This Row],[number]]-grand[[#This Row],[received]]</f>
        <v>0</v>
      </c>
      <c r="J21" s="2"/>
      <c r="K21" s="2"/>
      <c r="L21" s="2"/>
      <c r="M21" s="2">
        <f>K21-L21</f>
        <v>0</v>
      </c>
      <c r="N21" s="2"/>
      <c r="O21" s="2"/>
      <c r="P21" s="7"/>
      <c r="Q21" s="7"/>
      <c r="R21" s="7"/>
      <c r="S21" s="7"/>
      <c r="T21" s="7"/>
      <c r="U21" s="2">
        <v>23</v>
      </c>
      <c r="V21" s="2"/>
      <c r="W21" s="2">
        <v>41.5</v>
      </c>
      <c r="X21" s="2">
        <v>10</v>
      </c>
      <c r="Y21" s="8">
        <v>5.0999999999999996</v>
      </c>
      <c r="Z21" s="3"/>
      <c r="AA21" s="12">
        <f>AVERAGE((grand[[#This Row],[am]]/25),(grand[[#This Row],[pm]]/50))</f>
        <v>0.875</v>
      </c>
      <c r="AB21" s="3"/>
      <c r="AC21" s="3">
        <f>SUM(grand[[#This Row],[am]:[meat transportation]])/100</f>
        <v>0.79599999999999993</v>
      </c>
      <c r="AD21" s="2"/>
      <c r="AE21" s="2"/>
      <c r="AF21" s="2"/>
      <c r="AG21" s="2"/>
      <c r="AH21" s="2"/>
      <c r="AI21" s="2"/>
      <c r="AJ21" s="2"/>
    </row>
    <row r="22" spans="1:36" hidden="1" x14ac:dyDescent="0.2">
      <c r="A22" s="11">
        <v>43438</v>
      </c>
      <c r="B22" s="53" t="s">
        <v>1232</v>
      </c>
      <c r="C22" s="52" t="str">
        <f>IF(MID(B22,4,2)="09","Ramadan",IF(AND(MID(B22,4,2)="12",VALUE(LEFT(B22,2))&lt;=9),"Adha Season","Normal"))</f>
        <v>Normal</v>
      </c>
      <c r="D22" s="1" t="s">
        <v>45</v>
      </c>
      <c r="F22" s="4" t="s">
        <v>46</v>
      </c>
      <c r="G22" s="2">
        <v>16</v>
      </c>
      <c r="H22" s="2">
        <v>16</v>
      </c>
      <c r="I22" s="2">
        <f>grand[[#This Row],[number]]-grand[[#This Row],[received]]</f>
        <v>0</v>
      </c>
      <c r="J22" s="2"/>
      <c r="K22" s="2"/>
      <c r="L22" s="2"/>
      <c r="M22" s="2">
        <f>K22-L22</f>
        <v>0</v>
      </c>
      <c r="N22" s="2"/>
      <c r="O22" s="2"/>
      <c r="P22" s="7"/>
      <c r="Q22" s="7"/>
      <c r="R22" s="7"/>
      <c r="S22" s="7"/>
      <c r="T22" s="7"/>
      <c r="U22" s="2">
        <v>13</v>
      </c>
      <c r="V22" s="2"/>
      <c r="W22" s="2">
        <v>39</v>
      </c>
      <c r="X22" s="2">
        <v>9.6</v>
      </c>
      <c r="Y22" s="8">
        <v>5.0999999999999996</v>
      </c>
      <c r="Z22" s="3"/>
      <c r="AA22" s="12">
        <f>AVERAGE((grand[[#This Row],[am]]/25),(grand[[#This Row],[pm]]/50))</f>
        <v>0.65</v>
      </c>
      <c r="AB22" s="3"/>
      <c r="AC22" s="3">
        <f>SUM(grand[[#This Row],[am]:[meat transportation]])/100</f>
        <v>0.66700000000000004</v>
      </c>
      <c r="AD22" s="2"/>
      <c r="AE22" s="2"/>
      <c r="AF22" s="2"/>
      <c r="AG22" s="2"/>
      <c r="AH22" s="2"/>
      <c r="AI22" s="2"/>
      <c r="AJ22" s="2"/>
    </row>
    <row r="23" spans="1:36" hidden="1" x14ac:dyDescent="0.2">
      <c r="A23" s="11">
        <v>43440</v>
      </c>
      <c r="B23" s="53" t="s">
        <v>1233</v>
      </c>
      <c r="C23" s="52" t="str">
        <f>IF(MID(B23,4,2)="09","Ramadan",IF(AND(MID(B23,4,2)="12",VALUE(LEFT(B23,2))&lt;=9),"Adha Season","Normal"))</f>
        <v>Normal</v>
      </c>
      <c r="D23" s="1" t="s">
        <v>45</v>
      </c>
      <c r="F23" s="4" t="s">
        <v>38</v>
      </c>
      <c r="G23" s="2">
        <v>16</v>
      </c>
      <c r="H23" s="2">
        <v>16</v>
      </c>
      <c r="I23" s="2">
        <f>grand[[#This Row],[number]]-grand[[#This Row],[received]]</f>
        <v>0</v>
      </c>
      <c r="J23" s="2"/>
      <c r="K23" s="2"/>
      <c r="L23" s="2"/>
      <c r="M23" s="2">
        <f>K23-L23</f>
        <v>0</v>
      </c>
      <c r="N23" s="2"/>
      <c r="O23" s="2"/>
      <c r="P23" s="7"/>
      <c r="Q23" s="7"/>
      <c r="R23" s="7"/>
      <c r="S23" s="7"/>
      <c r="T23" s="7"/>
      <c r="U23" s="2">
        <v>23.7</v>
      </c>
      <c r="V23" s="2"/>
      <c r="W23" s="2">
        <v>40</v>
      </c>
      <c r="X23" s="2">
        <v>10</v>
      </c>
      <c r="Y23" s="8">
        <v>5.5</v>
      </c>
      <c r="Z23" s="3"/>
      <c r="AA23" s="12">
        <f>AVERAGE((grand[[#This Row],[am]]/25),(grand[[#This Row],[pm]]/50))</f>
        <v>0.874</v>
      </c>
      <c r="AB23" s="3"/>
      <c r="AC23" s="3">
        <f>SUM(grand[[#This Row],[am]:[meat transportation]])/100</f>
        <v>0.79200000000000004</v>
      </c>
      <c r="AD23" s="2"/>
      <c r="AE23" s="2"/>
      <c r="AF23" s="2"/>
      <c r="AG23" s="2"/>
      <c r="AH23" s="2"/>
      <c r="AI23" s="2"/>
      <c r="AJ23" s="2"/>
    </row>
    <row r="24" spans="1:36" hidden="1" x14ac:dyDescent="0.2">
      <c r="A24" s="11">
        <v>43445</v>
      </c>
      <c r="B24" s="53" t="s">
        <v>1235</v>
      </c>
      <c r="C24" s="52" t="str">
        <f>IF(MID(B24,4,2)="09","Ramadan",IF(AND(MID(B24,4,2)="12",VALUE(LEFT(B24,2))&lt;=9),"Adha Season","Normal"))</f>
        <v>Normal</v>
      </c>
      <c r="D24" s="1" t="s">
        <v>45</v>
      </c>
      <c r="F24" s="4" t="s">
        <v>36</v>
      </c>
      <c r="G24" s="2">
        <v>18</v>
      </c>
      <c r="H24" s="2">
        <v>18</v>
      </c>
      <c r="I24" s="2">
        <f>grand[[#This Row],[number]]-grand[[#This Row],[received]]</f>
        <v>0</v>
      </c>
      <c r="J24" s="2"/>
      <c r="K24" s="2"/>
      <c r="L24" s="2"/>
      <c r="M24" s="2">
        <f>K24-L24</f>
        <v>0</v>
      </c>
      <c r="N24" s="2"/>
      <c r="O24" s="2"/>
      <c r="P24" s="7"/>
      <c r="Q24" s="7"/>
      <c r="R24" s="7"/>
      <c r="S24" s="7"/>
      <c r="T24" s="7"/>
      <c r="U24" s="2">
        <v>22.1</v>
      </c>
      <c r="V24" s="2"/>
      <c r="W24" s="2">
        <v>48.4</v>
      </c>
      <c r="X24" s="2">
        <v>8.6</v>
      </c>
      <c r="Y24" s="8">
        <v>5.5</v>
      </c>
      <c r="Z24" s="3"/>
      <c r="AA24" s="12">
        <f>AVERAGE((grand[[#This Row],[am]]/25),(grand[[#This Row],[pm]]/50))</f>
        <v>0.92599999999999993</v>
      </c>
      <c r="AB24" s="3"/>
      <c r="AC24" s="3">
        <f>SUM(grand[[#This Row],[am]:[meat transportation]])/100</f>
        <v>0.84599999999999997</v>
      </c>
      <c r="AD24" s="2"/>
      <c r="AE24" s="2"/>
      <c r="AF24" s="2"/>
      <c r="AG24" s="2"/>
      <c r="AH24" s="2"/>
      <c r="AI24" s="2"/>
      <c r="AJ24" s="2"/>
    </row>
    <row r="25" spans="1:36" hidden="1" x14ac:dyDescent="0.2">
      <c r="A25" s="11">
        <v>43447</v>
      </c>
      <c r="B25" s="53" t="s">
        <v>1236</v>
      </c>
      <c r="C25" s="52" t="str">
        <f>IF(MID(B25,4,2)="09","Ramadan",IF(AND(MID(B25,4,2)="12",VALUE(LEFT(B25,2))&lt;=9),"Adha Season","Normal"))</f>
        <v>Normal</v>
      </c>
      <c r="D25" s="1" t="s">
        <v>45</v>
      </c>
      <c r="F25" s="4" t="s">
        <v>46</v>
      </c>
      <c r="G25" s="2">
        <v>16</v>
      </c>
      <c r="H25" s="2">
        <v>16</v>
      </c>
      <c r="I25" s="2">
        <f>grand[[#This Row],[number]]-grand[[#This Row],[received]]</f>
        <v>0</v>
      </c>
      <c r="J25" s="2"/>
      <c r="K25" s="2"/>
      <c r="L25" s="2"/>
      <c r="M25" s="2">
        <f>K25-L25</f>
        <v>0</v>
      </c>
      <c r="N25" s="2"/>
      <c r="O25" s="2"/>
      <c r="P25" s="7"/>
      <c r="Q25" s="7"/>
      <c r="R25" s="7"/>
      <c r="S25" s="7"/>
      <c r="T25" s="7"/>
      <c r="U25" s="2">
        <v>21.8</v>
      </c>
      <c r="V25" s="2"/>
      <c r="W25" s="2">
        <v>42.8</v>
      </c>
      <c r="X25" s="2">
        <v>9.6</v>
      </c>
      <c r="Y25" s="8">
        <v>7</v>
      </c>
      <c r="Z25" s="3"/>
      <c r="AA25" s="12">
        <f>AVERAGE((grand[[#This Row],[am]]/25),(grand[[#This Row],[pm]]/50))</f>
        <v>0.86399999999999999</v>
      </c>
      <c r="AB25" s="3"/>
      <c r="AC25" s="3">
        <f>SUM(grand[[#This Row],[am]:[meat transportation]])/100</f>
        <v>0.81199999999999983</v>
      </c>
      <c r="AD25" s="2"/>
      <c r="AE25" s="2"/>
      <c r="AF25" s="2"/>
      <c r="AG25" s="2"/>
      <c r="AH25" s="2"/>
      <c r="AI25" s="2"/>
      <c r="AJ25" s="2"/>
    </row>
    <row r="26" spans="1:36" hidden="1" x14ac:dyDescent="0.2">
      <c r="A26" s="11">
        <v>43450</v>
      </c>
      <c r="B26" s="53" t="s">
        <v>1237</v>
      </c>
      <c r="C26" s="52" t="str">
        <f>IF(MID(B26,4,2)="09","Ramadan",IF(AND(MID(B26,4,2)="12",VALUE(LEFT(B26,2))&lt;=9),"Adha Season","Normal"))</f>
        <v>Normal</v>
      </c>
      <c r="D26" s="2" t="s">
        <v>294</v>
      </c>
      <c r="E26" s="2"/>
      <c r="F26" s="4" t="s">
        <v>35</v>
      </c>
      <c r="G26" s="2">
        <v>30</v>
      </c>
      <c r="H26" s="2">
        <v>30</v>
      </c>
      <c r="I26" s="2">
        <f>grand[[#This Row],[number]]-grand[[#This Row],[received]]</f>
        <v>0</v>
      </c>
      <c r="J26" s="2"/>
      <c r="K26" s="2"/>
      <c r="L26" s="2"/>
      <c r="M26" s="2">
        <f>K26-L26</f>
        <v>0</v>
      </c>
      <c r="N26" s="2"/>
      <c r="O26" s="2"/>
      <c r="P26" s="7"/>
      <c r="Q26" s="7"/>
      <c r="R26" s="7"/>
      <c r="S26" s="7"/>
      <c r="T26" s="7"/>
      <c r="U26" s="2">
        <v>18.8</v>
      </c>
      <c r="V26" s="2"/>
      <c r="W26" s="2">
        <v>44.8</v>
      </c>
      <c r="X26" s="2">
        <v>10</v>
      </c>
      <c r="Y26" s="8">
        <v>6.25</v>
      </c>
      <c r="Z26" s="3"/>
      <c r="AA26" s="12">
        <f>AVERAGE((grand[[#This Row],[am]]/25),(grand[[#This Row],[pm]]/50))</f>
        <v>0.82399999999999995</v>
      </c>
      <c r="AB26" s="3"/>
      <c r="AC26" s="3">
        <f>SUM(grand[[#This Row],[am]:[meat transportation]])/100</f>
        <v>0.79849999999999999</v>
      </c>
      <c r="AD26" s="2"/>
      <c r="AE26" s="2"/>
      <c r="AF26" s="2"/>
      <c r="AG26" s="2"/>
      <c r="AH26" s="2"/>
      <c r="AI26" s="2"/>
      <c r="AJ26" s="2"/>
    </row>
    <row r="27" spans="1:36" hidden="1" x14ac:dyDescent="0.2">
      <c r="A27" s="11">
        <v>43450</v>
      </c>
      <c r="B27" s="53" t="s">
        <v>1237</v>
      </c>
      <c r="C27" s="52" t="str">
        <f>IF(MID(B27,4,2)="09","Ramadan",IF(AND(MID(B27,4,2)="12",VALUE(LEFT(B27,2))&lt;=9),"Adha Season","Normal"))</f>
        <v>Normal</v>
      </c>
      <c r="D27" s="1" t="s">
        <v>45</v>
      </c>
      <c r="F27" s="4" t="s">
        <v>46</v>
      </c>
      <c r="G27" s="2">
        <v>18</v>
      </c>
      <c r="H27" s="2">
        <v>18</v>
      </c>
      <c r="I27" s="2">
        <f>grand[[#This Row],[number]]-grand[[#This Row],[received]]</f>
        <v>0</v>
      </c>
      <c r="J27" s="2"/>
      <c r="K27" s="2"/>
      <c r="L27" s="2"/>
      <c r="M27" s="2">
        <f>K27-L27</f>
        <v>0</v>
      </c>
      <c r="N27" s="2"/>
      <c r="O27" s="2"/>
      <c r="P27" s="7"/>
      <c r="Q27" s="7"/>
      <c r="R27" s="7"/>
      <c r="S27" s="7"/>
      <c r="T27" s="7"/>
      <c r="U27" s="2">
        <v>17.5</v>
      </c>
      <c r="V27" s="2"/>
      <c r="W27" s="2">
        <v>44.6</v>
      </c>
      <c r="X27" s="2">
        <v>10</v>
      </c>
      <c r="Y27" s="8">
        <v>6.25</v>
      </c>
      <c r="Z27" s="3"/>
      <c r="AA27" s="12">
        <f>AVERAGE((grand[[#This Row],[am]]/25),(grand[[#This Row],[pm]]/50))</f>
        <v>0.79600000000000004</v>
      </c>
      <c r="AB27" s="3"/>
      <c r="AC27" s="3">
        <f>SUM(grand[[#This Row],[am]:[meat transportation]])/100</f>
        <v>0.78349999999999997</v>
      </c>
      <c r="AD27" s="2"/>
      <c r="AE27" s="2"/>
      <c r="AF27" s="2"/>
      <c r="AG27" s="2"/>
      <c r="AH27" s="2"/>
      <c r="AI27" s="2"/>
      <c r="AJ27" s="2"/>
    </row>
    <row r="28" spans="1:36" hidden="1" x14ac:dyDescent="0.2">
      <c r="A28" s="11">
        <v>43452</v>
      </c>
      <c r="B28" s="53" t="s">
        <v>1238</v>
      </c>
      <c r="C28" s="52" t="str">
        <f>IF(MID(B28,4,2)="09","Ramadan",IF(AND(MID(B28,4,2)="12",VALUE(LEFT(B28,2))&lt;=9),"Adha Season","Normal"))</f>
        <v>Normal</v>
      </c>
      <c r="D28" s="1" t="s">
        <v>45</v>
      </c>
      <c r="F28" s="4" t="s">
        <v>46</v>
      </c>
      <c r="G28" s="2">
        <v>16</v>
      </c>
      <c r="H28" s="2">
        <v>16</v>
      </c>
      <c r="I28" s="2">
        <f>grand[[#This Row],[number]]-grand[[#This Row],[received]]</f>
        <v>0</v>
      </c>
      <c r="J28" s="2"/>
      <c r="K28" s="2"/>
      <c r="L28" s="2"/>
      <c r="M28" s="2">
        <f>K28-L28</f>
        <v>0</v>
      </c>
      <c r="N28" s="2"/>
      <c r="O28" s="2"/>
      <c r="P28" s="7"/>
      <c r="Q28" s="7"/>
      <c r="R28" s="7"/>
      <c r="S28" s="7"/>
      <c r="T28" s="7"/>
      <c r="U28" s="2">
        <v>22.5</v>
      </c>
      <c r="V28" s="2"/>
      <c r="W28" s="2">
        <v>44.8</v>
      </c>
      <c r="X28" s="2">
        <v>9.8000000000000007</v>
      </c>
      <c r="Y28" s="8">
        <v>9.25</v>
      </c>
      <c r="Z28" s="3"/>
      <c r="AA28" s="12">
        <f>AVERAGE((grand[[#This Row],[am]]/25),(grand[[#This Row],[pm]]/50))</f>
        <v>0.89799999999999991</v>
      </c>
      <c r="AB28" s="3"/>
      <c r="AC28" s="3">
        <f>SUM(grand[[#This Row],[am]:[meat transportation]])/100</f>
        <v>0.86349999999999993</v>
      </c>
      <c r="AD28" s="2"/>
      <c r="AE28" s="2"/>
      <c r="AF28" s="2"/>
      <c r="AG28" s="2"/>
      <c r="AH28" s="2"/>
      <c r="AI28" s="2"/>
      <c r="AJ28" s="2"/>
    </row>
    <row r="29" spans="1:36" hidden="1" x14ac:dyDescent="0.2">
      <c r="A29" s="11">
        <v>43457</v>
      </c>
      <c r="B29" s="53" t="s">
        <v>1240</v>
      </c>
      <c r="C29" s="52" t="str">
        <f>IF(MID(B29,4,2)="09","Ramadan",IF(AND(MID(B29,4,2)="12",VALUE(LEFT(B29,2))&lt;=9),"Adha Season","Normal"))</f>
        <v>Normal</v>
      </c>
      <c r="D29" s="2" t="s">
        <v>294</v>
      </c>
      <c r="E29" s="2"/>
      <c r="F29" s="4" t="s">
        <v>35</v>
      </c>
      <c r="G29" s="2">
        <v>25</v>
      </c>
      <c r="H29" s="2">
        <v>25</v>
      </c>
      <c r="I29" s="2">
        <f>grand[[#This Row],[number]]-grand[[#This Row],[received]]</f>
        <v>0</v>
      </c>
      <c r="J29" s="30"/>
      <c r="K29" s="2"/>
      <c r="L29" s="2"/>
      <c r="M29" s="2">
        <f>K29-L29</f>
        <v>0</v>
      </c>
      <c r="N29" s="2"/>
      <c r="O29" s="2"/>
      <c r="P29" s="7"/>
      <c r="Q29" s="7"/>
      <c r="R29" s="7"/>
      <c r="S29" s="7"/>
      <c r="T29" s="7"/>
      <c r="U29" s="2">
        <v>24</v>
      </c>
      <c r="V29" s="2"/>
      <c r="W29" s="2">
        <v>49.3</v>
      </c>
      <c r="X29" s="2">
        <v>10</v>
      </c>
      <c r="Y29" s="8">
        <v>8.125</v>
      </c>
      <c r="Z29" s="3"/>
      <c r="AA29" s="12">
        <f>AVERAGE((grand[[#This Row],[am]]/25),(grand[[#This Row],[pm]]/50))</f>
        <v>0.97299999999999998</v>
      </c>
      <c r="AB29" s="3"/>
      <c r="AC29" s="3">
        <f>SUM(grand[[#This Row],[am]:[meat transportation]])/100</f>
        <v>0.91425000000000001</v>
      </c>
      <c r="AD29" s="2"/>
      <c r="AE29" s="2"/>
      <c r="AF29" s="2"/>
      <c r="AG29" s="2"/>
      <c r="AH29" s="2"/>
      <c r="AI29" s="2"/>
      <c r="AJ29" s="2"/>
    </row>
    <row r="30" spans="1:36" hidden="1" x14ac:dyDescent="0.2">
      <c r="A30" s="11">
        <v>43459</v>
      </c>
      <c r="B30" s="53" t="s">
        <v>1241</v>
      </c>
      <c r="C30" s="52" t="str">
        <f>IF(MID(B30,4,2)="09","Ramadan",IF(AND(MID(B30,4,2)="12",VALUE(LEFT(B30,2))&lt;=9),"Adha Season","Normal"))</f>
        <v>Normal</v>
      </c>
      <c r="D30" s="1" t="s">
        <v>45</v>
      </c>
      <c r="F30" s="4" t="s">
        <v>39</v>
      </c>
      <c r="G30" s="2">
        <v>18</v>
      </c>
      <c r="H30" s="2">
        <v>18</v>
      </c>
      <c r="I30" s="2">
        <f>grand[[#This Row],[number]]-grand[[#This Row],[received]]</f>
        <v>0</v>
      </c>
      <c r="J30" s="30"/>
      <c r="K30" s="7">
        <v>8512</v>
      </c>
      <c r="L30" s="7">
        <v>8075</v>
      </c>
      <c r="M30" s="2">
        <f>K30-L30</f>
        <v>437</v>
      </c>
      <c r="N30" s="7">
        <v>5388.7</v>
      </c>
      <c r="O30" s="7">
        <v>221</v>
      </c>
      <c r="P30" s="7">
        <f>grand[[#This Row],[total weight]]/grand[[#This Row],[received]]</f>
        <v>472.88888888888891</v>
      </c>
      <c r="Q30" s="7">
        <f>grand[[#This Row],[receiving weight]]/grand[[#This Row],[received]]</f>
        <v>448.61111111111109</v>
      </c>
      <c r="R30" s="7">
        <f>grand[[#This Row],[transportation loss ]]/grand[[#This Row],[received]]</f>
        <v>24.277777777777779</v>
      </c>
      <c r="S30" s="7">
        <f>grand[[#This Row],[ carcass weight]]/grand[[#This Row],[received]]</f>
        <v>299.37222222222221</v>
      </c>
      <c r="T30" s="7">
        <f>grand[[#This Row],[ kidneys fat quantity]]/grand[[#This Row],[received]]</f>
        <v>12.277777777777779</v>
      </c>
      <c r="U30" s="2">
        <v>20</v>
      </c>
      <c r="V30" s="2"/>
      <c r="W30" s="2">
        <v>48.7</v>
      </c>
      <c r="X30" s="2">
        <v>9</v>
      </c>
      <c r="Y30" s="8">
        <v>8.125</v>
      </c>
      <c r="Z30" s="3">
        <f>grand[[#This Row],[av. Transportation loss]]/grand[[#This Row],[av.total weight]]</f>
        <v>5.1339285714285712E-2</v>
      </c>
      <c r="AA30" s="12">
        <f>AVERAGE((grand[[#This Row],[am]]/25),(grand[[#This Row],[pm]]/50))</f>
        <v>0.88700000000000001</v>
      </c>
      <c r="AB30" s="3">
        <f>grand[[#This Row],[ carcass weight]]/grand[[#This Row],[total weight]]</f>
        <v>0.63307095864661656</v>
      </c>
      <c r="AC30" s="3">
        <f>SUM(grand[[#This Row],[am]:[meat transportation]])/100</f>
        <v>0.85825000000000007</v>
      </c>
      <c r="AD30" s="2"/>
      <c r="AE30" s="2"/>
      <c r="AF30" s="2"/>
      <c r="AG30" s="2"/>
      <c r="AH30" s="2"/>
      <c r="AI30" s="2"/>
      <c r="AJ30" s="2"/>
    </row>
    <row r="31" spans="1:36" hidden="1" x14ac:dyDescent="0.2">
      <c r="A31" s="11">
        <v>43461</v>
      </c>
      <c r="B31" s="53" t="s">
        <v>1242</v>
      </c>
      <c r="C31" s="52" t="str">
        <f>IF(MID(B31,4,2)="09","Ramadan",IF(AND(MID(B31,4,2)="12",VALUE(LEFT(B31,2))&lt;=9),"Adha Season","Normal"))</f>
        <v>Normal</v>
      </c>
      <c r="D31" s="1" t="s">
        <v>45</v>
      </c>
      <c r="F31" s="4" t="s">
        <v>46</v>
      </c>
      <c r="G31" s="2">
        <v>16</v>
      </c>
      <c r="H31" s="2">
        <v>16</v>
      </c>
      <c r="I31" s="2">
        <f>grand[[#This Row],[number]]-grand[[#This Row],[received]]</f>
        <v>0</v>
      </c>
      <c r="J31" s="30"/>
      <c r="K31" s="2">
        <v>7550</v>
      </c>
      <c r="L31" s="2">
        <v>7200</v>
      </c>
      <c r="M31" s="2">
        <f>K31-L31</f>
        <v>350</v>
      </c>
      <c r="N31" s="2">
        <v>4627.8</v>
      </c>
      <c r="O31" s="2">
        <v>160</v>
      </c>
      <c r="P31" s="7">
        <f>grand[[#This Row],[total weight]]/grand[[#This Row],[received]]</f>
        <v>471.875</v>
      </c>
      <c r="Q31" s="7">
        <f>grand[[#This Row],[receiving weight]]/grand[[#This Row],[received]]</f>
        <v>450</v>
      </c>
      <c r="R31" s="7">
        <f>grand[[#This Row],[transportation loss ]]/grand[[#This Row],[received]]</f>
        <v>21.875</v>
      </c>
      <c r="S31" s="7">
        <f>grand[[#This Row],[ carcass weight]]/grand[[#This Row],[received]]</f>
        <v>289.23750000000001</v>
      </c>
      <c r="T31" s="7">
        <f>grand[[#This Row],[ kidneys fat quantity]]/grand[[#This Row],[received]]</f>
        <v>10</v>
      </c>
      <c r="U31" s="2">
        <v>21.4</v>
      </c>
      <c r="V31" s="2"/>
      <c r="W31" s="2">
        <v>48.6</v>
      </c>
      <c r="X31" s="2">
        <v>8.5</v>
      </c>
      <c r="Y31" s="8">
        <v>8.125</v>
      </c>
      <c r="Z31" s="3">
        <f>grand[[#This Row],[av. Transportation loss]]/grand[[#This Row],[av.total weight]]</f>
        <v>4.6357615894039736E-2</v>
      </c>
      <c r="AA31" s="12">
        <f>AVERAGE((grand[[#This Row],[am]]/25),(grand[[#This Row],[pm]]/50))</f>
        <v>0.91399999999999992</v>
      </c>
      <c r="AB31" s="3">
        <f>grand[[#This Row],[ carcass weight]]/grand[[#This Row],[total weight]]</f>
        <v>0.61295364238410599</v>
      </c>
      <c r="AC31" s="3">
        <f>SUM(grand[[#This Row],[am]:[meat transportation]])/100</f>
        <v>0.86624999999999996</v>
      </c>
      <c r="AD31" s="2"/>
      <c r="AE31" s="2"/>
      <c r="AF31" s="2"/>
      <c r="AG31" s="2"/>
      <c r="AH31" s="2"/>
      <c r="AI31" s="2"/>
      <c r="AJ31" s="2"/>
    </row>
    <row r="32" spans="1:36" hidden="1" x14ac:dyDescent="0.2">
      <c r="A32" s="11">
        <v>43464</v>
      </c>
      <c r="B32" s="53" t="s">
        <v>1243</v>
      </c>
      <c r="C32" s="52" t="str">
        <f>IF(MID(B32,4,2)="09","Ramadan",IF(AND(MID(B32,4,2)="12",VALUE(LEFT(B32,2))&lt;=9),"Adha Season","Normal"))</f>
        <v>Normal</v>
      </c>
      <c r="D32" s="1" t="s">
        <v>45</v>
      </c>
      <c r="F32" s="4" t="s">
        <v>46</v>
      </c>
      <c r="G32" s="2">
        <v>16</v>
      </c>
      <c r="H32" s="2">
        <v>16</v>
      </c>
      <c r="I32" s="2">
        <f>grand[[#This Row],[number]]-grand[[#This Row],[received]]</f>
        <v>0</v>
      </c>
      <c r="J32" s="30"/>
      <c r="K32" s="2">
        <v>7420</v>
      </c>
      <c r="L32" s="2">
        <v>7180</v>
      </c>
      <c r="M32" s="2">
        <f>K32-L32</f>
        <v>240</v>
      </c>
      <c r="N32" s="2">
        <v>4527.1000000000004</v>
      </c>
      <c r="O32" s="2">
        <v>172</v>
      </c>
      <c r="P32" s="7">
        <f>grand[[#This Row],[total weight]]/grand[[#This Row],[received]]</f>
        <v>463.75</v>
      </c>
      <c r="Q32" s="7">
        <f>grand[[#This Row],[receiving weight]]/grand[[#This Row],[received]]</f>
        <v>448.75</v>
      </c>
      <c r="R32" s="7">
        <f>grand[[#This Row],[transportation loss ]]/grand[[#This Row],[received]]</f>
        <v>15</v>
      </c>
      <c r="S32" s="7">
        <f>grand[[#This Row],[ carcass weight]]/grand[[#This Row],[received]]</f>
        <v>282.94375000000002</v>
      </c>
      <c r="T32" s="7">
        <f>grand[[#This Row],[ kidneys fat quantity]]/grand[[#This Row],[received]]</f>
        <v>10.75</v>
      </c>
      <c r="U32" s="2">
        <v>22.7</v>
      </c>
      <c r="V32" s="2"/>
      <c r="W32" s="2">
        <v>46</v>
      </c>
      <c r="X32" s="2">
        <v>9.6</v>
      </c>
      <c r="Y32" s="8">
        <v>8.125</v>
      </c>
      <c r="Z32" s="3">
        <f>grand[[#This Row],[av. Transportation loss]]/grand[[#This Row],[av.total weight]]</f>
        <v>3.2345013477088951E-2</v>
      </c>
      <c r="AA32" s="12">
        <f>AVERAGE((grand[[#This Row],[am]]/25),(grand[[#This Row],[pm]]/50))</f>
        <v>0.91399999999999992</v>
      </c>
      <c r="AB32" s="3">
        <f>grand[[#This Row],[ carcass weight]]/grand[[#This Row],[total weight]]</f>
        <v>0.61012129380053914</v>
      </c>
      <c r="AC32" s="3">
        <f>SUM(grand[[#This Row],[am]:[meat transportation]])/100</f>
        <v>0.86424999999999996</v>
      </c>
      <c r="AD32" s="2"/>
      <c r="AE32" s="2"/>
      <c r="AF32" s="2"/>
      <c r="AG32" s="2"/>
      <c r="AH32" s="2"/>
      <c r="AI32" s="2"/>
      <c r="AJ32" s="2"/>
    </row>
    <row r="33" spans="1:36" hidden="1" x14ac:dyDescent="0.2">
      <c r="A33" s="11">
        <v>43466</v>
      </c>
      <c r="B33" s="53" t="s">
        <v>1244</v>
      </c>
      <c r="C33" s="52" t="str">
        <f>IF(MID(B33,4,2)="09","Ramadan",IF(AND(MID(B33,4,2)="12",VALUE(LEFT(B33,2))&lt;=9),"Adha Season","Normal"))</f>
        <v>Normal</v>
      </c>
      <c r="D33" s="1" t="s">
        <v>45</v>
      </c>
      <c r="F33" s="4" t="s">
        <v>40</v>
      </c>
      <c r="G33" s="2">
        <v>16</v>
      </c>
      <c r="H33" s="2">
        <v>16</v>
      </c>
      <c r="I33" s="2">
        <f>grand[[#This Row],[number]]-grand[[#This Row],[received]]</f>
        <v>0</v>
      </c>
      <c r="J33" s="30"/>
      <c r="K33" s="2">
        <v>7377</v>
      </c>
      <c r="L33" s="2">
        <v>6975</v>
      </c>
      <c r="M33" s="2">
        <f>K33-L33</f>
        <v>402</v>
      </c>
      <c r="N33" s="2">
        <v>4426.2</v>
      </c>
      <c r="O33" s="2">
        <v>125</v>
      </c>
      <c r="P33" s="7">
        <f>grand[[#This Row],[total weight]]/grand[[#This Row],[received]]</f>
        <v>461.0625</v>
      </c>
      <c r="Q33" s="7">
        <f>grand[[#This Row],[receiving weight]]/grand[[#This Row],[received]]</f>
        <v>435.9375</v>
      </c>
      <c r="R33" s="7">
        <f>grand[[#This Row],[transportation loss ]]/grand[[#This Row],[received]]</f>
        <v>25.125</v>
      </c>
      <c r="S33" s="7">
        <f>grand[[#This Row],[ carcass weight]]/grand[[#This Row],[received]]</f>
        <v>276.63749999999999</v>
      </c>
      <c r="T33" s="7">
        <f>grand[[#This Row],[ kidneys fat quantity]]/grand[[#This Row],[received]]</f>
        <v>7.8125</v>
      </c>
      <c r="U33" s="2">
        <v>17.5</v>
      </c>
      <c r="V33" s="2"/>
      <c r="W33" s="2">
        <v>44.5</v>
      </c>
      <c r="X33" s="2">
        <v>10</v>
      </c>
      <c r="Y33" s="8">
        <v>7.8</v>
      </c>
      <c r="Z33" s="3">
        <f>grand[[#This Row],[av. Transportation loss]]/grand[[#This Row],[av.total weight]]</f>
        <v>5.4493696624644164E-2</v>
      </c>
      <c r="AA33" s="12">
        <f>AVERAGE((grand[[#This Row],[am]]/25),(grand[[#This Row],[pm]]/50))</f>
        <v>0.79499999999999993</v>
      </c>
      <c r="AB33" s="3">
        <f>grand[[#This Row],[ carcass weight]]/grand[[#This Row],[total weight]]</f>
        <v>0.6</v>
      </c>
      <c r="AC33" s="3">
        <f>SUM(grand[[#This Row],[am]:[meat transportation]])/100</f>
        <v>0.79799999999999993</v>
      </c>
      <c r="AD33" s="2"/>
      <c r="AE33" s="2"/>
      <c r="AF33" s="2"/>
      <c r="AG33" s="2"/>
      <c r="AH33" s="2"/>
      <c r="AI33" s="2"/>
      <c r="AJ33" s="2"/>
    </row>
    <row r="34" spans="1:36" hidden="1" x14ac:dyDescent="0.2">
      <c r="A34" s="11">
        <v>43466</v>
      </c>
      <c r="B34" s="53" t="s">
        <v>1244</v>
      </c>
      <c r="C34" s="52" t="str">
        <f>IF(MID(B34,4,2)="09","Ramadan",IF(AND(MID(B34,4,2)="12",VALUE(LEFT(B34,2))&lt;=9),"Adha Season","Normal"))</f>
        <v>Normal</v>
      </c>
      <c r="D34" s="2" t="s">
        <v>294</v>
      </c>
      <c r="E34" s="2"/>
      <c r="F34" s="4" t="s">
        <v>35</v>
      </c>
      <c r="G34" s="2">
        <v>28</v>
      </c>
      <c r="H34" s="2">
        <v>28</v>
      </c>
      <c r="I34" s="2">
        <f>grand[[#This Row],[number]]-grand[[#This Row],[received]]</f>
        <v>0</v>
      </c>
      <c r="J34" s="30"/>
      <c r="K34" s="2"/>
      <c r="L34" s="2"/>
      <c r="M34" s="2">
        <f>K34-L34</f>
        <v>0</v>
      </c>
      <c r="N34" s="2"/>
      <c r="O34" s="2"/>
      <c r="P34" s="7"/>
      <c r="Q34" s="7"/>
      <c r="R34" s="7"/>
      <c r="S34" s="7"/>
      <c r="T34" s="7"/>
      <c r="U34" s="2">
        <v>20.5</v>
      </c>
      <c r="V34" s="2"/>
      <c r="W34" s="2">
        <v>44.8</v>
      </c>
      <c r="X34" s="2">
        <v>10</v>
      </c>
      <c r="Y34" s="8">
        <v>7.8</v>
      </c>
      <c r="Z34" s="3"/>
      <c r="AA34" s="12">
        <f>AVERAGE((grand[[#This Row],[am]]/25),(grand[[#This Row],[pm]]/50))</f>
        <v>0.85799999999999987</v>
      </c>
      <c r="AB34" s="3"/>
      <c r="AC34" s="3">
        <f>SUM(grand[[#This Row],[am]:[meat transportation]])/100</f>
        <v>0.83099999999999996</v>
      </c>
      <c r="AD34" s="2"/>
      <c r="AE34" s="2"/>
      <c r="AF34" s="2"/>
      <c r="AG34" s="2"/>
      <c r="AH34" s="2"/>
      <c r="AI34" s="2"/>
      <c r="AJ34" s="2"/>
    </row>
    <row r="35" spans="1:36" hidden="1" x14ac:dyDescent="0.2">
      <c r="A35" s="11">
        <v>43468</v>
      </c>
      <c r="B35" s="53" t="s">
        <v>1245</v>
      </c>
      <c r="C35" s="52" t="str">
        <f>IF(MID(B35,4,2)="09","Ramadan",IF(AND(MID(B35,4,2)="12",VALUE(LEFT(B35,2))&lt;=9),"Adha Season","Normal"))</f>
        <v>Normal</v>
      </c>
      <c r="D35" s="1" t="s">
        <v>45</v>
      </c>
      <c r="F35" s="4" t="s">
        <v>46</v>
      </c>
      <c r="G35" s="2">
        <v>16</v>
      </c>
      <c r="H35" s="2">
        <v>16</v>
      </c>
      <c r="I35" s="2">
        <f>grand[[#This Row],[number]]-grand[[#This Row],[received]]</f>
        <v>0</v>
      </c>
      <c r="J35" s="30"/>
      <c r="K35" s="2">
        <v>7845</v>
      </c>
      <c r="L35" s="2">
        <v>7545</v>
      </c>
      <c r="M35" s="2">
        <f>K35-L35</f>
        <v>300</v>
      </c>
      <c r="N35" s="2">
        <v>4674.8</v>
      </c>
      <c r="O35" s="2">
        <v>150</v>
      </c>
      <c r="P35" s="7">
        <f>grand[[#This Row],[total weight]]/grand[[#This Row],[received]]</f>
        <v>490.3125</v>
      </c>
      <c r="Q35" s="7">
        <f>grand[[#This Row],[receiving weight]]/grand[[#This Row],[received]]</f>
        <v>471.5625</v>
      </c>
      <c r="R35" s="7">
        <f>grand[[#This Row],[transportation loss ]]/grand[[#This Row],[received]]</f>
        <v>18.75</v>
      </c>
      <c r="S35" s="7">
        <f>grand[[#This Row],[ carcass weight]]/grand[[#This Row],[received]]</f>
        <v>292.17500000000001</v>
      </c>
      <c r="T35" s="7">
        <f>grand[[#This Row],[ kidneys fat quantity]]/grand[[#This Row],[received]]</f>
        <v>9.375</v>
      </c>
      <c r="U35" s="2">
        <v>24</v>
      </c>
      <c r="V35" s="2">
        <v>5</v>
      </c>
      <c r="W35" s="2">
        <v>42.5</v>
      </c>
      <c r="X35" s="2">
        <v>10</v>
      </c>
      <c r="Y35" s="8">
        <v>10</v>
      </c>
      <c r="Z35" s="3">
        <f>grand[[#This Row],[av. Transportation loss]]/grand[[#This Row],[av.total weight]]</f>
        <v>3.8240917782026769E-2</v>
      </c>
      <c r="AA35" s="12">
        <f>AVERAGE((grand[[#This Row],[am]]/25),(grand[[#This Row],[pm]]/50))</f>
        <v>0.90500000000000003</v>
      </c>
      <c r="AB35" s="3">
        <f>grand[[#This Row],[ carcass weight]]/grand[[#This Row],[total weight]]</f>
        <v>0.59589547482472915</v>
      </c>
      <c r="AC35" s="3">
        <f>SUM(grand[[#This Row],[am]:[meat transportation]])/100</f>
        <v>0.91500000000000004</v>
      </c>
      <c r="AD35" s="2"/>
      <c r="AE35" s="2"/>
      <c r="AF35" s="2"/>
      <c r="AG35" s="2"/>
      <c r="AH35" s="2"/>
      <c r="AI35" s="2"/>
      <c r="AJ35" s="2"/>
    </row>
    <row r="36" spans="1:36" hidden="1" x14ac:dyDescent="0.2">
      <c r="A36" s="11">
        <v>43471</v>
      </c>
      <c r="B36" s="53" t="s">
        <v>1246</v>
      </c>
      <c r="C36" s="52" t="str">
        <f>IF(MID(B36,4,2)="09","Ramadan",IF(AND(MID(B36,4,2)="12",VALUE(LEFT(B36,2))&lt;=9),"Adha Season","Normal"))</f>
        <v>Normal</v>
      </c>
      <c r="D36" s="1" t="s">
        <v>45</v>
      </c>
      <c r="F36" s="4" t="s">
        <v>39</v>
      </c>
      <c r="G36" s="2">
        <v>16</v>
      </c>
      <c r="H36" s="2">
        <v>16</v>
      </c>
      <c r="I36" s="2">
        <f>grand[[#This Row],[number]]-grand[[#This Row],[received]]</f>
        <v>0</v>
      </c>
      <c r="J36" s="30"/>
      <c r="K36" s="2">
        <v>7965</v>
      </c>
      <c r="L36" s="2">
        <v>7545</v>
      </c>
      <c r="M36" s="2">
        <f>K36-L36</f>
        <v>420</v>
      </c>
      <c r="N36" s="2">
        <v>4986.3</v>
      </c>
      <c r="O36" s="2">
        <v>155</v>
      </c>
      <c r="P36" s="7">
        <f>grand[[#This Row],[total weight]]/grand[[#This Row],[received]]</f>
        <v>497.8125</v>
      </c>
      <c r="Q36" s="7">
        <f>grand[[#This Row],[receiving weight]]/grand[[#This Row],[received]]</f>
        <v>471.5625</v>
      </c>
      <c r="R36" s="7">
        <f>grand[[#This Row],[transportation loss ]]/grand[[#This Row],[received]]</f>
        <v>26.25</v>
      </c>
      <c r="S36" s="7">
        <f>grand[[#This Row],[ carcass weight]]/grand[[#This Row],[received]]</f>
        <v>311.64375000000001</v>
      </c>
      <c r="T36" s="7">
        <f>grand[[#This Row],[ kidneys fat quantity]]/grand[[#This Row],[received]]</f>
        <v>9.6875</v>
      </c>
      <c r="U36" s="2">
        <v>24</v>
      </c>
      <c r="V36" s="2"/>
      <c r="W36" s="2">
        <v>48.3</v>
      </c>
      <c r="X36" s="2">
        <v>9</v>
      </c>
      <c r="Y36" s="8">
        <v>8.5</v>
      </c>
      <c r="Z36" s="3">
        <f>grand[[#This Row],[av. Transportation loss]]/grand[[#This Row],[av.total weight]]</f>
        <v>5.2730696798493411E-2</v>
      </c>
      <c r="AA36" s="12">
        <f>AVERAGE((grand[[#This Row],[am]]/25),(grand[[#This Row],[pm]]/50))</f>
        <v>0.96299999999999997</v>
      </c>
      <c r="AB36" s="3">
        <f>grand[[#This Row],[ carcass weight]]/grand[[#This Row],[total weight]]</f>
        <v>0.62602636534839928</v>
      </c>
      <c r="AC36" s="3">
        <f>SUM(grand[[#This Row],[am]:[meat transportation]])/100</f>
        <v>0.89800000000000002</v>
      </c>
      <c r="AD36" s="2"/>
      <c r="AE36" s="2"/>
      <c r="AF36" s="2"/>
      <c r="AG36" s="2"/>
      <c r="AH36" s="2"/>
      <c r="AI36" s="2"/>
      <c r="AJ36" s="2"/>
    </row>
    <row r="37" spans="1:36" hidden="1" x14ac:dyDescent="0.2">
      <c r="A37" s="11">
        <v>43471</v>
      </c>
      <c r="B37" s="53" t="s">
        <v>1246</v>
      </c>
      <c r="C37" s="52" t="str">
        <f>IF(MID(B37,4,2)="09","Ramadan",IF(AND(MID(B37,4,2)="12",VALUE(LEFT(B37,2))&lt;=9),"Adha Season","Normal"))</f>
        <v>Normal</v>
      </c>
      <c r="D37" s="2" t="s">
        <v>294</v>
      </c>
      <c r="E37" s="2"/>
      <c r="F37" s="4" t="s">
        <v>35</v>
      </c>
      <c r="G37" s="2">
        <v>25</v>
      </c>
      <c r="H37" s="2">
        <v>25</v>
      </c>
      <c r="I37" s="2">
        <f>grand[[#This Row],[number]]-grand[[#This Row],[received]]</f>
        <v>0</v>
      </c>
      <c r="J37" s="30"/>
      <c r="K37" s="2"/>
      <c r="L37" s="2"/>
      <c r="M37" s="2">
        <f>K37-L37</f>
        <v>0</v>
      </c>
      <c r="N37" s="2"/>
      <c r="O37" s="2"/>
      <c r="P37" s="7">
        <f>grand[[#This Row],[total weight]]/grand[[#This Row],[received]]</f>
        <v>0</v>
      </c>
      <c r="Q37" s="7">
        <f>grand[[#This Row],[receiving weight]]/grand[[#This Row],[received]]</f>
        <v>0</v>
      </c>
      <c r="R37" s="7">
        <f>grand[[#This Row],[transportation loss ]]/grand[[#This Row],[received]]</f>
        <v>0</v>
      </c>
      <c r="S37" s="7">
        <f>grand[[#This Row],[ carcass weight]]/grand[[#This Row],[received]]</f>
        <v>0</v>
      </c>
      <c r="T37" s="7">
        <f>grand[[#This Row],[ kidneys fat quantity]]/grand[[#This Row],[received]]</f>
        <v>0</v>
      </c>
      <c r="U37" s="2">
        <v>21.5</v>
      </c>
      <c r="V37" s="2"/>
      <c r="W37" s="2">
        <v>48.7</v>
      </c>
      <c r="X37" s="2">
        <v>10</v>
      </c>
      <c r="Y37" s="8">
        <v>8.5</v>
      </c>
      <c r="Z37" s="3"/>
      <c r="AA37" s="12">
        <f>AVERAGE((grand[[#This Row],[am]]/25),(grand[[#This Row],[pm]]/50))</f>
        <v>0.91700000000000004</v>
      </c>
      <c r="AB37" s="3"/>
      <c r="AC37" s="3">
        <f>SUM(grand[[#This Row],[am]:[meat transportation]])/100</f>
        <v>0.88700000000000001</v>
      </c>
      <c r="AD37" s="2"/>
      <c r="AE37" s="2"/>
      <c r="AF37" s="2"/>
      <c r="AG37" s="2"/>
      <c r="AH37" s="2"/>
      <c r="AI37" s="2"/>
      <c r="AJ37" s="2"/>
    </row>
    <row r="38" spans="1:36" hidden="1" x14ac:dyDescent="0.2">
      <c r="A38" s="11">
        <v>43473</v>
      </c>
      <c r="B38" s="53" t="s">
        <v>1247</v>
      </c>
      <c r="C38" s="52" t="str">
        <f>IF(MID(B38,4,2)="09","Ramadan",IF(AND(MID(B38,4,2)="12",VALUE(LEFT(B38,2))&lt;=9),"Adha Season","Normal"))</f>
        <v>Normal</v>
      </c>
      <c r="D38" s="1" t="s">
        <v>45</v>
      </c>
      <c r="F38" s="4" t="s">
        <v>46</v>
      </c>
      <c r="G38" s="2">
        <v>18</v>
      </c>
      <c r="H38" s="2">
        <v>18</v>
      </c>
      <c r="I38" s="2">
        <f>grand[[#This Row],[number]]-grand[[#This Row],[received]]</f>
        <v>0</v>
      </c>
      <c r="J38" s="30"/>
      <c r="K38" s="2">
        <v>8860</v>
      </c>
      <c r="L38" s="2">
        <v>8570</v>
      </c>
      <c r="M38" s="2">
        <f>K38-L38</f>
        <v>290</v>
      </c>
      <c r="N38" s="2">
        <v>5402.7</v>
      </c>
      <c r="O38" s="2">
        <v>205</v>
      </c>
      <c r="P38" s="7">
        <f>grand[[#This Row],[total weight]]/grand[[#This Row],[received]]</f>
        <v>492.22222222222223</v>
      </c>
      <c r="Q38" s="7">
        <f>grand[[#This Row],[receiving weight]]/grand[[#This Row],[received]]</f>
        <v>476.11111111111109</v>
      </c>
      <c r="R38" s="7">
        <f>grand[[#This Row],[transportation loss ]]/grand[[#This Row],[received]]</f>
        <v>16.111111111111111</v>
      </c>
      <c r="S38" s="7">
        <f>grand[[#This Row],[ carcass weight]]/grand[[#This Row],[received]]</f>
        <v>300.14999999999998</v>
      </c>
      <c r="T38" s="7">
        <f>grand[[#This Row],[ kidneys fat quantity]]/grand[[#This Row],[received]]</f>
        <v>11.388888888888889</v>
      </c>
      <c r="U38" s="2">
        <v>23</v>
      </c>
      <c r="V38" s="2"/>
      <c r="W38" s="2">
        <v>48.8</v>
      </c>
      <c r="X38" s="2">
        <v>8.9</v>
      </c>
      <c r="Y38" s="8">
        <v>8.5</v>
      </c>
      <c r="Z38" s="3">
        <f>grand[[#This Row],[av. Transportation loss]]/grand[[#This Row],[av.total weight]]</f>
        <v>3.2731376975169299E-2</v>
      </c>
      <c r="AA38" s="12">
        <f>AVERAGE((grand[[#This Row],[am]]/25),(grand[[#This Row],[pm]]/50))</f>
        <v>0.94799999999999995</v>
      </c>
      <c r="AB38" s="3">
        <f>grand[[#This Row],[ carcass weight]]/grand[[#This Row],[total weight]]</f>
        <v>0.60978555304740401</v>
      </c>
      <c r="AC38" s="3">
        <f>SUM(grand[[#This Row],[am]:[meat transportation]])/100</f>
        <v>0.89200000000000002</v>
      </c>
      <c r="AD38" s="2"/>
      <c r="AE38" s="2"/>
      <c r="AF38" s="2"/>
      <c r="AG38" s="2"/>
      <c r="AH38" s="2"/>
      <c r="AI38" s="2"/>
      <c r="AJ38" s="2"/>
    </row>
    <row r="39" spans="1:36" hidden="1" x14ac:dyDescent="0.2">
      <c r="A39" s="11">
        <v>43475</v>
      </c>
      <c r="B39" s="53" t="s">
        <v>1248</v>
      </c>
      <c r="C39" s="52" t="str">
        <f>IF(MID(B39,4,2)="09","Ramadan",IF(AND(MID(B39,4,2)="12",VALUE(LEFT(B39,2))&lt;=9),"Adha Season","Normal"))</f>
        <v>Normal</v>
      </c>
      <c r="D39" s="1" t="s">
        <v>45</v>
      </c>
      <c r="F39" s="4" t="s">
        <v>38</v>
      </c>
      <c r="G39" s="2">
        <v>16</v>
      </c>
      <c r="H39" s="2">
        <v>16</v>
      </c>
      <c r="I39" s="2">
        <f>grand[[#This Row],[number]]-grand[[#This Row],[received]]</f>
        <v>0</v>
      </c>
      <c r="J39" s="30"/>
      <c r="K39" s="2">
        <v>7000</v>
      </c>
      <c r="L39" s="2">
        <v>6825</v>
      </c>
      <c r="M39" s="2">
        <f>K39-L39</f>
        <v>175</v>
      </c>
      <c r="N39" s="2">
        <v>4274.3999999999996</v>
      </c>
      <c r="O39" s="2">
        <v>146</v>
      </c>
      <c r="P39" s="7">
        <f>grand[[#This Row],[total weight]]/grand[[#This Row],[received]]</f>
        <v>437.5</v>
      </c>
      <c r="Q39" s="7">
        <f>grand[[#This Row],[receiving weight]]/grand[[#This Row],[received]]</f>
        <v>426.5625</v>
      </c>
      <c r="R39" s="7">
        <f>grand[[#This Row],[transportation loss ]]/grand[[#This Row],[received]]</f>
        <v>10.9375</v>
      </c>
      <c r="S39" s="7">
        <f>grand[[#This Row],[ carcass weight]]/grand[[#This Row],[received]]</f>
        <v>267.14999999999998</v>
      </c>
      <c r="T39" s="7">
        <f>grand[[#This Row],[ kidneys fat quantity]]/grand[[#This Row],[received]]</f>
        <v>9.125</v>
      </c>
      <c r="U39" s="2">
        <v>23.9</v>
      </c>
      <c r="V39" s="2"/>
      <c r="W39" s="2">
        <v>49.4</v>
      </c>
      <c r="X39" s="2">
        <v>10</v>
      </c>
      <c r="Y39" s="8">
        <v>7.8</v>
      </c>
      <c r="Z39" s="3">
        <f>grand[[#This Row],[av. Transportation loss]]/grand[[#This Row],[av.total weight]]</f>
        <v>2.5000000000000001E-2</v>
      </c>
      <c r="AA39" s="12">
        <f>AVERAGE((grand[[#This Row],[am]]/25),(grand[[#This Row],[pm]]/50))</f>
        <v>0.97199999999999998</v>
      </c>
      <c r="AB39" s="3">
        <f>grand[[#This Row],[ carcass weight]]/grand[[#This Row],[total weight]]</f>
        <v>0.61062857142857141</v>
      </c>
      <c r="AC39" s="3">
        <f>SUM(grand[[#This Row],[am]:[meat transportation]])/100</f>
        <v>0.91099999999999992</v>
      </c>
      <c r="AD39" s="2"/>
      <c r="AE39" s="2"/>
      <c r="AF39" s="2"/>
      <c r="AG39" s="2"/>
      <c r="AH39" s="2"/>
      <c r="AI39" s="2"/>
      <c r="AJ39" s="2"/>
    </row>
    <row r="40" spans="1:36" hidden="1" x14ac:dyDescent="0.2">
      <c r="A40" s="11">
        <v>43478</v>
      </c>
      <c r="B40" s="53" t="s">
        <v>1249</v>
      </c>
      <c r="C40" s="52" t="str">
        <f>IF(MID(B40,4,2)="09","Ramadan",IF(AND(MID(B40,4,2)="12",VALUE(LEFT(B40,2))&lt;=9),"Adha Season","Normal"))</f>
        <v>Normal</v>
      </c>
      <c r="D40" s="1" t="s">
        <v>45</v>
      </c>
      <c r="F40" s="4" t="s">
        <v>46</v>
      </c>
      <c r="G40" s="2">
        <v>16</v>
      </c>
      <c r="H40" s="2">
        <v>16</v>
      </c>
      <c r="I40" s="2">
        <f>grand[[#This Row],[number]]-grand[[#This Row],[received]]</f>
        <v>0</v>
      </c>
      <c r="J40" s="30"/>
      <c r="K40" s="2">
        <v>7825</v>
      </c>
      <c r="L40" s="2">
        <v>7575</v>
      </c>
      <c r="M40" s="2">
        <f>K40-L40</f>
        <v>250</v>
      </c>
      <c r="N40" s="2">
        <v>4771.7</v>
      </c>
      <c r="O40" s="2">
        <v>116</v>
      </c>
      <c r="P40" s="7">
        <f>grand[[#This Row],[total weight]]/grand[[#This Row],[received]]</f>
        <v>489.0625</v>
      </c>
      <c r="Q40" s="7">
        <f>grand[[#This Row],[receiving weight]]/grand[[#This Row],[received]]</f>
        <v>473.4375</v>
      </c>
      <c r="R40" s="7">
        <f>grand[[#This Row],[transportation loss ]]/grand[[#This Row],[received]]</f>
        <v>15.625</v>
      </c>
      <c r="S40" s="7">
        <f>grand[[#This Row],[ carcass weight]]/grand[[#This Row],[received]]</f>
        <v>298.23124999999999</v>
      </c>
      <c r="T40" s="7">
        <f>grand[[#This Row],[ kidneys fat quantity]]/grand[[#This Row],[received]]</f>
        <v>7.25</v>
      </c>
      <c r="U40" s="2">
        <v>22.7</v>
      </c>
      <c r="V40" s="2"/>
      <c r="W40" s="2">
        <v>49</v>
      </c>
      <c r="X40" s="2">
        <v>7.8</v>
      </c>
      <c r="Y40" s="8">
        <v>7.8</v>
      </c>
      <c r="Z40" s="3">
        <f>grand[[#This Row],[av. Transportation loss]]/grand[[#This Row],[av.total weight]]</f>
        <v>3.1948881789137379E-2</v>
      </c>
      <c r="AA40" s="12">
        <f>AVERAGE((grand[[#This Row],[am]]/25),(grand[[#This Row],[pm]]/50))</f>
        <v>0.94399999999999995</v>
      </c>
      <c r="AB40" s="3">
        <f>grand[[#This Row],[ carcass weight]]/grand[[#This Row],[total weight]]</f>
        <v>0.60980191693290731</v>
      </c>
      <c r="AC40" s="3">
        <f>SUM(grand[[#This Row],[am]:[meat transportation]])/100</f>
        <v>0.873</v>
      </c>
      <c r="AD40" s="2"/>
      <c r="AE40" s="2"/>
      <c r="AF40" s="2"/>
      <c r="AG40" s="2"/>
      <c r="AH40" s="2"/>
      <c r="AI40" s="2"/>
      <c r="AJ40" s="2"/>
    </row>
    <row r="41" spans="1:36" hidden="1" x14ac:dyDescent="0.2">
      <c r="A41" s="11">
        <v>43478</v>
      </c>
      <c r="B41" s="53" t="s">
        <v>1249</v>
      </c>
      <c r="C41" s="52" t="str">
        <f>IF(MID(B41,4,2)="09","Ramadan",IF(AND(MID(B41,4,2)="12",VALUE(LEFT(B41,2))&lt;=9),"Adha Season","Normal"))</f>
        <v>Normal</v>
      </c>
      <c r="D41" s="2" t="s">
        <v>294</v>
      </c>
      <c r="E41" s="2"/>
      <c r="F41" s="4" t="s">
        <v>35</v>
      </c>
      <c r="G41" s="2">
        <v>27</v>
      </c>
      <c r="H41" s="2">
        <v>27</v>
      </c>
      <c r="I41" s="2">
        <f>grand[[#This Row],[number]]-grand[[#This Row],[received]]</f>
        <v>0</v>
      </c>
      <c r="J41" s="30"/>
      <c r="K41" s="2"/>
      <c r="L41" s="2"/>
      <c r="M41" s="2">
        <f>K41-L41</f>
        <v>0</v>
      </c>
      <c r="N41" s="2"/>
      <c r="O41" s="2"/>
      <c r="P41" s="7"/>
      <c r="Q41" s="7"/>
      <c r="R41" s="7"/>
      <c r="S41" s="7"/>
      <c r="T41" s="7"/>
      <c r="U41" s="2">
        <v>23</v>
      </c>
      <c r="V41" s="2"/>
      <c r="W41" s="2">
        <v>48</v>
      </c>
      <c r="X41" s="2">
        <v>10</v>
      </c>
      <c r="Y41" s="8">
        <v>6.3</v>
      </c>
      <c r="Z41" s="3"/>
      <c r="AA41" s="12">
        <f>AVERAGE((grand[[#This Row],[am]]/25),(grand[[#This Row],[pm]]/50))</f>
        <v>0.94</v>
      </c>
      <c r="AB41" s="3"/>
      <c r="AC41" s="3">
        <f>SUM(grand[[#This Row],[am]:[meat transportation]])/100</f>
        <v>0.873</v>
      </c>
      <c r="AD41" s="2"/>
      <c r="AE41" s="2"/>
      <c r="AF41" s="2"/>
      <c r="AG41" s="2"/>
      <c r="AH41" s="2"/>
      <c r="AI41" s="2"/>
      <c r="AJ41" s="2"/>
    </row>
    <row r="42" spans="1:36" hidden="1" x14ac:dyDescent="0.2">
      <c r="A42" s="11">
        <v>43480</v>
      </c>
      <c r="B42" s="53" t="s">
        <v>1250</v>
      </c>
      <c r="C42" s="52" t="str">
        <f>IF(MID(B42,4,2)="09","Ramadan",IF(AND(MID(B42,4,2)="12",VALUE(LEFT(B42,2))&lt;=9),"Adha Season","Normal"))</f>
        <v>Normal</v>
      </c>
      <c r="D42" s="1" t="s">
        <v>45</v>
      </c>
      <c r="F42" s="4" t="s">
        <v>39</v>
      </c>
      <c r="G42" s="2">
        <v>16</v>
      </c>
      <c r="H42" s="2">
        <v>16</v>
      </c>
      <c r="I42" s="2">
        <f>grand[[#This Row],[number]]-grand[[#This Row],[received]]</f>
        <v>0</v>
      </c>
      <c r="J42" s="30"/>
      <c r="K42" s="2">
        <v>7733</v>
      </c>
      <c r="L42" s="2">
        <v>7315</v>
      </c>
      <c r="M42" s="2">
        <f>K42-L42</f>
        <v>418</v>
      </c>
      <c r="N42" s="2">
        <v>4806</v>
      </c>
      <c r="O42" s="2">
        <v>184</v>
      </c>
      <c r="P42" s="7">
        <f>grand[[#This Row],[total weight]]/grand[[#This Row],[received]]</f>
        <v>483.3125</v>
      </c>
      <c r="Q42" s="7">
        <f>grand[[#This Row],[receiving weight]]/grand[[#This Row],[received]]</f>
        <v>457.1875</v>
      </c>
      <c r="R42" s="7">
        <f>grand[[#This Row],[transportation loss ]]/grand[[#This Row],[received]]</f>
        <v>26.125</v>
      </c>
      <c r="S42" s="7">
        <f>grand[[#This Row],[ carcass weight]]/grand[[#This Row],[received]]</f>
        <v>300.375</v>
      </c>
      <c r="T42" s="7">
        <f>grand[[#This Row],[ kidneys fat quantity]]/grand[[#This Row],[received]]</f>
        <v>11.5</v>
      </c>
      <c r="U42" s="2">
        <v>18.899999999999999</v>
      </c>
      <c r="V42" s="2"/>
      <c r="W42" s="2">
        <v>45.8</v>
      </c>
      <c r="X42" s="2">
        <v>8</v>
      </c>
      <c r="Y42" s="8">
        <v>7.8</v>
      </c>
      <c r="Z42" s="3">
        <f>grand[[#This Row],[av. Transportation loss]]/grand[[#This Row],[av.total weight]]</f>
        <v>5.4054054054054057E-2</v>
      </c>
      <c r="AA42" s="12">
        <f>AVERAGE((grand[[#This Row],[am]]/25),(grand[[#This Row],[pm]]/50))</f>
        <v>0.83599999999999985</v>
      </c>
      <c r="AB42" s="3">
        <f>grand[[#This Row],[ carcass weight]]/grand[[#This Row],[total weight]]</f>
        <v>0.62149230570283198</v>
      </c>
      <c r="AC42" s="3">
        <f>SUM(grand[[#This Row],[am]:[meat transportation]])/100</f>
        <v>0.80499999999999983</v>
      </c>
      <c r="AD42" s="2"/>
      <c r="AE42" s="2"/>
      <c r="AF42" s="2"/>
      <c r="AG42" s="2"/>
      <c r="AH42" s="2"/>
      <c r="AI42" s="2"/>
      <c r="AJ42" s="2"/>
    </row>
    <row r="43" spans="1:36" hidden="1" x14ac:dyDescent="0.2">
      <c r="A43" s="11">
        <v>43485</v>
      </c>
      <c r="B43" s="53" t="s">
        <v>1252</v>
      </c>
      <c r="C43" s="52" t="str">
        <f>IF(MID(B43,4,2)="09","Ramadan",IF(AND(MID(B43,4,2)="12",VALUE(LEFT(B43,2))&lt;=9),"Adha Season","Normal"))</f>
        <v>Normal</v>
      </c>
      <c r="D43" s="1" t="s">
        <v>45</v>
      </c>
      <c r="F43" s="4" t="s">
        <v>46</v>
      </c>
      <c r="G43" s="2">
        <v>18</v>
      </c>
      <c r="H43" s="2">
        <v>18</v>
      </c>
      <c r="I43" s="2">
        <f>grand[[#This Row],[number]]-grand[[#This Row],[received]]</f>
        <v>0</v>
      </c>
      <c r="J43" s="30"/>
      <c r="K43" s="2">
        <v>8650</v>
      </c>
      <c r="L43" s="2">
        <v>8340</v>
      </c>
      <c r="M43" s="2">
        <f>K43-L43</f>
        <v>310</v>
      </c>
      <c r="N43" s="2">
        <v>5309.9</v>
      </c>
      <c r="O43" s="2">
        <v>182</v>
      </c>
      <c r="P43" s="7">
        <f>grand[[#This Row],[total weight]]/grand[[#This Row],[received]]</f>
        <v>480.55555555555554</v>
      </c>
      <c r="Q43" s="7">
        <f>grand[[#This Row],[receiving weight]]/grand[[#This Row],[received]]</f>
        <v>463.33333333333331</v>
      </c>
      <c r="R43" s="7">
        <f>grand[[#This Row],[transportation loss ]]/grand[[#This Row],[received]]</f>
        <v>17.222222222222221</v>
      </c>
      <c r="S43" s="7">
        <f>grand[[#This Row],[ carcass weight]]/grand[[#This Row],[received]]</f>
        <v>294.99444444444441</v>
      </c>
      <c r="T43" s="7">
        <f>grand[[#This Row],[ kidneys fat quantity]]/grand[[#This Row],[received]]</f>
        <v>10.111111111111111</v>
      </c>
      <c r="U43" s="2">
        <v>22.5</v>
      </c>
      <c r="V43" s="2"/>
      <c r="W43" s="2">
        <v>48.7</v>
      </c>
      <c r="X43" s="2">
        <v>10</v>
      </c>
      <c r="Y43" s="8">
        <v>7.8</v>
      </c>
      <c r="Z43" s="3">
        <f>grand[[#This Row],[av. Transportation loss]]/grand[[#This Row],[av.total weight]]</f>
        <v>3.5838150289017337E-2</v>
      </c>
      <c r="AA43" s="12">
        <f>AVERAGE((grand[[#This Row],[am]]/25),(grand[[#This Row],[pm]]/50))</f>
        <v>0.93700000000000006</v>
      </c>
      <c r="AB43" s="3">
        <f>grand[[#This Row],[ carcass weight]]/grand[[#This Row],[total weight]]</f>
        <v>0.61386127167630056</v>
      </c>
      <c r="AC43" s="3">
        <f>SUM(grand[[#This Row],[am]:[meat transportation]])/100</f>
        <v>0.89</v>
      </c>
      <c r="AD43" s="2"/>
      <c r="AE43" s="2"/>
      <c r="AF43" s="2"/>
      <c r="AG43" s="2"/>
      <c r="AH43" s="2"/>
      <c r="AI43" s="2"/>
      <c r="AJ43" s="2"/>
    </row>
    <row r="44" spans="1:36" hidden="1" x14ac:dyDescent="0.2">
      <c r="A44" s="11">
        <v>43487</v>
      </c>
      <c r="B44" s="53" t="s">
        <v>1253</v>
      </c>
      <c r="C44" s="52" t="str">
        <f>IF(MID(B44,4,2)="09","Ramadan",IF(AND(MID(B44,4,2)="12",VALUE(LEFT(B44,2))&lt;=9),"Adha Season","Normal"))</f>
        <v>Normal</v>
      </c>
      <c r="D44" s="1" t="s">
        <v>45</v>
      </c>
      <c r="F44" s="4" t="s">
        <v>39</v>
      </c>
      <c r="G44" s="2">
        <v>16</v>
      </c>
      <c r="H44" s="2">
        <v>16</v>
      </c>
      <c r="I44" s="2">
        <f>grand[[#This Row],[number]]-grand[[#This Row],[received]]</f>
        <v>0</v>
      </c>
      <c r="J44" s="30"/>
      <c r="K44" s="2">
        <v>7304</v>
      </c>
      <c r="L44" s="2">
        <v>6945</v>
      </c>
      <c r="M44" s="2">
        <f>K44-L44</f>
        <v>359</v>
      </c>
      <c r="N44" s="2">
        <v>4519.7</v>
      </c>
      <c r="O44" s="2">
        <v>160</v>
      </c>
      <c r="P44" s="7">
        <f>grand[[#This Row],[total weight]]/grand[[#This Row],[received]]</f>
        <v>456.5</v>
      </c>
      <c r="Q44" s="7">
        <f>grand[[#This Row],[receiving weight]]/grand[[#This Row],[received]]</f>
        <v>434.0625</v>
      </c>
      <c r="R44" s="7">
        <f>grand[[#This Row],[transportation loss ]]/grand[[#This Row],[received]]</f>
        <v>22.4375</v>
      </c>
      <c r="S44" s="7">
        <f>grand[[#This Row],[ carcass weight]]/grand[[#This Row],[received]]</f>
        <v>282.48124999999999</v>
      </c>
      <c r="T44" s="7">
        <f>grand[[#This Row],[ kidneys fat quantity]]/grand[[#This Row],[received]]</f>
        <v>10</v>
      </c>
      <c r="U44" s="2">
        <v>24</v>
      </c>
      <c r="V44" s="2"/>
      <c r="W44" s="2">
        <v>48.9</v>
      </c>
      <c r="X44" s="2">
        <v>8</v>
      </c>
      <c r="Y44" s="8">
        <v>7.8</v>
      </c>
      <c r="Z44" s="3">
        <f>grand[[#This Row],[av. Transportation loss]]/grand[[#This Row],[av.total weight]]</f>
        <v>4.915115005476451E-2</v>
      </c>
      <c r="AA44" s="12">
        <f>AVERAGE((grand[[#This Row],[am]]/25),(grand[[#This Row],[pm]]/50))</f>
        <v>0.96899999999999997</v>
      </c>
      <c r="AB44" s="3">
        <f>grand[[#This Row],[ carcass weight]]/grand[[#This Row],[total weight]]</f>
        <v>0.61879791894852132</v>
      </c>
      <c r="AC44" s="3">
        <f>SUM(grand[[#This Row],[am]:[meat transportation]])/100</f>
        <v>0.88700000000000001</v>
      </c>
      <c r="AD44" s="2"/>
      <c r="AE44" s="2"/>
      <c r="AF44" s="2"/>
      <c r="AG44" s="2"/>
      <c r="AH44" s="2"/>
      <c r="AI44" s="2"/>
      <c r="AJ44" s="2"/>
    </row>
    <row r="45" spans="1:36" hidden="1" x14ac:dyDescent="0.2">
      <c r="A45" s="11">
        <v>43489</v>
      </c>
      <c r="B45" s="53" t="s">
        <v>1254</v>
      </c>
      <c r="C45" s="52" t="str">
        <f>IF(MID(B45,4,2)="09","Ramadan",IF(AND(MID(B45,4,2)="12",VALUE(LEFT(B45,2))&lt;=9),"Adha Season","Normal"))</f>
        <v>Normal</v>
      </c>
      <c r="D45" s="1" t="s">
        <v>45</v>
      </c>
      <c r="F45" s="4" t="s">
        <v>36</v>
      </c>
      <c r="G45" s="2">
        <v>16</v>
      </c>
      <c r="H45" s="2">
        <v>16</v>
      </c>
      <c r="I45" s="2">
        <f>grand[[#This Row],[number]]-grand[[#This Row],[received]]</f>
        <v>0</v>
      </c>
      <c r="J45" s="30"/>
      <c r="K45" s="2">
        <v>8265</v>
      </c>
      <c r="L45" s="2">
        <v>7830</v>
      </c>
      <c r="M45" s="2">
        <f>K45-L45</f>
        <v>435</v>
      </c>
      <c r="N45" s="2">
        <v>4989.3999999999996</v>
      </c>
      <c r="O45" s="2">
        <v>242</v>
      </c>
      <c r="P45" s="7">
        <f>grand[[#This Row],[total weight]]/grand[[#This Row],[received]]</f>
        <v>516.5625</v>
      </c>
      <c r="Q45" s="7">
        <f>grand[[#This Row],[receiving weight]]/grand[[#This Row],[received]]</f>
        <v>489.375</v>
      </c>
      <c r="R45" s="7">
        <f>grand[[#This Row],[transportation loss ]]/grand[[#This Row],[received]]</f>
        <v>27.1875</v>
      </c>
      <c r="S45" s="7">
        <f>grand[[#This Row],[ carcass weight]]/grand[[#This Row],[received]]</f>
        <v>311.83749999999998</v>
      </c>
      <c r="T45" s="7">
        <f>grand[[#This Row],[ kidneys fat quantity]]/grand[[#This Row],[received]]</f>
        <v>15.125</v>
      </c>
      <c r="U45" s="2">
        <v>22.5</v>
      </c>
      <c r="V45" s="2"/>
      <c r="W45" s="2">
        <v>49.6</v>
      </c>
      <c r="X45" s="2">
        <v>9</v>
      </c>
      <c r="Y45" s="8">
        <v>7.8</v>
      </c>
      <c r="Z45" s="3">
        <f>grand[[#This Row],[av. Transportation loss]]/grand[[#This Row],[av.total weight]]</f>
        <v>5.2631578947368418E-2</v>
      </c>
      <c r="AA45" s="12">
        <f>AVERAGE((grand[[#This Row],[am]]/25),(grand[[#This Row],[pm]]/50))</f>
        <v>0.94599999999999995</v>
      </c>
      <c r="AB45" s="3">
        <f>grand[[#This Row],[ carcass weight]]/grand[[#This Row],[total weight]]</f>
        <v>0.60367816091954019</v>
      </c>
      <c r="AC45" s="3">
        <f>SUM(grand[[#This Row],[am]:[meat transportation]])/100</f>
        <v>0.8889999999999999</v>
      </c>
      <c r="AD45" s="2"/>
      <c r="AE45" s="2"/>
      <c r="AF45" s="2"/>
      <c r="AG45" s="2"/>
      <c r="AH45" s="2"/>
      <c r="AI45" s="2"/>
      <c r="AJ45" s="2"/>
    </row>
    <row r="46" spans="1:36" hidden="1" x14ac:dyDescent="0.2">
      <c r="A46" s="11">
        <v>43489</v>
      </c>
      <c r="B46" s="53" t="s">
        <v>1254</v>
      </c>
      <c r="C46" s="52" t="str">
        <f>IF(MID(B46,4,2)="09","Ramadan",IF(AND(MID(B46,4,2)="12",VALUE(LEFT(B46,2))&lt;=9),"Adha Season","Normal"))</f>
        <v>Normal</v>
      </c>
      <c r="D46" s="2" t="s">
        <v>294</v>
      </c>
      <c r="E46" s="2"/>
      <c r="F46" s="4" t="s">
        <v>35</v>
      </c>
      <c r="G46" s="2">
        <v>27</v>
      </c>
      <c r="H46" s="2">
        <v>27</v>
      </c>
      <c r="I46" s="2">
        <f>grand[[#This Row],[number]]-grand[[#This Row],[received]]</f>
        <v>0</v>
      </c>
      <c r="J46" s="30"/>
      <c r="K46" s="2"/>
      <c r="L46" s="2"/>
      <c r="M46" s="2">
        <f>K46-L46</f>
        <v>0</v>
      </c>
      <c r="N46" s="2"/>
      <c r="O46" s="2"/>
      <c r="P46" s="7"/>
      <c r="Q46" s="7"/>
      <c r="R46" s="7"/>
      <c r="S46" s="7"/>
      <c r="T46" s="7"/>
      <c r="U46" s="2">
        <v>22.5</v>
      </c>
      <c r="V46" s="2"/>
      <c r="W46" s="2">
        <v>49.6</v>
      </c>
      <c r="X46" s="2">
        <v>9</v>
      </c>
      <c r="Y46" s="8">
        <v>7.8</v>
      </c>
      <c r="Z46" s="3"/>
      <c r="AA46" s="12">
        <f>AVERAGE((grand[[#This Row],[am]]/25),(grand[[#This Row],[pm]]/50))</f>
        <v>0.94599999999999995</v>
      </c>
      <c r="AB46" s="3"/>
      <c r="AC46" s="3">
        <f>SUM(grand[[#This Row],[am]:[meat transportation]])/100</f>
        <v>0.8889999999999999</v>
      </c>
      <c r="AD46" s="2"/>
      <c r="AE46" s="2"/>
      <c r="AF46" s="2"/>
      <c r="AG46" s="2"/>
      <c r="AH46" s="2"/>
      <c r="AI46" s="2"/>
      <c r="AJ46" s="2"/>
    </row>
    <row r="47" spans="1:36" hidden="1" x14ac:dyDescent="0.2">
      <c r="A47" s="11">
        <v>43494</v>
      </c>
      <c r="B47" s="53" t="s">
        <v>1256</v>
      </c>
      <c r="C47" s="52" t="str">
        <f>IF(MID(B47,4,2)="09","Ramadan",IF(AND(MID(B47,4,2)="12",VALUE(LEFT(B47,2))&lt;=9),"Adha Season","Normal"))</f>
        <v>Normal</v>
      </c>
      <c r="D47" s="1" t="s">
        <v>45</v>
      </c>
      <c r="F47" s="4" t="s">
        <v>39</v>
      </c>
      <c r="G47" s="2">
        <v>16</v>
      </c>
      <c r="H47" s="2">
        <v>16</v>
      </c>
      <c r="I47" s="2">
        <f>grand[[#This Row],[number]]-grand[[#This Row],[received]]</f>
        <v>0</v>
      </c>
      <c r="J47" s="30"/>
      <c r="K47" s="2">
        <v>7307</v>
      </c>
      <c r="L47" s="2">
        <v>6900</v>
      </c>
      <c r="M47" s="2">
        <f>K47-L47</f>
        <v>407</v>
      </c>
      <c r="N47" s="2">
        <v>4481.7</v>
      </c>
      <c r="O47" s="2">
        <v>183</v>
      </c>
      <c r="P47" s="7">
        <f>grand[[#This Row],[total weight]]/grand[[#This Row],[received]]</f>
        <v>456.6875</v>
      </c>
      <c r="Q47" s="7">
        <f>grand[[#This Row],[receiving weight]]/grand[[#This Row],[received]]</f>
        <v>431.25</v>
      </c>
      <c r="R47" s="7">
        <f>grand[[#This Row],[transportation loss ]]/grand[[#This Row],[received]]</f>
        <v>25.4375</v>
      </c>
      <c r="S47" s="7">
        <f>grand[[#This Row],[ carcass weight]]/grand[[#This Row],[received]]</f>
        <v>280.10624999999999</v>
      </c>
      <c r="T47" s="7">
        <f>grand[[#This Row],[ kidneys fat quantity]]/grand[[#This Row],[received]]</f>
        <v>11.4375</v>
      </c>
      <c r="U47" s="2">
        <v>23</v>
      </c>
      <c r="V47" s="2"/>
      <c r="W47" s="2">
        <v>47</v>
      </c>
      <c r="X47" s="2">
        <v>7.5</v>
      </c>
      <c r="Y47" s="8">
        <v>7.8</v>
      </c>
      <c r="Z47" s="3">
        <f>grand[[#This Row],[av. Transportation loss]]/grand[[#This Row],[av.total weight]]</f>
        <v>5.5700013685507047E-2</v>
      </c>
      <c r="AA47" s="12">
        <f>AVERAGE((grand[[#This Row],[am]]/25),(grand[[#This Row],[pm]]/50))</f>
        <v>0.92999999999999994</v>
      </c>
      <c r="AB47" s="3">
        <f>grand[[#This Row],[ carcass weight]]/grand[[#This Row],[total weight]]</f>
        <v>0.6133433693718352</v>
      </c>
      <c r="AC47" s="3">
        <f>SUM(grand[[#This Row],[am]:[meat transportation]])/100</f>
        <v>0.85299999999999998</v>
      </c>
      <c r="AD47" s="2"/>
      <c r="AE47" s="2"/>
      <c r="AF47" s="2"/>
      <c r="AG47" s="2"/>
      <c r="AH47" s="2"/>
      <c r="AI47" s="2"/>
      <c r="AJ47" s="2"/>
    </row>
    <row r="48" spans="1:36" hidden="1" x14ac:dyDescent="0.2">
      <c r="A48" s="11">
        <v>43496</v>
      </c>
      <c r="B48" s="53" t="s">
        <v>1257</v>
      </c>
      <c r="C48" s="52" t="str">
        <f>IF(MID(B48,4,2)="09","Ramadan",IF(AND(MID(B48,4,2)="12",VALUE(LEFT(B48,2))&lt;=9),"Adha Season","Normal"))</f>
        <v>Normal</v>
      </c>
      <c r="D48" s="2" t="s">
        <v>294</v>
      </c>
      <c r="E48" s="2"/>
      <c r="F48" s="4" t="s">
        <v>46</v>
      </c>
      <c r="G48" s="2">
        <v>26</v>
      </c>
      <c r="H48" s="2">
        <v>26</v>
      </c>
      <c r="I48" s="2">
        <f>grand[[#This Row],[number]]-grand[[#This Row],[received]]</f>
        <v>0</v>
      </c>
      <c r="J48" s="30"/>
      <c r="K48" s="2"/>
      <c r="L48" s="2"/>
      <c r="M48" s="2">
        <f>K48-L48</f>
        <v>0</v>
      </c>
      <c r="N48" s="2"/>
      <c r="O48" s="2"/>
      <c r="P48" s="7"/>
      <c r="Q48" s="7"/>
      <c r="R48" s="7"/>
      <c r="S48" s="7"/>
      <c r="T48" s="7"/>
      <c r="U48" s="2">
        <v>24</v>
      </c>
      <c r="V48" s="2"/>
      <c r="W48" s="2">
        <v>49.7</v>
      </c>
      <c r="X48" s="2">
        <v>10</v>
      </c>
      <c r="Y48" s="8">
        <v>7</v>
      </c>
      <c r="Z48" s="3"/>
      <c r="AA48" s="12">
        <f>AVERAGE((grand[[#This Row],[am]]/25),(grand[[#This Row],[pm]]/50))</f>
        <v>0.97700000000000009</v>
      </c>
      <c r="AB48" s="3"/>
      <c r="AC48" s="3">
        <f>SUM(grand[[#This Row],[am]:[meat transportation]])/100</f>
        <v>0.90700000000000003</v>
      </c>
      <c r="AD48" s="2"/>
      <c r="AE48" s="2"/>
      <c r="AF48" s="2"/>
      <c r="AG48" s="2"/>
      <c r="AH48" s="2"/>
      <c r="AI48" s="2"/>
      <c r="AJ48" s="2"/>
    </row>
    <row r="49" spans="1:36" hidden="1" x14ac:dyDescent="0.2">
      <c r="A49" s="11">
        <v>43498</v>
      </c>
      <c r="B49" s="53" t="s">
        <v>1258</v>
      </c>
      <c r="C49" s="52" t="str">
        <f>IF(MID(B49,4,2)="09","Ramadan",IF(AND(MID(B49,4,2)="12",VALUE(LEFT(B49,2))&lt;=9),"Adha Season","Normal"))</f>
        <v>Normal</v>
      </c>
      <c r="D49" s="1" t="s">
        <v>45</v>
      </c>
      <c r="F49" s="4" t="s">
        <v>40</v>
      </c>
      <c r="G49" s="2">
        <v>16</v>
      </c>
      <c r="H49" s="2">
        <v>16</v>
      </c>
      <c r="I49" s="2">
        <f>grand[[#This Row],[number]]-grand[[#This Row],[received]]</f>
        <v>0</v>
      </c>
      <c r="J49" s="30"/>
      <c r="K49" s="2">
        <v>7400</v>
      </c>
      <c r="L49" s="2">
        <v>7090</v>
      </c>
      <c r="M49" s="2">
        <f>K49-L49</f>
        <v>310</v>
      </c>
      <c r="N49" s="2">
        <v>4525.2</v>
      </c>
      <c r="O49" s="2">
        <v>152</v>
      </c>
      <c r="P49" s="7">
        <f>grand[[#This Row],[total weight]]/grand[[#This Row],[received]]</f>
        <v>462.5</v>
      </c>
      <c r="Q49" s="7">
        <f>grand[[#This Row],[receiving weight]]/grand[[#This Row],[received]]</f>
        <v>443.125</v>
      </c>
      <c r="R49" s="7">
        <f>grand[[#This Row],[transportation loss ]]/grand[[#This Row],[received]]</f>
        <v>19.375</v>
      </c>
      <c r="S49" s="7">
        <f>grand[[#This Row],[ carcass weight]]/grand[[#This Row],[received]]</f>
        <v>282.82499999999999</v>
      </c>
      <c r="T49" s="7">
        <f>grand[[#This Row],[ kidneys fat quantity]]/grand[[#This Row],[received]]</f>
        <v>9.5</v>
      </c>
      <c r="U49" s="2">
        <v>19</v>
      </c>
      <c r="V49" s="2"/>
      <c r="W49" s="2">
        <v>49.9</v>
      </c>
      <c r="X49" s="2">
        <v>10</v>
      </c>
      <c r="Y49" s="8">
        <v>7.8</v>
      </c>
      <c r="Z49" s="3">
        <f>grand[[#This Row],[av. Transportation loss]]/grand[[#This Row],[av.total weight]]</f>
        <v>4.1891891891891894E-2</v>
      </c>
      <c r="AA49" s="12">
        <f>AVERAGE((grand[[#This Row],[am]]/25),(grand[[#This Row],[pm]]/50))</f>
        <v>0.879</v>
      </c>
      <c r="AB49" s="3">
        <f>grand[[#This Row],[ carcass weight]]/grand[[#This Row],[total weight]]</f>
        <v>0.61151351351351346</v>
      </c>
      <c r="AC49" s="3">
        <f>SUM(grand[[#This Row],[am]:[meat transportation]])/100</f>
        <v>0.86699999999999999</v>
      </c>
      <c r="AD49" s="2"/>
      <c r="AE49" s="2"/>
      <c r="AF49" s="2"/>
      <c r="AG49" s="2"/>
      <c r="AH49" s="2"/>
      <c r="AI49" s="2"/>
      <c r="AJ49" s="2"/>
    </row>
    <row r="50" spans="1:36" hidden="1" x14ac:dyDescent="0.2">
      <c r="A50" s="11">
        <v>43501</v>
      </c>
      <c r="B50" s="53" t="s">
        <v>1259</v>
      </c>
      <c r="C50" s="52" t="str">
        <f>IF(MID(B50,4,2)="09","Ramadan",IF(AND(MID(B50,4,2)="12",VALUE(LEFT(B50,2))&lt;=9),"Adha Season","Normal"))</f>
        <v>Normal</v>
      </c>
      <c r="D50" s="1" t="s">
        <v>45</v>
      </c>
      <c r="F50" s="4" t="s">
        <v>46</v>
      </c>
      <c r="G50" s="2">
        <v>16</v>
      </c>
      <c r="H50" s="2">
        <v>16</v>
      </c>
      <c r="I50" s="2">
        <f>grand[[#This Row],[number]]-grand[[#This Row],[received]]</f>
        <v>0</v>
      </c>
      <c r="J50" s="30"/>
      <c r="K50" s="2">
        <v>8320</v>
      </c>
      <c r="L50" s="2">
        <v>7890</v>
      </c>
      <c r="M50" s="2">
        <f>K50-L50</f>
        <v>430</v>
      </c>
      <c r="N50" s="2">
        <v>5070.3</v>
      </c>
      <c r="O50" s="2">
        <v>177</v>
      </c>
      <c r="P50" s="7">
        <f>grand[[#This Row],[total weight]]/grand[[#This Row],[received]]</f>
        <v>520</v>
      </c>
      <c r="Q50" s="7">
        <f>grand[[#This Row],[receiving weight]]/grand[[#This Row],[received]]</f>
        <v>493.125</v>
      </c>
      <c r="R50" s="7">
        <f>grand[[#This Row],[transportation loss ]]/grand[[#This Row],[received]]</f>
        <v>26.875</v>
      </c>
      <c r="S50" s="7">
        <f>grand[[#This Row],[ carcass weight]]/grand[[#This Row],[received]]</f>
        <v>316.89375000000001</v>
      </c>
      <c r="T50" s="7">
        <f>grand[[#This Row],[ kidneys fat quantity]]/grand[[#This Row],[received]]</f>
        <v>11.0625</v>
      </c>
      <c r="U50" s="2">
        <v>22.5</v>
      </c>
      <c r="V50" s="2"/>
      <c r="W50" s="2">
        <v>49.3</v>
      </c>
      <c r="X50" s="2">
        <v>10</v>
      </c>
      <c r="Y50" s="8">
        <v>8.5</v>
      </c>
      <c r="Z50" s="3">
        <f>grand[[#This Row],[av. Transportation loss]]/grand[[#This Row],[av.total weight]]</f>
        <v>5.1682692307692304E-2</v>
      </c>
      <c r="AA50" s="12">
        <f>AVERAGE((grand[[#This Row],[am]]/25),(grand[[#This Row],[pm]]/50))</f>
        <v>0.94300000000000006</v>
      </c>
      <c r="AB50" s="3">
        <f>grand[[#This Row],[ carcass weight]]/grand[[#This Row],[total weight]]</f>
        <v>0.60941105769230774</v>
      </c>
      <c r="AC50" s="3">
        <f>SUM(grand[[#This Row],[am]:[meat transportation]])/100</f>
        <v>0.90300000000000002</v>
      </c>
      <c r="AD50" s="2"/>
      <c r="AE50" s="2"/>
      <c r="AF50" s="2"/>
      <c r="AG50" s="2"/>
      <c r="AH50" s="2"/>
      <c r="AI50" s="2"/>
      <c r="AJ50" s="2"/>
    </row>
    <row r="51" spans="1:36" hidden="1" x14ac:dyDescent="0.2">
      <c r="A51" s="11">
        <v>43503</v>
      </c>
      <c r="B51" s="53" t="s">
        <v>1260</v>
      </c>
      <c r="C51" s="52" t="str">
        <f>IF(MID(B51,4,2)="09","Ramadan",IF(AND(MID(B51,4,2)="12",VALUE(LEFT(B51,2))&lt;=9),"Adha Season","Normal"))</f>
        <v>Normal</v>
      </c>
      <c r="D51" s="1" t="s">
        <v>45</v>
      </c>
      <c r="F51" s="4" t="s">
        <v>39</v>
      </c>
      <c r="G51" s="2">
        <v>16</v>
      </c>
      <c r="H51" s="2">
        <v>16</v>
      </c>
      <c r="I51" s="2">
        <f>grand[[#This Row],[number]]-grand[[#This Row],[received]]</f>
        <v>0</v>
      </c>
      <c r="J51" s="30"/>
      <c r="K51" s="2">
        <v>7152</v>
      </c>
      <c r="L51" s="2">
        <v>6835</v>
      </c>
      <c r="M51" s="2">
        <f>K51-L51</f>
        <v>317</v>
      </c>
      <c r="N51" s="2">
        <v>4467.8</v>
      </c>
      <c r="O51" s="2">
        <v>174</v>
      </c>
      <c r="P51" s="7">
        <f>grand[[#This Row],[total weight]]/grand[[#This Row],[received]]</f>
        <v>447</v>
      </c>
      <c r="Q51" s="7">
        <f>grand[[#This Row],[receiving weight]]/grand[[#This Row],[received]]</f>
        <v>427.1875</v>
      </c>
      <c r="R51" s="7">
        <f>grand[[#This Row],[transportation loss ]]/grand[[#This Row],[received]]</f>
        <v>19.8125</v>
      </c>
      <c r="S51" s="7">
        <f>grand[[#This Row],[ carcass weight]]/grand[[#This Row],[received]]</f>
        <v>279.23750000000001</v>
      </c>
      <c r="T51" s="7">
        <f>grand[[#This Row],[ kidneys fat quantity]]/grand[[#This Row],[received]]</f>
        <v>10.875</v>
      </c>
      <c r="U51" s="2">
        <v>25</v>
      </c>
      <c r="V51" s="2"/>
      <c r="W51" s="2">
        <v>49.7</v>
      </c>
      <c r="X51" s="2">
        <v>10</v>
      </c>
      <c r="Y51" s="8">
        <v>8.5</v>
      </c>
      <c r="Z51" s="3">
        <f>grand[[#This Row],[av. Transportation loss]]/grand[[#This Row],[av.total weight]]</f>
        <v>4.4323266219239377E-2</v>
      </c>
      <c r="AA51" s="12">
        <f>AVERAGE((grand[[#This Row],[am]]/25),(grand[[#This Row],[pm]]/50))</f>
        <v>0.99700000000000011</v>
      </c>
      <c r="AB51" s="3">
        <f>grand[[#This Row],[ carcass weight]]/grand[[#This Row],[total weight]]</f>
        <v>0.62469239373601793</v>
      </c>
      <c r="AC51" s="3">
        <f>SUM(grand[[#This Row],[am]:[meat transportation]])/100</f>
        <v>0.93200000000000005</v>
      </c>
      <c r="AD51" s="2"/>
      <c r="AE51" s="2"/>
      <c r="AF51" s="2"/>
      <c r="AG51" s="2"/>
      <c r="AH51" s="2"/>
      <c r="AI51" s="2"/>
      <c r="AJ51" s="2"/>
    </row>
    <row r="52" spans="1:36" hidden="1" x14ac:dyDescent="0.2">
      <c r="A52" s="11">
        <v>43503</v>
      </c>
      <c r="B52" s="53" t="s">
        <v>1260</v>
      </c>
      <c r="C52" s="52" t="str">
        <f>IF(MID(B52,4,2)="09","Ramadan",IF(AND(MID(B52,4,2)="12",VALUE(LEFT(B52,2))&lt;=9),"Adha Season","Normal"))</f>
        <v>Normal</v>
      </c>
      <c r="D52" s="2" t="s">
        <v>294</v>
      </c>
      <c r="E52" s="2"/>
      <c r="F52" s="4" t="s">
        <v>39</v>
      </c>
      <c r="G52" s="2">
        <v>20</v>
      </c>
      <c r="H52" s="2">
        <v>20</v>
      </c>
      <c r="I52" s="2">
        <f>grand[[#This Row],[number]]-grand[[#This Row],[received]]</f>
        <v>0</v>
      </c>
      <c r="J52" s="30"/>
      <c r="K52" s="2"/>
      <c r="L52" s="2"/>
      <c r="M52" s="2">
        <f>K52-L52</f>
        <v>0</v>
      </c>
      <c r="N52" s="2"/>
      <c r="O52" s="2"/>
      <c r="P52" s="7">
        <f>grand[[#This Row],[total weight]]/grand[[#This Row],[received]]</f>
        <v>0</v>
      </c>
      <c r="Q52" s="7">
        <f>grand[[#This Row],[receiving weight]]/grand[[#This Row],[received]]</f>
        <v>0</v>
      </c>
      <c r="R52" s="7">
        <f>grand[[#This Row],[transportation loss ]]/grand[[#This Row],[received]]</f>
        <v>0</v>
      </c>
      <c r="S52" s="7">
        <f>grand[[#This Row],[ carcass weight]]/grand[[#This Row],[received]]</f>
        <v>0</v>
      </c>
      <c r="T52" s="7">
        <f>grand[[#This Row],[ kidneys fat quantity]]/grand[[#This Row],[received]]</f>
        <v>0</v>
      </c>
      <c r="U52" s="2">
        <v>24</v>
      </c>
      <c r="V52" s="2"/>
      <c r="W52" s="2">
        <v>50</v>
      </c>
      <c r="X52" s="2">
        <v>10</v>
      </c>
      <c r="Y52" s="8">
        <v>8.5</v>
      </c>
      <c r="Z52" s="3"/>
      <c r="AA52" s="12">
        <f>AVERAGE((grand[[#This Row],[am]]/25),(grand[[#This Row],[pm]]/50))</f>
        <v>0.98</v>
      </c>
      <c r="AB52" s="3"/>
      <c r="AC52" s="3">
        <f>SUM(grand[[#This Row],[am]:[meat transportation]])/100</f>
        <v>0.92500000000000004</v>
      </c>
      <c r="AD52" s="2"/>
      <c r="AE52" s="2"/>
      <c r="AF52" s="2"/>
      <c r="AG52" s="2"/>
      <c r="AH52" s="2"/>
      <c r="AI52" s="2"/>
      <c r="AJ52" s="2"/>
    </row>
    <row r="53" spans="1:36" hidden="1" x14ac:dyDescent="0.2">
      <c r="A53" s="11">
        <v>43506</v>
      </c>
      <c r="B53" s="53" t="s">
        <v>1261</v>
      </c>
      <c r="C53" s="52" t="str">
        <f>IF(MID(B53,4,2)="09","Ramadan",IF(AND(MID(B53,4,2)="12",VALUE(LEFT(B53,2))&lt;=9),"Adha Season","Normal"))</f>
        <v>Normal</v>
      </c>
      <c r="D53" s="1" t="s">
        <v>45</v>
      </c>
      <c r="F53" s="4" t="s">
        <v>38</v>
      </c>
      <c r="G53" s="2">
        <v>18</v>
      </c>
      <c r="H53" s="2">
        <v>18</v>
      </c>
      <c r="I53" s="2">
        <f>grand[[#This Row],[number]]-grand[[#This Row],[received]]</f>
        <v>0</v>
      </c>
      <c r="J53" s="30"/>
      <c r="K53" s="2">
        <v>8030</v>
      </c>
      <c r="L53" s="2">
        <v>7840</v>
      </c>
      <c r="M53" s="2">
        <f>K53-L53</f>
        <v>190</v>
      </c>
      <c r="N53" s="2">
        <v>4899.6000000000004</v>
      </c>
      <c r="O53" s="2">
        <v>182</v>
      </c>
      <c r="P53" s="7">
        <f>grand[[#This Row],[total weight]]/grand[[#This Row],[received]]</f>
        <v>446.11111111111109</v>
      </c>
      <c r="Q53" s="7">
        <f>grand[[#This Row],[receiving weight]]/grand[[#This Row],[received]]</f>
        <v>435.55555555555554</v>
      </c>
      <c r="R53" s="7">
        <f>grand[[#This Row],[transportation loss ]]/grand[[#This Row],[received]]</f>
        <v>10.555555555555555</v>
      </c>
      <c r="S53" s="7">
        <f>grand[[#This Row],[ carcass weight]]/grand[[#This Row],[received]]</f>
        <v>272.20000000000005</v>
      </c>
      <c r="T53" s="7">
        <f>grand[[#This Row],[ kidneys fat quantity]]/grand[[#This Row],[received]]</f>
        <v>10.111111111111111</v>
      </c>
      <c r="U53" s="2">
        <v>23</v>
      </c>
      <c r="V53" s="2"/>
      <c r="W53" s="2">
        <v>49.9</v>
      </c>
      <c r="X53" s="2">
        <v>10</v>
      </c>
      <c r="Y53" s="8">
        <v>8.5</v>
      </c>
      <c r="Z53" s="3">
        <f>grand[[#This Row],[av. Transportation loss]]/grand[[#This Row],[av.total weight]]</f>
        <v>2.3661270236612703E-2</v>
      </c>
      <c r="AA53" s="12">
        <f>AVERAGE((grand[[#This Row],[am]]/25),(grand[[#This Row],[pm]]/50))</f>
        <v>0.95900000000000007</v>
      </c>
      <c r="AB53" s="3">
        <f>grand[[#This Row],[ carcass weight]]/grand[[#This Row],[total weight]]</f>
        <v>0.61016189290161893</v>
      </c>
      <c r="AC53" s="3">
        <f>SUM(grand[[#This Row],[am]:[meat transportation]])/100</f>
        <v>0.91400000000000003</v>
      </c>
      <c r="AD53" s="2"/>
      <c r="AE53" s="2"/>
      <c r="AF53" s="2"/>
      <c r="AG53" s="2"/>
      <c r="AH53" s="2"/>
      <c r="AI53" s="2"/>
      <c r="AJ53" s="2"/>
    </row>
    <row r="54" spans="1:36" hidden="1" x14ac:dyDescent="0.2">
      <c r="A54" s="11">
        <v>43508</v>
      </c>
      <c r="B54" s="53" t="s">
        <v>1262</v>
      </c>
      <c r="C54" s="52" t="str">
        <f>IF(MID(B54,4,2)="09","Ramadan",IF(AND(MID(B54,4,2)="12",VALUE(LEFT(B54,2))&lt;=9),"Adha Season","Normal"))</f>
        <v>Normal</v>
      </c>
      <c r="D54" s="1" t="s">
        <v>45</v>
      </c>
      <c r="F54" s="4" t="s">
        <v>46</v>
      </c>
      <c r="G54" s="2">
        <v>18</v>
      </c>
      <c r="H54" s="2">
        <v>18</v>
      </c>
      <c r="I54" s="2">
        <f>grand[[#This Row],[number]]-grand[[#This Row],[received]]</f>
        <v>0</v>
      </c>
      <c r="J54" s="30"/>
      <c r="K54" s="2">
        <v>8725</v>
      </c>
      <c r="L54" s="2">
        <v>8325</v>
      </c>
      <c r="M54" s="2">
        <f>K54-L54</f>
        <v>400</v>
      </c>
      <c r="N54" s="2">
        <v>5281.2</v>
      </c>
      <c r="O54" s="2">
        <v>176</v>
      </c>
      <c r="P54" s="7">
        <f>grand[[#This Row],[total weight]]/grand[[#This Row],[received]]</f>
        <v>484.72222222222223</v>
      </c>
      <c r="Q54" s="7">
        <f>grand[[#This Row],[receiving weight]]/grand[[#This Row],[received]]</f>
        <v>462.5</v>
      </c>
      <c r="R54" s="7">
        <f>grand[[#This Row],[transportation loss ]]/grand[[#This Row],[received]]</f>
        <v>22.222222222222221</v>
      </c>
      <c r="S54" s="7">
        <f>grand[[#This Row],[ carcass weight]]/grand[[#This Row],[received]]</f>
        <v>293.39999999999998</v>
      </c>
      <c r="T54" s="7">
        <f>grand[[#This Row],[ kidneys fat quantity]]/grand[[#This Row],[received]]</f>
        <v>9.7777777777777786</v>
      </c>
      <c r="U54" s="2">
        <v>23</v>
      </c>
      <c r="V54" s="2"/>
      <c r="W54" s="2">
        <v>49.1</v>
      </c>
      <c r="X54" s="2">
        <v>9.3000000000000007</v>
      </c>
      <c r="Y54" s="8">
        <v>8.5</v>
      </c>
      <c r="Z54" s="3">
        <f>grand[[#This Row],[av. Transportation loss]]/grand[[#This Row],[av.total weight]]</f>
        <v>4.5845272206303724E-2</v>
      </c>
      <c r="AA54" s="12">
        <f>AVERAGE((grand[[#This Row],[am]]/25),(grand[[#This Row],[pm]]/50))</f>
        <v>0.95100000000000007</v>
      </c>
      <c r="AB54" s="3">
        <f>grand[[#This Row],[ carcass weight]]/grand[[#This Row],[total weight]]</f>
        <v>0.60529512893982806</v>
      </c>
      <c r="AC54" s="3">
        <f>SUM(grand[[#This Row],[am]:[meat transportation]])/100</f>
        <v>0.89899999999999991</v>
      </c>
      <c r="AD54" s="2"/>
      <c r="AE54" s="2"/>
      <c r="AF54" s="2"/>
      <c r="AG54" s="2"/>
      <c r="AH54" s="2"/>
      <c r="AI54" s="2"/>
      <c r="AJ54" s="2"/>
    </row>
    <row r="55" spans="1:36" hidden="1" x14ac:dyDescent="0.2">
      <c r="A55" s="11">
        <v>43510</v>
      </c>
      <c r="B55" s="53" t="s">
        <v>1263</v>
      </c>
      <c r="C55" s="52" t="str">
        <f>IF(MID(B55,4,2)="09","Ramadan",IF(AND(MID(B55,4,2)="12",VALUE(LEFT(B55,2))&lt;=9),"Adha Season","Normal"))</f>
        <v>Normal</v>
      </c>
      <c r="D55" s="1" t="s">
        <v>45</v>
      </c>
      <c r="F55" s="4" t="s">
        <v>39</v>
      </c>
      <c r="G55" s="2">
        <v>18</v>
      </c>
      <c r="H55" s="2">
        <v>18</v>
      </c>
      <c r="I55" s="2">
        <f>grand[[#This Row],[number]]-grand[[#This Row],[received]]</f>
        <v>0</v>
      </c>
      <c r="J55" s="30"/>
      <c r="K55" s="2">
        <v>7851</v>
      </c>
      <c r="L55" s="2">
        <v>7450</v>
      </c>
      <c r="M55" s="2">
        <f>K55-L55</f>
        <v>401</v>
      </c>
      <c r="N55" s="2">
        <v>4892.2</v>
      </c>
      <c r="O55" s="2">
        <v>222</v>
      </c>
      <c r="P55" s="7">
        <f>grand[[#This Row],[total weight]]/grand[[#This Row],[received]]</f>
        <v>436.16666666666669</v>
      </c>
      <c r="Q55" s="7">
        <f>grand[[#This Row],[receiving weight]]/grand[[#This Row],[received]]</f>
        <v>413.88888888888891</v>
      </c>
      <c r="R55" s="7">
        <f>grand[[#This Row],[transportation loss ]]/grand[[#This Row],[received]]</f>
        <v>22.277777777777779</v>
      </c>
      <c r="S55" s="7">
        <f>grand[[#This Row],[ carcass weight]]/grand[[#This Row],[received]]</f>
        <v>271.78888888888889</v>
      </c>
      <c r="T55" s="7">
        <f>grand[[#This Row],[ kidneys fat quantity]]/grand[[#This Row],[received]]</f>
        <v>12.333333333333334</v>
      </c>
      <c r="U55" s="2">
        <v>25</v>
      </c>
      <c r="V55" s="2"/>
      <c r="W55" s="2">
        <v>49.9</v>
      </c>
      <c r="X55" s="2">
        <v>9.4</v>
      </c>
      <c r="Y55" s="8">
        <v>8.5</v>
      </c>
      <c r="Z55" s="3">
        <f>grand[[#This Row],[av. Transportation loss]]/grand[[#This Row],[av.total weight]]</f>
        <v>5.1076296013246716E-2</v>
      </c>
      <c r="AA55" s="12">
        <f>AVERAGE((grand[[#This Row],[am]]/25),(grand[[#This Row],[pm]]/50))</f>
        <v>0.999</v>
      </c>
      <c r="AB55" s="3">
        <f>grand[[#This Row],[ carcass weight]]/grand[[#This Row],[total weight]]</f>
        <v>0.62313081136160997</v>
      </c>
      <c r="AC55" s="3">
        <f>SUM(grand[[#This Row],[am]:[meat transportation]])/100</f>
        <v>0.92800000000000016</v>
      </c>
      <c r="AD55" s="2"/>
      <c r="AE55" s="2"/>
      <c r="AF55" s="2"/>
      <c r="AG55" s="2"/>
      <c r="AH55" s="2"/>
      <c r="AI55" s="2"/>
      <c r="AJ55" s="2"/>
    </row>
    <row r="56" spans="1:36" hidden="1" x14ac:dyDescent="0.2">
      <c r="A56" s="11">
        <v>43513</v>
      </c>
      <c r="B56" s="53" t="s">
        <v>1264</v>
      </c>
      <c r="C56" s="52" t="str">
        <f>IF(MID(B56,4,2)="09","Ramadan",IF(AND(MID(B56,4,2)="12",VALUE(LEFT(B56,2))&lt;=9),"Adha Season","Normal"))</f>
        <v>Normal</v>
      </c>
      <c r="D56" s="2" t="s">
        <v>294</v>
      </c>
      <c r="E56" s="2"/>
      <c r="F56" s="4" t="s">
        <v>46</v>
      </c>
      <c r="G56" s="2">
        <v>25</v>
      </c>
      <c r="H56" s="2">
        <v>25</v>
      </c>
      <c r="I56" s="2">
        <f>grand[[#This Row],[number]]-grand[[#This Row],[received]]</f>
        <v>0</v>
      </c>
      <c r="J56" s="30"/>
      <c r="K56" s="2">
        <v>1230</v>
      </c>
      <c r="L56" s="2">
        <v>1185</v>
      </c>
      <c r="M56" s="2">
        <f>K56-L56</f>
        <v>45</v>
      </c>
      <c r="N56" s="2">
        <v>715.5</v>
      </c>
      <c r="O56" s="2">
        <v>0</v>
      </c>
      <c r="P56" s="7">
        <f>grand[[#This Row],[total weight]]/grand[[#This Row],[received]]</f>
        <v>49.2</v>
      </c>
      <c r="Q56" s="7">
        <f>grand[[#This Row],[receiving weight]]/grand[[#This Row],[received]]</f>
        <v>47.4</v>
      </c>
      <c r="R56" s="7">
        <f>grand[[#This Row],[transportation loss ]]/grand[[#This Row],[received]]</f>
        <v>1.8</v>
      </c>
      <c r="S56" s="7">
        <f>grand[[#This Row],[ carcass weight]]/grand[[#This Row],[received]]</f>
        <v>28.62</v>
      </c>
      <c r="T56" s="7">
        <f>grand[[#This Row],[ kidneys fat quantity]]/grand[[#This Row],[received]]</f>
        <v>0</v>
      </c>
      <c r="U56" s="2">
        <v>24</v>
      </c>
      <c r="V56" s="2"/>
      <c r="W56" s="2">
        <v>49.7</v>
      </c>
      <c r="X56" s="2">
        <v>10</v>
      </c>
      <c r="Y56" s="8">
        <v>8.5</v>
      </c>
      <c r="Z56" s="3">
        <f>grand[[#This Row],[av. Transportation loss]]/grand[[#This Row],[av.total weight]]</f>
        <v>3.6585365853658534E-2</v>
      </c>
      <c r="AA56" s="12">
        <f>AVERAGE((grand[[#This Row],[am]]/25),(grand[[#This Row],[pm]]/50))</f>
        <v>0.97700000000000009</v>
      </c>
      <c r="AB56" s="3">
        <f>grand[[#This Row],[ carcass weight]]/grand[[#This Row],[total weight]]</f>
        <v>0.58170731707317069</v>
      </c>
      <c r="AC56" s="3">
        <f>SUM(grand[[#This Row],[am]:[meat transportation]])/100</f>
        <v>0.92200000000000004</v>
      </c>
      <c r="AD56" s="2"/>
      <c r="AE56" s="2"/>
      <c r="AF56" s="2"/>
      <c r="AG56" s="2"/>
      <c r="AH56" s="2"/>
      <c r="AI56" s="2"/>
      <c r="AJ56" s="2"/>
    </row>
    <row r="57" spans="1:36" hidden="1" x14ac:dyDescent="0.2">
      <c r="A57" s="11">
        <v>43513</v>
      </c>
      <c r="B57" s="53" t="s">
        <v>1264</v>
      </c>
      <c r="C57" s="52" t="str">
        <f>IF(MID(B57,4,2)="09","Ramadan",IF(AND(MID(B57,4,2)="12",VALUE(LEFT(B57,2))&lt;=9),"Adha Season","Normal"))</f>
        <v>Normal</v>
      </c>
      <c r="D57" s="1" t="s">
        <v>45</v>
      </c>
      <c r="F57" s="4" t="s">
        <v>46</v>
      </c>
      <c r="G57" s="2">
        <v>18</v>
      </c>
      <c r="H57" s="2">
        <v>18</v>
      </c>
      <c r="I57" s="2">
        <f>grand[[#This Row],[number]]-grand[[#This Row],[received]]</f>
        <v>0</v>
      </c>
      <c r="J57" s="30"/>
      <c r="K57" s="2">
        <v>8650</v>
      </c>
      <c r="L57" s="2">
        <v>8330</v>
      </c>
      <c r="M57" s="2">
        <f>K57-L57</f>
        <v>320</v>
      </c>
      <c r="N57" s="2">
        <v>5196.2</v>
      </c>
      <c r="O57" s="2">
        <v>201</v>
      </c>
      <c r="P57" s="7">
        <f>grand[[#This Row],[total weight]]/grand[[#This Row],[received]]</f>
        <v>480.55555555555554</v>
      </c>
      <c r="Q57" s="7">
        <f>grand[[#This Row],[receiving weight]]/grand[[#This Row],[received]]</f>
        <v>462.77777777777777</v>
      </c>
      <c r="R57" s="7">
        <f>grand[[#This Row],[transportation loss ]]/grand[[#This Row],[received]]</f>
        <v>17.777777777777779</v>
      </c>
      <c r="S57" s="7">
        <f>grand[[#This Row],[ carcass weight]]/grand[[#This Row],[received]]</f>
        <v>288.67777777777775</v>
      </c>
      <c r="T57" s="7">
        <f>grand[[#This Row],[ kidneys fat quantity]]/grand[[#This Row],[received]]</f>
        <v>11.166666666666666</v>
      </c>
      <c r="U57" s="2">
        <v>15</v>
      </c>
      <c r="V57" s="2"/>
      <c r="W57" s="2">
        <v>48.6</v>
      </c>
      <c r="X57" s="2">
        <v>8.6</v>
      </c>
      <c r="Y57" s="8">
        <v>8.5</v>
      </c>
      <c r="Z57" s="3">
        <f>grand[[#This Row],[av. Transportation loss]]/grand[[#This Row],[av.total weight]]</f>
        <v>3.6994219653179193E-2</v>
      </c>
      <c r="AA57" s="12">
        <f>AVERAGE((grand[[#This Row],[am]]/25),(grand[[#This Row],[pm]]/50))</f>
        <v>0.78600000000000003</v>
      </c>
      <c r="AB57" s="3">
        <f>grand[[#This Row],[ carcass weight]]/grand[[#This Row],[total weight]]</f>
        <v>0.60071676300578036</v>
      </c>
      <c r="AC57" s="3">
        <f>SUM(grand[[#This Row],[am]:[meat transportation]])/100</f>
        <v>0.80700000000000005</v>
      </c>
      <c r="AD57" s="2"/>
      <c r="AE57" s="2"/>
      <c r="AF57" s="2"/>
      <c r="AG57" s="2"/>
      <c r="AH57" s="2"/>
      <c r="AI57" s="2"/>
      <c r="AJ57" s="2"/>
    </row>
    <row r="58" spans="1:36" hidden="1" x14ac:dyDescent="0.2">
      <c r="A58" s="11">
        <v>43515</v>
      </c>
      <c r="B58" s="53" t="s">
        <v>1265</v>
      </c>
      <c r="C58" s="52" t="str">
        <f>IF(MID(B58,4,2)="09","Ramadan",IF(AND(MID(B58,4,2)="12",VALUE(LEFT(B58,2))&lt;=9),"Adha Season","Normal"))</f>
        <v>Normal</v>
      </c>
      <c r="D58" s="1" t="s">
        <v>45</v>
      </c>
      <c r="F58" s="4" t="s">
        <v>36</v>
      </c>
      <c r="G58" s="2">
        <v>18</v>
      </c>
      <c r="H58" s="2">
        <v>18</v>
      </c>
      <c r="I58" s="2">
        <f>grand[[#This Row],[number]]-grand[[#This Row],[received]]</f>
        <v>0</v>
      </c>
      <c r="J58" s="30"/>
      <c r="K58" s="2">
        <v>8180</v>
      </c>
      <c r="L58" s="2">
        <v>7930</v>
      </c>
      <c r="M58" s="2">
        <f>K58-L58</f>
        <v>250</v>
      </c>
      <c r="N58" s="2">
        <v>4978.8999999999996</v>
      </c>
      <c r="O58" s="2">
        <v>196</v>
      </c>
      <c r="P58" s="7">
        <f>grand[[#This Row],[total weight]]/grand[[#This Row],[received]]</f>
        <v>454.44444444444446</v>
      </c>
      <c r="Q58" s="7">
        <f>grand[[#This Row],[receiving weight]]/grand[[#This Row],[received]]</f>
        <v>440.55555555555554</v>
      </c>
      <c r="R58" s="7">
        <f>grand[[#This Row],[transportation loss ]]/grand[[#This Row],[received]]</f>
        <v>13.888888888888889</v>
      </c>
      <c r="S58" s="7">
        <f>grand[[#This Row],[ carcass weight]]/grand[[#This Row],[received]]</f>
        <v>276.60555555555555</v>
      </c>
      <c r="T58" s="7">
        <f>grand[[#This Row],[ kidneys fat quantity]]/grand[[#This Row],[received]]</f>
        <v>10.888888888888889</v>
      </c>
      <c r="U58" s="2">
        <v>20</v>
      </c>
      <c r="V58" s="2"/>
      <c r="W58" s="2">
        <v>49.7</v>
      </c>
      <c r="X58" s="2">
        <v>9.4</v>
      </c>
      <c r="Y58" s="8">
        <v>8.1</v>
      </c>
      <c r="Z58" s="3">
        <f>grand[[#This Row],[av. Transportation loss]]/grand[[#This Row],[av.total weight]]</f>
        <v>3.0562347188264057E-2</v>
      </c>
      <c r="AA58" s="12">
        <f>AVERAGE((grand[[#This Row],[am]]/25),(grand[[#This Row],[pm]]/50))</f>
        <v>0.89700000000000002</v>
      </c>
      <c r="AB58" s="3">
        <f>grand[[#This Row],[ carcass weight]]/grand[[#This Row],[total weight]]</f>
        <v>0.60866748166259166</v>
      </c>
      <c r="AC58" s="3">
        <f>SUM(grand[[#This Row],[am]:[meat transportation]])/100</f>
        <v>0.872</v>
      </c>
      <c r="AD58" s="2"/>
      <c r="AE58" s="2"/>
      <c r="AF58" s="2"/>
      <c r="AG58" s="2"/>
      <c r="AH58" s="2"/>
      <c r="AI58" s="2"/>
      <c r="AJ58" s="2"/>
    </row>
    <row r="59" spans="1:36" hidden="1" x14ac:dyDescent="0.2">
      <c r="A59" s="11">
        <v>43520</v>
      </c>
      <c r="B59" s="53" t="s">
        <v>1267</v>
      </c>
      <c r="C59" s="52" t="str">
        <f>IF(MID(B59,4,2)="09","Ramadan",IF(AND(MID(B59,4,2)="12",VALUE(LEFT(B59,2))&lt;=9),"Adha Season","Normal"))</f>
        <v>Normal</v>
      </c>
      <c r="D59" s="1" t="s">
        <v>45</v>
      </c>
      <c r="F59" s="4" t="s">
        <v>46</v>
      </c>
      <c r="G59" s="2">
        <v>18</v>
      </c>
      <c r="H59" s="2">
        <v>18</v>
      </c>
      <c r="I59" s="2">
        <f>grand[[#This Row],[number]]-grand[[#This Row],[received]]</f>
        <v>0</v>
      </c>
      <c r="J59" s="30"/>
      <c r="K59" s="2">
        <v>8540</v>
      </c>
      <c r="L59" s="2">
        <v>8185</v>
      </c>
      <c r="M59" s="2">
        <f>K59-L59</f>
        <v>355</v>
      </c>
      <c r="N59" s="2">
        <v>5192.8999999999996</v>
      </c>
      <c r="O59" s="2">
        <v>218</v>
      </c>
      <c r="P59" s="7">
        <f>grand[[#This Row],[total weight]]/grand[[#This Row],[received]]</f>
        <v>474.44444444444446</v>
      </c>
      <c r="Q59" s="7">
        <f>grand[[#This Row],[receiving weight]]/grand[[#This Row],[received]]</f>
        <v>454.72222222222223</v>
      </c>
      <c r="R59" s="7">
        <f>grand[[#This Row],[transportation loss ]]/grand[[#This Row],[received]]</f>
        <v>19.722222222222221</v>
      </c>
      <c r="S59" s="7">
        <f>grand[[#This Row],[ carcass weight]]/grand[[#This Row],[received]]</f>
        <v>288.49444444444441</v>
      </c>
      <c r="T59" s="7">
        <f>grand[[#This Row],[ kidneys fat quantity]]/grand[[#This Row],[received]]</f>
        <v>12.111111111111111</v>
      </c>
      <c r="U59" s="2">
        <v>23.9</v>
      </c>
      <c r="V59" s="2"/>
      <c r="W59" s="2">
        <v>49.7</v>
      </c>
      <c r="X59" s="2">
        <v>10</v>
      </c>
      <c r="Y59" s="8">
        <v>8.1</v>
      </c>
      <c r="Z59" s="3">
        <f>grand[[#This Row],[av. Transportation loss]]/grand[[#This Row],[av.total weight]]</f>
        <v>4.1569086651053862E-2</v>
      </c>
      <c r="AA59" s="12">
        <f>AVERAGE((grand[[#This Row],[am]]/25),(grand[[#This Row],[pm]]/50))</f>
        <v>0.97500000000000009</v>
      </c>
      <c r="AB59" s="3">
        <f>grand[[#This Row],[ carcass weight]]/grand[[#This Row],[total weight]]</f>
        <v>0.60806791569086649</v>
      </c>
      <c r="AC59" s="3">
        <f>SUM(grand[[#This Row],[am]:[meat transportation]])/100</f>
        <v>0.91699999999999993</v>
      </c>
      <c r="AD59" s="2"/>
      <c r="AE59" s="2"/>
      <c r="AF59" s="2"/>
      <c r="AG59" s="2"/>
      <c r="AH59" s="2"/>
      <c r="AI59" s="2"/>
      <c r="AJ59" s="2"/>
    </row>
    <row r="60" spans="1:36" hidden="1" x14ac:dyDescent="0.2">
      <c r="A60" s="11">
        <v>43522</v>
      </c>
      <c r="B60" s="53" t="s">
        <v>1268</v>
      </c>
      <c r="C60" s="52" t="str">
        <f>IF(MID(B60,4,2)="09","Ramadan",IF(AND(MID(B60,4,2)="12",VALUE(LEFT(B60,2))&lt;=9),"Adha Season","Normal"))</f>
        <v>Normal</v>
      </c>
      <c r="D60" s="1" t="s">
        <v>45</v>
      </c>
      <c r="F60" s="4" t="s">
        <v>46</v>
      </c>
      <c r="G60" s="2">
        <v>19</v>
      </c>
      <c r="H60" s="2">
        <v>19</v>
      </c>
      <c r="I60" s="2">
        <f>grand[[#This Row],[number]]-grand[[#This Row],[received]]</f>
        <v>0</v>
      </c>
      <c r="J60" s="30"/>
      <c r="K60" s="2">
        <v>8970</v>
      </c>
      <c r="L60" s="2">
        <v>8425</v>
      </c>
      <c r="M60" s="2">
        <f>K60-L60</f>
        <v>545</v>
      </c>
      <c r="N60" s="2">
        <v>5277.5</v>
      </c>
      <c r="O60" s="2">
        <v>218.5</v>
      </c>
      <c r="P60" s="7">
        <f>grand[[#This Row],[total weight]]/grand[[#This Row],[received]]</f>
        <v>472.10526315789474</v>
      </c>
      <c r="Q60" s="7">
        <f>grand[[#This Row],[receiving weight]]/grand[[#This Row],[received]]</f>
        <v>443.42105263157896</v>
      </c>
      <c r="R60" s="7">
        <f>grand[[#This Row],[transportation loss ]]/grand[[#This Row],[received]]</f>
        <v>28.684210526315791</v>
      </c>
      <c r="S60" s="7">
        <f>grand[[#This Row],[ carcass weight]]/grand[[#This Row],[received]]</f>
        <v>277.76315789473682</v>
      </c>
      <c r="T60" s="7">
        <f>grand[[#This Row],[ kidneys fat quantity]]/grand[[#This Row],[received]]</f>
        <v>11.5</v>
      </c>
      <c r="U60" s="2">
        <v>24</v>
      </c>
      <c r="V60" s="2"/>
      <c r="W60" s="2">
        <v>49.8</v>
      </c>
      <c r="X60" s="2">
        <v>9.5</v>
      </c>
      <c r="Y60" s="8">
        <v>8.5</v>
      </c>
      <c r="Z60" s="3">
        <f>grand[[#This Row],[av. Transportation loss]]/grand[[#This Row],[av.total weight]]</f>
        <v>6.0758082497212935E-2</v>
      </c>
      <c r="AA60" s="12">
        <f>AVERAGE((grand[[#This Row],[am]]/25),(grand[[#This Row],[pm]]/50))</f>
        <v>0.97799999999999998</v>
      </c>
      <c r="AB60" s="3">
        <f>grand[[#This Row],[ carcass weight]]/grand[[#This Row],[total weight]]</f>
        <v>0.58835005574136012</v>
      </c>
      <c r="AC60" s="3">
        <f>SUM(grand[[#This Row],[am]:[meat transportation]])/100</f>
        <v>0.91799999999999993</v>
      </c>
      <c r="AD60" s="2"/>
      <c r="AE60" s="2"/>
      <c r="AF60" s="2"/>
      <c r="AG60" s="2"/>
      <c r="AH60" s="2"/>
      <c r="AI60" s="2"/>
      <c r="AJ60" s="2"/>
    </row>
    <row r="61" spans="1:36" hidden="1" x14ac:dyDescent="0.2">
      <c r="A61" s="11">
        <v>43527</v>
      </c>
      <c r="B61" s="53" t="s">
        <v>1270</v>
      </c>
      <c r="C61" s="52" t="str">
        <f>IF(MID(B61,4,2)="09","Ramadan",IF(AND(MID(B61,4,2)="12",VALUE(LEFT(B61,2))&lt;=9),"Adha Season","Normal"))</f>
        <v>Normal</v>
      </c>
      <c r="D61" s="1" t="s">
        <v>45</v>
      </c>
      <c r="F61" s="4" t="s">
        <v>46</v>
      </c>
      <c r="G61" s="2">
        <v>18</v>
      </c>
      <c r="H61" s="2">
        <v>18</v>
      </c>
      <c r="I61" s="2">
        <f>grand[[#This Row],[number]]-grand[[#This Row],[received]]</f>
        <v>0</v>
      </c>
      <c r="J61" s="30"/>
      <c r="K61" s="2">
        <v>8870</v>
      </c>
      <c r="L61" s="2">
        <v>8455</v>
      </c>
      <c r="M61" s="2">
        <f>K61-L61</f>
        <v>415</v>
      </c>
      <c r="N61" s="2">
        <v>5323.6</v>
      </c>
      <c r="O61" s="2">
        <v>157</v>
      </c>
      <c r="P61" s="7">
        <f>grand[[#This Row],[total weight]]/grand[[#This Row],[received]]</f>
        <v>492.77777777777777</v>
      </c>
      <c r="Q61" s="7">
        <f>grand[[#This Row],[receiving weight]]/grand[[#This Row],[received]]</f>
        <v>469.72222222222223</v>
      </c>
      <c r="R61" s="7">
        <f>grand[[#This Row],[transportation loss ]]/grand[[#This Row],[received]]</f>
        <v>23.055555555555557</v>
      </c>
      <c r="S61" s="7">
        <f>grand[[#This Row],[ carcass weight]]/grand[[#This Row],[received]]</f>
        <v>295.75555555555559</v>
      </c>
      <c r="T61" s="7">
        <f>grand[[#This Row],[ kidneys fat quantity]]/grand[[#This Row],[received]]</f>
        <v>8.7222222222222214</v>
      </c>
      <c r="U61" s="2">
        <v>18</v>
      </c>
      <c r="V61" s="2"/>
      <c r="W61" s="2">
        <v>48.6</v>
      </c>
      <c r="X61" s="2">
        <v>10</v>
      </c>
      <c r="Y61" s="8">
        <v>8.5</v>
      </c>
      <c r="Z61" s="3">
        <f>grand[[#This Row],[av. Transportation loss]]/grand[[#This Row],[av.total weight]]</f>
        <v>4.678692220969561E-2</v>
      </c>
      <c r="AA61" s="12">
        <f>AVERAGE((grand[[#This Row],[am]]/25),(grand[[#This Row],[pm]]/50))</f>
        <v>0.84599999999999997</v>
      </c>
      <c r="AB61" s="3">
        <f>grand[[#This Row],[ carcass weight]]/grand[[#This Row],[total weight]]</f>
        <v>0.60018038331454349</v>
      </c>
      <c r="AC61" s="3">
        <f>SUM(grand[[#This Row],[am]:[meat transportation]])/100</f>
        <v>0.85099999999999998</v>
      </c>
      <c r="AD61" s="2"/>
      <c r="AE61" s="2"/>
      <c r="AF61" s="2"/>
      <c r="AG61" s="2"/>
      <c r="AH61" s="2"/>
      <c r="AI61" s="2"/>
      <c r="AJ61" s="2"/>
    </row>
    <row r="62" spans="1:36" hidden="1" x14ac:dyDescent="0.2">
      <c r="A62" s="11">
        <v>43529</v>
      </c>
      <c r="B62" s="53" t="s">
        <v>1271</v>
      </c>
      <c r="C62" s="52" t="str">
        <f>IF(MID(B62,4,2)="09","Ramadan",IF(AND(MID(B62,4,2)="12",VALUE(LEFT(B62,2))&lt;=9),"Adha Season","Normal"))</f>
        <v>Normal</v>
      </c>
      <c r="D62" s="1" t="s">
        <v>45</v>
      </c>
      <c r="F62" s="4" t="s">
        <v>36</v>
      </c>
      <c r="G62" s="2">
        <v>18</v>
      </c>
      <c r="H62" s="2">
        <v>18</v>
      </c>
      <c r="I62" s="2">
        <f>grand[[#This Row],[number]]-grand[[#This Row],[received]]</f>
        <v>0</v>
      </c>
      <c r="J62" s="30"/>
      <c r="K62" s="2">
        <v>8555</v>
      </c>
      <c r="L62" s="2">
        <v>8175</v>
      </c>
      <c r="M62" s="2">
        <f>K62-L62</f>
        <v>380</v>
      </c>
      <c r="N62" s="2">
        <v>5161.6000000000004</v>
      </c>
      <c r="O62" s="2">
        <v>205</v>
      </c>
      <c r="P62" s="7">
        <f>grand[[#This Row],[total weight]]/grand[[#This Row],[received]]</f>
        <v>475.27777777777777</v>
      </c>
      <c r="Q62" s="7">
        <f>grand[[#This Row],[receiving weight]]/grand[[#This Row],[received]]</f>
        <v>454.16666666666669</v>
      </c>
      <c r="R62" s="7">
        <f>grand[[#This Row],[transportation loss ]]/grand[[#This Row],[received]]</f>
        <v>21.111111111111111</v>
      </c>
      <c r="S62" s="7">
        <f>grand[[#This Row],[ carcass weight]]/grand[[#This Row],[received]]</f>
        <v>286.75555555555559</v>
      </c>
      <c r="T62" s="7">
        <f>grand[[#This Row],[ kidneys fat quantity]]/grand[[#This Row],[received]]</f>
        <v>11.388888888888889</v>
      </c>
      <c r="U62" s="2">
        <v>17.899999999999999</v>
      </c>
      <c r="V62" s="2"/>
      <c r="W62" s="2">
        <v>50</v>
      </c>
      <c r="X62" s="2">
        <v>10</v>
      </c>
      <c r="Y62" s="8">
        <v>8.5</v>
      </c>
      <c r="Z62" s="3">
        <f>grand[[#This Row],[av. Transportation loss]]/grand[[#This Row],[av.total weight]]</f>
        <v>4.4418468731735827E-2</v>
      </c>
      <c r="AA62" s="12">
        <f>AVERAGE((grand[[#This Row],[am]]/25),(grand[[#This Row],[pm]]/50))</f>
        <v>0.85799999999999998</v>
      </c>
      <c r="AB62" s="3">
        <f>grand[[#This Row],[ carcass weight]]/grand[[#This Row],[total weight]]</f>
        <v>0.60334307422559907</v>
      </c>
      <c r="AC62" s="3">
        <f>SUM(grand[[#This Row],[am]:[meat transportation]])/100</f>
        <v>0.8640000000000001</v>
      </c>
      <c r="AD62" s="2"/>
      <c r="AE62" s="2"/>
      <c r="AF62" s="2"/>
      <c r="AG62" s="2"/>
      <c r="AH62" s="2"/>
      <c r="AI62" s="2"/>
      <c r="AJ62" s="2"/>
    </row>
    <row r="63" spans="1:36" hidden="1" x14ac:dyDescent="0.2">
      <c r="A63" s="11">
        <v>43531</v>
      </c>
      <c r="B63" s="53" t="s">
        <v>1272</v>
      </c>
      <c r="C63" s="52" t="str">
        <f>IF(MID(B63,4,2)="09","Ramadan",IF(AND(MID(B63,4,2)="12",VALUE(LEFT(B63,2))&lt;=9),"Adha Season","Normal"))</f>
        <v>Normal</v>
      </c>
      <c r="D63" s="1" t="s">
        <v>45</v>
      </c>
      <c r="F63" s="4" t="s">
        <v>39</v>
      </c>
      <c r="G63" s="2">
        <v>18</v>
      </c>
      <c r="H63" s="2">
        <v>18</v>
      </c>
      <c r="I63" s="2">
        <f>grand[[#This Row],[number]]-grand[[#This Row],[received]]</f>
        <v>0</v>
      </c>
      <c r="J63" s="30"/>
      <c r="K63" s="2">
        <v>7475</v>
      </c>
      <c r="L63" s="2">
        <v>7035</v>
      </c>
      <c r="M63" s="2">
        <f>K63-L63</f>
        <v>440</v>
      </c>
      <c r="N63" s="2">
        <v>4598.3999999999996</v>
      </c>
      <c r="O63" s="2">
        <v>183</v>
      </c>
      <c r="P63" s="7">
        <f>grand[[#This Row],[total weight]]/grand[[#This Row],[received]]</f>
        <v>415.27777777777777</v>
      </c>
      <c r="Q63" s="7">
        <f>grand[[#This Row],[receiving weight]]/grand[[#This Row],[received]]</f>
        <v>390.83333333333331</v>
      </c>
      <c r="R63" s="7">
        <f>grand[[#This Row],[transportation loss ]]/grand[[#This Row],[received]]</f>
        <v>24.444444444444443</v>
      </c>
      <c r="S63" s="7">
        <f>grand[[#This Row],[ carcass weight]]/grand[[#This Row],[received]]</f>
        <v>255.46666666666664</v>
      </c>
      <c r="T63" s="7">
        <f>grand[[#This Row],[ kidneys fat quantity]]/grand[[#This Row],[received]]</f>
        <v>10.166666666666666</v>
      </c>
      <c r="U63" s="2">
        <v>25</v>
      </c>
      <c r="V63" s="2"/>
      <c r="W63" s="2">
        <v>49.4</v>
      </c>
      <c r="X63" s="2">
        <v>10</v>
      </c>
      <c r="Y63" s="8">
        <v>8.5</v>
      </c>
      <c r="Z63" s="3">
        <f>grand[[#This Row],[av. Transportation loss]]/grand[[#This Row],[av.total weight]]</f>
        <v>5.8862876254180602E-2</v>
      </c>
      <c r="AA63" s="12">
        <f>AVERAGE((grand[[#This Row],[am]]/25),(grand[[#This Row],[pm]]/50))</f>
        <v>0.99399999999999999</v>
      </c>
      <c r="AB63" s="3">
        <f>grand[[#This Row],[ carcass weight]]/grand[[#This Row],[total weight]]</f>
        <v>0.61517056856187291</v>
      </c>
      <c r="AC63" s="3">
        <f>SUM(grand[[#This Row],[am]:[meat transportation]])/100</f>
        <v>0.92900000000000005</v>
      </c>
      <c r="AD63" s="2"/>
      <c r="AE63" s="2"/>
      <c r="AF63" s="2"/>
      <c r="AG63" s="2"/>
      <c r="AH63" s="2"/>
      <c r="AI63" s="2"/>
      <c r="AJ63" s="2"/>
    </row>
    <row r="64" spans="1:36" hidden="1" x14ac:dyDescent="0.2">
      <c r="A64" s="11">
        <v>43534</v>
      </c>
      <c r="B64" s="53" t="s">
        <v>1273</v>
      </c>
      <c r="C64" s="52" t="str">
        <f>IF(MID(B64,4,2)="09","Ramadan",IF(AND(MID(B64,4,2)="12",VALUE(LEFT(B64,2))&lt;=9),"Adha Season","Normal"))</f>
        <v>Normal</v>
      </c>
      <c r="D64" s="1" t="s">
        <v>45</v>
      </c>
      <c r="F64" s="4" t="s">
        <v>46</v>
      </c>
      <c r="G64" s="2">
        <v>20</v>
      </c>
      <c r="H64" s="2">
        <v>20</v>
      </c>
      <c r="I64" s="2">
        <f>grand[[#This Row],[number]]-grand[[#This Row],[received]]</f>
        <v>0</v>
      </c>
      <c r="J64" s="30"/>
      <c r="K64" s="2">
        <v>9330</v>
      </c>
      <c r="L64" s="2">
        <v>8945</v>
      </c>
      <c r="M64" s="2">
        <f>K64-L64</f>
        <v>385</v>
      </c>
      <c r="N64" s="2">
        <v>5599.8</v>
      </c>
      <c r="O64" s="2">
        <v>190</v>
      </c>
      <c r="P64" s="7">
        <f>grand[[#This Row],[total weight]]/grand[[#This Row],[received]]</f>
        <v>466.5</v>
      </c>
      <c r="Q64" s="7">
        <f>grand[[#This Row],[receiving weight]]/grand[[#This Row],[received]]</f>
        <v>447.25</v>
      </c>
      <c r="R64" s="7">
        <f>grand[[#This Row],[transportation loss ]]/grand[[#This Row],[received]]</f>
        <v>19.25</v>
      </c>
      <c r="S64" s="7">
        <f>grand[[#This Row],[ carcass weight]]/grand[[#This Row],[received]]</f>
        <v>279.99</v>
      </c>
      <c r="T64" s="7">
        <f>grand[[#This Row],[ kidneys fat quantity]]/grand[[#This Row],[received]]</f>
        <v>9.5</v>
      </c>
      <c r="U64" s="2">
        <v>23.7</v>
      </c>
      <c r="V64" s="2"/>
      <c r="W64" s="2">
        <v>49.2</v>
      </c>
      <c r="X64" s="2">
        <v>9.3000000000000007</v>
      </c>
      <c r="Y64" s="8">
        <v>8.1</v>
      </c>
      <c r="Z64" s="3">
        <f>grand[[#This Row],[av. Transportation loss]]/grand[[#This Row],[av.total weight]]</f>
        <v>4.1264737406216508E-2</v>
      </c>
      <c r="AA64" s="12">
        <f>AVERAGE((grand[[#This Row],[am]]/25),(grand[[#This Row],[pm]]/50))</f>
        <v>0.96599999999999997</v>
      </c>
      <c r="AB64" s="3">
        <f>grand[[#This Row],[ carcass weight]]/grand[[#This Row],[total weight]]</f>
        <v>0.60019292604501606</v>
      </c>
      <c r="AC64" s="3">
        <f>SUM(grand[[#This Row],[am]:[meat transportation]])/100</f>
        <v>0.90300000000000002</v>
      </c>
      <c r="AD64" s="2"/>
      <c r="AE64" s="2"/>
      <c r="AF64" s="2"/>
      <c r="AG64" s="2"/>
      <c r="AH64" s="2"/>
      <c r="AI64" s="2"/>
      <c r="AJ64" s="2"/>
    </row>
    <row r="65" spans="1:36" hidden="1" x14ac:dyDescent="0.2">
      <c r="A65" s="11">
        <v>43536</v>
      </c>
      <c r="B65" s="53" t="s">
        <v>1274</v>
      </c>
      <c r="C65" s="52" t="str">
        <f>IF(MID(B65,4,2)="09","Ramadan",IF(AND(MID(B65,4,2)="12",VALUE(LEFT(B65,2))&lt;=9),"Adha Season","Normal"))</f>
        <v>Normal</v>
      </c>
      <c r="D65" s="1" t="s">
        <v>45</v>
      </c>
      <c r="F65" s="4" t="s">
        <v>39</v>
      </c>
      <c r="G65" s="2">
        <v>18</v>
      </c>
      <c r="H65" s="2">
        <v>18</v>
      </c>
      <c r="I65" s="2">
        <f>grand[[#This Row],[number]]-grand[[#This Row],[received]]</f>
        <v>0</v>
      </c>
      <c r="J65" s="30"/>
      <c r="K65" s="2">
        <v>7274</v>
      </c>
      <c r="L65" s="2">
        <v>6905</v>
      </c>
      <c r="M65" s="2">
        <f>K65-L65</f>
        <v>369</v>
      </c>
      <c r="N65" s="2">
        <v>4484.2</v>
      </c>
      <c r="O65" s="2">
        <v>172.5</v>
      </c>
      <c r="P65" s="7">
        <f>grand[[#This Row],[total weight]]/grand[[#This Row],[received]]</f>
        <v>404.11111111111109</v>
      </c>
      <c r="Q65" s="7">
        <f>grand[[#This Row],[receiving weight]]/grand[[#This Row],[received]]</f>
        <v>383.61111111111109</v>
      </c>
      <c r="R65" s="7">
        <f>grand[[#This Row],[transportation loss ]]/grand[[#This Row],[received]]</f>
        <v>20.5</v>
      </c>
      <c r="S65" s="7">
        <f>grand[[#This Row],[ carcass weight]]/grand[[#This Row],[received]]</f>
        <v>249.12222222222221</v>
      </c>
      <c r="T65" s="7">
        <f>grand[[#This Row],[ kidneys fat quantity]]/grand[[#This Row],[received]]</f>
        <v>9.5833333333333339</v>
      </c>
      <c r="U65" s="2">
        <v>25</v>
      </c>
      <c r="V65" s="2"/>
      <c r="W65" s="2">
        <v>49.9</v>
      </c>
      <c r="X65" s="2">
        <v>10</v>
      </c>
      <c r="Y65" s="8">
        <v>8.5</v>
      </c>
      <c r="Z65" s="3">
        <f>grand[[#This Row],[av. Transportation loss]]/grand[[#This Row],[av.total weight]]</f>
        <v>5.0728622491064065E-2</v>
      </c>
      <c r="AA65" s="12">
        <f>AVERAGE((grand[[#This Row],[am]]/25),(grand[[#This Row],[pm]]/50))</f>
        <v>0.999</v>
      </c>
      <c r="AB65" s="3">
        <f>grand[[#This Row],[ carcass weight]]/grand[[#This Row],[total weight]]</f>
        <v>0.61646961781688203</v>
      </c>
      <c r="AC65" s="3">
        <f>SUM(grand[[#This Row],[am]:[meat transportation]])/100</f>
        <v>0.93400000000000005</v>
      </c>
      <c r="AD65" s="2"/>
      <c r="AE65" s="2"/>
      <c r="AF65" s="2"/>
      <c r="AG65" s="2"/>
      <c r="AH65" s="2"/>
      <c r="AI65" s="2"/>
      <c r="AJ65" s="2"/>
    </row>
    <row r="66" spans="1:36" hidden="1" x14ac:dyDescent="0.2">
      <c r="A66" s="11">
        <v>43538</v>
      </c>
      <c r="B66" s="53" t="s">
        <v>1275</v>
      </c>
      <c r="C66" s="52" t="str">
        <f>IF(MID(B66,4,2)="09","Ramadan",IF(AND(MID(B66,4,2)="12",VALUE(LEFT(B66,2))&lt;=9),"Adha Season","Normal"))</f>
        <v>Normal</v>
      </c>
      <c r="D66" s="1" t="s">
        <v>45</v>
      </c>
      <c r="F66" s="4" t="s">
        <v>46</v>
      </c>
      <c r="G66" s="2">
        <v>20</v>
      </c>
      <c r="H66" s="2">
        <v>20</v>
      </c>
      <c r="I66" s="2">
        <f>grand[[#This Row],[number]]-grand[[#This Row],[received]]</f>
        <v>0</v>
      </c>
      <c r="J66" s="30"/>
      <c r="K66" s="2">
        <v>9170</v>
      </c>
      <c r="L66" s="2">
        <v>8865</v>
      </c>
      <c r="M66" s="2">
        <f>K66-L66</f>
        <v>305</v>
      </c>
      <c r="N66" s="2">
        <v>5504.4</v>
      </c>
      <c r="O66" s="2">
        <v>195</v>
      </c>
      <c r="P66" s="7">
        <f>grand[[#This Row],[total weight]]/grand[[#This Row],[received]]</f>
        <v>458.5</v>
      </c>
      <c r="Q66" s="7">
        <f>grand[[#This Row],[receiving weight]]/grand[[#This Row],[received]]</f>
        <v>443.25</v>
      </c>
      <c r="R66" s="7">
        <f>grand[[#This Row],[transportation loss ]]/grand[[#This Row],[received]]</f>
        <v>15.25</v>
      </c>
      <c r="S66" s="7">
        <f>grand[[#This Row],[ carcass weight]]/grand[[#This Row],[received]]</f>
        <v>275.21999999999997</v>
      </c>
      <c r="T66" s="7">
        <f>grand[[#This Row],[ kidneys fat quantity]]/grand[[#This Row],[received]]</f>
        <v>9.75</v>
      </c>
      <c r="U66" s="2">
        <v>25</v>
      </c>
      <c r="V66" s="2"/>
      <c r="W66" s="2">
        <v>50</v>
      </c>
      <c r="X66" s="2">
        <v>9.4</v>
      </c>
      <c r="Y66" s="8">
        <v>8.5</v>
      </c>
      <c r="Z66" s="3">
        <f>grand[[#This Row],[av. Transportation loss]]/grand[[#This Row],[av.total weight]]</f>
        <v>3.3260632497273721E-2</v>
      </c>
      <c r="AA66" s="12">
        <f>AVERAGE((grand[[#This Row],[am]]/25),(grand[[#This Row],[pm]]/50))</f>
        <v>1</v>
      </c>
      <c r="AB66" s="3">
        <f>grand[[#This Row],[ carcass weight]]/grand[[#This Row],[total weight]]</f>
        <v>0.60026172300981462</v>
      </c>
      <c r="AC66" s="3">
        <f>SUM(grand[[#This Row],[am]:[meat transportation]])/100</f>
        <v>0.92900000000000005</v>
      </c>
      <c r="AD66" s="2"/>
      <c r="AE66" s="2"/>
      <c r="AF66" s="2"/>
      <c r="AG66" s="2"/>
      <c r="AH66" s="2"/>
      <c r="AI66" s="2"/>
      <c r="AJ66" s="2"/>
    </row>
    <row r="67" spans="1:36" hidden="1" x14ac:dyDescent="0.2">
      <c r="A67" s="11">
        <v>43543</v>
      </c>
      <c r="B67" s="53" t="s">
        <v>1277</v>
      </c>
      <c r="C67" s="52" t="str">
        <f>IF(MID(B67,4,2)="09","Ramadan",IF(AND(MID(B67,4,2)="12",VALUE(LEFT(B67,2))&lt;=9),"Adha Season","Normal"))</f>
        <v>Normal</v>
      </c>
      <c r="D67" s="1" t="s">
        <v>45</v>
      </c>
      <c r="F67" s="4" t="s">
        <v>46</v>
      </c>
      <c r="G67" s="2">
        <v>20</v>
      </c>
      <c r="H67" s="2">
        <v>20</v>
      </c>
      <c r="I67" s="2">
        <f>grand[[#This Row],[number]]-grand[[#This Row],[received]]</f>
        <v>0</v>
      </c>
      <c r="J67" s="30"/>
      <c r="K67" s="2">
        <v>9170</v>
      </c>
      <c r="L67" s="2">
        <v>8713</v>
      </c>
      <c r="M67" s="2">
        <f>K67-L67</f>
        <v>457</v>
      </c>
      <c r="N67" s="2">
        <v>5526.9</v>
      </c>
      <c r="O67" s="2">
        <v>197</v>
      </c>
      <c r="P67" s="7">
        <f>grand[[#This Row],[total weight]]/grand[[#This Row],[received]]</f>
        <v>458.5</v>
      </c>
      <c r="Q67" s="7">
        <f>grand[[#This Row],[receiving weight]]/grand[[#This Row],[received]]</f>
        <v>435.65</v>
      </c>
      <c r="R67" s="7">
        <f>grand[[#This Row],[transportation loss ]]/grand[[#This Row],[received]]</f>
        <v>22.85</v>
      </c>
      <c r="S67" s="7">
        <f>grand[[#This Row],[ carcass weight]]/grand[[#This Row],[received]]</f>
        <v>276.34499999999997</v>
      </c>
      <c r="T67" s="7">
        <f>grand[[#This Row],[ kidneys fat quantity]]/grand[[#This Row],[received]]</f>
        <v>9.85</v>
      </c>
      <c r="U67" s="2">
        <v>21.9</v>
      </c>
      <c r="V67" s="2"/>
      <c r="W67" s="2">
        <v>47.2</v>
      </c>
      <c r="X67" s="2">
        <v>10</v>
      </c>
      <c r="Y67" s="8">
        <v>8.5</v>
      </c>
      <c r="Z67" s="3">
        <f>grand[[#This Row],[av. Transportation loss]]/grand[[#This Row],[av.total weight]]</f>
        <v>4.9836423118865873E-2</v>
      </c>
      <c r="AA67" s="12">
        <f>AVERAGE((grand[[#This Row],[am]]/25),(grand[[#This Row],[pm]]/50))</f>
        <v>0.90999999999999992</v>
      </c>
      <c r="AB67" s="3">
        <f>grand[[#This Row],[ carcass weight]]/grand[[#This Row],[total weight]]</f>
        <v>0.60271537622682658</v>
      </c>
      <c r="AC67" s="3">
        <f>SUM(grand[[#This Row],[am]:[meat transportation]])/100</f>
        <v>0.87599999999999989</v>
      </c>
      <c r="AD67" s="2"/>
      <c r="AE67" s="2"/>
      <c r="AF67" s="2"/>
      <c r="AG67" s="2"/>
      <c r="AH67" s="2"/>
      <c r="AI67" s="2"/>
      <c r="AJ67" s="2"/>
    </row>
    <row r="68" spans="1:36" hidden="1" x14ac:dyDescent="0.2">
      <c r="A68" s="11">
        <v>43548</v>
      </c>
      <c r="B68" s="53" t="s">
        <v>1279</v>
      </c>
      <c r="C68" s="52" t="str">
        <f>IF(MID(B68,4,2)="09","Ramadan",IF(AND(MID(B68,4,2)="12",VALUE(LEFT(B68,2))&lt;=9),"Adha Season","Normal"))</f>
        <v>Normal</v>
      </c>
      <c r="D68" s="1" t="s">
        <v>45</v>
      </c>
      <c r="F68" s="4" t="s">
        <v>46</v>
      </c>
      <c r="G68" s="2">
        <v>20</v>
      </c>
      <c r="H68" s="2">
        <v>20</v>
      </c>
      <c r="I68" s="2">
        <f>grand[[#This Row],[number]]-grand[[#This Row],[received]]</f>
        <v>0</v>
      </c>
      <c r="J68" s="30"/>
      <c r="K68" s="2">
        <v>9786</v>
      </c>
      <c r="L68" s="2">
        <v>9250</v>
      </c>
      <c r="M68" s="2">
        <f>K68-L68</f>
        <v>536</v>
      </c>
      <c r="N68" s="2">
        <v>5902.9</v>
      </c>
      <c r="O68" s="2">
        <v>199</v>
      </c>
      <c r="P68" s="7">
        <f>grand[[#This Row],[total weight]]/grand[[#This Row],[received]]</f>
        <v>489.3</v>
      </c>
      <c r="Q68" s="7">
        <f>grand[[#This Row],[receiving weight]]/grand[[#This Row],[received]]</f>
        <v>462.5</v>
      </c>
      <c r="R68" s="7">
        <f>grand[[#This Row],[transportation loss ]]/grand[[#This Row],[received]]</f>
        <v>26.8</v>
      </c>
      <c r="S68" s="7">
        <f>grand[[#This Row],[ carcass weight]]/grand[[#This Row],[received]]</f>
        <v>295.14499999999998</v>
      </c>
      <c r="T68" s="7">
        <f>grand[[#This Row],[ kidneys fat quantity]]/grand[[#This Row],[received]]</f>
        <v>9.9499999999999993</v>
      </c>
      <c r="U68" s="2">
        <v>25</v>
      </c>
      <c r="V68" s="2"/>
      <c r="W68" s="2">
        <v>48.7</v>
      </c>
      <c r="X68" s="2">
        <v>10</v>
      </c>
      <c r="Y68" s="8">
        <v>8.5</v>
      </c>
      <c r="Z68" s="3">
        <f>grand[[#This Row],[av. Transportation loss]]/grand[[#This Row],[av.total weight]]</f>
        <v>5.4772123441651339E-2</v>
      </c>
      <c r="AA68" s="12">
        <f>AVERAGE((grand[[#This Row],[am]]/25),(grand[[#This Row],[pm]]/50))</f>
        <v>0.9870000000000001</v>
      </c>
      <c r="AB68" s="3">
        <f>grand[[#This Row],[ carcass weight]]/grand[[#This Row],[total weight]]</f>
        <v>0.60319844676067846</v>
      </c>
      <c r="AC68" s="3">
        <f>SUM(grand[[#This Row],[am]:[meat transportation]])/100</f>
        <v>0.92200000000000004</v>
      </c>
      <c r="AD68" s="2"/>
      <c r="AE68" s="2"/>
      <c r="AF68" s="2"/>
      <c r="AG68" s="2"/>
      <c r="AH68" s="2"/>
      <c r="AI68" s="2"/>
      <c r="AJ68" s="2"/>
    </row>
    <row r="69" spans="1:36" hidden="1" x14ac:dyDescent="0.2">
      <c r="A69" s="11">
        <v>43550</v>
      </c>
      <c r="B69" s="53" t="s">
        <v>1280</v>
      </c>
      <c r="C69" s="52" t="str">
        <f>IF(MID(B69,4,2)="09","Ramadan",IF(AND(MID(B69,4,2)="12",VALUE(LEFT(B69,2))&lt;=9),"Adha Season","Normal"))</f>
        <v>Normal</v>
      </c>
      <c r="D69" s="1" t="s">
        <v>45</v>
      </c>
      <c r="F69" s="4" t="s">
        <v>39</v>
      </c>
      <c r="G69" s="2">
        <v>20</v>
      </c>
      <c r="H69" s="2">
        <v>20</v>
      </c>
      <c r="I69" s="2">
        <f>grand[[#This Row],[number]]-grand[[#This Row],[received]]</f>
        <v>0</v>
      </c>
      <c r="J69" s="30"/>
      <c r="K69" s="2">
        <v>8345</v>
      </c>
      <c r="L69" s="2">
        <v>7955</v>
      </c>
      <c r="M69" s="2">
        <f>K69-L69</f>
        <v>390</v>
      </c>
      <c r="N69" s="2">
        <v>5156</v>
      </c>
      <c r="O69" s="2">
        <v>199</v>
      </c>
      <c r="P69" s="7">
        <f>grand[[#This Row],[total weight]]/grand[[#This Row],[received]]</f>
        <v>417.25</v>
      </c>
      <c r="Q69" s="7">
        <f>grand[[#This Row],[receiving weight]]/grand[[#This Row],[received]]</f>
        <v>397.75</v>
      </c>
      <c r="R69" s="7">
        <f>grand[[#This Row],[transportation loss ]]/grand[[#This Row],[received]]</f>
        <v>19.5</v>
      </c>
      <c r="S69" s="7">
        <f>grand[[#This Row],[ carcass weight]]/grand[[#This Row],[received]]</f>
        <v>257.8</v>
      </c>
      <c r="T69" s="7">
        <f>grand[[#This Row],[ kidneys fat quantity]]/grand[[#This Row],[received]]</f>
        <v>9.9499999999999993</v>
      </c>
      <c r="U69" s="2">
        <v>25</v>
      </c>
      <c r="V69" s="2"/>
      <c r="W69" s="2">
        <v>49.6</v>
      </c>
      <c r="X69" s="2">
        <v>9</v>
      </c>
      <c r="Y69" s="8">
        <v>8.1</v>
      </c>
      <c r="Z69" s="3">
        <f>grand[[#This Row],[av. Transportation loss]]/grand[[#This Row],[av.total weight]]</f>
        <v>4.6734571599760334E-2</v>
      </c>
      <c r="AA69" s="12">
        <f>AVERAGE((grand[[#This Row],[am]]/25),(grand[[#This Row],[pm]]/50))</f>
        <v>0.996</v>
      </c>
      <c r="AB69" s="3">
        <f>grand[[#This Row],[ carcass weight]]/grand[[#This Row],[total weight]]</f>
        <v>0.61785500299580587</v>
      </c>
      <c r="AC69" s="3">
        <f>SUM(grand[[#This Row],[am]:[meat transportation]])/100</f>
        <v>0.91699999999999993</v>
      </c>
      <c r="AD69" s="2"/>
      <c r="AE69" s="2"/>
      <c r="AF69" s="2"/>
      <c r="AG69" s="2"/>
      <c r="AH69" s="2"/>
      <c r="AI69" s="2"/>
      <c r="AJ69" s="2"/>
    </row>
    <row r="70" spans="1:36" hidden="1" x14ac:dyDescent="0.2">
      <c r="A70" s="11">
        <v>43552</v>
      </c>
      <c r="B70" s="53" t="s">
        <v>1281</v>
      </c>
      <c r="C70" s="52" t="str">
        <f>IF(MID(B70,4,2)="09","Ramadan",IF(AND(MID(B70,4,2)="12",VALUE(LEFT(B70,2))&lt;=9),"Adha Season","Normal"))</f>
        <v>Normal</v>
      </c>
      <c r="D70" s="1" t="s">
        <v>45</v>
      </c>
      <c r="F70" s="4" t="s">
        <v>46</v>
      </c>
      <c r="G70" s="2">
        <v>17</v>
      </c>
      <c r="H70" s="2">
        <v>17</v>
      </c>
      <c r="I70" s="2">
        <f>grand[[#This Row],[number]]-grand[[#This Row],[received]]</f>
        <v>0</v>
      </c>
      <c r="J70" s="30"/>
      <c r="K70" s="2">
        <v>8398</v>
      </c>
      <c r="L70" s="2">
        <v>7895</v>
      </c>
      <c r="M70" s="2">
        <f>K70-L70</f>
        <v>503</v>
      </c>
      <c r="N70" s="2">
        <v>5122.3</v>
      </c>
      <c r="O70" s="2">
        <v>195</v>
      </c>
      <c r="P70" s="7">
        <f>grand[[#This Row],[total weight]]/grand[[#This Row],[received]]</f>
        <v>494</v>
      </c>
      <c r="Q70" s="7">
        <f>grand[[#This Row],[receiving weight]]/grand[[#This Row],[received]]</f>
        <v>464.41176470588238</v>
      </c>
      <c r="R70" s="7">
        <f>grand[[#This Row],[transportation loss ]]/grand[[#This Row],[received]]</f>
        <v>29.588235294117649</v>
      </c>
      <c r="S70" s="7">
        <f>grand[[#This Row],[ carcass weight]]/grand[[#This Row],[received]]</f>
        <v>301.31176470588235</v>
      </c>
      <c r="T70" s="7">
        <f>grand[[#This Row],[ kidneys fat quantity]]/grand[[#This Row],[received]]</f>
        <v>11.470588235294118</v>
      </c>
      <c r="U70" s="2">
        <v>24</v>
      </c>
      <c r="V70" s="2"/>
      <c r="W70" s="2">
        <v>49.6</v>
      </c>
      <c r="X70" s="2">
        <v>10</v>
      </c>
      <c r="Y70" s="8">
        <v>8.1</v>
      </c>
      <c r="Z70" s="3">
        <f>grand[[#This Row],[av. Transportation loss]]/grand[[#This Row],[av.total weight]]</f>
        <v>5.9895213145987142E-2</v>
      </c>
      <c r="AA70" s="12">
        <f>AVERAGE((grand[[#This Row],[am]]/25),(grand[[#This Row],[pm]]/50))</f>
        <v>0.97599999999999998</v>
      </c>
      <c r="AB70" s="3">
        <f>grand[[#This Row],[ carcass weight]]/grand[[#This Row],[total weight]]</f>
        <v>0.60994284353417483</v>
      </c>
      <c r="AC70" s="3">
        <f>SUM(grand[[#This Row],[am]:[meat transportation]])/100</f>
        <v>0.91699999999999993</v>
      </c>
      <c r="AD70" s="2"/>
      <c r="AE70" s="2"/>
      <c r="AF70" s="2"/>
      <c r="AG70" s="2"/>
      <c r="AH70" s="2"/>
      <c r="AI70" s="2"/>
      <c r="AJ70" s="2"/>
    </row>
    <row r="71" spans="1:36" hidden="1" x14ac:dyDescent="0.2">
      <c r="A71" s="11">
        <v>43555</v>
      </c>
      <c r="B71" s="53" t="s">
        <v>1282</v>
      </c>
      <c r="C71" s="52" t="str">
        <f>IF(MID(B71,4,2)="09","Ramadan",IF(AND(MID(B71,4,2)="12",VALUE(LEFT(B71,2))&lt;=9),"Adha Season","Normal"))</f>
        <v>Normal</v>
      </c>
      <c r="D71" s="1" t="s">
        <v>45</v>
      </c>
      <c r="F71" s="4" t="s">
        <v>39</v>
      </c>
      <c r="G71" s="2">
        <v>20</v>
      </c>
      <c r="H71" s="2">
        <v>20</v>
      </c>
      <c r="I71" s="2">
        <f>grand[[#This Row],[number]]-grand[[#This Row],[received]]</f>
        <v>0</v>
      </c>
      <c r="J71" s="30"/>
      <c r="K71" s="2">
        <v>8592</v>
      </c>
      <c r="L71" s="2">
        <v>8150</v>
      </c>
      <c r="M71" s="2">
        <f>K71-L71</f>
        <v>442</v>
      </c>
      <c r="N71" s="2">
        <v>5371.35</v>
      </c>
      <c r="O71" s="2">
        <v>234</v>
      </c>
      <c r="P71" s="7">
        <f>grand[[#This Row],[total weight]]/grand[[#This Row],[received]]</f>
        <v>429.6</v>
      </c>
      <c r="Q71" s="7">
        <f>grand[[#This Row],[receiving weight]]/grand[[#This Row],[received]]</f>
        <v>407.5</v>
      </c>
      <c r="R71" s="7">
        <f>grand[[#This Row],[transportation loss ]]/grand[[#This Row],[received]]</f>
        <v>22.1</v>
      </c>
      <c r="S71" s="7">
        <f>grand[[#This Row],[ carcass weight]]/grand[[#This Row],[received]]</f>
        <v>268.5675</v>
      </c>
      <c r="T71" s="7">
        <f>grand[[#This Row],[ kidneys fat quantity]]/grand[[#This Row],[received]]</f>
        <v>11.7</v>
      </c>
      <c r="U71" s="2">
        <v>25</v>
      </c>
      <c r="V71" s="2"/>
      <c r="W71" s="2">
        <v>49.5</v>
      </c>
      <c r="X71" s="2">
        <v>8</v>
      </c>
      <c r="Y71" s="8">
        <v>8.5</v>
      </c>
      <c r="Z71" s="3">
        <f>grand[[#This Row],[av. Transportation loss]]/grand[[#This Row],[av.total weight]]</f>
        <v>5.144320297951583E-2</v>
      </c>
      <c r="AA71" s="12">
        <f>AVERAGE((grand[[#This Row],[am]]/25),(grand[[#This Row],[pm]]/50))</f>
        <v>0.995</v>
      </c>
      <c r="AB71" s="3">
        <f>grand[[#This Row],[ carcass weight]]/grand[[#This Row],[total weight]]</f>
        <v>0.62515712290502801</v>
      </c>
      <c r="AC71" s="3">
        <f>SUM(grand[[#This Row],[am]:[meat transportation]])/100</f>
        <v>0.91</v>
      </c>
      <c r="AD71" s="2"/>
      <c r="AE71" s="2"/>
      <c r="AF71" s="2"/>
      <c r="AG71" s="2"/>
      <c r="AH71" s="2"/>
      <c r="AI71" s="2"/>
      <c r="AJ71" s="2"/>
    </row>
    <row r="72" spans="1:36" hidden="1" x14ac:dyDescent="0.2">
      <c r="A72" s="11">
        <v>43557</v>
      </c>
      <c r="B72" s="53" t="s">
        <v>1283</v>
      </c>
      <c r="C72" s="52" t="str">
        <f>IF(MID(B72,4,2)="09","Ramadan",IF(AND(MID(B72,4,2)="12",VALUE(LEFT(B72,2))&lt;=9),"Adha Season","Normal"))</f>
        <v>Normal</v>
      </c>
      <c r="D72" s="1" t="s">
        <v>45</v>
      </c>
      <c r="F72" s="4" t="s">
        <v>46</v>
      </c>
      <c r="G72" s="2">
        <v>16</v>
      </c>
      <c r="H72" s="2">
        <v>16</v>
      </c>
      <c r="I72" s="2">
        <f>grand[[#This Row],[number]]-grand[[#This Row],[received]]</f>
        <v>0</v>
      </c>
      <c r="J72" s="30"/>
      <c r="K72" s="2">
        <v>7568</v>
      </c>
      <c r="L72" s="2">
        <v>7205</v>
      </c>
      <c r="M72" s="2">
        <f>K72-L72</f>
        <v>363</v>
      </c>
      <c r="N72" s="2">
        <v>4595.25</v>
      </c>
      <c r="O72" s="2">
        <v>174</v>
      </c>
      <c r="P72" s="7">
        <f>grand[[#This Row],[total weight]]/grand[[#This Row],[received]]</f>
        <v>473</v>
      </c>
      <c r="Q72" s="7">
        <f>grand[[#This Row],[receiving weight]]/grand[[#This Row],[received]]</f>
        <v>450.3125</v>
      </c>
      <c r="R72" s="7">
        <f>grand[[#This Row],[transportation loss ]]/grand[[#This Row],[received]]</f>
        <v>22.6875</v>
      </c>
      <c r="S72" s="7">
        <f>grand[[#This Row],[ carcass weight]]/grand[[#This Row],[received]]</f>
        <v>287.203125</v>
      </c>
      <c r="T72" s="7">
        <f>grand[[#This Row],[ kidneys fat quantity]]/grand[[#This Row],[received]]</f>
        <v>10.875</v>
      </c>
      <c r="U72" s="2">
        <v>20</v>
      </c>
      <c r="V72" s="2"/>
      <c r="W72" s="2">
        <v>47.6</v>
      </c>
      <c r="X72" s="2">
        <v>10</v>
      </c>
      <c r="Y72" s="8">
        <v>8.5</v>
      </c>
      <c r="Z72" s="3">
        <f>grand[[#This Row],[av. Transportation loss]]/grand[[#This Row],[av.total weight]]</f>
        <v>4.7965116279069769E-2</v>
      </c>
      <c r="AA72" s="12">
        <f>AVERAGE((grand[[#This Row],[am]]/25),(grand[[#This Row],[pm]]/50))</f>
        <v>0.87600000000000011</v>
      </c>
      <c r="AB72" s="3">
        <f>grand[[#This Row],[ carcass weight]]/grand[[#This Row],[total weight]]</f>
        <v>0.60719476744186052</v>
      </c>
      <c r="AC72" s="3">
        <f>SUM(grand[[#This Row],[am]:[meat transportation]])/100</f>
        <v>0.86099999999999999</v>
      </c>
      <c r="AD72" s="2"/>
      <c r="AE72" s="2"/>
      <c r="AF72" s="2"/>
      <c r="AG72" s="2"/>
      <c r="AH72" s="2"/>
      <c r="AI72" s="2"/>
      <c r="AJ72" s="2"/>
    </row>
    <row r="73" spans="1:36" hidden="1" x14ac:dyDescent="0.2">
      <c r="A73" s="11">
        <v>43559</v>
      </c>
      <c r="B73" s="53" t="s">
        <v>1284</v>
      </c>
      <c r="C73" s="52" t="str">
        <f>IF(MID(B73,4,2)="09","Ramadan",IF(AND(MID(B73,4,2)="12",VALUE(LEFT(B73,2))&lt;=9),"Adha Season","Normal"))</f>
        <v>Normal</v>
      </c>
      <c r="D73" s="1" t="s">
        <v>45</v>
      </c>
      <c r="F73" s="4" t="s">
        <v>39</v>
      </c>
      <c r="G73" s="2">
        <v>18</v>
      </c>
      <c r="H73" s="2">
        <v>18</v>
      </c>
      <c r="I73" s="2">
        <f>grand[[#This Row],[number]]-grand[[#This Row],[received]]</f>
        <v>0</v>
      </c>
      <c r="J73" s="30"/>
      <c r="K73" s="2">
        <v>7371</v>
      </c>
      <c r="L73" s="2">
        <v>6930</v>
      </c>
      <c r="M73" s="2">
        <f>K73-L73</f>
        <v>441</v>
      </c>
      <c r="N73" s="2">
        <v>4452.8</v>
      </c>
      <c r="O73" s="2">
        <v>140</v>
      </c>
      <c r="P73" s="7">
        <f>grand[[#This Row],[total weight]]/grand[[#This Row],[received]]</f>
        <v>409.5</v>
      </c>
      <c r="Q73" s="7">
        <f>grand[[#This Row],[receiving weight]]/grand[[#This Row],[received]]</f>
        <v>385</v>
      </c>
      <c r="R73" s="7">
        <f>grand[[#This Row],[transportation loss ]]/grand[[#This Row],[received]]</f>
        <v>24.5</v>
      </c>
      <c r="S73" s="7">
        <f>grand[[#This Row],[ carcass weight]]/grand[[#This Row],[received]]</f>
        <v>247.37777777777779</v>
      </c>
      <c r="T73" s="7">
        <f>grand[[#This Row],[ kidneys fat quantity]]/grand[[#This Row],[received]]</f>
        <v>7.7777777777777777</v>
      </c>
      <c r="U73" s="2">
        <v>25</v>
      </c>
      <c r="V73" s="2"/>
      <c r="W73" s="2">
        <v>49.5</v>
      </c>
      <c r="X73" s="2">
        <v>9</v>
      </c>
      <c r="Y73" s="8">
        <v>8.5</v>
      </c>
      <c r="Z73" s="3">
        <f>grand[[#This Row],[av. Transportation loss]]/grand[[#This Row],[av.total weight]]</f>
        <v>5.9829059829059832E-2</v>
      </c>
      <c r="AA73" s="12">
        <f>AVERAGE((grand[[#This Row],[am]]/25),(grand[[#This Row],[pm]]/50))</f>
        <v>0.995</v>
      </c>
      <c r="AB73" s="3">
        <f>grand[[#This Row],[ carcass weight]]/grand[[#This Row],[total weight]]</f>
        <v>0.60409713743047078</v>
      </c>
      <c r="AC73" s="3">
        <f>SUM(grand[[#This Row],[am]:[meat transportation]])/100</f>
        <v>0.92</v>
      </c>
      <c r="AD73" s="2"/>
      <c r="AE73" s="2"/>
      <c r="AF73" s="2"/>
      <c r="AG73" s="2"/>
      <c r="AH73" s="2"/>
      <c r="AI73" s="2"/>
      <c r="AJ73" s="2"/>
    </row>
    <row r="74" spans="1:36" hidden="1" x14ac:dyDescent="0.2">
      <c r="A74" s="11">
        <v>43562</v>
      </c>
      <c r="B74" s="53" t="s">
        <v>1285</v>
      </c>
      <c r="C74" s="52" t="str">
        <f>IF(MID(B74,4,2)="09","Ramadan",IF(AND(MID(B74,4,2)="12",VALUE(LEFT(B74,2))&lt;=9),"Adha Season","Normal"))</f>
        <v>Normal</v>
      </c>
      <c r="D74" s="1" t="s">
        <v>45</v>
      </c>
      <c r="F74" s="4" t="s">
        <v>40</v>
      </c>
      <c r="G74" s="2">
        <v>20</v>
      </c>
      <c r="H74" s="2">
        <v>20</v>
      </c>
      <c r="I74" s="2">
        <f>grand[[#This Row],[number]]-grand[[#This Row],[received]]</f>
        <v>0</v>
      </c>
      <c r="J74" s="30"/>
      <c r="K74" s="2">
        <v>9305</v>
      </c>
      <c r="L74" s="2">
        <v>9120</v>
      </c>
      <c r="M74" s="2">
        <f>K74-L74</f>
        <v>185</v>
      </c>
      <c r="N74" s="2">
        <v>5585.45</v>
      </c>
      <c r="O74" s="2">
        <v>152</v>
      </c>
      <c r="P74" s="7">
        <f>grand[[#This Row],[total weight]]/grand[[#This Row],[received]]</f>
        <v>465.25</v>
      </c>
      <c r="Q74" s="7">
        <f>grand[[#This Row],[receiving weight]]/grand[[#This Row],[received]]</f>
        <v>456</v>
      </c>
      <c r="R74" s="7">
        <f>grand[[#This Row],[transportation loss ]]/grand[[#This Row],[received]]</f>
        <v>9.25</v>
      </c>
      <c r="S74" s="7">
        <f>grand[[#This Row],[ carcass weight]]/grand[[#This Row],[received]]</f>
        <v>279.27249999999998</v>
      </c>
      <c r="T74" s="7">
        <f>grand[[#This Row],[ kidneys fat quantity]]/grand[[#This Row],[received]]</f>
        <v>7.6</v>
      </c>
      <c r="U74" s="2">
        <v>23.9</v>
      </c>
      <c r="V74" s="2"/>
      <c r="W74" s="2">
        <v>50</v>
      </c>
      <c r="X74" s="2">
        <v>9</v>
      </c>
      <c r="Y74" s="8">
        <v>8.5</v>
      </c>
      <c r="Z74" s="3">
        <f>grand[[#This Row],[av. Transportation loss]]/grand[[#This Row],[av.total weight]]</f>
        <v>1.9881783987103708E-2</v>
      </c>
      <c r="AA74" s="12">
        <f>AVERAGE((grand[[#This Row],[am]]/25),(grand[[#This Row],[pm]]/50))</f>
        <v>0.97799999999999998</v>
      </c>
      <c r="AB74" s="3">
        <f>grand[[#This Row],[ carcass weight]]/grand[[#This Row],[total weight]]</f>
        <v>0.60026329930145084</v>
      </c>
      <c r="AC74" s="3">
        <f>SUM(grand[[#This Row],[am]:[meat transportation]])/100</f>
        <v>0.91400000000000003</v>
      </c>
      <c r="AD74" s="2"/>
      <c r="AE74" s="2"/>
      <c r="AF74" s="2"/>
      <c r="AG74" s="2"/>
      <c r="AH74" s="2"/>
      <c r="AI74" s="2"/>
      <c r="AJ74" s="2"/>
    </row>
    <row r="75" spans="1:36" hidden="1" x14ac:dyDescent="0.2">
      <c r="A75" s="11">
        <v>43564</v>
      </c>
      <c r="B75" s="53" t="s">
        <v>1286</v>
      </c>
      <c r="C75" s="52" t="str">
        <f>IF(MID(B75,4,2)="09","Ramadan",IF(AND(MID(B75,4,2)="12",VALUE(LEFT(B75,2))&lt;=9),"Adha Season","Normal"))</f>
        <v>Normal</v>
      </c>
      <c r="D75" s="1" t="s">
        <v>45</v>
      </c>
      <c r="F75" s="4" t="s">
        <v>46</v>
      </c>
      <c r="G75" s="2">
        <v>18</v>
      </c>
      <c r="H75" s="2">
        <v>18</v>
      </c>
      <c r="I75" s="2">
        <f>grand[[#This Row],[number]]-grand[[#This Row],[received]]</f>
        <v>0</v>
      </c>
      <c r="J75" s="30"/>
      <c r="K75" s="2">
        <v>8465</v>
      </c>
      <c r="L75" s="2">
        <v>7915</v>
      </c>
      <c r="M75" s="2">
        <f>K75-L75</f>
        <v>550</v>
      </c>
      <c r="N75" s="2">
        <v>5142.5</v>
      </c>
      <c r="O75" s="2">
        <v>179</v>
      </c>
      <c r="P75" s="7">
        <f>grand[[#This Row],[total weight]]/grand[[#This Row],[received]]</f>
        <v>470.27777777777777</v>
      </c>
      <c r="Q75" s="7">
        <f>grand[[#This Row],[receiving weight]]/grand[[#This Row],[received]]</f>
        <v>439.72222222222223</v>
      </c>
      <c r="R75" s="7">
        <f>grand[[#This Row],[transportation loss ]]/grand[[#This Row],[received]]</f>
        <v>30.555555555555557</v>
      </c>
      <c r="S75" s="7">
        <f>grand[[#This Row],[ carcass weight]]/grand[[#This Row],[received]]</f>
        <v>285.69444444444446</v>
      </c>
      <c r="T75" s="7">
        <f>grand[[#This Row],[ kidneys fat quantity]]/grand[[#This Row],[received]]</f>
        <v>9.9444444444444446</v>
      </c>
      <c r="U75" s="2">
        <v>24.7</v>
      </c>
      <c r="V75" s="2"/>
      <c r="W75" s="2">
        <v>49.3</v>
      </c>
      <c r="X75" s="2">
        <v>9</v>
      </c>
      <c r="Y75" s="8">
        <v>8.5</v>
      </c>
      <c r="Z75" s="3">
        <f>grand[[#This Row],[av. Transportation loss]]/grand[[#This Row],[av.total weight]]</f>
        <v>6.497341996455995E-2</v>
      </c>
      <c r="AA75" s="12">
        <f>AVERAGE((grand[[#This Row],[am]]/25),(grand[[#This Row],[pm]]/50))</f>
        <v>0.98699999999999999</v>
      </c>
      <c r="AB75" s="3">
        <f>grand[[#This Row],[ carcass weight]]/grand[[#This Row],[total weight]]</f>
        <v>0.60750147666863552</v>
      </c>
      <c r="AC75" s="3">
        <f>SUM(grand[[#This Row],[am]:[meat transportation]])/100</f>
        <v>0.91500000000000004</v>
      </c>
      <c r="AD75" s="2"/>
      <c r="AE75" s="2"/>
      <c r="AF75" s="2"/>
      <c r="AG75" s="2"/>
      <c r="AH75" s="2"/>
      <c r="AI75" s="2"/>
      <c r="AJ75" s="2"/>
    </row>
    <row r="76" spans="1:36" hidden="1" x14ac:dyDescent="0.2">
      <c r="A76" s="11">
        <v>43566</v>
      </c>
      <c r="B76" s="53" t="s">
        <v>1287</v>
      </c>
      <c r="C76" s="52" t="str">
        <f>IF(MID(B76,4,2)="09","Ramadan",IF(AND(MID(B76,4,2)="12",VALUE(LEFT(B76,2))&lt;=9),"Adha Season","Normal"))</f>
        <v>Normal</v>
      </c>
      <c r="D76" s="1" t="s">
        <v>45</v>
      </c>
      <c r="F76" s="4" t="s">
        <v>39</v>
      </c>
      <c r="G76" s="2">
        <v>20</v>
      </c>
      <c r="H76" s="2">
        <v>20</v>
      </c>
      <c r="I76" s="2">
        <f>grand[[#This Row],[number]]-grand[[#This Row],[received]]</f>
        <v>0</v>
      </c>
      <c r="J76" s="30"/>
      <c r="K76" s="2">
        <v>8273</v>
      </c>
      <c r="L76" s="2">
        <v>7895</v>
      </c>
      <c r="M76" s="2">
        <f>K76-L76</f>
        <v>378</v>
      </c>
      <c r="N76" s="2">
        <v>5161.3999999999996</v>
      </c>
      <c r="O76" s="2">
        <v>179</v>
      </c>
      <c r="P76" s="7">
        <f>grand[[#This Row],[total weight]]/grand[[#This Row],[received]]</f>
        <v>413.65</v>
      </c>
      <c r="Q76" s="7">
        <f>grand[[#This Row],[receiving weight]]/grand[[#This Row],[received]]</f>
        <v>394.75</v>
      </c>
      <c r="R76" s="7">
        <f>grand[[#This Row],[transportation loss ]]/grand[[#This Row],[received]]</f>
        <v>18.899999999999999</v>
      </c>
      <c r="S76" s="7">
        <f>grand[[#This Row],[ carcass weight]]/grand[[#This Row],[received]]</f>
        <v>258.07</v>
      </c>
      <c r="T76" s="7">
        <f>grand[[#This Row],[ kidneys fat quantity]]/grand[[#This Row],[received]]</f>
        <v>8.9499999999999993</v>
      </c>
      <c r="U76" s="2">
        <v>25</v>
      </c>
      <c r="V76" s="2"/>
      <c r="W76" s="2">
        <v>49.7</v>
      </c>
      <c r="X76" s="2">
        <v>9</v>
      </c>
      <c r="Y76" s="8">
        <v>8.5</v>
      </c>
      <c r="Z76" s="3">
        <f>grand[[#This Row],[av. Transportation loss]]/grand[[#This Row],[av.total weight]]</f>
        <v>4.5690801402151579E-2</v>
      </c>
      <c r="AA76" s="12">
        <f>AVERAGE((grand[[#This Row],[am]]/25),(grand[[#This Row],[pm]]/50))</f>
        <v>0.99700000000000011</v>
      </c>
      <c r="AB76" s="3">
        <f>grand[[#This Row],[ carcass weight]]/grand[[#This Row],[total weight]]</f>
        <v>0.62388492687054264</v>
      </c>
      <c r="AC76" s="3">
        <f>SUM(grand[[#This Row],[am]:[meat transportation]])/100</f>
        <v>0.92200000000000004</v>
      </c>
      <c r="AD76" s="2"/>
      <c r="AE76" s="2"/>
      <c r="AF76" s="2"/>
      <c r="AG76" s="2"/>
      <c r="AH76" s="2"/>
      <c r="AI76" s="2"/>
      <c r="AJ76" s="2"/>
    </row>
    <row r="77" spans="1:36" hidden="1" x14ac:dyDescent="0.2">
      <c r="A77" s="11">
        <v>43569</v>
      </c>
      <c r="B77" s="53" t="s">
        <v>1288</v>
      </c>
      <c r="C77" s="52" t="str">
        <f>IF(MID(B77,4,2)="09","Ramadan",IF(AND(MID(B77,4,2)="12",VALUE(LEFT(B77,2))&lt;=9),"Adha Season","Normal"))</f>
        <v>Normal</v>
      </c>
      <c r="D77" s="1" t="s">
        <v>45</v>
      </c>
      <c r="F77" s="4" t="s">
        <v>46</v>
      </c>
      <c r="G77" s="2">
        <v>20</v>
      </c>
      <c r="H77" s="2">
        <v>20</v>
      </c>
      <c r="I77" s="2">
        <f>grand[[#This Row],[number]]-grand[[#This Row],[received]]</f>
        <v>0</v>
      </c>
      <c r="J77" s="30"/>
      <c r="K77" s="2">
        <v>8775</v>
      </c>
      <c r="L77" s="2">
        <v>8370</v>
      </c>
      <c r="M77" s="2">
        <f>K77-L77</f>
        <v>405</v>
      </c>
      <c r="N77" s="2">
        <v>5260.1</v>
      </c>
      <c r="O77" s="2">
        <v>153</v>
      </c>
      <c r="P77" s="7">
        <f>grand[[#This Row],[total weight]]/grand[[#This Row],[received]]</f>
        <v>438.75</v>
      </c>
      <c r="Q77" s="7">
        <f>grand[[#This Row],[receiving weight]]/grand[[#This Row],[received]]</f>
        <v>418.5</v>
      </c>
      <c r="R77" s="7">
        <f>grand[[#This Row],[transportation loss ]]/grand[[#This Row],[received]]</f>
        <v>20.25</v>
      </c>
      <c r="S77" s="7">
        <f>grand[[#This Row],[ carcass weight]]/grand[[#This Row],[received]]</f>
        <v>263.005</v>
      </c>
      <c r="T77" s="7">
        <f>grand[[#This Row],[ kidneys fat quantity]]/grand[[#This Row],[received]]</f>
        <v>7.65</v>
      </c>
      <c r="U77" s="2">
        <v>25</v>
      </c>
      <c r="V77" s="2"/>
      <c r="W77" s="2">
        <v>49.6</v>
      </c>
      <c r="X77" s="2">
        <v>9.9</v>
      </c>
      <c r="Y77" s="8">
        <v>8.5</v>
      </c>
      <c r="Z77" s="3">
        <f>grand[[#This Row],[av. Transportation loss]]/grand[[#This Row],[av.total weight]]</f>
        <v>4.6153846153846156E-2</v>
      </c>
      <c r="AA77" s="12">
        <f>AVERAGE((grand[[#This Row],[am]]/25),(grand[[#This Row],[pm]]/50))</f>
        <v>0.996</v>
      </c>
      <c r="AB77" s="3">
        <f>grand[[#This Row],[ carcass weight]]/grand[[#This Row],[total weight]]</f>
        <v>0.59944159544159548</v>
      </c>
      <c r="AC77" s="3">
        <f>SUM(grand[[#This Row],[am]:[meat transportation]])/100</f>
        <v>0.93</v>
      </c>
      <c r="AD77" s="2"/>
      <c r="AE77" s="2"/>
      <c r="AF77" s="2"/>
      <c r="AG77" s="2"/>
      <c r="AH77" s="2"/>
      <c r="AI77" s="2"/>
      <c r="AJ77" s="2"/>
    </row>
    <row r="78" spans="1:36" hidden="1" x14ac:dyDescent="0.2">
      <c r="A78" s="11">
        <v>43571</v>
      </c>
      <c r="B78" s="53" t="s">
        <v>1289</v>
      </c>
      <c r="C78" s="52" t="str">
        <f>IF(MID(B78,4,2)="09","Ramadan",IF(AND(MID(B78,4,2)="12",VALUE(LEFT(B78,2))&lt;=9),"Adha Season","Normal"))</f>
        <v>Normal</v>
      </c>
      <c r="D78" s="1" t="s">
        <v>45</v>
      </c>
      <c r="F78" s="4" t="s">
        <v>46</v>
      </c>
      <c r="G78" s="2">
        <v>18</v>
      </c>
      <c r="H78" s="2">
        <v>18</v>
      </c>
      <c r="I78" s="2">
        <f>grand[[#This Row],[number]]-grand[[#This Row],[received]]</f>
        <v>0</v>
      </c>
      <c r="J78" s="30"/>
      <c r="K78" s="2">
        <v>8300</v>
      </c>
      <c r="L78" s="2">
        <v>7845</v>
      </c>
      <c r="M78" s="2">
        <f>K78-L78</f>
        <v>455</v>
      </c>
      <c r="N78" s="2">
        <v>4995.3500000000004</v>
      </c>
      <c r="O78" s="2">
        <v>208</v>
      </c>
      <c r="P78" s="7">
        <f>grand[[#This Row],[total weight]]/grand[[#This Row],[received]]</f>
        <v>461.11111111111109</v>
      </c>
      <c r="Q78" s="7">
        <f>grand[[#This Row],[receiving weight]]/grand[[#This Row],[received]]</f>
        <v>435.83333333333331</v>
      </c>
      <c r="R78" s="7">
        <f>grand[[#This Row],[transportation loss ]]/grand[[#This Row],[received]]</f>
        <v>25.277777777777779</v>
      </c>
      <c r="S78" s="7">
        <f>grand[[#This Row],[ carcass weight]]/grand[[#This Row],[received]]</f>
        <v>277.51944444444445</v>
      </c>
      <c r="T78" s="7">
        <f>grand[[#This Row],[ kidneys fat quantity]]/grand[[#This Row],[received]]</f>
        <v>11.555555555555555</v>
      </c>
      <c r="U78" s="2">
        <v>25</v>
      </c>
      <c r="V78" s="2"/>
      <c r="W78" s="2">
        <v>47.7</v>
      </c>
      <c r="X78" s="2">
        <v>9.5</v>
      </c>
      <c r="Y78" s="8">
        <v>8.5</v>
      </c>
      <c r="Z78" s="3">
        <f>grand[[#This Row],[av. Transportation loss]]/grand[[#This Row],[av.total weight]]</f>
        <v>5.4819277108433741E-2</v>
      </c>
      <c r="AA78" s="12">
        <f>AVERAGE((grand[[#This Row],[am]]/25),(grand[[#This Row],[pm]]/50))</f>
        <v>0.97700000000000009</v>
      </c>
      <c r="AB78" s="3">
        <f>grand[[#This Row],[ carcass weight]]/grand[[#This Row],[total weight]]</f>
        <v>0.60184939759036149</v>
      </c>
      <c r="AC78" s="3">
        <f>SUM(grand[[#This Row],[am]:[meat transportation]])/100</f>
        <v>0.90700000000000003</v>
      </c>
      <c r="AD78" s="2"/>
      <c r="AE78" s="2"/>
      <c r="AF78" s="2"/>
      <c r="AG78" s="2"/>
      <c r="AH78" s="2"/>
      <c r="AI78" s="2"/>
      <c r="AJ78" s="2"/>
    </row>
    <row r="79" spans="1:36" hidden="1" x14ac:dyDescent="0.2">
      <c r="A79" s="11">
        <v>43573</v>
      </c>
      <c r="B79" s="53" t="s">
        <v>1290</v>
      </c>
      <c r="C79" s="52" t="str">
        <f>IF(MID(B79,4,2)="09","Ramadan",IF(AND(MID(B79,4,2)="12",VALUE(LEFT(B79,2))&lt;=9),"Adha Season","Normal"))</f>
        <v>Normal</v>
      </c>
      <c r="D79" s="1" t="s">
        <v>45</v>
      </c>
      <c r="F79" s="4" t="s">
        <v>39</v>
      </c>
      <c r="G79" s="2">
        <v>18</v>
      </c>
      <c r="H79" s="2">
        <v>18</v>
      </c>
      <c r="I79" s="2">
        <f>grand[[#This Row],[number]]-grand[[#This Row],[received]]</f>
        <v>0</v>
      </c>
      <c r="J79" s="30"/>
      <c r="K79" s="2">
        <v>7610</v>
      </c>
      <c r="L79" s="2">
        <v>7335</v>
      </c>
      <c r="M79" s="2">
        <f>K79-L79</f>
        <v>275</v>
      </c>
      <c r="N79" s="2">
        <v>4699.8999999999996</v>
      </c>
      <c r="O79" s="2">
        <v>150</v>
      </c>
      <c r="P79" s="7">
        <f>grand[[#This Row],[total weight]]/grand[[#This Row],[received]]</f>
        <v>422.77777777777777</v>
      </c>
      <c r="Q79" s="7">
        <f>grand[[#This Row],[receiving weight]]/grand[[#This Row],[received]]</f>
        <v>407.5</v>
      </c>
      <c r="R79" s="7">
        <f>grand[[#This Row],[transportation loss ]]/grand[[#This Row],[received]]</f>
        <v>15.277777777777779</v>
      </c>
      <c r="S79" s="7">
        <f>grand[[#This Row],[ carcass weight]]/grand[[#This Row],[received]]</f>
        <v>261.10555555555555</v>
      </c>
      <c r="T79" s="7">
        <f>grand[[#This Row],[ kidneys fat quantity]]/grand[[#This Row],[received]]</f>
        <v>8.3333333333333339</v>
      </c>
      <c r="U79" s="2">
        <v>25</v>
      </c>
      <c r="V79" s="2"/>
      <c r="W79" s="2">
        <v>49.8</v>
      </c>
      <c r="X79" s="2">
        <v>9</v>
      </c>
      <c r="Y79" s="8">
        <v>8.5</v>
      </c>
      <c r="Z79" s="3">
        <f>grand[[#This Row],[av. Transportation loss]]/grand[[#This Row],[av.total weight]]</f>
        <v>3.6136662286465178E-2</v>
      </c>
      <c r="AA79" s="12">
        <f>AVERAGE((grand[[#This Row],[am]]/25),(grand[[#This Row],[pm]]/50))</f>
        <v>0.998</v>
      </c>
      <c r="AB79" s="3">
        <f>grand[[#This Row],[ carcass weight]]/grand[[#This Row],[total weight]]</f>
        <v>0.61759526938239151</v>
      </c>
      <c r="AC79" s="3">
        <f>SUM(grand[[#This Row],[am]:[meat transportation]])/100</f>
        <v>0.92299999999999993</v>
      </c>
      <c r="AD79" s="2"/>
      <c r="AE79" s="2"/>
      <c r="AF79" s="2"/>
      <c r="AG79" s="2"/>
      <c r="AH79" s="2"/>
      <c r="AI79" s="2"/>
      <c r="AJ79" s="2"/>
    </row>
    <row r="80" spans="1:36" hidden="1" x14ac:dyDescent="0.2">
      <c r="A80" s="11">
        <v>43578</v>
      </c>
      <c r="B80" s="53" t="s">
        <v>1292</v>
      </c>
      <c r="C80" s="52" t="str">
        <f>IF(MID(B80,4,2)="09","Ramadan",IF(AND(MID(B80,4,2)="12",VALUE(LEFT(B80,2))&lt;=9),"Adha Season","Normal"))</f>
        <v>Normal</v>
      </c>
      <c r="D80" s="1" t="s">
        <v>45</v>
      </c>
      <c r="F80" s="4" t="s">
        <v>39</v>
      </c>
      <c r="G80" s="2">
        <v>18</v>
      </c>
      <c r="H80" s="2">
        <v>18</v>
      </c>
      <c r="I80" s="2">
        <f>grand[[#This Row],[number]]-grand[[#This Row],[received]]</f>
        <v>0</v>
      </c>
      <c r="J80" s="30"/>
      <c r="K80" s="2">
        <v>7491</v>
      </c>
      <c r="L80" s="2">
        <v>7100</v>
      </c>
      <c r="M80" s="2">
        <f>K80-L80</f>
        <v>391</v>
      </c>
      <c r="N80" s="2">
        <v>4567.2</v>
      </c>
      <c r="O80" s="2">
        <v>157</v>
      </c>
      <c r="P80" s="7">
        <f>grand[[#This Row],[total weight]]/grand[[#This Row],[received]]</f>
        <v>416.16666666666669</v>
      </c>
      <c r="Q80" s="7">
        <f>grand[[#This Row],[receiving weight]]/grand[[#This Row],[received]]</f>
        <v>394.44444444444446</v>
      </c>
      <c r="R80" s="7">
        <f>grand[[#This Row],[transportation loss ]]/grand[[#This Row],[received]]</f>
        <v>21.722222222222221</v>
      </c>
      <c r="S80" s="7">
        <f>grand[[#This Row],[ carcass weight]]/grand[[#This Row],[received]]</f>
        <v>253.73333333333332</v>
      </c>
      <c r="T80" s="7">
        <f>grand[[#This Row],[ kidneys fat quantity]]/grand[[#This Row],[received]]</f>
        <v>8.7222222222222214</v>
      </c>
      <c r="U80" s="2">
        <v>25</v>
      </c>
      <c r="V80" s="2"/>
      <c r="W80" s="2">
        <v>49.6</v>
      </c>
      <c r="X80" s="2">
        <v>9</v>
      </c>
      <c r="Y80" s="8">
        <v>8.5</v>
      </c>
      <c r="Z80" s="3">
        <f>grand[[#This Row],[av. Transportation loss]]/grand[[#This Row],[av.total weight]]</f>
        <v>5.2195968495527961E-2</v>
      </c>
      <c r="AA80" s="12">
        <f>AVERAGE((grand[[#This Row],[am]]/25),(grand[[#This Row],[pm]]/50))</f>
        <v>0.996</v>
      </c>
      <c r="AB80" s="3">
        <f>grand[[#This Row],[ carcass weight]]/grand[[#This Row],[total weight]]</f>
        <v>0.60969162995594717</v>
      </c>
      <c r="AC80" s="3">
        <f>SUM(grand[[#This Row],[am]:[meat transportation]])/100</f>
        <v>0.92099999999999993</v>
      </c>
      <c r="AD80" s="2"/>
      <c r="AE80" s="2"/>
      <c r="AF80" s="2"/>
      <c r="AG80" s="2"/>
      <c r="AH80" s="2"/>
      <c r="AI80" s="2"/>
      <c r="AJ80" s="2"/>
    </row>
    <row r="81" spans="1:36" hidden="1" x14ac:dyDescent="0.2">
      <c r="A81" s="11">
        <v>43580</v>
      </c>
      <c r="B81" s="53" t="s">
        <v>1293</v>
      </c>
      <c r="C81" s="52" t="str">
        <f>IF(MID(B81,4,2)="09","Ramadan",IF(AND(MID(B81,4,2)="12",VALUE(LEFT(B81,2))&lt;=9),"Adha Season","Normal"))</f>
        <v>Normal</v>
      </c>
      <c r="D81" s="1" t="s">
        <v>45</v>
      </c>
      <c r="F81" s="4" t="s">
        <v>40</v>
      </c>
      <c r="G81" s="2">
        <v>20</v>
      </c>
      <c r="H81" s="2">
        <v>20</v>
      </c>
      <c r="I81" s="2">
        <f>grand[[#This Row],[number]]-grand[[#This Row],[received]]</f>
        <v>0</v>
      </c>
      <c r="J81" s="30"/>
      <c r="K81" s="2">
        <v>9060</v>
      </c>
      <c r="L81" s="2">
        <v>8700</v>
      </c>
      <c r="M81" s="2">
        <f>K81-L81</f>
        <v>360</v>
      </c>
      <c r="N81" s="2">
        <v>5434.2</v>
      </c>
      <c r="O81" s="2">
        <v>125</v>
      </c>
      <c r="P81" s="7">
        <f>grand[[#This Row],[total weight]]/grand[[#This Row],[received]]</f>
        <v>453</v>
      </c>
      <c r="Q81" s="7">
        <f>grand[[#This Row],[receiving weight]]/grand[[#This Row],[received]]</f>
        <v>435</v>
      </c>
      <c r="R81" s="7">
        <f>grand[[#This Row],[transportation loss ]]/grand[[#This Row],[received]]</f>
        <v>18</v>
      </c>
      <c r="S81" s="7">
        <f>grand[[#This Row],[ carcass weight]]/grand[[#This Row],[received]]</f>
        <v>271.70999999999998</v>
      </c>
      <c r="T81" s="7">
        <f>grand[[#This Row],[ kidneys fat quantity]]/grand[[#This Row],[received]]</f>
        <v>6.25</v>
      </c>
      <c r="U81" s="2">
        <v>25</v>
      </c>
      <c r="V81" s="2"/>
      <c r="W81" s="2">
        <v>49.8</v>
      </c>
      <c r="X81" s="2">
        <v>10</v>
      </c>
      <c r="Y81" s="8">
        <v>8.5</v>
      </c>
      <c r="Z81" s="3">
        <f>grand[[#This Row],[av. Transportation loss]]/grand[[#This Row],[av.total weight]]</f>
        <v>3.9735099337748346E-2</v>
      </c>
      <c r="AA81" s="12">
        <f>AVERAGE((grand[[#This Row],[am]]/25),(grand[[#This Row],[pm]]/50))</f>
        <v>0.998</v>
      </c>
      <c r="AB81" s="3">
        <f>grand[[#This Row],[ carcass weight]]/grand[[#This Row],[total weight]]</f>
        <v>0.59980132450331125</v>
      </c>
      <c r="AC81" s="3">
        <f>SUM(grand[[#This Row],[am]:[meat transportation]])/100</f>
        <v>0.93299999999999994</v>
      </c>
      <c r="AD81" s="2"/>
      <c r="AE81" s="2"/>
      <c r="AF81" s="2"/>
      <c r="AG81" s="2"/>
      <c r="AH81" s="2"/>
      <c r="AI81" s="2"/>
      <c r="AJ81" s="2"/>
    </row>
    <row r="82" spans="1:36" hidden="1" x14ac:dyDescent="0.2">
      <c r="A82" s="11">
        <v>43583</v>
      </c>
      <c r="B82" s="53" t="s">
        <v>1294</v>
      </c>
      <c r="C82" s="52" t="str">
        <f>IF(MID(B82,4,2)="09","Ramadan",IF(AND(MID(B82,4,2)="12",VALUE(LEFT(B82,2))&lt;=9),"Adha Season","Normal"))</f>
        <v>Normal</v>
      </c>
      <c r="D82" s="1" t="s">
        <v>45</v>
      </c>
      <c r="F82" s="4" t="s">
        <v>46</v>
      </c>
      <c r="G82" s="2">
        <v>20</v>
      </c>
      <c r="H82" s="2">
        <v>20</v>
      </c>
      <c r="I82" s="2">
        <f>grand[[#This Row],[number]]-grand[[#This Row],[received]]</f>
        <v>0</v>
      </c>
      <c r="J82" s="30"/>
      <c r="K82" s="2">
        <v>9250</v>
      </c>
      <c r="L82" s="2">
        <v>9015</v>
      </c>
      <c r="M82" s="2">
        <f>K82-L82</f>
        <v>235</v>
      </c>
      <c r="N82" s="2">
        <v>5550.1</v>
      </c>
      <c r="O82" s="2">
        <v>126</v>
      </c>
      <c r="P82" s="7">
        <f>grand[[#This Row],[total weight]]/grand[[#This Row],[received]]</f>
        <v>462.5</v>
      </c>
      <c r="Q82" s="7">
        <f>grand[[#This Row],[receiving weight]]/grand[[#This Row],[received]]</f>
        <v>450.75</v>
      </c>
      <c r="R82" s="7">
        <f>grand[[#This Row],[transportation loss ]]/grand[[#This Row],[received]]</f>
        <v>11.75</v>
      </c>
      <c r="S82" s="7">
        <f>grand[[#This Row],[ carcass weight]]/grand[[#This Row],[received]]</f>
        <v>277.505</v>
      </c>
      <c r="T82" s="7">
        <f>grand[[#This Row],[ kidneys fat quantity]]/grand[[#This Row],[received]]</f>
        <v>6.3</v>
      </c>
      <c r="U82" s="2">
        <v>25</v>
      </c>
      <c r="V82" s="2"/>
      <c r="W82" s="2">
        <v>49.6</v>
      </c>
      <c r="X82" s="2">
        <v>10</v>
      </c>
      <c r="Y82" s="8">
        <v>8.5</v>
      </c>
      <c r="Z82" s="3">
        <f>grand[[#This Row],[av. Transportation loss]]/grand[[#This Row],[av.total weight]]</f>
        <v>2.5405405405405406E-2</v>
      </c>
      <c r="AA82" s="12">
        <f>AVERAGE((grand[[#This Row],[am]]/25),(grand[[#This Row],[pm]]/50))</f>
        <v>0.996</v>
      </c>
      <c r="AB82" s="3">
        <f>grand[[#This Row],[ carcass weight]]/grand[[#This Row],[total weight]]</f>
        <v>0.60001081081081087</v>
      </c>
      <c r="AC82" s="3">
        <f>SUM(grand[[#This Row],[am]:[meat transportation]])/100</f>
        <v>0.93099999999999994</v>
      </c>
      <c r="AD82" s="2"/>
      <c r="AE82" s="2"/>
      <c r="AF82" s="2"/>
      <c r="AG82" s="2"/>
      <c r="AH82" s="2"/>
      <c r="AI82" s="2"/>
      <c r="AJ82" s="2"/>
    </row>
    <row r="83" spans="1:36" hidden="1" x14ac:dyDescent="0.2">
      <c r="A83" s="11">
        <v>43585</v>
      </c>
      <c r="B83" s="53" t="s">
        <v>1295</v>
      </c>
      <c r="C83" s="52" t="str">
        <f>IF(MID(B83,4,2)="09","Ramadan",IF(AND(MID(B83,4,2)="12",VALUE(LEFT(B83,2))&lt;=9),"Adha Season","Normal"))</f>
        <v>Normal</v>
      </c>
      <c r="D83" s="1" t="s">
        <v>45</v>
      </c>
      <c r="F83" s="4" t="s">
        <v>39</v>
      </c>
      <c r="G83" s="2">
        <v>21</v>
      </c>
      <c r="H83" s="2">
        <v>21</v>
      </c>
      <c r="I83" s="2">
        <f>grand[[#This Row],[number]]-grand[[#This Row],[received]]</f>
        <v>0</v>
      </c>
      <c r="J83" s="30"/>
      <c r="K83" s="2">
        <v>8727</v>
      </c>
      <c r="L83" s="2">
        <v>8235</v>
      </c>
      <c r="M83" s="2">
        <f>K83-L83</f>
        <v>492</v>
      </c>
      <c r="N83" s="2">
        <v>5313.85</v>
      </c>
      <c r="O83" s="2">
        <v>162</v>
      </c>
      <c r="P83" s="7">
        <f>grand[[#This Row],[total weight]]/grand[[#This Row],[received]]</f>
        <v>415.57142857142856</v>
      </c>
      <c r="Q83" s="7">
        <f>grand[[#This Row],[receiving weight]]/grand[[#This Row],[received]]</f>
        <v>392.14285714285717</v>
      </c>
      <c r="R83" s="7">
        <f>grand[[#This Row],[transportation loss ]]/grand[[#This Row],[received]]</f>
        <v>23.428571428571427</v>
      </c>
      <c r="S83" s="7">
        <f>grand[[#This Row],[ carcass weight]]/grand[[#This Row],[received]]</f>
        <v>253.0404761904762</v>
      </c>
      <c r="T83" s="7">
        <f>grand[[#This Row],[ kidneys fat quantity]]/grand[[#This Row],[received]]</f>
        <v>7.7142857142857144</v>
      </c>
      <c r="U83" s="2">
        <v>25</v>
      </c>
      <c r="V83" s="2"/>
      <c r="W83" s="2">
        <v>49.3</v>
      </c>
      <c r="X83" s="2">
        <v>9</v>
      </c>
      <c r="Y83" s="8">
        <v>8.5</v>
      </c>
      <c r="Z83" s="3">
        <f>grand[[#This Row],[av. Transportation loss]]/grand[[#This Row],[av.total weight]]</f>
        <v>5.6376761773805427E-2</v>
      </c>
      <c r="AA83" s="12">
        <f>AVERAGE((grand[[#This Row],[am]]/25),(grand[[#This Row],[pm]]/50))</f>
        <v>0.99299999999999999</v>
      </c>
      <c r="AB83" s="3">
        <f>grand[[#This Row],[ carcass weight]]/grand[[#This Row],[total weight]]</f>
        <v>0.60889767388564231</v>
      </c>
      <c r="AC83" s="3">
        <f>SUM(grand[[#This Row],[am]:[meat transportation]])/100</f>
        <v>0.91799999999999993</v>
      </c>
      <c r="AD83" s="2"/>
      <c r="AE83" s="2"/>
      <c r="AF83" s="2"/>
      <c r="AG83" s="2"/>
      <c r="AH83" s="2"/>
      <c r="AI83" s="2"/>
      <c r="AJ83" s="2"/>
    </row>
    <row r="84" spans="1:36" hidden="1" x14ac:dyDescent="0.2">
      <c r="A84" s="11">
        <v>43587</v>
      </c>
      <c r="B84" s="53" t="s">
        <v>1296</v>
      </c>
      <c r="C84" s="52" t="str">
        <f>IF(MID(B84,4,2)="09","Ramadan",IF(AND(MID(B84,4,2)="12",VALUE(LEFT(B84,2))&lt;=9),"Adha Season","Normal"))</f>
        <v>Normal</v>
      </c>
      <c r="D84" s="1" t="s">
        <v>45</v>
      </c>
      <c r="F84" s="4" t="s">
        <v>46</v>
      </c>
      <c r="G84" s="2">
        <v>22</v>
      </c>
      <c r="H84" s="2">
        <v>22</v>
      </c>
      <c r="I84" s="2">
        <f>grand[[#This Row],[number]]-grand[[#This Row],[received]]</f>
        <v>0</v>
      </c>
      <c r="J84" s="30"/>
      <c r="K84" s="2">
        <v>10850</v>
      </c>
      <c r="L84" s="2">
        <v>10285</v>
      </c>
      <c r="M84" s="2">
        <f>K84-L84</f>
        <v>565</v>
      </c>
      <c r="N84" s="2">
        <v>6517.4</v>
      </c>
      <c r="O84" s="2">
        <v>190</v>
      </c>
      <c r="P84" s="7">
        <f>grand[[#This Row],[total weight]]/grand[[#This Row],[received]]</f>
        <v>493.18181818181819</v>
      </c>
      <c r="Q84" s="7">
        <f>grand[[#This Row],[receiving weight]]/grand[[#This Row],[received]]</f>
        <v>467.5</v>
      </c>
      <c r="R84" s="7">
        <f>grand[[#This Row],[transportation loss ]]/grand[[#This Row],[received]]</f>
        <v>25.681818181818183</v>
      </c>
      <c r="S84" s="7">
        <f>grand[[#This Row],[ carcass weight]]/grand[[#This Row],[received]]</f>
        <v>296.24545454545455</v>
      </c>
      <c r="T84" s="7">
        <f>grand[[#This Row],[ kidneys fat quantity]]/grand[[#This Row],[received]]</f>
        <v>8.6363636363636367</v>
      </c>
      <c r="U84" s="2">
        <v>20</v>
      </c>
      <c r="V84" s="2"/>
      <c r="W84" s="2">
        <v>43.5</v>
      </c>
      <c r="X84" s="2">
        <v>9.6999999999999993</v>
      </c>
      <c r="Y84" s="8">
        <v>8.5</v>
      </c>
      <c r="Z84" s="3">
        <f>grand[[#This Row],[av. Transportation loss]]/grand[[#This Row],[av.total weight]]</f>
        <v>5.2073732718894011E-2</v>
      </c>
      <c r="AA84" s="12">
        <f>AVERAGE((grand[[#This Row],[am]]/25),(grand[[#This Row],[pm]]/50))</f>
        <v>0.83499999999999996</v>
      </c>
      <c r="AB84" s="3">
        <f>grand[[#This Row],[ carcass weight]]/grand[[#This Row],[total weight]]</f>
        <v>0.60068202764976952</v>
      </c>
      <c r="AC84" s="3">
        <f>SUM(grand[[#This Row],[am]:[meat transportation]])/100</f>
        <v>0.81700000000000006</v>
      </c>
      <c r="AD84" s="2"/>
      <c r="AE84" s="2"/>
      <c r="AF84" s="2"/>
      <c r="AG84" s="2"/>
      <c r="AH84" s="2"/>
      <c r="AI84" s="2"/>
      <c r="AJ84" s="2"/>
    </row>
    <row r="85" spans="1:36" hidden="1" x14ac:dyDescent="0.2">
      <c r="A85" s="11">
        <v>43590</v>
      </c>
      <c r="B85" s="53" t="s">
        <v>1297</v>
      </c>
      <c r="C85" s="52" t="str">
        <f>IF(MID(B85,4,2)="09","Ramadan",IF(AND(MID(B85,4,2)="12",VALUE(LEFT(B85,2))&lt;=9),"Adha Season","Normal"))</f>
        <v>Normal</v>
      </c>
      <c r="D85" s="1" t="s">
        <v>45</v>
      </c>
      <c r="F85" s="4" t="s">
        <v>39</v>
      </c>
      <c r="G85" s="2">
        <v>25</v>
      </c>
      <c r="H85" s="2">
        <v>25</v>
      </c>
      <c r="I85" s="2">
        <f>grand[[#This Row],[number]]-grand[[#This Row],[received]]</f>
        <v>0</v>
      </c>
      <c r="J85" s="30"/>
      <c r="K85" s="2">
        <v>10374</v>
      </c>
      <c r="L85" s="2">
        <v>9695</v>
      </c>
      <c r="M85" s="2">
        <f>K85-L85</f>
        <v>679</v>
      </c>
      <c r="N85" s="2">
        <v>6278.6</v>
      </c>
      <c r="O85" s="2">
        <v>166</v>
      </c>
      <c r="P85" s="7">
        <f>grand[[#This Row],[total weight]]/grand[[#This Row],[received]]</f>
        <v>414.96</v>
      </c>
      <c r="Q85" s="7">
        <f>grand[[#This Row],[receiving weight]]/grand[[#This Row],[received]]</f>
        <v>387.8</v>
      </c>
      <c r="R85" s="7">
        <f>grand[[#This Row],[transportation loss ]]/grand[[#This Row],[received]]</f>
        <v>27.16</v>
      </c>
      <c r="S85" s="7">
        <f>grand[[#This Row],[ carcass weight]]/grand[[#This Row],[received]]</f>
        <v>251.14400000000001</v>
      </c>
      <c r="T85" s="7">
        <f>grand[[#This Row],[ kidneys fat quantity]]/grand[[#This Row],[received]]</f>
        <v>6.64</v>
      </c>
      <c r="U85" s="2">
        <v>25</v>
      </c>
      <c r="V85" s="2"/>
      <c r="W85" s="2">
        <v>50</v>
      </c>
      <c r="X85" s="2">
        <v>9</v>
      </c>
      <c r="Y85" s="8">
        <v>8.5</v>
      </c>
      <c r="Z85" s="3">
        <f>grand[[#This Row],[av. Transportation loss]]/grand[[#This Row],[av.total weight]]</f>
        <v>6.5452091767881249E-2</v>
      </c>
      <c r="AA85" s="12">
        <f>AVERAGE((grand[[#This Row],[am]]/25),(grand[[#This Row],[pm]]/50))</f>
        <v>1</v>
      </c>
      <c r="AB85" s="3">
        <f>grand[[#This Row],[ carcass weight]]/grand[[#This Row],[total weight]]</f>
        <v>0.60522459996144207</v>
      </c>
      <c r="AC85" s="3">
        <f>SUM(grand[[#This Row],[am]:[meat transportation]])/100</f>
        <v>0.92500000000000004</v>
      </c>
      <c r="AD85" s="2"/>
      <c r="AE85" s="2"/>
      <c r="AF85" s="2"/>
      <c r="AG85" s="2"/>
      <c r="AH85" s="2"/>
      <c r="AI85" s="2"/>
      <c r="AJ85" s="2"/>
    </row>
    <row r="86" spans="1:36" hidden="1" x14ac:dyDescent="0.2">
      <c r="A86" s="11">
        <v>43591</v>
      </c>
      <c r="B86" s="53" t="s">
        <v>1298</v>
      </c>
      <c r="C86" s="52" t="str">
        <f>IF(MID(B86,4,2)="09","Ramadan",IF(AND(MID(B86,4,2)="12",VALUE(LEFT(B86,2))&lt;=9),"Adha Season","Normal"))</f>
        <v>Ramadan</v>
      </c>
      <c r="D86" s="1" t="s">
        <v>45</v>
      </c>
      <c r="F86" s="4" t="s">
        <v>46</v>
      </c>
      <c r="G86" s="2">
        <v>20</v>
      </c>
      <c r="H86" s="2">
        <v>20</v>
      </c>
      <c r="I86" s="2">
        <f>grand[[#This Row],[number]]-grand[[#This Row],[received]]</f>
        <v>0</v>
      </c>
      <c r="J86" s="30"/>
      <c r="K86" s="2">
        <v>9520</v>
      </c>
      <c r="L86" s="2">
        <v>8935</v>
      </c>
      <c r="M86" s="2">
        <f>K86-L86</f>
        <v>585</v>
      </c>
      <c r="N86" s="2">
        <v>5755.9</v>
      </c>
      <c r="O86" s="2">
        <v>135</v>
      </c>
      <c r="P86" s="7">
        <f>grand[[#This Row],[total weight]]/grand[[#This Row],[received]]</f>
        <v>476</v>
      </c>
      <c r="Q86" s="7">
        <f>grand[[#This Row],[receiving weight]]/grand[[#This Row],[received]]</f>
        <v>446.75</v>
      </c>
      <c r="R86" s="7">
        <f>grand[[#This Row],[transportation loss ]]/grand[[#This Row],[received]]</f>
        <v>29.25</v>
      </c>
      <c r="S86" s="7">
        <f>grand[[#This Row],[ carcass weight]]/grand[[#This Row],[received]]</f>
        <v>287.79499999999996</v>
      </c>
      <c r="T86" s="7">
        <f>grand[[#This Row],[ kidneys fat quantity]]/grand[[#This Row],[received]]</f>
        <v>6.75</v>
      </c>
      <c r="U86" s="2">
        <v>25</v>
      </c>
      <c r="V86" s="2"/>
      <c r="W86" s="2">
        <v>49.9</v>
      </c>
      <c r="X86" s="2">
        <v>9</v>
      </c>
      <c r="Y86" s="8">
        <v>8.5</v>
      </c>
      <c r="Z86" s="3">
        <f>grand[[#This Row],[av. Transportation loss]]/grand[[#This Row],[av.total weight]]</f>
        <v>6.144957983193277E-2</v>
      </c>
      <c r="AA86" s="12">
        <f>AVERAGE((grand[[#This Row],[am]]/25),(grand[[#This Row],[pm]]/50))</f>
        <v>0.999</v>
      </c>
      <c r="AB86" s="3">
        <f>grand[[#This Row],[ carcass weight]]/grand[[#This Row],[total weight]]</f>
        <v>0.60461134453781507</v>
      </c>
      <c r="AC86" s="3">
        <f>SUM(grand[[#This Row],[am]:[meat transportation]])/100</f>
        <v>0.92400000000000004</v>
      </c>
      <c r="AD86" s="2"/>
      <c r="AE86" s="2"/>
      <c r="AF86" s="2"/>
      <c r="AG86" s="2"/>
      <c r="AH86" s="2"/>
      <c r="AI86" s="2"/>
      <c r="AJ86" s="2"/>
    </row>
    <row r="87" spans="1:36" hidden="1" x14ac:dyDescent="0.2">
      <c r="A87" s="11">
        <v>43597</v>
      </c>
      <c r="B87" s="53" t="s">
        <v>1300</v>
      </c>
      <c r="C87" s="52" t="str">
        <f>IF(MID(B87,4,2)="09","Ramadan",IF(AND(MID(B87,4,2)="12",VALUE(LEFT(B87,2))&lt;=9),"Adha Season","Normal"))</f>
        <v>Ramadan</v>
      </c>
      <c r="D87" s="1" t="s">
        <v>45</v>
      </c>
      <c r="F87" s="4" t="s">
        <v>39</v>
      </c>
      <c r="G87" s="2">
        <v>16</v>
      </c>
      <c r="H87" s="2">
        <v>16</v>
      </c>
      <c r="I87" s="2">
        <f>grand[[#This Row],[number]]-grand[[#This Row],[received]]</f>
        <v>0</v>
      </c>
      <c r="J87" s="30"/>
      <c r="K87" s="2">
        <v>6652</v>
      </c>
      <c r="L87" s="2">
        <v>6270</v>
      </c>
      <c r="M87" s="2">
        <f>K87-L87</f>
        <v>382</v>
      </c>
      <c r="N87" s="2">
        <v>4081.75</v>
      </c>
      <c r="O87" s="2">
        <v>109</v>
      </c>
      <c r="P87" s="7">
        <f>grand[[#This Row],[total weight]]/grand[[#This Row],[received]]</f>
        <v>415.75</v>
      </c>
      <c r="Q87" s="7">
        <f>grand[[#This Row],[receiving weight]]/grand[[#This Row],[received]]</f>
        <v>391.875</v>
      </c>
      <c r="R87" s="7">
        <f>grand[[#This Row],[transportation loss ]]/grand[[#This Row],[received]]</f>
        <v>23.875</v>
      </c>
      <c r="S87" s="7">
        <f>grand[[#This Row],[ carcass weight]]/grand[[#This Row],[received]]</f>
        <v>255.109375</v>
      </c>
      <c r="T87" s="7">
        <f>grand[[#This Row],[ kidneys fat quantity]]/grand[[#This Row],[received]]</f>
        <v>6.8125</v>
      </c>
      <c r="U87" s="2">
        <v>25</v>
      </c>
      <c r="V87" s="2"/>
      <c r="W87" s="2">
        <v>49.8</v>
      </c>
      <c r="X87" s="2">
        <v>10</v>
      </c>
      <c r="Y87" s="8">
        <v>8.5</v>
      </c>
      <c r="Z87" s="3">
        <f>grand[[#This Row],[av. Transportation loss]]/grand[[#This Row],[av.total weight]]</f>
        <v>5.7426337943475646E-2</v>
      </c>
      <c r="AA87" s="12">
        <f>AVERAGE((grand[[#This Row],[am]]/25),(grand[[#This Row],[pm]]/50))</f>
        <v>0.998</v>
      </c>
      <c r="AB87" s="3">
        <f>grand[[#This Row],[ carcass weight]]/grand[[#This Row],[total weight]]</f>
        <v>0.61361244738424536</v>
      </c>
      <c r="AC87" s="3">
        <f>SUM(grand[[#This Row],[am]:[meat transportation]])/100</f>
        <v>0.93299999999999994</v>
      </c>
      <c r="AD87" s="2"/>
      <c r="AE87" s="2"/>
      <c r="AF87" s="2"/>
      <c r="AG87" s="2"/>
      <c r="AH87" s="2"/>
      <c r="AI87" s="2"/>
      <c r="AJ87" s="2"/>
    </row>
    <row r="88" spans="1:36" hidden="1" x14ac:dyDescent="0.2">
      <c r="A88" s="11">
        <v>43599</v>
      </c>
      <c r="B88" s="53" t="s">
        <v>1301</v>
      </c>
      <c r="C88" s="52" t="str">
        <f>IF(MID(B88,4,2)="09","Ramadan",IF(AND(MID(B88,4,2)="12",VALUE(LEFT(B88,2))&lt;=9),"Adha Season","Normal"))</f>
        <v>Ramadan</v>
      </c>
      <c r="D88" s="1" t="s">
        <v>45</v>
      </c>
      <c r="F88" s="4" t="s">
        <v>46</v>
      </c>
      <c r="G88" s="2">
        <v>18</v>
      </c>
      <c r="H88" s="2">
        <v>18</v>
      </c>
      <c r="I88" s="2">
        <f>grand[[#This Row],[number]]-grand[[#This Row],[received]]</f>
        <v>0</v>
      </c>
      <c r="J88" s="30"/>
      <c r="K88" s="2">
        <v>8393</v>
      </c>
      <c r="L88" s="2">
        <v>7875</v>
      </c>
      <c r="M88" s="2">
        <f>K88-L88</f>
        <v>518</v>
      </c>
      <c r="N88" s="2">
        <v>5036.2</v>
      </c>
      <c r="O88" s="2">
        <v>149.5</v>
      </c>
      <c r="P88" s="7">
        <f>grand[[#This Row],[total weight]]/grand[[#This Row],[received]]</f>
        <v>466.27777777777777</v>
      </c>
      <c r="Q88" s="7">
        <f>grand[[#This Row],[receiving weight]]/grand[[#This Row],[received]]</f>
        <v>437.5</v>
      </c>
      <c r="R88" s="7">
        <f>grand[[#This Row],[transportation loss ]]/grand[[#This Row],[received]]</f>
        <v>28.777777777777779</v>
      </c>
      <c r="S88" s="7">
        <f>grand[[#This Row],[ carcass weight]]/grand[[#This Row],[received]]</f>
        <v>279.78888888888889</v>
      </c>
      <c r="T88" s="7">
        <f>grand[[#This Row],[ kidneys fat quantity]]/grand[[#This Row],[received]]</f>
        <v>8.3055555555555554</v>
      </c>
      <c r="U88" s="2">
        <v>25</v>
      </c>
      <c r="V88" s="2"/>
      <c r="W88" s="2">
        <v>49.8</v>
      </c>
      <c r="X88" s="2">
        <v>10</v>
      </c>
      <c r="Y88" s="8">
        <v>8.5</v>
      </c>
      <c r="Z88" s="3">
        <f>grand[[#This Row],[av. Transportation loss]]/grand[[#This Row],[av.total weight]]</f>
        <v>6.1718098415346125E-2</v>
      </c>
      <c r="AA88" s="12">
        <f>AVERAGE((grand[[#This Row],[am]]/25),(grand[[#This Row],[pm]]/50))</f>
        <v>0.998</v>
      </c>
      <c r="AB88" s="3">
        <f>grand[[#This Row],[ carcass weight]]/grand[[#This Row],[total weight]]</f>
        <v>0.60004765876325505</v>
      </c>
      <c r="AC88" s="3">
        <f>SUM(grand[[#This Row],[am]:[meat transportation]])/100</f>
        <v>0.93299999999999994</v>
      </c>
      <c r="AD88" s="2"/>
      <c r="AE88" s="2"/>
      <c r="AF88" s="2"/>
      <c r="AG88" s="2"/>
      <c r="AH88" s="2"/>
      <c r="AI88" s="2"/>
      <c r="AJ88" s="2"/>
    </row>
    <row r="89" spans="1:36" hidden="1" x14ac:dyDescent="0.2">
      <c r="A89" s="11">
        <v>43601</v>
      </c>
      <c r="B89" s="53" t="s">
        <v>1302</v>
      </c>
      <c r="C89" s="52" t="str">
        <f>IF(MID(B89,4,2)="09","Ramadan",IF(AND(MID(B89,4,2)="12",VALUE(LEFT(B89,2))&lt;=9),"Adha Season","Normal"))</f>
        <v>Ramadan</v>
      </c>
      <c r="D89" s="1" t="s">
        <v>45</v>
      </c>
      <c r="F89" s="4" t="s">
        <v>46</v>
      </c>
      <c r="G89" s="2">
        <v>18</v>
      </c>
      <c r="H89" s="2">
        <v>18</v>
      </c>
      <c r="I89" s="2">
        <f>grand[[#This Row],[number]]-grand[[#This Row],[received]]</f>
        <v>0</v>
      </c>
      <c r="J89" s="30"/>
      <c r="K89" s="2">
        <v>9125</v>
      </c>
      <c r="L89" s="2">
        <v>8600</v>
      </c>
      <c r="M89" s="2">
        <f>K89-L89</f>
        <v>525</v>
      </c>
      <c r="N89" s="2">
        <v>5473.65</v>
      </c>
      <c r="O89" s="2">
        <v>204</v>
      </c>
      <c r="P89" s="7">
        <f>grand[[#This Row],[total weight]]/grand[[#This Row],[received]]</f>
        <v>506.94444444444446</v>
      </c>
      <c r="Q89" s="7">
        <f>grand[[#This Row],[receiving weight]]/grand[[#This Row],[received]]</f>
        <v>477.77777777777777</v>
      </c>
      <c r="R89" s="7">
        <f>grand[[#This Row],[transportation loss ]]/grand[[#This Row],[received]]</f>
        <v>29.166666666666668</v>
      </c>
      <c r="S89" s="7">
        <f>grand[[#This Row],[ carcass weight]]/grand[[#This Row],[received]]</f>
        <v>304.09166666666664</v>
      </c>
      <c r="T89" s="7">
        <f>grand[[#This Row],[ kidneys fat quantity]]/grand[[#This Row],[received]]</f>
        <v>11.333333333333334</v>
      </c>
      <c r="U89" s="2">
        <v>24</v>
      </c>
      <c r="V89" s="2"/>
      <c r="W89" s="2">
        <v>49.3</v>
      </c>
      <c r="X89" s="2">
        <v>10</v>
      </c>
      <c r="Y89" s="8">
        <v>8.5</v>
      </c>
      <c r="Z89" s="3">
        <f>grand[[#This Row],[av. Transportation loss]]/grand[[#This Row],[av.total weight]]</f>
        <v>5.7534246575342465E-2</v>
      </c>
      <c r="AA89" s="12">
        <f>AVERAGE((grand[[#This Row],[am]]/25),(grand[[#This Row],[pm]]/50))</f>
        <v>0.97299999999999998</v>
      </c>
      <c r="AB89" s="3">
        <f>grand[[#This Row],[ carcass weight]]/grand[[#This Row],[total weight]]</f>
        <v>0.59985205479452053</v>
      </c>
      <c r="AC89" s="3">
        <f>SUM(grand[[#This Row],[am]:[meat transportation]])/100</f>
        <v>0.91799999999999993</v>
      </c>
      <c r="AD89" s="2"/>
      <c r="AE89" s="2"/>
      <c r="AF89" s="2"/>
      <c r="AG89" s="2"/>
      <c r="AH89" s="2"/>
      <c r="AI89" s="2"/>
      <c r="AJ89" s="2"/>
    </row>
    <row r="90" spans="1:36" hidden="1" x14ac:dyDescent="0.2">
      <c r="A90" s="11">
        <v>43604</v>
      </c>
      <c r="B90" s="53" t="s">
        <v>1303</v>
      </c>
      <c r="C90" s="52" t="str">
        <f>IF(MID(B90,4,2)="09","Ramadan",IF(AND(MID(B90,4,2)="12",VALUE(LEFT(B90,2))&lt;=9),"Adha Season","Normal"))</f>
        <v>Ramadan</v>
      </c>
      <c r="D90" s="1" t="s">
        <v>45</v>
      </c>
      <c r="F90" s="4" t="s">
        <v>39</v>
      </c>
      <c r="G90" s="2">
        <v>18</v>
      </c>
      <c r="H90" s="2">
        <v>18</v>
      </c>
      <c r="I90" s="2">
        <f>grand[[#This Row],[number]]-grand[[#This Row],[received]]</f>
        <v>0</v>
      </c>
      <c r="J90" s="30"/>
      <c r="K90" s="2">
        <v>7218</v>
      </c>
      <c r="L90" s="2">
        <v>6685</v>
      </c>
      <c r="M90" s="2">
        <f>K90-L90</f>
        <v>533</v>
      </c>
      <c r="N90" s="2">
        <v>4433.6000000000004</v>
      </c>
      <c r="O90" s="2">
        <v>142</v>
      </c>
      <c r="P90" s="7">
        <f>grand[[#This Row],[total weight]]/grand[[#This Row],[received]]</f>
        <v>401</v>
      </c>
      <c r="Q90" s="7">
        <f>grand[[#This Row],[receiving weight]]/grand[[#This Row],[received]]</f>
        <v>371.38888888888891</v>
      </c>
      <c r="R90" s="7">
        <f>grand[[#This Row],[transportation loss ]]/grand[[#This Row],[received]]</f>
        <v>29.611111111111111</v>
      </c>
      <c r="S90" s="7">
        <f>grand[[#This Row],[ carcass weight]]/grand[[#This Row],[received]]</f>
        <v>246.31111111111113</v>
      </c>
      <c r="T90" s="7">
        <f>grand[[#This Row],[ kidneys fat quantity]]/grand[[#This Row],[received]]</f>
        <v>7.8888888888888893</v>
      </c>
      <c r="U90" s="2">
        <v>25</v>
      </c>
      <c r="V90" s="2"/>
      <c r="W90" s="2">
        <v>49.7</v>
      </c>
      <c r="X90" s="2">
        <v>9</v>
      </c>
      <c r="Y90" s="8">
        <v>8.5</v>
      </c>
      <c r="Z90" s="3">
        <f>grand[[#This Row],[av. Transportation loss]]/grand[[#This Row],[av.total weight]]</f>
        <v>7.3843169853144916E-2</v>
      </c>
      <c r="AA90" s="12">
        <f>AVERAGE((grand[[#This Row],[am]]/25),(grand[[#This Row],[pm]]/50))</f>
        <v>0.99700000000000011</v>
      </c>
      <c r="AB90" s="3">
        <f>grand[[#This Row],[ carcass weight]]/grand[[#This Row],[total weight]]</f>
        <v>0.61424217234691059</v>
      </c>
      <c r="AC90" s="3">
        <f>SUM(grand[[#This Row],[am]:[meat transportation]])/100</f>
        <v>0.92200000000000004</v>
      </c>
      <c r="AD90" s="2"/>
      <c r="AE90" s="2"/>
      <c r="AF90" s="2"/>
      <c r="AG90" s="2"/>
      <c r="AH90" s="2"/>
      <c r="AI90" s="2"/>
      <c r="AJ90" s="2"/>
    </row>
    <row r="91" spans="1:36" hidden="1" x14ac:dyDescent="0.2">
      <c r="A91" s="11">
        <v>43606</v>
      </c>
      <c r="B91" s="53" t="s">
        <v>1304</v>
      </c>
      <c r="C91" s="52" t="str">
        <f>IF(MID(B91,4,2)="09","Ramadan",IF(AND(MID(B91,4,2)="12",VALUE(LEFT(B91,2))&lt;=9),"Adha Season","Normal"))</f>
        <v>Ramadan</v>
      </c>
      <c r="D91" s="1" t="s">
        <v>45</v>
      </c>
      <c r="F91" s="4" t="s">
        <v>46</v>
      </c>
      <c r="G91" s="2">
        <v>18</v>
      </c>
      <c r="H91" s="2">
        <v>18</v>
      </c>
      <c r="I91" s="2">
        <f>grand[[#This Row],[number]]-grand[[#This Row],[received]]</f>
        <v>0</v>
      </c>
      <c r="J91" s="30"/>
      <c r="K91" s="2">
        <v>7887</v>
      </c>
      <c r="L91" s="2">
        <v>7405</v>
      </c>
      <c r="M91" s="2">
        <f>K91-L91</f>
        <v>482</v>
      </c>
      <c r="N91" s="2">
        <v>4747.1000000000004</v>
      </c>
      <c r="O91" s="2">
        <v>153</v>
      </c>
      <c r="P91" s="7">
        <f>grand[[#This Row],[total weight]]/grand[[#This Row],[received]]</f>
        <v>438.16666666666669</v>
      </c>
      <c r="Q91" s="7">
        <f>grand[[#This Row],[receiving weight]]/grand[[#This Row],[received]]</f>
        <v>411.38888888888891</v>
      </c>
      <c r="R91" s="7">
        <f>grand[[#This Row],[transportation loss ]]/grand[[#This Row],[received]]</f>
        <v>26.777777777777779</v>
      </c>
      <c r="S91" s="7">
        <f>grand[[#This Row],[ carcass weight]]/grand[[#This Row],[received]]</f>
        <v>263.72777777777782</v>
      </c>
      <c r="T91" s="7">
        <f>grand[[#This Row],[ kidneys fat quantity]]/grand[[#This Row],[received]]</f>
        <v>8.5</v>
      </c>
      <c r="U91" s="2">
        <v>25</v>
      </c>
      <c r="V91" s="2"/>
      <c r="W91" s="2">
        <v>49.3</v>
      </c>
      <c r="X91" s="2">
        <v>10</v>
      </c>
      <c r="Y91" s="8">
        <v>8.5</v>
      </c>
      <c r="Z91" s="3">
        <f>grand[[#This Row],[av. Transportation loss]]/grand[[#This Row],[av.total weight]]</f>
        <v>6.111322429314061E-2</v>
      </c>
      <c r="AA91" s="12">
        <f>AVERAGE((grand[[#This Row],[am]]/25),(grand[[#This Row],[pm]]/50))</f>
        <v>0.99299999999999999</v>
      </c>
      <c r="AB91" s="3">
        <f>grand[[#This Row],[ carcass weight]]/grand[[#This Row],[total weight]]</f>
        <v>0.60188918473437303</v>
      </c>
      <c r="AC91" s="3">
        <f>SUM(grand[[#This Row],[am]:[meat transportation]])/100</f>
        <v>0.92799999999999994</v>
      </c>
      <c r="AD91" s="2"/>
      <c r="AE91" s="2"/>
      <c r="AF91" s="2"/>
      <c r="AG91" s="2"/>
      <c r="AH91" s="2"/>
      <c r="AI91" s="2"/>
      <c r="AJ91" s="2"/>
    </row>
    <row r="92" spans="1:36" hidden="1" x14ac:dyDescent="0.2">
      <c r="A92" s="11">
        <v>43611</v>
      </c>
      <c r="B92" s="53" t="s">
        <v>1306</v>
      </c>
      <c r="C92" s="52" t="str">
        <f>IF(MID(B92,4,2)="09","Ramadan",IF(AND(MID(B92,4,2)="12",VALUE(LEFT(B92,2))&lt;=9),"Adha Season","Normal"))</f>
        <v>Ramadan</v>
      </c>
      <c r="D92" s="1" t="s">
        <v>45</v>
      </c>
      <c r="F92" s="4" t="s">
        <v>40</v>
      </c>
      <c r="G92" s="2">
        <v>20</v>
      </c>
      <c r="H92" s="2">
        <v>20</v>
      </c>
      <c r="I92" s="2">
        <f>grand[[#This Row],[number]]-grand[[#This Row],[received]]</f>
        <v>0</v>
      </c>
      <c r="J92" s="30"/>
      <c r="K92" s="2">
        <v>8480</v>
      </c>
      <c r="L92" s="2">
        <v>8085</v>
      </c>
      <c r="M92" s="2">
        <f>K92-L92</f>
        <v>395</v>
      </c>
      <c r="N92" s="2">
        <v>5167</v>
      </c>
      <c r="O92" s="2">
        <v>190</v>
      </c>
      <c r="P92" s="7">
        <f>grand[[#This Row],[total weight]]/grand[[#This Row],[received]]</f>
        <v>424</v>
      </c>
      <c r="Q92" s="7">
        <f>grand[[#This Row],[receiving weight]]/grand[[#This Row],[received]]</f>
        <v>404.25</v>
      </c>
      <c r="R92" s="7">
        <f>grand[[#This Row],[transportation loss ]]/grand[[#This Row],[received]]</f>
        <v>19.75</v>
      </c>
      <c r="S92" s="7">
        <f>grand[[#This Row],[ carcass weight]]/grand[[#This Row],[received]]</f>
        <v>258.35000000000002</v>
      </c>
      <c r="T92" s="7">
        <f>grand[[#This Row],[ kidneys fat quantity]]/grand[[#This Row],[received]]</f>
        <v>9.5</v>
      </c>
      <c r="U92" s="2">
        <v>25</v>
      </c>
      <c r="V92" s="2"/>
      <c r="W92" s="2">
        <v>50</v>
      </c>
      <c r="X92" s="2">
        <v>9.4</v>
      </c>
      <c r="Y92" s="8">
        <v>8.5</v>
      </c>
      <c r="Z92" s="3">
        <f>grand[[#This Row],[av. Transportation loss]]/grand[[#This Row],[av.total weight]]</f>
        <v>4.658018867924528E-2</v>
      </c>
      <c r="AA92" s="12">
        <f>AVERAGE((grand[[#This Row],[am]]/25),(grand[[#This Row],[pm]]/50))</f>
        <v>1</v>
      </c>
      <c r="AB92" s="3">
        <f>grand[[#This Row],[ carcass weight]]/grand[[#This Row],[total weight]]</f>
        <v>0.60931603773584908</v>
      </c>
      <c r="AC92" s="3">
        <f>SUM(grand[[#This Row],[am]:[meat transportation]])/100</f>
        <v>0.92900000000000005</v>
      </c>
      <c r="AD92" s="2"/>
      <c r="AE92" s="2"/>
      <c r="AF92" s="2"/>
      <c r="AG92" s="2"/>
      <c r="AH92" s="2"/>
      <c r="AI92" s="2"/>
      <c r="AJ92" s="2"/>
    </row>
    <row r="93" spans="1:36" hidden="1" x14ac:dyDescent="0.2">
      <c r="A93" s="11">
        <v>43613</v>
      </c>
      <c r="B93" s="53" t="s">
        <v>1307</v>
      </c>
      <c r="C93" s="52" t="str">
        <f>IF(MID(B93,4,2)="09","Ramadan",IF(AND(MID(B93,4,2)="12",VALUE(LEFT(B93,2))&lt;=9),"Adha Season","Normal"))</f>
        <v>Ramadan</v>
      </c>
      <c r="D93" s="1" t="s">
        <v>45</v>
      </c>
      <c r="F93" s="4" t="s">
        <v>39</v>
      </c>
      <c r="G93" s="2">
        <v>18</v>
      </c>
      <c r="H93" s="2">
        <v>18</v>
      </c>
      <c r="I93" s="2">
        <f>grand[[#This Row],[number]]-grand[[#This Row],[received]]</f>
        <v>0</v>
      </c>
      <c r="J93" s="30"/>
      <c r="K93" s="2">
        <v>7426</v>
      </c>
      <c r="L93" s="2">
        <v>7055</v>
      </c>
      <c r="M93" s="2">
        <f>K93-L93</f>
        <v>371</v>
      </c>
      <c r="N93" s="2">
        <v>4544.3999999999996</v>
      </c>
      <c r="O93" s="2">
        <v>132</v>
      </c>
      <c r="P93" s="7">
        <f>grand[[#This Row],[total weight]]/grand[[#This Row],[received]]</f>
        <v>412.55555555555554</v>
      </c>
      <c r="Q93" s="7">
        <f>grand[[#This Row],[receiving weight]]/grand[[#This Row],[received]]</f>
        <v>391.94444444444446</v>
      </c>
      <c r="R93" s="7">
        <f>grand[[#This Row],[transportation loss ]]/grand[[#This Row],[received]]</f>
        <v>20.611111111111111</v>
      </c>
      <c r="S93" s="7">
        <f>grand[[#This Row],[ carcass weight]]/grand[[#This Row],[received]]</f>
        <v>252.46666666666664</v>
      </c>
      <c r="T93" s="7">
        <f>grand[[#This Row],[ kidneys fat quantity]]/grand[[#This Row],[received]]</f>
        <v>7.333333333333333</v>
      </c>
      <c r="U93" s="2">
        <v>25</v>
      </c>
      <c r="V93" s="2"/>
      <c r="W93" s="2">
        <v>49.7</v>
      </c>
      <c r="X93" s="2">
        <v>9</v>
      </c>
      <c r="Y93" s="8">
        <v>8.5</v>
      </c>
      <c r="Z93" s="3">
        <f>grand[[#This Row],[av. Transportation loss]]/grand[[#This Row],[av.total weight]]</f>
        <v>4.9959601400484784E-2</v>
      </c>
      <c r="AA93" s="12">
        <f>AVERAGE((grand[[#This Row],[am]]/25),(grand[[#This Row],[pm]]/50))</f>
        <v>0.99700000000000011</v>
      </c>
      <c r="AB93" s="3">
        <f>grand[[#This Row],[ carcass weight]]/grand[[#This Row],[total weight]]</f>
        <v>0.61195798545650415</v>
      </c>
      <c r="AC93" s="3">
        <f>SUM(grand[[#This Row],[am]:[meat transportation]])/100</f>
        <v>0.92200000000000004</v>
      </c>
      <c r="AD93" s="2"/>
      <c r="AE93" s="2"/>
      <c r="AF93" s="2"/>
      <c r="AG93" s="2"/>
      <c r="AH93" s="2"/>
      <c r="AI93" s="2"/>
      <c r="AJ93" s="2"/>
    </row>
    <row r="94" spans="1:36" hidden="1" x14ac:dyDescent="0.2">
      <c r="A94" s="11">
        <v>43615</v>
      </c>
      <c r="B94" s="53" t="s">
        <v>1308</v>
      </c>
      <c r="C94" s="52" t="str">
        <f>IF(MID(B94,4,2)="09","Ramadan",IF(AND(MID(B94,4,2)="12",VALUE(LEFT(B94,2))&lt;=9),"Adha Season","Normal"))</f>
        <v>Ramadan</v>
      </c>
      <c r="D94" s="1" t="s">
        <v>45</v>
      </c>
      <c r="F94" s="4" t="s">
        <v>46</v>
      </c>
      <c r="G94" s="2">
        <v>18</v>
      </c>
      <c r="H94" s="2">
        <v>18</v>
      </c>
      <c r="I94" s="2">
        <f>grand[[#This Row],[number]]-grand[[#This Row],[received]]</f>
        <v>0</v>
      </c>
      <c r="J94" s="30"/>
      <c r="K94" s="2">
        <v>8520</v>
      </c>
      <c r="L94" s="2">
        <v>8035</v>
      </c>
      <c r="M94" s="2">
        <f>K94-L94</f>
        <v>485</v>
      </c>
      <c r="N94" s="2">
        <v>5144.1499999999996</v>
      </c>
      <c r="O94" s="2">
        <v>214</v>
      </c>
      <c r="P94" s="7">
        <f>grand[[#This Row],[total weight]]/grand[[#This Row],[received]]</f>
        <v>473.33333333333331</v>
      </c>
      <c r="Q94" s="7">
        <f>grand[[#This Row],[receiving weight]]/grand[[#This Row],[received]]</f>
        <v>446.38888888888891</v>
      </c>
      <c r="R94" s="7">
        <f>grand[[#This Row],[transportation loss ]]/grand[[#This Row],[received]]</f>
        <v>26.944444444444443</v>
      </c>
      <c r="S94" s="7">
        <f>grand[[#This Row],[ carcass weight]]/grand[[#This Row],[received]]</f>
        <v>285.7861111111111</v>
      </c>
      <c r="T94" s="7">
        <f>grand[[#This Row],[ kidneys fat quantity]]/grand[[#This Row],[received]]</f>
        <v>11.888888888888889</v>
      </c>
      <c r="U94" s="2">
        <v>24</v>
      </c>
      <c r="V94" s="2"/>
      <c r="W94" s="2">
        <v>49.6</v>
      </c>
      <c r="X94" s="2">
        <v>10</v>
      </c>
      <c r="Y94" s="8">
        <v>8.5</v>
      </c>
      <c r="Z94" s="3">
        <f>grand[[#This Row],[av. Transportation loss]]/grand[[#This Row],[av.total weight]]</f>
        <v>5.6924882629107977E-2</v>
      </c>
      <c r="AA94" s="12">
        <f>AVERAGE((grand[[#This Row],[am]]/25),(grand[[#This Row],[pm]]/50))</f>
        <v>0.97599999999999998</v>
      </c>
      <c r="AB94" s="3">
        <f>grand[[#This Row],[ carcass weight]]/grand[[#This Row],[total weight]]</f>
        <v>0.60377347417840377</v>
      </c>
      <c r="AC94" s="3">
        <f>SUM(grand[[#This Row],[am]:[meat transportation]])/100</f>
        <v>0.92099999999999993</v>
      </c>
      <c r="AD94" s="2"/>
      <c r="AE94" s="2"/>
      <c r="AF94" s="2"/>
      <c r="AG94" s="2"/>
      <c r="AH94" s="2"/>
      <c r="AI94" s="2"/>
      <c r="AJ94" s="2"/>
    </row>
    <row r="95" spans="1:36" hidden="1" x14ac:dyDescent="0.2">
      <c r="A95" s="11">
        <v>43618</v>
      </c>
      <c r="B95" s="53" t="s">
        <v>1309</v>
      </c>
      <c r="C95" s="52" t="str">
        <f>IF(MID(B95,4,2)="09","Ramadan",IF(AND(MID(B95,4,2)="12",VALUE(LEFT(B95,2))&lt;=9),"Adha Season","Normal"))</f>
        <v>Ramadan</v>
      </c>
      <c r="D95" s="1" t="s">
        <v>45</v>
      </c>
      <c r="F95" s="4" t="s">
        <v>46</v>
      </c>
      <c r="G95" s="2">
        <v>18</v>
      </c>
      <c r="H95" s="2">
        <v>18</v>
      </c>
      <c r="I95" s="2">
        <f>grand[[#This Row],[number]]-grand[[#This Row],[received]]</f>
        <v>0</v>
      </c>
      <c r="J95" s="30"/>
      <c r="K95" s="2">
        <v>8340</v>
      </c>
      <c r="L95" s="2">
        <v>7965</v>
      </c>
      <c r="M95" s="2">
        <f>K95-L95</f>
        <v>375</v>
      </c>
      <c r="N95" s="2">
        <v>5005.05</v>
      </c>
      <c r="O95" s="2">
        <v>170</v>
      </c>
      <c r="P95" s="7">
        <f>grand[[#This Row],[total weight]]/grand[[#This Row],[received]]</f>
        <v>463.33333333333331</v>
      </c>
      <c r="Q95" s="7">
        <f>grand[[#This Row],[receiving weight]]/grand[[#This Row],[received]]</f>
        <v>442.5</v>
      </c>
      <c r="R95" s="7">
        <f>grand[[#This Row],[transportation loss ]]/grand[[#This Row],[received]]</f>
        <v>20.833333333333332</v>
      </c>
      <c r="S95" s="7">
        <f>grand[[#This Row],[ carcass weight]]/grand[[#This Row],[received]]</f>
        <v>278.05833333333334</v>
      </c>
      <c r="T95" s="7">
        <f>grand[[#This Row],[ kidneys fat quantity]]/grand[[#This Row],[received]]</f>
        <v>9.4444444444444446</v>
      </c>
      <c r="U95" s="2">
        <v>25</v>
      </c>
      <c r="V95" s="2"/>
      <c r="W95" s="2">
        <v>49.1</v>
      </c>
      <c r="X95" s="2">
        <v>10</v>
      </c>
      <c r="Y95" s="8">
        <v>8.5</v>
      </c>
      <c r="Z95" s="3">
        <f>grand[[#This Row],[av. Transportation loss]]/grand[[#This Row],[av.total weight]]</f>
        <v>4.4964028776978415E-2</v>
      </c>
      <c r="AA95" s="12">
        <f>AVERAGE((grand[[#This Row],[am]]/25),(grand[[#This Row],[pm]]/50))</f>
        <v>0.99099999999999999</v>
      </c>
      <c r="AB95" s="3">
        <f>grand[[#This Row],[ carcass weight]]/grand[[#This Row],[total weight]]</f>
        <v>0.60012589928057558</v>
      </c>
      <c r="AC95" s="3">
        <f>SUM(grand[[#This Row],[am]:[meat transportation]])/100</f>
        <v>0.92599999999999993</v>
      </c>
      <c r="AD95" s="2"/>
      <c r="AE95" s="2"/>
      <c r="AF95" s="2"/>
      <c r="AG95" s="2"/>
      <c r="AH95" s="2"/>
      <c r="AI95" s="2"/>
      <c r="AJ95" s="2"/>
    </row>
    <row r="96" spans="1:36" hidden="1" x14ac:dyDescent="0.2">
      <c r="A96" s="11">
        <v>43626</v>
      </c>
      <c r="B96" s="53" t="s">
        <v>1310</v>
      </c>
      <c r="C96" s="52" t="str">
        <f>IF(MID(B96,4,2)="09","Ramadan",IF(AND(MID(B96,4,2)="12",VALUE(LEFT(B96,2))&lt;=9),"Adha Season","Normal"))</f>
        <v>Normal</v>
      </c>
      <c r="D96" s="1" t="s">
        <v>45</v>
      </c>
      <c r="F96" s="4" t="s">
        <v>39</v>
      </c>
      <c r="G96" s="2">
        <v>24</v>
      </c>
      <c r="H96" s="2">
        <v>24</v>
      </c>
      <c r="I96" s="2">
        <f>grand[[#This Row],[number]]-grand[[#This Row],[received]]</f>
        <v>0</v>
      </c>
      <c r="J96" s="30"/>
      <c r="K96" s="2">
        <v>9672</v>
      </c>
      <c r="L96" s="2">
        <v>9015</v>
      </c>
      <c r="M96" s="2">
        <f>K96-L96</f>
        <v>657</v>
      </c>
      <c r="N96" s="2">
        <v>5937.1</v>
      </c>
      <c r="O96" s="2">
        <v>199</v>
      </c>
      <c r="P96" s="7">
        <f>grand[[#This Row],[total weight]]/grand[[#This Row],[received]]</f>
        <v>403</v>
      </c>
      <c r="Q96" s="7">
        <f>grand[[#This Row],[receiving weight]]/grand[[#This Row],[received]]</f>
        <v>375.625</v>
      </c>
      <c r="R96" s="7">
        <f>grand[[#This Row],[transportation loss ]]/grand[[#This Row],[received]]</f>
        <v>27.375</v>
      </c>
      <c r="S96" s="7">
        <f>grand[[#This Row],[ carcass weight]]/grand[[#This Row],[received]]</f>
        <v>247.37916666666669</v>
      </c>
      <c r="T96" s="7">
        <f>grand[[#This Row],[ kidneys fat quantity]]/grand[[#This Row],[received]]</f>
        <v>8.2916666666666661</v>
      </c>
      <c r="U96" s="2">
        <v>23.8</v>
      </c>
      <c r="V96" s="2"/>
      <c r="W96" s="2">
        <v>49.7</v>
      </c>
      <c r="X96" s="2">
        <v>7</v>
      </c>
      <c r="Y96" s="8">
        <v>8.5</v>
      </c>
      <c r="Z96" s="3">
        <f>grand[[#This Row],[av. Transportation loss]]/grand[[#This Row],[av.total weight]]</f>
        <v>6.7928039702233253E-2</v>
      </c>
      <c r="AA96" s="12">
        <f>AVERAGE((grand[[#This Row],[am]]/25),(grand[[#This Row],[pm]]/50))</f>
        <v>0.97300000000000009</v>
      </c>
      <c r="AB96" s="3">
        <f>grand[[#This Row],[ carcass weight]]/grand[[#This Row],[total weight]]</f>
        <v>0.61384408602150542</v>
      </c>
      <c r="AC96" s="3">
        <f>SUM(grand[[#This Row],[am]:[meat transportation]])/100</f>
        <v>0.89</v>
      </c>
      <c r="AD96" s="2"/>
      <c r="AE96" s="2"/>
      <c r="AF96" s="2"/>
      <c r="AG96" s="2"/>
      <c r="AH96" s="2"/>
      <c r="AI96" s="2"/>
      <c r="AJ96" s="2"/>
    </row>
    <row r="97" spans="1:36" hidden="1" x14ac:dyDescent="0.2">
      <c r="A97" s="11">
        <v>43629</v>
      </c>
      <c r="B97" s="53" t="s">
        <v>1311</v>
      </c>
      <c r="C97" s="52" t="str">
        <f>IF(MID(B97,4,2)="09","Ramadan",IF(AND(MID(B97,4,2)="12",VALUE(LEFT(B97,2))&lt;=9),"Adha Season","Normal"))</f>
        <v>Normal</v>
      </c>
      <c r="D97" s="1" t="s">
        <v>45</v>
      </c>
      <c r="F97" s="4" t="s">
        <v>39</v>
      </c>
      <c r="G97" s="2">
        <v>27</v>
      </c>
      <c r="H97" s="2">
        <v>27</v>
      </c>
      <c r="I97" s="2">
        <f>grand[[#This Row],[number]]-grand[[#This Row],[received]]</f>
        <v>0</v>
      </c>
      <c r="J97" s="30"/>
      <c r="K97" s="2">
        <v>10844</v>
      </c>
      <c r="L97" s="2">
        <v>10065</v>
      </c>
      <c r="M97" s="2">
        <f>K97-L97</f>
        <v>779</v>
      </c>
      <c r="N97" s="2">
        <v>6544</v>
      </c>
      <c r="O97" s="2">
        <v>200</v>
      </c>
      <c r="P97" s="7">
        <f>grand[[#This Row],[total weight]]/grand[[#This Row],[received]]</f>
        <v>401.62962962962962</v>
      </c>
      <c r="Q97" s="7">
        <f>grand[[#This Row],[receiving weight]]/grand[[#This Row],[received]]</f>
        <v>372.77777777777777</v>
      </c>
      <c r="R97" s="7">
        <f>grand[[#This Row],[transportation loss ]]/grand[[#This Row],[received]]</f>
        <v>28.851851851851851</v>
      </c>
      <c r="S97" s="7">
        <f>grand[[#This Row],[ carcass weight]]/grand[[#This Row],[received]]</f>
        <v>242.37037037037038</v>
      </c>
      <c r="T97" s="7">
        <f>grand[[#This Row],[ kidneys fat quantity]]/grand[[#This Row],[received]]</f>
        <v>7.4074074074074074</v>
      </c>
      <c r="U97" s="2">
        <v>25</v>
      </c>
      <c r="V97" s="2"/>
      <c r="W97" s="2">
        <v>49.7</v>
      </c>
      <c r="X97" s="2">
        <v>7</v>
      </c>
      <c r="Y97" s="8">
        <v>8.5</v>
      </c>
      <c r="Z97" s="3">
        <f>grand[[#This Row],[av. Transportation loss]]/grand[[#This Row],[av.total weight]]</f>
        <v>7.1836960531169308E-2</v>
      </c>
      <c r="AA97" s="12">
        <f>AVERAGE((grand[[#This Row],[am]]/25),(grand[[#This Row],[pm]]/50))</f>
        <v>0.99700000000000011</v>
      </c>
      <c r="AB97" s="3">
        <f>grand[[#This Row],[ carcass weight]]/grand[[#This Row],[total weight]]</f>
        <v>0.60346735521947625</v>
      </c>
      <c r="AC97" s="3">
        <f>SUM(grand[[#This Row],[am]:[meat transportation]])/100</f>
        <v>0.90200000000000002</v>
      </c>
      <c r="AD97" s="2"/>
      <c r="AE97" s="2"/>
      <c r="AF97" s="2"/>
      <c r="AG97" s="2"/>
      <c r="AH97" s="2"/>
      <c r="AI97" s="2"/>
      <c r="AJ97" s="2"/>
    </row>
    <row r="98" spans="1:36" hidden="1" x14ac:dyDescent="0.2">
      <c r="A98" s="11">
        <v>43629</v>
      </c>
      <c r="B98" s="53" t="s">
        <v>1311</v>
      </c>
      <c r="C98" s="52" t="str">
        <f>IF(MID(B98,4,2)="09","Ramadan",IF(AND(MID(B98,4,2)="12",VALUE(LEFT(B98,2))&lt;=9),"Adha Season","Normal"))</f>
        <v>Normal</v>
      </c>
      <c r="D98" s="2" t="s">
        <v>294</v>
      </c>
      <c r="E98" s="2"/>
      <c r="F98" s="4" t="s">
        <v>46</v>
      </c>
      <c r="G98" s="2">
        <v>30</v>
      </c>
      <c r="H98" s="2">
        <v>30</v>
      </c>
      <c r="I98" s="2">
        <f>grand[[#This Row],[number]]-grand[[#This Row],[received]]</f>
        <v>0</v>
      </c>
      <c r="J98" s="30"/>
      <c r="K98" s="2"/>
      <c r="L98" s="2"/>
      <c r="M98" s="2">
        <f>K98-L98</f>
        <v>0</v>
      </c>
      <c r="N98" s="2"/>
      <c r="O98" s="2"/>
      <c r="P98" s="7"/>
      <c r="Q98" s="7"/>
      <c r="R98" s="7"/>
      <c r="S98" s="7">
        <f>grand[[#This Row],[ carcass weight]]/grand[[#This Row],[received]]</f>
        <v>0</v>
      </c>
      <c r="T98" s="7">
        <f>grand[[#This Row],[ kidneys fat quantity]]/grand[[#This Row],[received]]</f>
        <v>0</v>
      </c>
      <c r="U98" s="2">
        <v>24</v>
      </c>
      <c r="V98" s="2">
        <v>0</v>
      </c>
      <c r="W98" s="2">
        <v>49.5</v>
      </c>
      <c r="X98" s="2">
        <v>10</v>
      </c>
      <c r="Y98" s="8">
        <v>8.5</v>
      </c>
      <c r="Z98" s="3"/>
      <c r="AA98" s="12">
        <f>AVERAGE((grand[[#This Row],[am]]/25),(grand[[#This Row],[pm]]/50))</f>
        <v>0.97499999999999998</v>
      </c>
      <c r="AB98" s="3"/>
      <c r="AC98" s="3">
        <f>SUM(grand[[#This Row],[am]:[meat transportation]])/100</f>
        <v>0.92</v>
      </c>
      <c r="AD98" s="2"/>
      <c r="AE98" s="2"/>
      <c r="AF98" s="2"/>
      <c r="AG98" s="2"/>
      <c r="AH98" s="2"/>
      <c r="AI98" s="2"/>
      <c r="AJ98" s="2"/>
    </row>
    <row r="99" spans="1:36" hidden="1" x14ac:dyDescent="0.2">
      <c r="A99" s="11">
        <v>43632</v>
      </c>
      <c r="B99" s="53" t="s">
        <v>1312</v>
      </c>
      <c r="C99" s="52" t="str">
        <f>IF(MID(B99,4,2)="09","Ramadan",IF(AND(MID(B99,4,2)="12",VALUE(LEFT(B99,2))&lt;=9),"Adha Season","Normal"))</f>
        <v>Normal</v>
      </c>
      <c r="D99" s="1" t="s">
        <v>45</v>
      </c>
      <c r="F99" s="4" t="s">
        <v>46</v>
      </c>
      <c r="G99" s="2">
        <v>27</v>
      </c>
      <c r="H99" s="2">
        <v>27</v>
      </c>
      <c r="I99" s="2">
        <f>grand[[#This Row],[number]]-grand[[#This Row],[received]]</f>
        <v>0</v>
      </c>
      <c r="J99" s="30"/>
      <c r="K99" s="2">
        <v>12800</v>
      </c>
      <c r="L99" s="2">
        <v>12095</v>
      </c>
      <c r="M99" s="2">
        <f>K99-L99</f>
        <v>705</v>
      </c>
      <c r="N99" s="2">
        <v>7851.1</v>
      </c>
      <c r="O99" s="2">
        <v>240</v>
      </c>
      <c r="P99" s="7">
        <f>grand[[#This Row],[total weight]]/grand[[#This Row],[received]]</f>
        <v>474.07407407407408</v>
      </c>
      <c r="Q99" s="7">
        <f>grand[[#This Row],[receiving weight]]/grand[[#This Row],[received]]</f>
        <v>447.96296296296299</v>
      </c>
      <c r="R99" s="7">
        <f>grand[[#This Row],[transportation loss ]]/grand[[#This Row],[received]]</f>
        <v>26.111111111111111</v>
      </c>
      <c r="S99" s="7">
        <f>grand[[#This Row],[ carcass weight]]/grand[[#This Row],[received]]</f>
        <v>290.78148148148148</v>
      </c>
      <c r="T99" s="7">
        <f>grand[[#This Row],[ kidneys fat quantity]]/grand[[#This Row],[received]]</f>
        <v>8.8888888888888893</v>
      </c>
      <c r="U99" s="2">
        <v>25</v>
      </c>
      <c r="V99" s="2"/>
      <c r="W99" s="2">
        <v>50</v>
      </c>
      <c r="X99" s="2">
        <v>10</v>
      </c>
      <c r="Y99" s="8">
        <v>8.5</v>
      </c>
      <c r="Z99" s="3">
        <f>grand[[#This Row],[av. Transportation loss]]/grand[[#This Row],[av.total weight]]</f>
        <v>5.5078124999999999E-2</v>
      </c>
      <c r="AA99" s="12">
        <f>AVERAGE((grand[[#This Row],[am]]/25),(grand[[#This Row],[pm]]/50))</f>
        <v>1</v>
      </c>
      <c r="AB99" s="3">
        <f>grand[[#This Row],[ carcass weight]]/grand[[#This Row],[total weight]]</f>
        <v>0.61336718750000008</v>
      </c>
      <c r="AC99" s="3">
        <f>SUM(grand[[#This Row],[am]:[meat transportation]])/100</f>
        <v>0.93500000000000005</v>
      </c>
      <c r="AD99" s="2"/>
      <c r="AE99" s="2"/>
      <c r="AF99" s="2"/>
      <c r="AG99" s="2"/>
      <c r="AH99" s="2"/>
      <c r="AI99" s="2"/>
      <c r="AJ99" s="2"/>
    </row>
    <row r="100" spans="1:36" hidden="1" x14ac:dyDescent="0.2">
      <c r="A100" s="11">
        <v>43634</v>
      </c>
      <c r="B100" s="53" t="s">
        <v>1313</v>
      </c>
      <c r="C100" s="52" t="str">
        <f>IF(MID(B100,4,2)="09","Ramadan",IF(AND(MID(B100,4,2)="12",VALUE(LEFT(B100,2))&lt;=9),"Adha Season","Normal"))</f>
        <v>Normal</v>
      </c>
      <c r="D100" s="1" t="s">
        <v>45</v>
      </c>
      <c r="F100" s="4" t="s">
        <v>39</v>
      </c>
      <c r="G100" s="2">
        <v>22</v>
      </c>
      <c r="H100" s="2">
        <v>22</v>
      </c>
      <c r="I100" s="2">
        <f>grand[[#This Row],[number]]-grand[[#This Row],[received]]</f>
        <v>0</v>
      </c>
      <c r="J100" s="30"/>
      <c r="K100" s="2">
        <v>9105</v>
      </c>
      <c r="L100" s="2">
        <v>8500</v>
      </c>
      <c r="M100" s="2">
        <f>K100-L100</f>
        <v>605</v>
      </c>
      <c r="N100" s="2">
        <v>5491.6</v>
      </c>
      <c r="O100" s="2">
        <v>162</v>
      </c>
      <c r="P100" s="7">
        <f>grand[[#This Row],[total weight]]/grand[[#This Row],[received]]</f>
        <v>413.86363636363637</v>
      </c>
      <c r="Q100" s="7">
        <f>grand[[#This Row],[receiving weight]]/grand[[#This Row],[received]]</f>
        <v>386.36363636363637</v>
      </c>
      <c r="R100" s="7">
        <f>grand[[#This Row],[transportation loss ]]/grand[[#This Row],[received]]</f>
        <v>27.5</v>
      </c>
      <c r="S100" s="7">
        <f>grand[[#This Row],[ carcass weight]]/grand[[#This Row],[received]]</f>
        <v>249.61818181818182</v>
      </c>
      <c r="T100" s="7">
        <f>grand[[#This Row],[ kidneys fat quantity]]/grand[[#This Row],[received]]</f>
        <v>7.3636363636363633</v>
      </c>
      <c r="U100" s="2">
        <v>25</v>
      </c>
      <c r="V100" s="2"/>
      <c r="W100" s="2">
        <v>50</v>
      </c>
      <c r="X100" s="2">
        <v>8</v>
      </c>
      <c r="Y100" s="8">
        <v>8.5</v>
      </c>
      <c r="Z100" s="3">
        <f>grand[[#This Row],[av. Transportation loss]]/grand[[#This Row],[av.total weight]]</f>
        <v>6.6447007138934644E-2</v>
      </c>
      <c r="AA100" s="12">
        <f>AVERAGE((grand[[#This Row],[am]]/25),(grand[[#This Row],[pm]]/50))</f>
        <v>1</v>
      </c>
      <c r="AB100" s="3">
        <f>grand[[#This Row],[ carcass weight]]/grand[[#This Row],[total weight]]</f>
        <v>0.60314113124656787</v>
      </c>
      <c r="AC100" s="3">
        <f>SUM(grand[[#This Row],[am]:[meat transportation]])/100</f>
        <v>0.91500000000000004</v>
      </c>
      <c r="AD100" s="2"/>
      <c r="AE100" s="2"/>
      <c r="AF100" s="2"/>
      <c r="AG100" s="2"/>
      <c r="AH100" s="2"/>
      <c r="AI100" s="2"/>
      <c r="AJ100" s="2"/>
    </row>
    <row r="101" spans="1:36" hidden="1" x14ac:dyDescent="0.2">
      <c r="A101" s="11">
        <v>43634</v>
      </c>
      <c r="B101" s="53" t="s">
        <v>1313</v>
      </c>
      <c r="C101" s="52" t="str">
        <f>IF(MID(B101,4,2)="09","Ramadan",IF(AND(MID(B101,4,2)="12",VALUE(LEFT(B101,2))&lt;=9),"Adha Season","Normal"))</f>
        <v>Normal</v>
      </c>
      <c r="D101" s="2" t="s">
        <v>294</v>
      </c>
      <c r="E101" s="2"/>
      <c r="F101" s="4" t="s">
        <v>35</v>
      </c>
      <c r="G101" s="2">
        <v>20</v>
      </c>
      <c r="H101" s="2">
        <v>20</v>
      </c>
      <c r="I101" s="2">
        <f>grand[[#This Row],[number]]-grand[[#This Row],[received]]</f>
        <v>0</v>
      </c>
      <c r="J101" s="30"/>
      <c r="K101" s="2"/>
      <c r="L101" s="2"/>
      <c r="M101" s="2">
        <f>K101-L101</f>
        <v>0</v>
      </c>
      <c r="N101" s="2"/>
      <c r="O101" s="2"/>
      <c r="P101" s="7">
        <f>grand[[#This Row],[total weight]]/grand[[#This Row],[received]]</f>
        <v>0</v>
      </c>
      <c r="Q101" s="7">
        <f>grand[[#This Row],[receiving weight]]/grand[[#This Row],[received]]</f>
        <v>0</v>
      </c>
      <c r="R101" s="7">
        <f>grand[[#This Row],[transportation loss ]]/grand[[#This Row],[received]]</f>
        <v>0</v>
      </c>
      <c r="S101" s="7">
        <f>grand[[#This Row],[ carcass weight]]/grand[[#This Row],[received]]</f>
        <v>0</v>
      </c>
      <c r="T101" s="7">
        <f>grand[[#This Row],[ kidneys fat quantity]]/grand[[#This Row],[received]]</f>
        <v>0</v>
      </c>
      <c r="U101" s="2">
        <v>25</v>
      </c>
      <c r="V101" s="2">
        <v>0</v>
      </c>
      <c r="W101" s="2">
        <v>50</v>
      </c>
      <c r="X101" s="2">
        <v>10</v>
      </c>
      <c r="Y101" s="8">
        <v>8.5</v>
      </c>
      <c r="Z101" s="3"/>
      <c r="AA101" s="12">
        <f>AVERAGE((grand[[#This Row],[am]]/25),(grand[[#This Row],[pm]]/50))</f>
        <v>1</v>
      </c>
      <c r="AB101" s="3"/>
      <c r="AC101" s="3">
        <f>SUM(grand[[#This Row],[am]:[meat transportation]])/100</f>
        <v>0.93500000000000005</v>
      </c>
      <c r="AD101" s="2"/>
      <c r="AE101" s="2"/>
      <c r="AF101" s="2"/>
      <c r="AG101" s="2"/>
      <c r="AH101" s="2"/>
      <c r="AI101" s="2"/>
      <c r="AJ101" s="2"/>
    </row>
    <row r="102" spans="1:36" hidden="1" x14ac:dyDescent="0.2">
      <c r="A102" s="11">
        <v>43636</v>
      </c>
      <c r="B102" s="53" t="s">
        <v>1314</v>
      </c>
      <c r="C102" s="52" t="str">
        <f>IF(MID(B102,4,2)="09","Ramadan",IF(AND(MID(B102,4,2)="12",VALUE(LEFT(B102,2))&lt;=9),"Adha Season","Normal"))</f>
        <v>Normal</v>
      </c>
      <c r="D102" s="1" t="s">
        <v>45</v>
      </c>
      <c r="F102" s="4" t="s">
        <v>39</v>
      </c>
      <c r="G102" s="2">
        <v>23</v>
      </c>
      <c r="H102" s="2">
        <v>23</v>
      </c>
      <c r="I102" s="2">
        <f>grand[[#This Row],[number]]-grand[[#This Row],[received]]</f>
        <v>0</v>
      </c>
      <c r="J102" s="30"/>
      <c r="K102" s="2">
        <v>9561</v>
      </c>
      <c r="L102" s="2">
        <v>9010</v>
      </c>
      <c r="M102" s="2">
        <f>K102-L102</f>
        <v>551</v>
      </c>
      <c r="N102" s="2">
        <v>5867.7</v>
      </c>
      <c r="O102" s="2">
        <v>196</v>
      </c>
      <c r="P102" s="7">
        <f>grand[[#This Row],[total weight]]/grand[[#This Row],[received]]</f>
        <v>415.69565217391306</v>
      </c>
      <c r="Q102" s="7">
        <f>grand[[#This Row],[receiving weight]]/grand[[#This Row],[received]]</f>
        <v>391.73913043478262</v>
      </c>
      <c r="R102" s="7">
        <f>grand[[#This Row],[transportation loss ]]/grand[[#This Row],[received]]</f>
        <v>23.956521739130434</v>
      </c>
      <c r="S102" s="7">
        <f>grand[[#This Row],[ carcass weight]]/grand[[#This Row],[received]]</f>
        <v>255.11739130434782</v>
      </c>
      <c r="T102" s="7">
        <f>grand[[#This Row],[ kidneys fat quantity]]/grand[[#This Row],[received]]</f>
        <v>8.5217391304347831</v>
      </c>
      <c r="U102" s="2">
        <v>24.7</v>
      </c>
      <c r="V102" s="2"/>
      <c r="W102" s="2">
        <v>49.6</v>
      </c>
      <c r="X102" s="2">
        <v>8</v>
      </c>
      <c r="Y102" s="8">
        <v>8.5</v>
      </c>
      <c r="Z102" s="3">
        <f>grand[[#This Row],[av. Transportation loss]]/grand[[#This Row],[av.total weight]]</f>
        <v>5.7629955025624929E-2</v>
      </c>
      <c r="AA102" s="12">
        <f>AVERAGE((grand[[#This Row],[am]]/25),(grand[[#This Row],[pm]]/50))</f>
        <v>0.99</v>
      </c>
      <c r="AB102" s="3">
        <f>grand[[#This Row],[ carcass weight]]/grand[[#This Row],[total weight]]</f>
        <v>0.61371195481644181</v>
      </c>
      <c r="AC102" s="3">
        <f>SUM(grand[[#This Row],[am]:[meat transportation]])/100</f>
        <v>0.90799999999999992</v>
      </c>
      <c r="AD102" s="2"/>
      <c r="AE102" s="2"/>
      <c r="AF102" s="2"/>
      <c r="AG102" s="2"/>
      <c r="AH102" s="2"/>
      <c r="AI102" s="2"/>
      <c r="AJ102" s="2"/>
    </row>
    <row r="103" spans="1:36" hidden="1" x14ac:dyDescent="0.2">
      <c r="A103" s="11">
        <v>43636</v>
      </c>
      <c r="B103" s="53" t="s">
        <v>1314</v>
      </c>
      <c r="C103" s="52" t="str">
        <f>IF(MID(B103,4,2)="09","Ramadan",IF(AND(MID(B103,4,2)="12",VALUE(LEFT(B103,2))&lt;=9),"Adha Season","Normal"))</f>
        <v>Normal</v>
      </c>
      <c r="D103" s="2" t="s">
        <v>294</v>
      </c>
      <c r="E103" s="2"/>
      <c r="F103" s="4" t="s">
        <v>35</v>
      </c>
      <c r="G103" s="2">
        <v>20</v>
      </c>
      <c r="H103" s="2">
        <v>20</v>
      </c>
      <c r="I103" s="2">
        <f>grand[[#This Row],[number]]-grand[[#This Row],[received]]</f>
        <v>0</v>
      </c>
      <c r="J103" s="30"/>
      <c r="K103" s="2"/>
      <c r="L103" s="2"/>
      <c r="M103" s="2">
        <f>K103-L103</f>
        <v>0</v>
      </c>
      <c r="N103" s="2"/>
      <c r="O103" s="2"/>
      <c r="P103" s="7">
        <f>grand[[#This Row],[total weight]]/grand[[#This Row],[received]]</f>
        <v>0</v>
      </c>
      <c r="Q103" s="7">
        <f>grand[[#This Row],[receiving weight]]/grand[[#This Row],[received]]</f>
        <v>0</v>
      </c>
      <c r="R103" s="7">
        <f>grand[[#This Row],[transportation loss ]]/grand[[#This Row],[received]]</f>
        <v>0</v>
      </c>
      <c r="S103" s="7">
        <f>grand[[#This Row],[ carcass weight]]/grand[[#This Row],[received]]</f>
        <v>0</v>
      </c>
      <c r="T103" s="7">
        <f>grand[[#This Row],[ kidneys fat quantity]]/grand[[#This Row],[received]]</f>
        <v>0</v>
      </c>
      <c r="U103" s="2">
        <v>25</v>
      </c>
      <c r="V103" s="2">
        <v>0</v>
      </c>
      <c r="W103" s="2">
        <v>49.6</v>
      </c>
      <c r="X103" s="2">
        <v>10</v>
      </c>
      <c r="Y103" s="8">
        <v>8.5</v>
      </c>
      <c r="Z103" s="3"/>
      <c r="AA103" s="12">
        <f>AVERAGE((grand[[#This Row],[am]]/25),(grand[[#This Row],[pm]]/50))</f>
        <v>0.996</v>
      </c>
      <c r="AB103" s="3"/>
      <c r="AC103" s="3">
        <f>SUM(grand[[#This Row],[am]:[meat transportation]])/100</f>
        <v>0.93099999999999994</v>
      </c>
      <c r="AD103" s="2"/>
      <c r="AE103" s="2"/>
      <c r="AF103" s="2"/>
      <c r="AG103" s="2"/>
      <c r="AH103" s="2"/>
      <c r="AI103" s="2"/>
      <c r="AJ103" s="2"/>
    </row>
    <row r="104" spans="1:36" hidden="1" x14ac:dyDescent="0.2">
      <c r="A104" s="11">
        <v>43639</v>
      </c>
      <c r="B104" s="53" t="s">
        <v>1315</v>
      </c>
      <c r="C104" s="52" t="str">
        <f>IF(MID(B104,4,2)="09","Ramadan",IF(AND(MID(B104,4,2)="12",VALUE(LEFT(B104,2))&lt;=9),"Adha Season","Normal"))</f>
        <v>Normal</v>
      </c>
      <c r="D104" s="1" t="s">
        <v>45</v>
      </c>
      <c r="F104" s="4" t="s">
        <v>46</v>
      </c>
      <c r="G104" s="2">
        <v>24</v>
      </c>
      <c r="H104" s="2">
        <v>24</v>
      </c>
      <c r="I104" s="2">
        <f>grand[[#This Row],[number]]-grand[[#This Row],[received]]</f>
        <v>0</v>
      </c>
      <c r="J104" s="30"/>
      <c r="K104" s="2">
        <v>11220</v>
      </c>
      <c r="L104" s="2">
        <v>10835</v>
      </c>
      <c r="M104" s="2">
        <f>K104-L104</f>
        <v>385</v>
      </c>
      <c r="N104" s="2">
        <v>6730.7</v>
      </c>
      <c r="O104" s="2">
        <v>242</v>
      </c>
      <c r="P104" s="7">
        <f>grand[[#This Row],[total weight]]/grand[[#This Row],[received]]</f>
        <v>467.5</v>
      </c>
      <c r="Q104" s="7">
        <f>grand[[#This Row],[receiving weight]]/grand[[#This Row],[received]]</f>
        <v>451.45833333333331</v>
      </c>
      <c r="R104" s="7">
        <f>grand[[#This Row],[transportation loss ]]/grand[[#This Row],[received]]</f>
        <v>16.041666666666668</v>
      </c>
      <c r="S104" s="7">
        <f>grand[[#This Row],[ carcass weight]]/grand[[#This Row],[received]]</f>
        <v>280.44583333333333</v>
      </c>
      <c r="T104" s="7">
        <f>grand[[#This Row],[ kidneys fat quantity]]/grand[[#This Row],[received]]</f>
        <v>10.083333333333334</v>
      </c>
      <c r="U104" s="2">
        <v>25</v>
      </c>
      <c r="V104" s="2"/>
      <c r="W104" s="2">
        <v>49.7</v>
      </c>
      <c r="X104" s="2">
        <v>10</v>
      </c>
      <c r="Y104" s="8">
        <v>8.5</v>
      </c>
      <c r="Z104" s="3">
        <f>grand[[#This Row],[av. Transportation loss]]/grand[[#This Row],[av.total weight]]</f>
        <v>3.4313725490196081E-2</v>
      </c>
      <c r="AA104" s="12">
        <f>AVERAGE((grand[[#This Row],[am]]/25),(grand[[#This Row],[pm]]/50))</f>
        <v>0.99700000000000011</v>
      </c>
      <c r="AB104" s="3">
        <f>grand[[#This Row],[ carcass weight]]/grand[[#This Row],[total weight]]</f>
        <v>0.59988413547237074</v>
      </c>
      <c r="AC104" s="3">
        <f>SUM(grand[[#This Row],[am]:[meat transportation]])/100</f>
        <v>0.93200000000000005</v>
      </c>
      <c r="AD104" s="2"/>
      <c r="AE104" s="2"/>
      <c r="AF104" s="2"/>
      <c r="AG104" s="2"/>
      <c r="AH104" s="2"/>
      <c r="AI104" s="2"/>
      <c r="AJ104" s="2"/>
    </row>
    <row r="105" spans="1:36" hidden="1" x14ac:dyDescent="0.2">
      <c r="A105" s="11">
        <v>43639</v>
      </c>
      <c r="B105" s="53" t="s">
        <v>1315</v>
      </c>
      <c r="C105" s="52" t="str">
        <f>IF(MID(B105,4,2)="09","Ramadan",IF(AND(MID(B105,4,2)="12",VALUE(LEFT(B105,2))&lt;=9),"Adha Season","Normal"))</f>
        <v>Normal</v>
      </c>
      <c r="D105" s="2" t="s">
        <v>294</v>
      </c>
      <c r="E105" s="2"/>
      <c r="F105" s="4" t="s">
        <v>35</v>
      </c>
      <c r="G105" s="2">
        <v>21</v>
      </c>
      <c r="H105" s="2">
        <v>21</v>
      </c>
      <c r="I105" s="2">
        <f>grand[[#This Row],[number]]-grand[[#This Row],[received]]</f>
        <v>0</v>
      </c>
      <c r="J105" s="30"/>
      <c r="K105" s="2"/>
      <c r="L105" s="2"/>
      <c r="M105" s="2">
        <f>K105-L105</f>
        <v>0</v>
      </c>
      <c r="N105" s="2"/>
      <c r="O105" s="2"/>
      <c r="P105" s="7">
        <f>grand[[#This Row],[total weight]]/grand[[#This Row],[received]]</f>
        <v>0</v>
      </c>
      <c r="Q105" s="7">
        <f>grand[[#This Row],[receiving weight]]/grand[[#This Row],[received]]</f>
        <v>0</v>
      </c>
      <c r="R105" s="7">
        <f>grand[[#This Row],[transportation loss ]]/grand[[#This Row],[received]]</f>
        <v>0</v>
      </c>
      <c r="S105" s="7">
        <f>grand[[#This Row],[ carcass weight]]/grand[[#This Row],[received]]</f>
        <v>0</v>
      </c>
      <c r="T105" s="7">
        <f>grand[[#This Row],[ kidneys fat quantity]]/grand[[#This Row],[received]]</f>
        <v>0</v>
      </c>
      <c r="U105" s="2">
        <v>25</v>
      </c>
      <c r="V105" s="2">
        <v>0</v>
      </c>
      <c r="W105" s="2">
        <v>48.6</v>
      </c>
      <c r="X105" s="2">
        <v>10</v>
      </c>
      <c r="Y105" s="8">
        <v>8.5</v>
      </c>
      <c r="Z105" s="3"/>
      <c r="AA105" s="12">
        <f>AVERAGE((grand[[#This Row],[am]]/25),(grand[[#This Row],[pm]]/50))</f>
        <v>0.98599999999999999</v>
      </c>
      <c r="AB105" s="3"/>
      <c r="AC105" s="3">
        <f>SUM(grand[[#This Row],[am]:[meat transportation]])/100</f>
        <v>0.92099999999999993</v>
      </c>
      <c r="AD105" s="2"/>
      <c r="AE105" s="2"/>
      <c r="AF105" s="2"/>
      <c r="AG105" s="2"/>
      <c r="AH105" s="2"/>
      <c r="AI105" s="2"/>
      <c r="AJ105" s="2"/>
    </row>
    <row r="106" spans="1:36" hidden="1" x14ac:dyDescent="0.2">
      <c r="A106" s="11">
        <v>43641</v>
      </c>
      <c r="B106" s="53" t="s">
        <v>1316</v>
      </c>
      <c r="C106" s="52" t="str">
        <f>IF(MID(B106,4,2)="09","Ramadan",IF(AND(MID(B106,4,2)="12",VALUE(LEFT(B106,2))&lt;=9),"Adha Season","Normal"))</f>
        <v>Normal</v>
      </c>
      <c r="D106" s="1" t="s">
        <v>45</v>
      </c>
      <c r="F106" s="4" t="s">
        <v>40</v>
      </c>
      <c r="G106" s="2">
        <v>21</v>
      </c>
      <c r="H106" s="2">
        <v>21</v>
      </c>
      <c r="I106" s="2">
        <f>grand[[#This Row],[number]]-grand[[#This Row],[received]]</f>
        <v>0</v>
      </c>
      <c r="J106" s="30"/>
      <c r="K106" s="2">
        <v>9030</v>
      </c>
      <c r="L106" s="2">
        <v>8745</v>
      </c>
      <c r="M106" s="2">
        <f>K106-L106</f>
        <v>285</v>
      </c>
      <c r="N106" s="2">
        <v>5516.9</v>
      </c>
      <c r="O106" s="2">
        <v>158</v>
      </c>
      <c r="P106" s="7">
        <f>grand[[#This Row],[total weight]]/grand[[#This Row],[received]]</f>
        <v>430</v>
      </c>
      <c r="Q106" s="7">
        <f>grand[[#This Row],[receiving weight]]/grand[[#This Row],[received]]</f>
        <v>416.42857142857144</v>
      </c>
      <c r="R106" s="7">
        <f>grand[[#This Row],[transportation loss ]]/grand[[#This Row],[received]]</f>
        <v>13.571428571428571</v>
      </c>
      <c r="S106" s="7">
        <f>grand[[#This Row],[ carcass weight]]/grand[[#This Row],[received]]</f>
        <v>262.70952380952377</v>
      </c>
      <c r="T106" s="7">
        <f>grand[[#This Row],[ kidneys fat quantity]]/grand[[#This Row],[received]]</f>
        <v>7.5238095238095237</v>
      </c>
      <c r="U106" s="2">
        <v>25</v>
      </c>
      <c r="V106" s="2"/>
      <c r="W106" s="2">
        <v>50</v>
      </c>
      <c r="X106" s="2">
        <v>10</v>
      </c>
      <c r="Y106" s="8">
        <v>8.1</v>
      </c>
      <c r="Z106" s="3">
        <f>grand[[#This Row],[av. Transportation loss]]/grand[[#This Row],[av.total weight]]</f>
        <v>3.1561461794019932E-2</v>
      </c>
      <c r="AA106" s="12">
        <f>AVERAGE((grand[[#This Row],[am]]/25),(grand[[#This Row],[pm]]/50))</f>
        <v>1</v>
      </c>
      <c r="AB106" s="3">
        <f>grand[[#This Row],[ carcass weight]]/grand[[#This Row],[total weight]]</f>
        <v>0.61095238095238091</v>
      </c>
      <c r="AC106" s="3">
        <f>SUM(grand[[#This Row],[am]:[meat transportation]])/100</f>
        <v>0.93099999999999994</v>
      </c>
      <c r="AD106" s="2"/>
      <c r="AE106" s="2"/>
      <c r="AF106" s="2"/>
      <c r="AG106" s="2"/>
      <c r="AH106" s="2"/>
      <c r="AI106" s="2"/>
      <c r="AJ106" s="2"/>
    </row>
    <row r="107" spans="1:36" hidden="1" x14ac:dyDescent="0.2">
      <c r="A107" s="11">
        <v>43643</v>
      </c>
      <c r="B107" s="53" t="s">
        <v>1317</v>
      </c>
      <c r="C107" s="52" t="str">
        <f>IF(MID(B107,4,2)="09","Ramadan",IF(AND(MID(B107,4,2)="12",VALUE(LEFT(B107,2))&lt;=9),"Adha Season","Normal"))</f>
        <v>Normal</v>
      </c>
      <c r="D107" s="1" t="s">
        <v>45</v>
      </c>
      <c r="F107" s="4" t="s">
        <v>46</v>
      </c>
      <c r="G107" s="2">
        <v>18</v>
      </c>
      <c r="H107" s="2">
        <v>18</v>
      </c>
      <c r="I107" s="2">
        <f>grand[[#This Row],[number]]-grand[[#This Row],[received]]</f>
        <v>0</v>
      </c>
      <c r="J107" s="30"/>
      <c r="K107" s="2">
        <v>8195</v>
      </c>
      <c r="L107" s="2">
        <v>7815</v>
      </c>
      <c r="M107" s="2">
        <f>K107-L107</f>
        <v>380</v>
      </c>
      <c r="N107" s="2">
        <v>4918.1000000000004</v>
      </c>
      <c r="O107" s="2"/>
      <c r="P107" s="7">
        <f>grand[[#This Row],[total weight]]/grand[[#This Row],[received]]</f>
        <v>455.27777777777777</v>
      </c>
      <c r="Q107" s="7">
        <f>grand[[#This Row],[receiving weight]]/grand[[#This Row],[received]]</f>
        <v>434.16666666666669</v>
      </c>
      <c r="R107" s="7">
        <f>grand[[#This Row],[transportation loss ]]/grand[[#This Row],[received]]</f>
        <v>21.111111111111111</v>
      </c>
      <c r="S107" s="7">
        <f>grand[[#This Row],[ carcass weight]]/grand[[#This Row],[received]]</f>
        <v>273.22777777777782</v>
      </c>
      <c r="T107" s="7"/>
      <c r="U107" s="2">
        <v>23</v>
      </c>
      <c r="V107" s="2"/>
      <c r="W107" s="2">
        <v>49.8</v>
      </c>
      <c r="X107" s="2">
        <v>8</v>
      </c>
      <c r="Y107" s="8">
        <v>8.5</v>
      </c>
      <c r="Z107" s="3">
        <f>grand[[#This Row],[av. Transportation loss]]/grand[[#This Row],[av.total weight]]</f>
        <v>4.6369737644905429E-2</v>
      </c>
      <c r="AA107" s="12">
        <f>AVERAGE((grand[[#This Row],[am]]/25),(grand[[#This Row],[pm]]/50))</f>
        <v>0.95799999999999996</v>
      </c>
      <c r="AB107" s="3">
        <f>grand[[#This Row],[ carcass weight]]/grand[[#This Row],[total weight]]</f>
        <v>0.60013422818791951</v>
      </c>
      <c r="AC107" s="3">
        <f>SUM(grand[[#This Row],[am]:[meat transportation]])/100</f>
        <v>0.89300000000000002</v>
      </c>
      <c r="AD107" s="2"/>
      <c r="AE107" s="2"/>
      <c r="AF107" s="2"/>
      <c r="AG107" s="2"/>
      <c r="AH107" s="2"/>
      <c r="AI107" s="2"/>
      <c r="AJ107" s="2"/>
    </row>
    <row r="108" spans="1:36" hidden="1" x14ac:dyDescent="0.2">
      <c r="A108" s="11">
        <v>43643</v>
      </c>
      <c r="B108" s="53" t="s">
        <v>1317</v>
      </c>
      <c r="C108" s="52" t="str">
        <f>IF(MID(B108,4,2)="09","Ramadan",IF(AND(MID(B108,4,2)="12",VALUE(LEFT(B108,2))&lt;=9),"Adha Season","Normal"))</f>
        <v>Normal</v>
      </c>
      <c r="D108" s="2" t="s">
        <v>294</v>
      </c>
      <c r="E108" s="2"/>
      <c r="F108" s="4" t="s">
        <v>35</v>
      </c>
      <c r="G108" s="2">
        <v>20</v>
      </c>
      <c r="H108" s="2">
        <v>20</v>
      </c>
      <c r="I108" s="2">
        <f>grand[[#This Row],[number]]-grand[[#This Row],[received]]</f>
        <v>0</v>
      </c>
      <c r="J108" s="30"/>
      <c r="K108" s="2"/>
      <c r="L108" s="2"/>
      <c r="M108" s="2">
        <f>K108-L108</f>
        <v>0</v>
      </c>
      <c r="N108" s="2"/>
      <c r="O108" s="2"/>
      <c r="P108" s="7">
        <f>grand[[#This Row],[total weight]]/grand[[#This Row],[received]]</f>
        <v>0</v>
      </c>
      <c r="Q108" s="7">
        <f>grand[[#This Row],[receiving weight]]/grand[[#This Row],[received]]</f>
        <v>0</v>
      </c>
      <c r="R108" s="7">
        <f>grand[[#This Row],[transportation loss ]]/grand[[#This Row],[received]]</f>
        <v>0</v>
      </c>
      <c r="S108" s="7">
        <f>grand[[#This Row],[ carcass weight]]/grand[[#This Row],[received]]</f>
        <v>0</v>
      </c>
      <c r="T108" s="7">
        <f>grand[[#This Row],[ kidneys fat quantity]]/grand[[#This Row],[received]]</f>
        <v>0</v>
      </c>
      <c r="U108" s="2">
        <v>25</v>
      </c>
      <c r="V108" s="2">
        <v>0</v>
      </c>
      <c r="W108" s="2">
        <v>49.7</v>
      </c>
      <c r="X108" s="2">
        <v>10</v>
      </c>
      <c r="Y108" s="8">
        <v>8.5</v>
      </c>
      <c r="Z108" s="3"/>
      <c r="AA108" s="12">
        <f>AVERAGE((grand[[#This Row],[am]]/25),(grand[[#This Row],[pm]]/50))</f>
        <v>0.99700000000000011</v>
      </c>
      <c r="AB108" s="3"/>
      <c r="AC108" s="3">
        <f>SUM(grand[[#This Row],[am]:[meat transportation]])/100</f>
        <v>0.93200000000000005</v>
      </c>
      <c r="AD108" s="2"/>
      <c r="AE108" s="2"/>
      <c r="AF108" s="2"/>
      <c r="AG108" s="2"/>
      <c r="AH108" s="2"/>
      <c r="AI108" s="2"/>
      <c r="AJ108" s="2"/>
    </row>
    <row r="109" spans="1:36" hidden="1" x14ac:dyDescent="0.2">
      <c r="A109" s="11">
        <v>43646</v>
      </c>
      <c r="B109" s="53" t="s">
        <v>1318</v>
      </c>
      <c r="C109" s="52" t="str">
        <f>IF(MID(B109,4,2)="09","Ramadan",IF(AND(MID(B109,4,2)="12",VALUE(LEFT(B109,2))&lt;=9),"Adha Season","Normal"))</f>
        <v>Normal</v>
      </c>
      <c r="D109" s="2" t="s">
        <v>294</v>
      </c>
      <c r="E109" s="2"/>
      <c r="F109" s="4" t="s">
        <v>35</v>
      </c>
      <c r="G109" s="2">
        <v>20</v>
      </c>
      <c r="H109" s="2">
        <v>20</v>
      </c>
      <c r="I109" s="2">
        <f>grand[[#This Row],[number]]-grand[[#This Row],[received]]</f>
        <v>0</v>
      </c>
      <c r="J109" s="30"/>
      <c r="K109" s="2"/>
      <c r="L109" s="2"/>
      <c r="M109" s="2">
        <f>K109-L109</f>
        <v>0</v>
      </c>
      <c r="N109" s="2"/>
      <c r="O109" s="2"/>
      <c r="P109" s="7">
        <f>grand[[#This Row],[total weight]]/grand[[#This Row],[received]]</f>
        <v>0</v>
      </c>
      <c r="Q109" s="7">
        <f>grand[[#This Row],[receiving weight]]/grand[[#This Row],[received]]</f>
        <v>0</v>
      </c>
      <c r="R109" s="7">
        <f>grand[[#This Row],[transportation loss ]]/grand[[#This Row],[received]]</f>
        <v>0</v>
      </c>
      <c r="S109" s="7">
        <f>grand[[#This Row],[ carcass weight]]/grand[[#This Row],[received]]</f>
        <v>0</v>
      </c>
      <c r="T109" s="7">
        <f>grand[[#This Row],[ kidneys fat quantity]]/grand[[#This Row],[received]]</f>
        <v>0</v>
      </c>
      <c r="U109" s="2">
        <v>25</v>
      </c>
      <c r="V109" s="2">
        <v>0</v>
      </c>
      <c r="W109" s="2">
        <v>49.6</v>
      </c>
      <c r="X109" s="2">
        <v>10</v>
      </c>
      <c r="Y109" s="8">
        <v>8.5</v>
      </c>
      <c r="Z109" s="3"/>
      <c r="AA109" s="12">
        <f>AVERAGE((grand[[#This Row],[am]]/25),(grand[[#This Row],[pm]]/50))</f>
        <v>0.996</v>
      </c>
      <c r="AB109" s="3"/>
      <c r="AC109" s="3">
        <f>SUM(grand[[#This Row],[am]:[meat transportation]])/100</f>
        <v>0.93099999999999994</v>
      </c>
      <c r="AD109" s="2"/>
      <c r="AE109" s="2"/>
      <c r="AF109" s="2"/>
      <c r="AG109" s="2"/>
      <c r="AH109" s="2"/>
      <c r="AI109" s="2"/>
      <c r="AJ109" s="2"/>
    </row>
    <row r="110" spans="1:36" hidden="1" x14ac:dyDescent="0.2">
      <c r="A110" s="11">
        <v>43648</v>
      </c>
      <c r="B110" s="53" t="s">
        <v>1319</v>
      </c>
      <c r="C110" s="52" t="str">
        <f>IF(MID(B110,4,2)="09","Ramadan",IF(AND(MID(B110,4,2)="12",VALUE(LEFT(B110,2))&lt;=9),"Adha Season","Normal"))</f>
        <v>Normal</v>
      </c>
      <c r="D110" s="1" t="s">
        <v>45</v>
      </c>
      <c r="F110" s="4" t="s">
        <v>46</v>
      </c>
      <c r="G110" s="2">
        <v>21</v>
      </c>
      <c r="H110" s="2">
        <v>21</v>
      </c>
      <c r="I110" s="2">
        <f>grand[[#This Row],[number]]-grand[[#This Row],[received]]</f>
        <v>0</v>
      </c>
      <c r="J110" s="30"/>
      <c r="K110" s="2">
        <v>9700</v>
      </c>
      <c r="L110" s="2">
        <v>9300</v>
      </c>
      <c r="M110" s="2">
        <f>K110-L110</f>
        <v>400</v>
      </c>
      <c r="N110" s="2">
        <v>5821.9</v>
      </c>
      <c r="O110" s="2">
        <v>213</v>
      </c>
      <c r="P110" s="7">
        <f>grand[[#This Row],[total weight]]/grand[[#This Row],[received]]</f>
        <v>461.90476190476193</v>
      </c>
      <c r="Q110" s="7">
        <f>grand[[#This Row],[receiving weight]]/grand[[#This Row],[received]]</f>
        <v>442.85714285714283</v>
      </c>
      <c r="R110" s="7">
        <f>grand[[#This Row],[transportation loss ]]/grand[[#This Row],[received]]</f>
        <v>19.047619047619047</v>
      </c>
      <c r="S110" s="7">
        <f>grand[[#This Row],[ carcass weight]]/grand[[#This Row],[received]]</f>
        <v>277.23333333333329</v>
      </c>
      <c r="T110" s="7">
        <f>grand[[#This Row],[ kidneys fat quantity]]/grand[[#This Row],[received]]</f>
        <v>10.142857142857142</v>
      </c>
      <c r="U110" s="2">
        <v>25</v>
      </c>
      <c r="V110" s="2"/>
      <c r="W110" s="2">
        <v>50</v>
      </c>
      <c r="X110" s="2">
        <v>10</v>
      </c>
      <c r="Y110" s="8">
        <v>8.5</v>
      </c>
      <c r="Z110" s="3">
        <f>grand[[#This Row],[av. Transportation loss]]/grand[[#This Row],[av.total weight]]</f>
        <v>4.1237113402061855E-2</v>
      </c>
      <c r="AA110" s="12">
        <f>AVERAGE((grand[[#This Row],[am]]/25),(grand[[#This Row],[pm]]/50))</f>
        <v>1</v>
      </c>
      <c r="AB110" s="3">
        <f>grand[[#This Row],[ carcass weight]]/grand[[#This Row],[total weight]]</f>
        <v>0.60019587628865978</v>
      </c>
      <c r="AC110" s="3">
        <f>SUM(grand[[#This Row],[am]:[meat transportation]])/100</f>
        <v>0.93500000000000005</v>
      </c>
      <c r="AD110" s="2"/>
      <c r="AE110" s="2"/>
      <c r="AF110" s="2"/>
      <c r="AG110" s="2"/>
      <c r="AH110" s="2"/>
      <c r="AI110" s="2"/>
      <c r="AJ110" s="2"/>
    </row>
    <row r="111" spans="1:36" hidden="1" x14ac:dyDescent="0.2">
      <c r="A111" s="11">
        <v>43650</v>
      </c>
      <c r="B111" s="53" t="s">
        <v>1320</v>
      </c>
      <c r="C111" s="52" t="str">
        <f>IF(MID(B111,4,2)="09","Ramadan",IF(AND(MID(B111,4,2)="12",VALUE(LEFT(B111,2))&lt;=9),"Adha Season","Normal"))</f>
        <v>Normal</v>
      </c>
      <c r="D111" s="1" t="s">
        <v>45</v>
      </c>
      <c r="F111" s="4" t="s">
        <v>46</v>
      </c>
      <c r="G111" s="2">
        <v>21</v>
      </c>
      <c r="H111" s="2">
        <v>21</v>
      </c>
      <c r="I111" s="2">
        <f>grand[[#This Row],[number]]-grand[[#This Row],[received]]</f>
        <v>0</v>
      </c>
      <c r="J111" s="30"/>
      <c r="K111" s="2">
        <v>10550</v>
      </c>
      <c r="L111" s="2">
        <v>10085</v>
      </c>
      <c r="M111" s="2">
        <f>K111-L111</f>
        <v>465</v>
      </c>
      <c r="N111" s="2">
        <v>6329.5</v>
      </c>
      <c r="O111" s="2">
        <v>130.5</v>
      </c>
      <c r="P111" s="7">
        <f>grand[[#This Row],[total weight]]/grand[[#This Row],[received]]</f>
        <v>502.38095238095241</v>
      </c>
      <c r="Q111" s="7">
        <f>grand[[#This Row],[receiving weight]]/grand[[#This Row],[received]]</f>
        <v>480.23809523809524</v>
      </c>
      <c r="R111" s="7">
        <f>grand[[#This Row],[transportation loss ]]/grand[[#This Row],[received]]</f>
        <v>22.142857142857142</v>
      </c>
      <c r="S111" s="7">
        <f>grand[[#This Row],[ carcass weight]]/grand[[#This Row],[received]]</f>
        <v>301.40476190476193</v>
      </c>
      <c r="T111" s="7">
        <f>grand[[#This Row],[ kidneys fat quantity]]/grand[[#This Row],[received]]</f>
        <v>6.2142857142857144</v>
      </c>
      <c r="U111" s="2">
        <v>25</v>
      </c>
      <c r="V111" s="2"/>
      <c r="W111" s="2">
        <v>49.9</v>
      </c>
      <c r="X111" s="2">
        <v>10</v>
      </c>
      <c r="Y111" s="8">
        <v>8.5</v>
      </c>
      <c r="Z111" s="3">
        <f>grand[[#This Row],[av. Transportation loss]]/grand[[#This Row],[av.total weight]]</f>
        <v>4.4075829383886253E-2</v>
      </c>
      <c r="AA111" s="12">
        <f>AVERAGE((grand[[#This Row],[am]]/25),(grand[[#This Row],[pm]]/50))</f>
        <v>0.999</v>
      </c>
      <c r="AB111" s="3">
        <f>grand[[#This Row],[ carcass weight]]/grand[[#This Row],[total weight]]</f>
        <v>0.59995260663507111</v>
      </c>
      <c r="AC111" s="3">
        <f>SUM(grand[[#This Row],[am]:[meat transportation]])/100</f>
        <v>0.93400000000000005</v>
      </c>
      <c r="AD111" s="2"/>
      <c r="AE111" s="2"/>
      <c r="AF111" s="2"/>
      <c r="AG111" s="2"/>
      <c r="AH111" s="2"/>
      <c r="AI111" s="2"/>
      <c r="AJ111" s="2"/>
    </row>
    <row r="112" spans="1:36" hidden="1" x14ac:dyDescent="0.2">
      <c r="A112" s="11">
        <v>43650</v>
      </c>
      <c r="B112" s="53" t="s">
        <v>1320</v>
      </c>
      <c r="C112" s="52" t="str">
        <f>IF(MID(B112,4,2)="09","Ramadan",IF(AND(MID(B112,4,2)="12",VALUE(LEFT(B112,2))&lt;=9),"Adha Season","Normal"))</f>
        <v>Normal</v>
      </c>
      <c r="D112" s="2" t="s">
        <v>294</v>
      </c>
      <c r="E112" s="2"/>
      <c r="F112" s="4" t="s">
        <v>35</v>
      </c>
      <c r="G112" s="2">
        <v>30</v>
      </c>
      <c r="H112" s="2">
        <v>30</v>
      </c>
      <c r="I112" s="2">
        <f>grand[[#This Row],[number]]-grand[[#This Row],[received]]</f>
        <v>0</v>
      </c>
      <c r="J112" s="30"/>
      <c r="K112" s="2"/>
      <c r="L112" s="2"/>
      <c r="M112" s="2">
        <f>K112-L112</f>
        <v>0</v>
      </c>
      <c r="N112" s="2"/>
      <c r="O112" s="2"/>
      <c r="P112" s="7">
        <f>grand[[#This Row],[total weight]]/grand[[#This Row],[received]]</f>
        <v>0</v>
      </c>
      <c r="Q112" s="7">
        <f>grand[[#This Row],[receiving weight]]/grand[[#This Row],[received]]</f>
        <v>0</v>
      </c>
      <c r="R112" s="7">
        <f>grand[[#This Row],[transportation loss ]]/grand[[#This Row],[received]]</f>
        <v>0</v>
      </c>
      <c r="S112" s="7">
        <f>grand[[#This Row],[ carcass weight]]/grand[[#This Row],[received]]</f>
        <v>0</v>
      </c>
      <c r="T112" s="7">
        <f>grand[[#This Row],[ kidneys fat quantity]]/grand[[#This Row],[received]]</f>
        <v>0</v>
      </c>
      <c r="U112" s="2">
        <v>24</v>
      </c>
      <c r="V112" s="2">
        <v>0</v>
      </c>
      <c r="W112" s="2">
        <v>44</v>
      </c>
      <c r="X112" s="2">
        <v>10</v>
      </c>
      <c r="Y112" s="8">
        <v>8.5</v>
      </c>
      <c r="Z112" s="3"/>
      <c r="AA112" s="12">
        <f>AVERAGE((grand[[#This Row],[am]]/25),(grand[[#This Row],[pm]]/50))</f>
        <v>0.91999999999999993</v>
      </c>
      <c r="AB112" s="3"/>
      <c r="AC112" s="3">
        <f>SUM(grand[[#This Row],[am]:[meat transportation]])/100</f>
        <v>0.86499999999999999</v>
      </c>
      <c r="AD112" s="2"/>
      <c r="AE112" s="2"/>
      <c r="AF112" s="2"/>
      <c r="AG112" s="2"/>
      <c r="AH112" s="2"/>
      <c r="AI112" s="2"/>
      <c r="AJ112" s="2"/>
    </row>
    <row r="113" spans="1:36" hidden="1" x14ac:dyDescent="0.2">
      <c r="A113" s="11">
        <v>43653</v>
      </c>
      <c r="B113" s="53" t="s">
        <v>1321</v>
      </c>
      <c r="C113" s="52" t="str">
        <f>IF(MID(B113,4,2)="09","Ramadan",IF(AND(MID(B113,4,2)="12",VALUE(LEFT(B113,2))&lt;=9),"Adha Season","Normal"))</f>
        <v>Normal</v>
      </c>
      <c r="D113" s="1" t="s">
        <v>45</v>
      </c>
      <c r="F113" s="4" t="s">
        <v>46</v>
      </c>
      <c r="G113" s="2">
        <v>20</v>
      </c>
      <c r="H113" s="2">
        <v>20</v>
      </c>
      <c r="I113" s="2">
        <f>grand[[#This Row],[number]]-grand[[#This Row],[received]]</f>
        <v>0</v>
      </c>
      <c r="J113" s="30"/>
      <c r="K113" s="2">
        <v>9415</v>
      </c>
      <c r="L113" s="2">
        <v>9190</v>
      </c>
      <c r="M113" s="2">
        <f>K113-L113</f>
        <v>225</v>
      </c>
      <c r="N113" s="2">
        <v>5651.3</v>
      </c>
      <c r="O113" s="2">
        <v>209</v>
      </c>
      <c r="P113" s="7">
        <f>grand[[#This Row],[total weight]]/grand[[#This Row],[received]]</f>
        <v>470.75</v>
      </c>
      <c r="Q113" s="7">
        <f>grand[[#This Row],[receiving weight]]/grand[[#This Row],[received]]</f>
        <v>459.5</v>
      </c>
      <c r="R113" s="7">
        <f>grand[[#This Row],[transportation loss ]]/grand[[#This Row],[received]]</f>
        <v>11.25</v>
      </c>
      <c r="S113" s="7">
        <f>grand[[#This Row],[ carcass weight]]/grand[[#This Row],[received]]</f>
        <v>282.565</v>
      </c>
      <c r="T113" s="7">
        <f>grand[[#This Row],[ kidneys fat quantity]]/grand[[#This Row],[received]]</f>
        <v>10.45</v>
      </c>
      <c r="U113" s="2">
        <v>25</v>
      </c>
      <c r="V113" s="2"/>
      <c r="W113" s="2">
        <v>49.9</v>
      </c>
      <c r="X113" s="2">
        <v>10</v>
      </c>
      <c r="Y113" s="8">
        <v>8.5</v>
      </c>
      <c r="Z113" s="3">
        <f>grand[[#This Row],[av. Transportation loss]]/grand[[#This Row],[av.total weight]]</f>
        <v>2.3898035050451408E-2</v>
      </c>
      <c r="AA113" s="12">
        <f>AVERAGE((grand[[#This Row],[am]]/25),(grand[[#This Row],[pm]]/50))</f>
        <v>0.999</v>
      </c>
      <c r="AB113" s="3">
        <f>grand[[#This Row],[ carcass weight]]/grand[[#This Row],[total weight]]</f>
        <v>0.60024429102496024</v>
      </c>
      <c r="AC113" s="3">
        <f>SUM(grand[[#This Row],[am]:[meat transportation]])/100</f>
        <v>0.93400000000000005</v>
      </c>
      <c r="AD113" s="2"/>
      <c r="AE113" s="2"/>
      <c r="AF113" s="2"/>
      <c r="AG113" s="2"/>
      <c r="AH113" s="2"/>
      <c r="AI113" s="2"/>
      <c r="AJ113" s="2"/>
    </row>
    <row r="114" spans="1:36" hidden="1" x14ac:dyDescent="0.2">
      <c r="A114" s="11">
        <v>43653</v>
      </c>
      <c r="B114" s="53" t="s">
        <v>1321</v>
      </c>
      <c r="C114" s="52" t="str">
        <f>IF(MID(B114,4,2)="09","Ramadan",IF(AND(MID(B114,4,2)="12",VALUE(LEFT(B114,2))&lt;=9),"Adha Season","Normal"))</f>
        <v>Normal</v>
      </c>
      <c r="D114" s="2" t="s">
        <v>294</v>
      </c>
      <c r="E114" s="2"/>
      <c r="F114" s="4" t="s">
        <v>35</v>
      </c>
      <c r="G114" s="2">
        <v>33</v>
      </c>
      <c r="H114" s="2">
        <v>33</v>
      </c>
      <c r="I114" s="2">
        <f>grand[[#This Row],[number]]-grand[[#This Row],[received]]</f>
        <v>0</v>
      </c>
      <c r="J114" s="30"/>
      <c r="K114" s="2"/>
      <c r="L114" s="2"/>
      <c r="M114" s="2">
        <f>K114-L114</f>
        <v>0</v>
      </c>
      <c r="N114" s="2"/>
      <c r="O114" s="2"/>
      <c r="P114" s="7">
        <f>grand[[#This Row],[total weight]]/grand[[#This Row],[received]]</f>
        <v>0</v>
      </c>
      <c r="Q114" s="7">
        <f>grand[[#This Row],[receiving weight]]/grand[[#This Row],[received]]</f>
        <v>0</v>
      </c>
      <c r="R114" s="7">
        <f>grand[[#This Row],[transportation loss ]]/grand[[#This Row],[received]]</f>
        <v>0</v>
      </c>
      <c r="S114" s="7">
        <f>grand[[#This Row],[ carcass weight]]/grand[[#This Row],[received]]</f>
        <v>0</v>
      </c>
      <c r="T114" s="7">
        <f>grand[[#This Row],[ kidneys fat quantity]]/grand[[#This Row],[received]]</f>
        <v>0</v>
      </c>
      <c r="U114" s="2">
        <v>24</v>
      </c>
      <c r="V114" s="2">
        <v>0</v>
      </c>
      <c r="W114" s="2">
        <v>49.9</v>
      </c>
      <c r="X114" s="2">
        <v>10</v>
      </c>
      <c r="Y114" s="8">
        <v>8.5</v>
      </c>
      <c r="Z114" s="3"/>
      <c r="AA114" s="12">
        <f>AVERAGE((grand[[#This Row],[am]]/25),(grand[[#This Row],[pm]]/50))</f>
        <v>0.97899999999999998</v>
      </c>
      <c r="AB114" s="3"/>
      <c r="AC114" s="3">
        <f>SUM(grand[[#This Row],[am]:[meat transportation]])/100</f>
        <v>0.92400000000000004</v>
      </c>
      <c r="AD114" s="2"/>
      <c r="AE114" s="2"/>
      <c r="AF114" s="2"/>
      <c r="AG114" s="2"/>
      <c r="AH114" s="2"/>
      <c r="AI114" s="2"/>
      <c r="AJ114" s="2"/>
    </row>
    <row r="115" spans="1:36" hidden="1" x14ac:dyDescent="0.2">
      <c r="A115" s="11">
        <v>43655</v>
      </c>
      <c r="B115" s="53" t="s">
        <v>1322</v>
      </c>
      <c r="C115" s="52" t="str">
        <f>IF(MID(B115,4,2)="09","Ramadan",IF(AND(MID(B115,4,2)="12",VALUE(LEFT(B115,2))&lt;=9),"Adha Season","Normal"))</f>
        <v>Normal</v>
      </c>
      <c r="D115" s="1" t="s">
        <v>45</v>
      </c>
      <c r="F115" s="4" t="s">
        <v>39</v>
      </c>
      <c r="G115" s="2">
        <v>18</v>
      </c>
      <c r="H115" s="2">
        <v>18</v>
      </c>
      <c r="I115" s="2">
        <f>grand[[#This Row],[number]]-grand[[#This Row],[received]]</f>
        <v>0</v>
      </c>
      <c r="J115" s="30"/>
      <c r="K115" s="2">
        <v>7363</v>
      </c>
      <c r="L115" s="2">
        <v>6970</v>
      </c>
      <c r="M115" s="2">
        <f>K115-L115</f>
        <v>393</v>
      </c>
      <c r="N115" s="2">
        <v>4566.5</v>
      </c>
      <c r="O115" s="2">
        <v>119</v>
      </c>
      <c r="P115" s="7">
        <f>grand[[#This Row],[total weight]]/grand[[#This Row],[received]]</f>
        <v>409.05555555555554</v>
      </c>
      <c r="Q115" s="7">
        <f>grand[[#This Row],[receiving weight]]/grand[[#This Row],[received]]</f>
        <v>387.22222222222223</v>
      </c>
      <c r="R115" s="7">
        <f>grand[[#This Row],[transportation loss ]]/grand[[#This Row],[received]]</f>
        <v>21.833333333333332</v>
      </c>
      <c r="S115" s="7">
        <f>grand[[#This Row],[ carcass weight]]/grand[[#This Row],[received]]</f>
        <v>253.69444444444446</v>
      </c>
      <c r="T115" s="7">
        <f>grand[[#This Row],[ kidneys fat quantity]]/grand[[#This Row],[received]]</f>
        <v>6.6111111111111107</v>
      </c>
      <c r="U115" s="2">
        <v>25</v>
      </c>
      <c r="V115" s="2"/>
      <c r="W115" s="2">
        <v>49.9</v>
      </c>
      <c r="X115" s="2">
        <v>8</v>
      </c>
      <c r="Y115" s="8">
        <v>7</v>
      </c>
      <c r="Z115" s="3">
        <f>grand[[#This Row],[av. Transportation loss]]/grand[[#This Row],[av.total weight]]</f>
        <v>5.3374983023224229E-2</v>
      </c>
      <c r="AA115" s="12">
        <f>AVERAGE((grand[[#This Row],[am]]/25),(grand[[#This Row],[pm]]/50))</f>
        <v>0.999</v>
      </c>
      <c r="AB115" s="3">
        <f>grand[[#This Row],[ carcass weight]]/grand[[#This Row],[total weight]]</f>
        <v>0.62019557245687895</v>
      </c>
      <c r="AC115" s="3">
        <f>SUM(grand[[#This Row],[am]:[meat transportation]])/100</f>
        <v>0.89900000000000002</v>
      </c>
      <c r="AD115" s="2"/>
      <c r="AE115" s="2"/>
      <c r="AF115" s="2"/>
      <c r="AG115" s="2"/>
      <c r="AH115" s="2"/>
      <c r="AI115" s="2"/>
      <c r="AJ115" s="2"/>
    </row>
    <row r="116" spans="1:36" hidden="1" x14ac:dyDescent="0.2">
      <c r="A116" s="11">
        <v>43660</v>
      </c>
      <c r="B116" s="53" t="s">
        <v>1324</v>
      </c>
      <c r="C116" s="52" t="str">
        <f>IF(MID(B116,4,2)="09","Ramadan",IF(AND(MID(B116,4,2)="12",VALUE(LEFT(B116,2))&lt;=9),"Adha Season","Normal"))</f>
        <v>Normal</v>
      </c>
      <c r="D116" s="1" t="s">
        <v>45</v>
      </c>
      <c r="F116" s="4" t="s">
        <v>46</v>
      </c>
      <c r="G116" s="2">
        <v>23</v>
      </c>
      <c r="H116" s="2">
        <v>23</v>
      </c>
      <c r="I116" s="2">
        <f>grand[[#This Row],[number]]-grand[[#This Row],[received]]</f>
        <v>0</v>
      </c>
      <c r="J116" s="30"/>
      <c r="K116" s="2">
        <v>11310</v>
      </c>
      <c r="L116" s="2">
        <v>10870</v>
      </c>
      <c r="M116" s="2">
        <f>K116-L116</f>
        <v>440</v>
      </c>
      <c r="N116" s="2">
        <v>6802.15</v>
      </c>
      <c r="O116" s="2">
        <v>202</v>
      </c>
      <c r="P116" s="7">
        <f>grand[[#This Row],[total weight]]/grand[[#This Row],[received]]</f>
        <v>491.73913043478262</v>
      </c>
      <c r="Q116" s="7">
        <f>grand[[#This Row],[receiving weight]]/grand[[#This Row],[received]]</f>
        <v>472.60869565217394</v>
      </c>
      <c r="R116" s="7">
        <f>grand[[#This Row],[transportation loss ]]/grand[[#This Row],[received]]</f>
        <v>19.130434782608695</v>
      </c>
      <c r="S116" s="7">
        <f>grand[[#This Row],[ carcass weight]]/grand[[#This Row],[received]]</f>
        <v>295.74565217391302</v>
      </c>
      <c r="T116" s="7">
        <f>grand[[#This Row],[ kidneys fat quantity]]/grand[[#This Row],[received]]</f>
        <v>8.7826086956521738</v>
      </c>
      <c r="U116" s="2">
        <v>24</v>
      </c>
      <c r="V116" s="2"/>
      <c r="W116" s="2">
        <v>49.6</v>
      </c>
      <c r="X116" s="2">
        <v>10</v>
      </c>
      <c r="Y116" s="8">
        <v>8.5</v>
      </c>
      <c r="Z116" s="3">
        <f>grand[[#This Row],[av. Transportation loss]]/grand[[#This Row],[av.total weight]]</f>
        <v>3.8903625110521659E-2</v>
      </c>
      <c r="AA116" s="12">
        <f>AVERAGE((grand[[#This Row],[am]]/25),(grand[[#This Row],[pm]]/50))</f>
        <v>0.97599999999999998</v>
      </c>
      <c r="AB116" s="3">
        <f>grand[[#This Row],[ carcass weight]]/grand[[#This Row],[total weight]]</f>
        <v>0.60142793987621568</v>
      </c>
      <c r="AC116" s="3">
        <f>SUM(grand[[#This Row],[am]:[meat transportation]])/100</f>
        <v>0.92099999999999993</v>
      </c>
      <c r="AD116" s="2"/>
      <c r="AE116" s="2"/>
      <c r="AF116" s="2"/>
      <c r="AG116" s="2"/>
      <c r="AH116" s="2"/>
      <c r="AI116" s="2"/>
      <c r="AJ116" s="2"/>
    </row>
    <row r="117" spans="1:36" hidden="1" x14ac:dyDescent="0.2">
      <c r="A117" s="11">
        <v>43660</v>
      </c>
      <c r="B117" s="53" t="s">
        <v>1324</v>
      </c>
      <c r="C117" s="52" t="str">
        <f>IF(MID(B117,4,2)="09","Ramadan",IF(AND(MID(B117,4,2)="12",VALUE(LEFT(B117,2))&lt;=9),"Adha Season","Normal"))</f>
        <v>Normal</v>
      </c>
      <c r="D117" s="2" t="s">
        <v>294</v>
      </c>
      <c r="E117" s="2"/>
      <c r="F117" s="4" t="s">
        <v>46</v>
      </c>
      <c r="G117" s="2">
        <v>30</v>
      </c>
      <c r="H117" s="2">
        <v>30</v>
      </c>
      <c r="I117" s="2">
        <f>grand[[#This Row],[number]]-grand[[#This Row],[received]]</f>
        <v>0</v>
      </c>
      <c r="J117" s="30"/>
      <c r="K117" s="2"/>
      <c r="L117" s="2"/>
      <c r="M117" s="2">
        <f>K117-L117</f>
        <v>0</v>
      </c>
      <c r="N117" s="2"/>
      <c r="O117" s="2"/>
      <c r="P117" s="7">
        <f>grand[[#This Row],[total weight]]/grand[[#This Row],[received]]</f>
        <v>0</v>
      </c>
      <c r="Q117" s="7">
        <f>grand[[#This Row],[receiving weight]]/grand[[#This Row],[received]]</f>
        <v>0</v>
      </c>
      <c r="R117" s="7">
        <f>grand[[#This Row],[transportation loss ]]/grand[[#This Row],[received]]</f>
        <v>0</v>
      </c>
      <c r="S117" s="7">
        <f>grand[[#This Row],[ carcass weight]]/grand[[#This Row],[received]]</f>
        <v>0</v>
      </c>
      <c r="T117" s="7">
        <f>grand[[#This Row],[ kidneys fat quantity]]/grand[[#This Row],[received]]</f>
        <v>0</v>
      </c>
      <c r="U117" s="2">
        <v>24</v>
      </c>
      <c r="V117" s="2">
        <v>0</v>
      </c>
      <c r="W117" s="2">
        <v>49.3</v>
      </c>
      <c r="X117" s="2">
        <v>10</v>
      </c>
      <c r="Y117" s="8">
        <v>8.5</v>
      </c>
      <c r="Z117" s="3"/>
      <c r="AA117" s="12">
        <f>AVERAGE((grand[[#This Row],[am]]/25),(grand[[#This Row],[pm]]/50))</f>
        <v>0.97299999999999998</v>
      </c>
      <c r="AB117" s="3"/>
      <c r="AC117" s="3">
        <f>SUM(grand[[#This Row],[am]:[meat transportation]])/100</f>
        <v>0.91799999999999993</v>
      </c>
      <c r="AD117" s="2"/>
      <c r="AE117" s="2"/>
      <c r="AF117" s="2"/>
      <c r="AG117" s="2"/>
      <c r="AH117" s="2"/>
      <c r="AI117" s="2"/>
      <c r="AJ117" s="2"/>
    </row>
    <row r="118" spans="1:36" hidden="1" x14ac:dyDescent="0.2">
      <c r="A118" s="11">
        <v>43664</v>
      </c>
      <c r="B118" s="53" t="s">
        <v>1326</v>
      </c>
      <c r="C118" s="52" t="str">
        <f>IF(MID(B118,4,2)="09","Ramadan",IF(AND(MID(B118,4,2)="12",VALUE(LEFT(B118,2))&lt;=9),"Adha Season","Normal"))</f>
        <v>Normal</v>
      </c>
      <c r="D118" s="2" t="s">
        <v>294</v>
      </c>
      <c r="E118" s="2"/>
      <c r="F118" s="4" t="s">
        <v>35</v>
      </c>
      <c r="G118" s="2">
        <v>20</v>
      </c>
      <c r="H118" s="2">
        <v>20</v>
      </c>
      <c r="I118" s="2">
        <f>grand[[#This Row],[number]]-grand[[#This Row],[received]]</f>
        <v>0</v>
      </c>
      <c r="J118" s="30"/>
      <c r="K118" s="2"/>
      <c r="L118" s="2"/>
      <c r="M118" s="2">
        <f>K118-L118</f>
        <v>0</v>
      </c>
      <c r="N118" s="2"/>
      <c r="O118" s="2"/>
      <c r="P118" s="7">
        <f>grand[[#This Row],[total weight]]/grand[[#This Row],[received]]</f>
        <v>0</v>
      </c>
      <c r="Q118" s="7">
        <f>grand[[#This Row],[receiving weight]]/grand[[#This Row],[received]]</f>
        <v>0</v>
      </c>
      <c r="R118" s="7">
        <f>grand[[#This Row],[transportation loss ]]/grand[[#This Row],[received]]</f>
        <v>0</v>
      </c>
      <c r="S118" s="7">
        <f>grand[[#This Row],[ carcass weight]]/grand[[#This Row],[received]]</f>
        <v>0</v>
      </c>
      <c r="T118" s="7">
        <f>grand[[#This Row],[ kidneys fat quantity]]/grand[[#This Row],[received]]</f>
        <v>0</v>
      </c>
      <c r="U118" s="2">
        <v>25</v>
      </c>
      <c r="V118" s="2">
        <v>0</v>
      </c>
      <c r="W118" s="2">
        <v>50</v>
      </c>
      <c r="X118" s="2">
        <v>10</v>
      </c>
      <c r="Y118" s="8">
        <v>8.5</v>
      </c>
      <c r="Z118" s="3"/>
      <c r="AA118" s="12">
        <f>AVERAGE((grand[[#This Row],[am]]/25),(grand[[#This Row],[pm]]/50))</f>
        <v>1</v>
      </c>
      <c r="AB118" s="3"/>
      <c r="AC118" s="3">
        <f>SUM(grand[[#This Row],[am]:[meat transportation]])/100</f>
        <v>0.93500000000000005</v>
      </c>
      <c r="AD118" s="2"/>
      <c r="AE118" s="2"/>
      <c r="AF118" s="2"/>
      <c r="AG118" s="2"/>
      <c r="AH118" s="2"/>
      <c r="AI118" s="2"/>
      <c r="AJ118" s="2"/>
    </row>
    <row r="119" spans="1:36" hidden="1" x14ac:dyDescent="0.2">
      <c r="A119" s="11">
        <v>43667</v>
      </c>
      <c r="B119" s="53" t="s">
        <v>1327</v>
      </c>
      <c r="C119" s="52" t="str">
        <f>IF(MID(B119,4,2)="09","Ramadan",IF(AND(MID(B119,4,2)="12",VALUE(LEFT(B119,2))&lt;=9),"Adha Season","Normal"))</f>
        <v>Normal</v>
      </c>
      <c r="D119" s="1" t="s">
        <v>45</v>
      </c>
      <c r="F119" s="4" t="s">
        <v>46</v>
      </c>
      <c r="G119" s="2">
        <v>22</v>
      </c>
      <c r="H119" s="2">
        <v>22</v>
      </c>
      <c r="I119" s="2">
        <f>grand[[#This Row],[number]]-grand[[#This Row],[received]]</f>
        <v>0</v>
      </c>
      <c r="J119" s="30"/>
      <c r="K119" s="2">
        <v>10245</v>
      </c>
      <c r="L119" s="2">
        <v>9635</v>
      </c>
      <c r="M119" s="2">
        <f>K119-L119</f>
        <v>610</v>
      </c>
      <c r="N119" s="2">
        <v>6175</v>
      </c>
      <c r="O119" s="2">
        <v>208</v>
      </c>
      <c r="P119" s="7">
        <f>grand[[#This Row],[total weight]]/grand[[#This Row],[received]]</f>
        <v>465.68181818181819</v>
      </c>
      <c r="Q119" s="7">
        <f>grand[[#This Row],[receiving weight]]/grand[[#This Row],[received]]</f>
        <v>437.95454545454544</v>
      </c>
      <c r="R119" s="7">
        <f>grand[[#This Row],[transportation loss ]]/grand[[#This Row],[received]]</f>
        <v>27.727272727272727</v>
      </c>
      <c r="S119" s="7">
        <f>grand[[#This Row],[ carcass weight]]/grand[[#This Row],[received]]</f>
        <v>280.68181818181819</v>
      </c>
      <c r="T119" s="7">
        <f>grand[[#This Row],[ kidneys fat quantity]]/grand[[#This Row],[received]]</f>
        <v>9.454545454545455</v>
      </c>
      <c r="U119" s="2">
        <v>25</v>
      </c>
      <c r="V119" s="2"/>
      <c r="W119" s="2">
        <v>49.6</v>
      </c>
      <c r="X119" s="2">
        <v>9.5</v>
      </c>
      <c r="Y119" s="8">
        <v>8.5</v>
      </c>
      <c r="Z119" s="3">
        <f>grand[[#This Row],[av. Transportation loss]]/grand[[#This Row],[av.total weight]]</f>
        <v>5.9541239629087354E-2</v>
      </c>
      <c r="AA119" s="12">
        <f>AVERAGE((grand[[#This Row],[am]]/25),(grand[[#This Row],[pm]]/50))</f>
        <v>0.996</v>
      </c>
      <c r="AB119" s="3">
        <f>grand[[#This Row],[ carcass weight]]/grand[[#This Row],[total weight]]</f>
        <v>0.60273304050756471</v>
      </c>
      <c r="AC119" s="3">
        <f>SUM(grand[[#This Row],[am]:[meat transportation]])/100</f>
        <v>0.92599999999999993</v>
      </c>
      <c r="AD119" s="2"/>
      <c r="AE119" s="2"/>
      <c r="AF119" s="2"/>
      <c r="AG119" s="2"/>
      <c r="AH119" s="2"/>
      <c r="AI119" s="2"/>
      <c r="AJ119" s="2"/>
    </row>
    <row r="120" spans="1:36" hidden="1" x14ac:dyDescent="0.2">
      <c r="A120" s="11">
        <v>43669</v>
      </c>
      <c r="B120" s="53" t="s">
        <v>1328</v>
      </c>
      <c r="C120" s="52" t="str">
        <f>IF(MID(B120,4,2)="09","Ramadan",IF(AND(MID(B120,4,2)="12",VALUE(LEFT(B120,2))&lt;=9),"Adha Season","Normal"))</f>
        <v>Normal</v>
      </c>
      <c r="D120" s="1" t="s">
        <v>45</v>
      </c>
      <c r="F120" s="4" t="s">
        <v>39</v>
      </c>
      <c r="G120" s="2">
        <v>23</v>
      </c>
      <c r="H120" s="2">
        <v>23</v>
      </c>
      <c r="I120" s="2">
        <f>grand[[#This Row],[number]]-grand[[#This Row],[received]]</f>
        <v>0</v>
      </c>
      <c r="J120" s="30"/>
      <c r="K120" s="2">
        <v>8942</v>
      </c>
      <c r="L120" s="2">
        <v>8390</v>
      </c>
      <c r="M120" s="2">
        <f>K120-L120</f>
        <v>552</v>
      </c>
      <c r="N120" s="2">
        <v>5418.25</v>
      </c>
      <c r="O120" s="2">
        <v>163</v>
      </c>
      <c r="P120" s="7">
        <f>grand[[#This Row],[total weight]]/grand[[#This Row],[received]]</f>
        <v>388.78260869565219</v>
      </c>
      <c r="Q120" s="7">
        <f>grand[[#This Row],[receiving weight]]/grand[[#This Row],[received]]</f>
        <v>364.78260869565219</v>
      </c>
      <c r="R120" s="7">
        <f>grand[[#This Row],[transportation loss ]]/grand[[#This Row],[received]]</f>
        <v>24</v>
      </c>
      <c r="S120" s="7">
        <f>grand[[#This Row],[ carcass weight]]/grand[[#This Row],[received]]</f>
        <v>235.57608695652175</v>
      </c>
      <c r="T120" s="7">
        <f>grand[[#This Row],[ kidneys fat quantity]]/grand[[#This Row],[received]]</f>
        <v>7.0869565217391308</v>
      </c>
      <c r="U120" s="2">
        <v>20</v>
      </c>
      <c r="V120" s="2"/>
      <c r="W120" s="2">
        <v>48.9</v>
      </c>
      <c r="X120" s="2">
        <v>8</v>
      </c>
      <c r="Y120" s="8">
        <v>8.5</v>
      </c>
      <c r="Z120" s="3">
        <f>grand[[#This Row],[av. Transportation loss]]/grand[[#This Row],[av.total weight]]</f>
        <v>6.173115634086334E-2</v>
      </c>
      <c r="AA120" s="12">
        <f>AVERAGE((grand[[#This Row],[am]]/25),(grand[[#This Row],[pm]]/50))</f>
        <v>0.88900000000000001</v>
      </c>
      <c r="AB120" s="3">
        <f>grand[[#This Row],[ carcass weight]]/grand[[#This Row],[total weight]]</f>
        <v>0.60593267725341082</v>
      </c>
      <c r="AC120" s="3">
        <f>SUM(grand[[#This Row],[am]:[meat transportation]])/100</f>
        <v>0.85400000000000009</v>
      </c>
      <c r="AD120" s="2"/>
      <c r="AE120" s="2"/>
      <c r="AF120" s="2"/>
      <c r="AG120" s="2"/>
      <c r="AH120" s="2"/>
      <c r="AI120" s="2"/>
      <c r="AJ120" s="2"/>
    </row>
    <row r="121" spans="1:36" hidden="1" x14ac:dyDescent="0.2">
      <c r="A121" s="11">
        <v>43669</v>
      </c>
      <c r="B121" s="53" t="s">
        <v>1328</v>
      </c>
      <c r="C121" s="52" t="str">
        <f>IF(MID(B121,4,2)="09","Ramadan",IF(AND(MID(B121,4,2)="12",VALUE(LEFT(B121,2))&lt;=9),"Adha Season","Normal"))</f>
        <v>Normal</v>
      </c>
      <c r="D121" s="2" t="s">
        <v>294</v>
      </c>
      <c r="E121" s="2"/>
      <c r="F121" s="4" t="s">
        <v>35</v>
      </c>
      <c r="G121" s="2">
        <v>31</v>
      </c>
      <c r="H121" s="2">
        <v>31</v>
      </c>
      <c r="I121" s="2">
        <f>grand[[#This Row],[number]]-grand[[#This Row],[received]]</f>
        <v>0</v>
      </c>
      <c r="J121" s="30"/>
      <c r="K121" s="2"/>
      <c r="L121" s="2"/>
      <c r="M121" s="2">
        <f>K121-L121</f>
        <v>0</v>
      </c>
      <c r="N121" s="2"/>
      <c r="O121" s="2"/>
      <c r="P121" s="7">
        <f>grand[[#This Row],[total weight]]/grand[[#This Row],[received]]</f>
        <v>0</v>
      </c>
      <c r="Q121" s="7">
        <f>grand[[#This Row],[receiving weight]]/grand[[#This Row],[received]]</f>
        <v>0</v>
      </c>
      <c r="R121" s="7">
        <f>grand[[#This Row],[transportation loss ]]/grand[[#This Row],[received]]</f>
        <v>0</v>
      </c>
      <c r="S121" s="7">
        <f>grand[[#This Row],[ carcass weight]]/grand[[#This Row],[received]]</f>
        <v>0</v>
      </c>
      <c r="T121" s="7">
        <f>grand[[#This Row],[ kidneys fat quantity]]/grand[[#This Row],[received]]</f>
        <v>0</v>
      </c>
      <c r="U121" s="2">
        <v>25</v>
      </c>
      <c r="V121" s="2">
        <v>0</v>
      </c>
      <c r="W121" s="2">
        <v>50</v>
      </c>
      <c r="X121" s="2">
        <v>10</v>
      </c>
      <c r="Y121" s="8">
        <v>8.5</v>
      </c>
      <c r="Z121" s="3"/>
      <c r="AA121" s="12">
        <f>AVERAGE((grand[[#This Row],[am]]/25),(grand[[#This Row],[pm]]/50))</f>
        <v>1</v>
      </c>
      <c r="AB121" s="3"/>
      <c r="AC121" s="3">
        <f>SUM(grand[[#This Row],[am]:[meat transportation]])/100</f>
        <v>0.93500000000000005</v>
      </c>
      <c r="AD121" s="2"/>
      <c r="AE121" s="2"/>
      <c r="AF121" s="2"/>
      <c r="AG121" s="2"/>
      <c r="AH121" s="2"/>
      <c r="AI121" s="2"/>
      <c r="AJ121" s="2"/>
    </row>
    <row r="122" spans="1:36" hidden="1" x14ac:dyDescent="0.2">
      <c r="A122" s="11">
        <v>43674</v>
      </c>
      <c r="B122" s="53" t="s">
        <v>1330</v>
      </c>
      <c r="C122" s="52" t="str">
        <f>IF(MID(B122,4,2)="09","Ramadan",IF(AND(MID(B122,4,2)="12",VALUE(LEFT(B122,2))&lt;=9),"Adha Season","Normal"))</f>
        <v>Normal</v>
      </c>
      <c r="D122" s="1" t="s">
        <v>45</v>
      </c>
      <c r="F122" s="4" t="s">
        <v>46</v>
      </c>
      <c r="G122" s="2">
        <v>22</v>
      </c>
      <c r="H122" s="2">
        <v>22</v>
      </c>
      <c r="I122" s="2">
        <f>grand[[#This Row],[number]]-grand[[#This Row],[received]]</f>
        <v>0</v>
      </c>
      <c r="J122" s="30"/>
      <c r="K122" s="2">
        <v>10540</v>
      </c>
      <c r="L122" s="2">
        <v>9990</v>
      </c>
      <c r="M122" s="2">
        <f>K122-L122</f>
        <v>550</v>
      </c>
      <c r="N122" s="2">
        <v>6326.5</v>
      </c>
      <c r="O122" s="2">
        <v>203</v>
      </c>
      <c r="P122" s="7">
        <f>grand[[#This Row],[total weight]]/grand[[#This Row],[received]]</f>
        <v>479.09090909090907</v>
      </c>
      <c r="Q122" s="7">
        <f>grand[[#This Row],[receiving weight]]/grand[[#This Row],[received]]</f>
        <v>454.09090909090907</v>
      </c>
      <c r="R122" s="7">
        <f>grand[[#This Row],[transportation loss ]]/grand[[#This Row],[received]]</f>
        <v>25</v>
      </c>
      <c r="S122" s="7">
        <f>grand[[#This Row],[ carcass weight]]/grand[[#This Row],[received]]</f>
        <v>287.56818181818181</v>
      </c>
      <c r="T122" s="7">
        <f>grand[[#This Row],[ kidneys fat quantity]]/grand[[#This Row],[received]]</f>
        <v>9.2272727272727266</v>
      </c>
      <c r="U122" s="2">
        <v>23</v>
      </c>
      <c r="V122" s="2"/>
      <c r="W122" s="2">
        <v>49.9</v>
      </c>
      <c r="X122" s="2">
        <v>10</v>
      </c>
      <c r="Y122" s="8">
        <v>8.5</v>
      </c>
      <c r="Z122" s="3">
        <f>grand[[#This Row],[av. Transportation loss]]/grand[[#This Row],[av.total weight]]</f>
        <v>5.218216318785579E-2</v>
      </c>
      <c r="AA122" s="12">
        <f>AVERAGE((grand[[#This Row],[am]]/25),(grand[[#This Row],[pm]]/50))</f>
        <v>0.95900000000000007</v>
      </c>
      <c r="AB122" s="3">
        <f>grand[[#This Row],[ carcass weight]]/grand[[#This Row],[total weight]]</f>
        <v>0.60023719165085387</v>
      </c>
      <c r="AC122" s="3">
        <f>SUM(grand[[#This Row],[am]:[meat transportation]])/100</f>
        <v>0.91400000000000003</v>
      </c>
      <c r="AD122" s="2"/>
      <c r="AE122" s="2"/>
      <c r="AF122" s="2"/>
      <c r="AG122" s="2"/>
      <c r="AH122" s="2"/>
      <c r="AI122" s="2"/>
      <c r="AJ122" s="2"/>
    </row>
    <row r="123" spans="1:36" hidden="1" x14ac:dyDescent="0.2">
      <c r="A123" s="11">
        <v>43674</v>
      </c>
      <c r="B123" s="53" t="s">
        <v>1330</v>
      </c>
      <c r="C123" s="52" t="str">
        <f>IF(MID(B123,4,2)="09","Ramadan",IF(AND(MID(B123,4,2)="12",VALUE(LEFT(B123,2))&lt;=9),"Adha Season","Normal"))</f>
        <v>Normal</v>
      </c>
      <c r="D123" s="2" t="s">
        <v>294</v>
      </c>
      <c r="E123" s="2"/>
      <c r="F123" s="4" t="s">
        <v>35</v>
      </c>
      <c r="G123" s="2">
        <v>25</v>
      </c>
      <c r="H123" s="2">
        <v>25</v>
      </c>
      <c r="I123" s="2">
        <f>grand[[#This Row],[number]]-grand[[#This Row],[received]]</f>
        <v>0</v>
      </c>
      <c r="J123" s="30"/>
      <c r="K123" s="2"/>
      <c r="L123" s="2"/>
      <c r="M123" s="2">
        <f>K123-L123</f>
        <v>0</v>
      </c>
      <c r="N123" s="2"/>
      <c r="O123" s="2"/>
      <c r="P123" s="7">
        <f>grand[[#This Row],[total weight]]/grand[[#This Row],[received]]</f>
        <v>0</v>
      </c>
      <c r="Q123" s="7">
        <f>grand[[#This Row],[receiving weight]]/grand[[#This Row],[received]]</f>
        <v>0</v>
      </c>
      <c r="R123" s="7">
        <f>grand[[#This Row],[transportation loss ]]/grand[[#This Row],[received]]</f>
        <v>0</v>
      </c>
      <c r="S123" s="7">
        <f>grand[[#This Row],[ carcass weight]]/grand[[#This Row],[received]]</f>
        <v>0</v>
      </c>
      <c r="T123" s="7">
        <f>grand[[#This Row],[ kidneys fat quantity]]/grand[[#This Row],[received]]</f>
        <v>0</v>
      </c>
      <c r="U123" s="2">
        <v>25</v>
      </c>
      <c r="V123" s="2">
        <v>0</v>
      </c>
      <c r="W123" s="2">
        <v>49.1</v>
      </c>
      <c r="X123" s="2">
        <v>10</v>
      </c>
      <c r="Y123" s="8">
        <v>8.5</v>
      </c>
      <c r="Z123" s="3"/>
      <c r="AA123" s="12">
        <f>AVERAGE((grand[[#This Row],[am]]/25),(grand[[#This Row],[pm]]/50))</f>
        <v>0.99099999999999999</v>
      </c>
      <c r="AB123" s="3"/>
      <c r="AC123" s="3">
        <f>SUM(grand[[#This Row],[am]:[meat transportation]])/100</f>
        <v>0.92599999999999993</v>
      </c>
      <c r="AD123" s="2"/>
      <c r="AE123" s="2"/>
      <c r="AF123" s="2"/>
      <c r="AG123" s="2"/>
      <c r="AH123" s="2"/>
      <c r="AI123" s="2"/>
      <c r="AJ123" s="2"/>
    </row>
    <row r="124" spans="1:36" hidden="1" x14ac:dyDescent="0.2">
      <c r="A124" s="11">
        <v>43676</v>
      </c>
      <c r="B124" s="53" t="s">
        <v>1331</v>
      </c>
      <c r="C124" s="52" t="str">
        <f>IF(MID(B124,4,2)="09","Ramadan",IF(AND(MID(B124,4,2)="12",VALUE(LEFT(B124,2))&lt;=9),"Adha Season","Normal"))</f>
        <v>Normal</v>
      </c>
      <c r="D124" s="1" t="s">
        <v>45</v>
      </c>
      <c r="F124" s="4" t="s">
        <v>39</v>
      </c>
      <c r="G124" s="2">
        <v>22</v>
      </c>
      <c r="H124" s="2">
        <v>22</v>
      </c>
      <c r="I124" s="2">
        <f>grand[[#This Row],[number]]-grand[[#This Row],[received]]</f>
        <v>0</v>
      </c>
      <c r="J124" s="30"/>
      <c r="K124" s="2">
        <v>8671</v>
      </c>
      <c r="L124" s="2">
        <v>8255</v>
      </c>
      <c r="M124" s="2">
        <f>K124-L124</f>
        <v>416</v>
      </c>
      <c r="N124" s="2">
        <v>5277.5</v>
      </c>
      <c r="O124" s="2">
        <v>160</v>
      </c>
      <c r="P124" s="7">
        <f>grand[[#This Row],[total weight]]/grand[[#This Row],[received]]</f>
        <v>394.13636363636363</v>
      </c>
      <c r="Q124" s="7">
        <f>grand[[#This Row],[receiving weight]]/grand[[#This Row],[received]]</f>
        <v>375.22727272727275</v>
      </c>
      <c r="R124" s="7">
        <f>grand[[#This Row],[transportation loss ]]/grand[[#This Row],[received]]</f>
        <v>18.90909090909091</v>
      </c>
      <c r="S124" s="7">
        <f>grand[[#This Row],[ carcass weight]]/grand[[#This Row],[received]]</f>
        <v>239.88636363636363</v>
      </c>
      <c r="T124" s="7">
        <f>grand[[#This Row],[ kidneys fat quantity]]/grand[[#This Row],[received]]</f>
        <v>7.2727272727272725</v>
      </c>
      <c r="U124" s="2">
        <v>25</v>
      </c>
      <c r="V124" s="2"/>
      <c r="W124" s="2">
        <v>49.9</v>
      </c>
      <c r="X124" s="2">
        <v>8</v>
      </c>
      <c r="Y124" s="8">
        <v>8.5</v>
      </c>
      <c r="Z124" s="3">
        <f>grand[[#This Row],[av. Transportation loss]]/grand[[#This Row],[av.total weight]]</f>
        <v>4.7976011994003004E-2</v>
      </c>
      <c r="AA124" s="12">
        <f>AVERAGE((grand[[#This Row],[am]]/25),(grand[[#This Row],[pm]]/50))</f>
        <v>0.999</v>
      </c>
      <c r="AB124" s="3">
        <f>grand[[#This Row],[ carcass weight]]/grand[[#This Row],[total weight]]</f>
        <v>0.60863798869795871</v>
      </c>
      <c r="AC124" s="3">
        <f>SUM(grand[[#This Row],[am]:[meat transportation]])/100</f>
        <v>0.91400000000000003</v>
      </c>
      <c r="AD124" s="2"/>
      <c r="AE124" s="2"/>
      <c r="AF124" s="2"/>
      <c r="AG124" s="2"/>
      <c r="AH124" s="2"/>
      <c r="AI124" s="2"/>
      <c r="AJ124" s="2"/>
    </row>
    <row r="125" spans="1:36" hidden="1" x14ac:dyDescent="0.2">
      <c r="A125" s="11">
        <v>43679</v>
      </c>
      <c r="B125" s="53" t="s">
        <v>1332</v>
      </c>
      <c r="C125" s="52" t="str">
        <f>IF(MID(B125,4,2)="09","Ramadan",IF(AND(MID(B125,4,2)="12",VALUE(LEFT(B125,2))&lt;=9),"Adha Season","Normal"))</f>
        <v>Adha Season</v>
      </c>
      <c r="D125" s="1" t="s">
        <v>45</v>
      </c>
      <c r="F125" s="4" t="s">
        <v>39</v>
      </c>
      <c r="G125" s="2">
        <v>17</v>
      </c>
      <c r="H125" s="2">
        <v>17</v>
      </c>
      <c r="I125" s="2">
        <f>grand[[#This Row],[number]]-grand[[#This Row],[received]]</f>
        <v>0</v>
      </c>
      <c r="J125" s="30"/>
      <c r="K125" s="2">
        <v>6641</v>
      </c>
      <c r="L125" s="2">
        <v>6641</v>
      </c>
      <c r="M125" s="2">
        <f>K125-L125</f>
        <v>0</v>
      </c>
      <c r="N125" s="2">
        <v>4118.7</v>
      </c>
      <c r="O125" s="2">
        <v>132</v>
      </c>
      <c r="P125" s="7">
        <f>grand[[#This Row],[total weight]]/grand[[#This Row],[received]]</f>
        <v>390.64705882352939</v>
      </c>
      <c r="Q125" s="7">
        <f>grand[[#This Row],[receiving weight]]/grand[[#This Row],[received]]</f>
        <v>390.64705882352939</v>
      </c>
      <c r="R125" s="7"/>
      <c r="S125" s="7">
        <f>grand[[#This Row],[ carcass weight]]/grand[[#This Row],[received]]</f>
        <v>242.27647058823527</v>
      </c>
      <c r="T125" s="7">
        <f>grand[[#This Row],[ kidneys fat quantity]]/grand[[#This Row],[received]]</f>
        <v>7.7647058823529411</v>
      </c>
      <c r="U125" s="2">
        <v>25</v>
      </c>
      <c r="V125" s="2"/>
      <c r="W125" s="2">
        <v>50</v>
      </c>
      <c r="X125" s="2">
        <v>8</v>
      </c>
      <c r="Y125" s="8">
        <v>8.5</v>
      </c>
      <c r="Z125" s="3">
        <f>grand[[#This Row],[av. Transportation loss]]/grand[[#This Row],[av.total weight]]</f>
        <v>0</v>
      </c>
      <c r="AA125" s="12">
        <f>AVERAGE((grand[[#This Row],[am]]/25),(grand[[#This Row],[pm]]/50))</f>
        <v>1</v>
      </c>
      <c r="AB125" s="3">
        <f>grand[[#This Row],[ carcass weight]]/grand[[#This Row],[total weight]]</f>
        <v>0.6201927420569191</v>
      </c>
      <c r="AC125" s="3">
        <f>SUM(grand[[#This Row],[am]:[meat transportation]])/100</f>
        <v>0.91500000000000004</v>
      </c>
      <c r="AD125" s="2"/>
      <c r="AE125" s="2"/>
      <c r="AF125" s="2"/>
      <c r="AG125" s="2"/>
      <c r="AH125" s="2"/>
      <c r="AI125" s="2"/>
      <c r="AJ125" s="2"/>
    </row>
    <row r="126" spans="1:36" hidden="1" x14ac:dyDescent="0.2">
      <c r="A126" s="11">
        <v>43679</v>
      </c>
      <c r="B126" s="53" t="s">
        <v>1332</v>
      </c>
      <c r="C126" s="52" t="str">
        <f>IF(MID(B126,4,2)="09","Ramadan",IF(AND(MID(B126,4,2)="12",VALUE(LEFT(B126,2))&lt;=9),"Adha Season","Normal"))</f>
        <v>Adha Season</v>
      </c>
      <c r="D126" s="2" t="s">
        <v>294</v>
      </c>
      <c r="E126" s="2"/>
      <c r="F126" s="4" t="s">
        <v>35</v>
      </c>
      <c r="G126" s="2">
        <v>20</v>
      </c>
      <c r="H126" s="2">
        <v>20</v>
      </c>
      <c r="I126" s="2">
        <f>grand[[#This Row],[number]]-grand[[#This Row],[received]]</f>
        <v>0</v>
      </c>
      <c r="J126" s="30"/>
      <c r="K126" s="2"/>
      <c r="L126" s="2"/>
      <c r="M126" s="2">
        <f>K126-L126</f>
        <v>0</v>
      </c>
      <c r="N126" s="2"/>
      <c r="O126" s="2"/>
      <c r="P126" s="7">
        <f>grand[[#This Row],[total weight]]/grand[[#This Row],[received]]</f>
        <v>0</v>
      </c>
      <c r="Q126" s="7">
        <f>grand[[#This Row],[receiving weight]]/grand[[#This Row],[received]]</f>
        <v>0</v>
      </c>
      <c r="R126" s="7">
        <f>grand[[#This Row],[transportation loss ]]/grand[[#This Row],[received]]</f>
        <v>0</v>
      </c>
      <c r="S126" s="7">
        <f>grand[[#This Row],[ carcass weight]]/grand[[#This Row],[received]]</f>
        <v>0</v>
      </c>
      <c r="T126" s="7">
        <f>grand[[#This Row],[ kidneys fat quantity]]/grand[[#This Row],[received]]</f>
        <v>0</v>
      </c>
      <c r="U126" s="2">
        <v>25</v>
      </c>
      <c r="V126" s="2">
        <v>0</v>
      </c>
      <c r="W126" s="2">
        <v>49.7</v>
      </c>
      <c r="X126" s="2">
        <v>10</v>
      </c>
      <c r="Y126" s="8">
        <v>8.5</v>
      </c>
      <c r="Z126" s="3"/>
      <c r="AA126" s="12">
        <f>AVERAGE((grand[[#This Row],[am]]/25),(grand[[#This Row],[pm]]/50))</f>
        <v>0.99700000000000011</v>
      </c>
      <c r="AB126" s="3"/>
      <c r="AC126" s="3">
        <f>SUM(grand[[#This Row],[am]:[meat transportation]])/100</f>
        <v>0.93200000000000005</v>
      </c>
      <c r="AD126" s="2"/>
      <c r="AE126" s="2"/>
      <c r="AF126" s="2"/>
      <c r="AG126" s="2"/>
      <c r="AH126" s="2"/>
      <c r="AI126" s="2"/>
      <c r="AJ126" s="2"/>
    </row>
    <row r="127" spans="1:36" hidden="1" x14ac:dyDescent="0.2">
      <c r="A127" s="11">
        <v>43680</v>
      </c>
      <c r="B127" s="53" t="s">
        <v>1333</v>
      </c>
      <c r="C127" s="52" t="str">
        <f>IF(MID(B127,4,2)="09","Ramadan",IF(AND(MID(B127,4,2)="12",VALUE(LEFT(B127,2))&lt;=9),"Adha Season","Normal"))</f>
        <v>Adha Season</v>
      </c>
      <c r="D127" s="1" t="s">
        <v>45</v>
      </c>
      <c r="F127" s="4" t="s">
        <v>39</v>
      </c>
      <c r="G127" s="2">
        <v>17</v>
      </c>
      <c r="H127" s="2">
        <v>17</v>
      </c>
      <c r="I127" s="2">
        <f>grand[[#This Row],[number]]-grand[[#This Row],[received]]</f>
        <v>0</v>
      </c>
      <c r="J127" s="30"/>
      <c r="K127" s="2">
        <v>6720</v>
      </c>
      <c r="L127" s="2">
        <v>6720</v>
      </c>
      <c r="M127" s="2">
        <f>K127-L127</f>
        <v>0</v>
      </c>
      <c r="N127" s="2">
        <v>4218.5</v>
      </c>
      <c r="O127" s="2">
        <v>133</v>
      </c>
      <c r="P127" s="7">
        <f>grand[[#This Row],[total weight]]/grand[[#This Row],[received]]</f>
        <v>395.29411764705884</v>
      </c>
      <c r="Q127" s="7">
        <f>grand[[#This Row],[receiving weight]]/grand[[#This Row],[received]]</f>
        <v>395.29411764705884</v>
      </c>
      <c r="R127" s="7"/>
      <c r="S127" s="7">
        <f>grand[[#This Row],[ carcass weight]]/grand[[#This Row],[received]]</f>
        <v>248.14705882352942</v>
      </c>
      <c r="T127" s="7">
        <f>grand[[#This Row],[ kidneys fat quantity]]/grand[[#This Row],[received]]</f>
        <v>7.8235294117647056</v>
      </c>
      <c r="U127" s="2">
        <v>25</v>
      </c>
      <c r="V127" s="2"/>
      <c r="W127" s="2">
        <v>50</v>
      </c>
      <c r="X127" s="2">
        <v>8</v>
      </c>
      <c r="Y127" s="8">
        <v>8.5</v>
      </c>
      <c r="Z127" s="3">
        <f>grand[[#This Row],[av. Transportation loss]]/grand[[#This Row],[av.total weight]]</f>
        <v>0</v>
      </c>
      <c r="AA127" s="12">
        <f>AVERAGE((grand[[#This Row],[am]]/25),(grand[[#This Row],[pm]]/50))</f>
        <v>1</v>
      </c>
      <c r="AB127" s="3">
        <f>grand[[#This Row],[ carcass weight]]/grand[[#This Row],[total weight]]</f>
        <v>0.62775297619047621</v>
      </c>
      <c r="AC127" s="3">
        <f>SUM(grand[[#This Row],[am]:[meat transportation]])/100</f>
        <v>0.91500000000000004</v>
      </c>
      <c r="AD127" s="2"/>
      <c r="AE127" s="2"/>
      <c r="AF127" s="2"/>
      <c r="AG127" s="2"/>
      <c r="AH127" s="2"/>
      <c r="AI127" s="2"/>
      <c r="AJ127" s="2"/>
    </row>
    <row r="128" spans="1:36" hidden="1" x14ac:dyDescent="0.2">
      <c r="A128" s="11">
        <v>43680</v>
      </c>
      <c r="B128" s="53" t="s">
        <v>1333</v>
      </c>
      <c r="C128" s="52" t="str">
        <f>IF(MID(B128,4,2)="09","Ramadan",IF(AND(MID(B128,4,2)="12",VALUE(LEFT(B128,2))&lt;=9),"Adha Season","Normal"))</f>
        <v>Adha Season</v>
      </c>
      <c r="D128" s="2" t="s">
        <v>294</v>
      </c>
      <c r="E128" s="2"/>
      <c r="F128" s="4" t="s">
        <v>35</v>
      </c>
      <c r="G128" s="2">
        <v>20</v>
      </c>
      <c r="H128" s="2">
        <v>20</v>
      </c>
      <c r="I128" s="2">
        <f>grand[[#This Row],[number]]-grand[[#This Row],[received]]</f>
        <v>0</v>
      </c>
      <c r="J128" s="30"/>
      <c r="K128" s="2"/>
      <c r="L128" s="2"/>
      <c r="M128" s="2">
        <f>K128-L128</f>
        <v>0</v>
      </c>
      <c r="N128" s="2"/>
      <c r="O128" s="2"/>
      <c r="P128" s="7">
        <f>grand[[#This Row],[total weight]]/grand[[#This Row],[received]]</f>
        <v>0</v>
      </c>
      <c r="Q128" s="7">
        <f>grand[[#This Row],[receiving weight]]/grand[[#This Row],[received]]</f>
        <v>0</v>
      </c>
      <c r="R128" s="7">
        <f>grand[[#This Row],[transportation loss ]]/grand[[#This Row],[received]]</f>
        <v>0</v>
      </c>
      <c r="S128" s="7">
        <f>grand[[#This Row],[ carcass weight]]/grand[[#This Row],[received]]</f>
        <v>0</v>
      </c>
      <c r="T128" s="7">
        <f>grand[[#This Row],[ kidneys fat quantity]]/grand[[#This Row],[received]]</f>
        <v>0</v>
      </c>
      <c r="U128" s="2">
        <v>25</v>
      </c>
      <c r="V128" s="2">
        <v>0</v>
      </c>
      <c r="W128" s="2">
        <v>49.6</v>
      </c>
      <c r="X128" s="2">
        <v>10</v>
      </c>
      <c r="Y128" s="8">
        <v>8.5</v>
      </c>
      <c r="Z128" s="3"/>
      <c r="AA128" s="12">
        <f>AVERAGE((grand[[#This Row],[am]]/25),(grand[[#This Row],[pm]]/50))</f>
        <v>0.996</v>
      </c>
      <c r="AB128" s="3"/>
      <c r="AC128" s="3">
        <f>SUM(grand[[#This Row],[am]:[meat transportation]])/100</f>
        <v>0.93099999999999994</v>
      </c>
      <c r="AD128" s="2"/>
      <c r="AE128" s="2"/>
      <c r="AF128" s="2"/>
      <c r="AG128" s="2"/>
      <c r="AH128" s="2"/>
      <c r="AI128" s="2"/>
      <c r="AJ128" s="2"/>
    </row>
    <row r="129" spans="1:36" hidden="1" x14ac:dyDescent="0.2">
      <c r="A129" s="11">
        <v>43681</v>
      </c>
      <c r="B129" s="53" t="s">
        <v>1334</v>
      </c>
      <c r="C129" s="52" t="str">
        <f>IF(MID(B129,4,2)="09","Ramadan",IF(AND(MID(B129,4,2)="12",VALUE(LEFT(B129,2))&lt;=9),"Adha Season","Normal"))</f>
        <v>Adha Season</v>
      </c>
      <c r="D129" s="2" t="s">
        <v>294</v>
      </c>
      <c r="E129" s="2"/>
      <c r="F129" s="4" t="s">
        <v>35</v>
      </c>
      <c r="G129" s="2">
        <v>22</v>
      </c>
      <c r="H129" s="2">
        <v>22</v>
      </c>
      <c r="I129" s="2">
        <f>grand[[#This Row],[number]]-grand[[#This Row],[received]]</f>
        <v>0</v>
      </c>
      <c r="J129" s="30"/>
      <c r="K129" s="2"/>
      <c r="L129" s="2"/>
      <c r="M129" s="2">
        <f>K129-L129</f>
        <v>0</v>
      </c>
      <c r="N129" s="2"/>
      <c r="O129" s="2"/>
      <c r="P129" s="7">
        <f>grand[[#This Row],[total weight]]/grand[[#This Row],[received]]</f>
        <v>0</v>
      </c>
      <c r="Q129" s="7">
        <f>grand[[#This Row],[receiving weight]]/grand[[#This Row],[received]]</f>
        <v>0</v>
      </c>
      <c r="R129" s="7">
        <f>grand[[#This Row],[transportation loss ]]/grand[[#This Row],[received]]</f>
        <v>0</v>
      </c>
      <c r="S129" s="7">
        <f>grand[[#This Row],[ carcass weight]]/grand[[#This Row],[received]]</f>
        <v>0</v>
      </c>
      <c r="T129" s="7">
        <f>grand[[#This Row],[ kidneys fat quantity]]/grand[[#This Row],[received]]</f>
        <v>0</v>
      </c>
      <c r="U129" s="2">
        <v>25</v>
      </c>
      <c r="V129" s="2">
        <v>0</v>
      </c>
      <c r="W129" s="2">
        <v>43.7</v>
      </c>
      <c r="X129" s="2">
        <v>10</v>
      </c>
      <c r="Y129" s="8">
        <v>8.5</v>
      </c>
      <c r="Z129" s="3"/>
      <c r="AA129" s="12">
        <f>AVERAGE((grand[[#This Row],[am]]/25),(grand[[#This Row],[pm]]/50))</f>
        <v>0.93700000000000006</v>
      </c>
      <c r="AB129" s="3"/>
      <c r="AC129" s="3">
        <f>SUM(grand[[#This Row],[am]:[meat transportation]])/100</f>
        <v>0.872</v>
      </c>
      <c r="AD129" s="2"/>
      <c r="AE129" s="2"/>
      <c r="AF129" s="2"/>
      <c r="AG129" s="2"/>
      <c r="AH129" s="2"/>
      <c r="AI129" s="2"/>
      <c r="AJ129" s="2"/>
    </row>
    <row r="130" spans="1:36" hidden="1" x14ac:dyDescent="0.2">
      <c r="A130" s="11">
        <v>43681</v>
      </c>
      <c r="B130" s="53" t="s">
        <v>1334</v>
      </c>
      <c r="C130" s="52" t="str">
        <f>IF(MID(B130,4,2)="09","Ramadan",IF(AND(MID(B130,4,2)="12",VALUE(LEFT(B130,2))&lt;=9),"Adha Season","Normal"))</f>
        <v>Adha Season</v>
      </c>
      <c r="D130" s="1" t="s">
        <v>45</v>
      </c>
      <c r="F130" s="4" t="s">
        <v>46</v>
      </c>
      <c r="G130" s="2">
        <v>16</v>
      </c>
      <c r="H130" s="2">
        <v>16</v>
      </c>
      <c r="I130" s="2">
        <f>grand[[#This Row],[number]]-grand[[#This Row],[received]]</f>
        <v>0</v>
      </c>
      <c r="J130" s="30"/>
      <c r="K130" s="2"/>
      <c r="L130" s="2"/>
      <c r="M130" s="2">
        <f>K130-L130</f>
        <v>0</v>
      </c>
      <c r="N130" s="2"/>
      <c r="O130" s="2"/>
      <c r="P130" s="7"/>
      <c r="Q130" s="7"/>
      <c r="R130" s="7"/>
      <c r="S130" s="7"/>
      <c r="T130" s="7"/>
      <c r="U130" s="2">
        <v>23</v>
      </c>
      <c r="V130" s="2"/>
      <c r="W130" s="2">
        <v>50</v>
      </c>
      <c r="X130" s="2">
        <v>10</v>
      </c>
      <c r="Y130" s="8">
        <v>8.5</v>
      </c>
      <c r="Z130" s="3"/>
      <c r="AA130" s="12">
        <f>AVERAGE((grand[[#This Row],[am]]/25),(grand[[#This Row],[pm]]/50))</f>
        <v>0.96</v>
      </c>
      <c r="AB130" s="3"/>
      <c r="AC130" s="3">
        <f>SUM(grand[[#This Row],[am]:[meat transportation]])/100</f>
        <v>0.91500000000000004</v>
      </c>
      <c r="AD130" s="2"/>
      <c r="AE130" s="2"/>
      <c r="AF130" s="2"/>
      <c r="AG130" s="2"/>
      <c r="AH130" s="2"/>
      <c r="AI130" s="2"/>
      <c r="AJ130" s="2"/>
    </row>
    <row r="131" spans="1:36" hidden="1" x14ac:dyDescent="0.2">
      <c r="A131" s="11">
        <v>43682</v>
      </c>
      <c r="B131" s="53" t="s">
        <v>1335</v>
      </c>
      <c r="C131" s="52" t="str">
        <f>IF(MID(B131,4,2)="09","Ramadan",IF(AND(MID(B131,4,2)="12",VALUE(LEFT(B131,2))&lt;=9),"Adha Season","Normal"))</f>
        <v>Adha Season</v>
      </c>
      <c r="D131" s="1" t="s">
        <v>45</v>
      </c>
      <c r="F131" s="4" t="s">
        <v>46</v>
      </c>
      <c r="G131" s="2">
        <v>32</v>
      </c>
      <c r="H131" s="2">
        <v>32</v>
      </c>
      <c r="I131" s="2">
        <f>grand[[#This Row],[number]]-grand[[#This Row],[received]]</f>
        <v>0</v>
      </c>
      <c r="J131" s="30"/>
      <c r="K131" s="2">
        <v>15330</v>
      </c>
      <c r="L131" s="2">
        <v>15330</v>
      </c>
      <c r="M131" s="2">
        <f>K131-L131</f>
        <v>0</v>
      </c>
      <c r="N131" s="2">
        <v>9367.4</v>
      </c>
      <c r="O131" s="2">
        <v>318</v>
      </c>
      <c r="P131" s="7">
        <f>grand[[#This Row],[total weight]]/grand[[#This Row],[received]]</f>
        <v>479.0625</v>
      </c>
      <c r="Q131" s="7">
        <f>grand[[#This Row],[receiving weight]]/grand[[#This Row],[received]]</f>
        <v>479.0625</v>
      </c>
      <c r="R131" s="7"/>
      <c r="S131" s="7">
        <f>grand[[#This Row],[ carcass weight]]/grand[[#This Row],[received]]</f>
        <v>292.73124999999999</v>
      </c>
      <c r="T131" s="7">
        <f>grand[[#This Row],[ kidneys fat quantity]]/grand[[#This Row],[received]]</f>
        <v>9.9375</v>
      </c>
      <c r="U131" s="2">
        <v>22.8</v>
      </c>
      <c r="V131" s="2"/>
      <c r="W131" s="2">
        <v>49.9</v>
      </c>
      <c r="X131" s="2">
        <v>10</v>
      </c>
      <c r="Y131" s="8">
        <v>8.3000000000000007</v>
      </c>
      <c r="Z131" s="3">
        <f>grand[[#This Row],[av. Transportation loss]]/grand[[#This Row],[av.total weight]]</f>
        <v>0</v>
      </c>
      <c r="AA131" s="12">
        <f>AVERAGE((grand[[#This Row],[am]]/25),(grand[[#This Row],[pm]]/50))</f>
        <v>0.95500000000000007</v>
      </c>
      <c r="AB131" s="3">
        <f>grand[[#This Row],[ carcass weight]]/grand[[#This Row],[total weight]]</f>
        <v>0.61105022831050226</v>
      </c>
      <c r="AC131" s="3">
        <f>SUM(grand[[#This Row],[am]:[meat transportation]])/100</f>
        <v>0.91</v>
      </c>
      <c r="AD131" s="2"/>
      <c r="AE131" s="2"/>
      <c r="AF131" s="2"/>
      <c r="AG131" s="2"/>
      <c r="AH131" s="2"/>
      <c r="AI131" s="2"/>
      <c r="AJ131" s="2"/>
    </row>
    <row r="132" spans="1:36" hidden="1" x14ac:dyDescent="0.2">
      <c r="A132" s="11">
        <v>43682</v>
      </c>
      <c r="B132" s="53" t="s">
        <v>1335</v>
      </c>
      <c r="C132" s="52" t="str">
        <f>IF(MID(B132,4,2)="09","Ramadan",IF(AND(MID(B132,4,2)="12",VALUE(LEFT(B132,2))&lt;=9),"Adha Season","Normal"))</f>
        <v>Adha Season</v>
      </c>
      <c r="D132" s="2" t="s">
        <v>294</v>
      </c>
      <c r="E132" s="2"/>
      <c r="F132" s="4" t="s">
        <v>35</v>
      </c>
      <c r="G132" s="2">
        <v>45</v>
      </c>
      <c r="H132" s="2">
        <v>45</v>
      </c>
      <c r="I132" s="2">
        <f>grand[[#This Row],[number]]-grand[[#This Row],[received]]</f>
        <v>0</v>
      </c>
      <c r="J132" s="30"/>
      <c r="K132" s="2"/>
      <c r="L132" s="2"/>
      <c r="M132" s="2">
        <f>K132-L132</f>
        <v>0</v>
      </c>
      <c r="N132" s="2"/>
      <c r="O132" s="2"/>
      <c r="P132" s="7">
        <f>grand[[#This Row],[total weight]]/grand[[#This Row],[received]]</f>
        <v>0</v>
      </c>
      <c r="Q132" s="7">
        <f>grand[[#This Row],[receiving weight]]/grand[[#This Row],[received]]</f>
        <v>0</v>
      </c>
      <c r="R132" s="7">
        <f>grand[[#This Row],[transportation loss ]]/grand[[#This Row],[received]]</f>
        <v>0</v>
      </c>
      <c r="S132" s="7">
        <f>grand[[#This Row],[ carcass weight]]/grand[[#This Row],[received]]</f>
        <v>0</v>
      </c>
      <c r="T132" s="7">
        <f>grand[[#This Row],[ kidneys fat quantity]]/grand[[#This Row],[received]]</f>
        <v>0</v>
      </c>
      <c r="U132" s="2">
        <v>25</v>
      </c>
      <c r="V132" s="2">
        <v>0</v>
      </c>
      <c r="W132" s="2">
        <v>49.6</v>
      </c>
      <c r="X132" s="2">
        <v>10</v>
      </c>
      <c r="Y132" s="8">
        <v>8.5</v>
      </c>
      <c r="Z132" s="3"/>
      <c r="AA132" s="12">
        <f>AVERAGE((grand[[#This Row],[am]]/25),(grand[[#This Row],[pm]]/50))</f>
        <v>0.996</v>
      </c>
      <c r="AB132" s="3"/>
      <c r="AC132" s="3">
        <f>SUM(grand[[#This Row],[am]:[meat transportation]])/100</f>
        <v>0.93099999999999994</v>
      </c>
      <c r="AD132" s="2"/>
      <c r="AE132" s="2"/>
      <c r="AF132" s="2"/>
      <c r="AG132" s="2"/>
      <c r="AH132" s="2"/>
      <c r="AI132" s="2"/>
      <c r="AJ132" s="2"/>
    </row>
    <row r="133" spans="1:36" hidden="1" x14ac:dyDescent="0.2">
      <c r="A133" s="11">
        <v>43683</v>
      </c>
      <c r="B133" s="53" t="s">
        <v>1336</v>
      </c>
      <c r="C133" s="52" t="str">
        <f>IF(MID(B133,4,2)="09","Ramadan",IF(AND(MID(B133,4,2)="12",VALUE(LEFT(B133,2))&lt;=9),"Adha Season","Normal"))</f>
        <v>Adha Season</v>
      </c>
      <c r="D133" s="2" t="s">
        <v>294</v>
      </c>
      <c r="E133" s="2"/>
      <c r="F133" s="4" t="s">
        <v>35</v>
      </c>
      <c r="G133" s="2">
        <v>40</v>
      </c>
      <c r="H133" s="2">
        <v>40</v>
      </c>
      <c r="I133" s="2">
        <f>grand[[#This Row],[number]]-grand[[#This Row],[received]]</f>
        <v>0</v>
      </c>
      <c r="J133" s="30"/>
      <c r="K133" s="2"/>
      <c r="L133" s="2"/>
      <c r="M133" s="2">
        <f>K133-L133</f>
        <v>0</v>
      </c>
      <c r="N133" s="2"/>
      <c r="O133" s="2"/>
      <c r="P133" s="7">
        <f>grand[[#This Row],[total weight]]/grand[[#This Row],[received]]</f>
        <v>0</v>
      </c>
      <c r="Q133" s="7">
        <f>grand[[#This Row],[receiving weight]]/grand[[#This Row],[received]]</f>
        <v>0</v>
      </c>
      <c r="R133" s="7">
        <f>grand[[#This Row],[transportation loss ]]/grand[[#This Row],[received]]</f>
        <v>0</v>
      </c>
      <c r="S133" s="7">
        <f>grand[[#This Row],[ carcass weight]]/grand[[#This Row],[received]]</f>
        <v>0</v>
      </c>
      <c r="T133" s="7">
        <f>grand[[#This Row],[ kidneys fat quantity]]/grand[[#This Row],[received]]</f>
        <v>0</v>
      </c>
      <c r="U133" s="2">
        <v>25</v>
      </c>
      <c r="V133" s="2">
        <v>0</v>
      </c>
      <c r="W133" s="2">
        <v>49.8</v>
      </c>
      <c r="X133" s="2">
        <v>10</v>
      </c>
      <c r="Y133" s="8">
        <v>8.5</v>
      </c>
      <c r="Z133" s="3"/>
      <c r="AA133" s="12">
        <f>AVERAGE((grand[[#This Row],[am]]/25),(grand[[#This Row],[pm]]/50))</f>
        <v>0.998</v>
      </c>
      <c r="AB133" s="3"/>
      <c r="AC133" s="3">
        <f>SUM(grand[[#This Row],[am]:[meat transportation]])/100</f>
        <v>0.93299999999999994</v>
      </c>
      <c r="AD133" s="2"/>
      <c r="AE133" s="2"/>
      <c r="AF133" s="2"/>
      <c r="AG133" s="2"/>
      <c r="AH133" s="2"/>
      <c r="AI133" s="2"/>
      <c r="AJ133" s="2"/>
    </row>
    <row r="134" spans="1:36" hidden="1" x14ac:dyDescent="0.2">
      <c r="A134" s="11">
        <v>43684</v>
      </c>
      <c r="B134" s="53" t="s">
        <v>1337</v>
      </c>
      <c r="C134" s="52" t="str">
        <f>IF(MID(B134,4,2)="09","Ramadan",IF(AND(MID(B134,4,2)="12",VALUE(LEFT(B134,2))&lt;=9),"Adha Season","Normal"))</f>
        <v>Adha Season</v>
      </c>
      <c r="D134" s="2" t="s">
        <v>294</v>
      </c>
      <c r="E134" s="2"/>
      <c r="F134" s="4" t="s">
        <v>35</v>
      </c>
      <c r="G134" s="2">
        <v>45</v>
      </c>
      <c r="H134" s="2">
        <v>45</v>
      </c>
      <c r="I134" s="2">
        <f>grand[[#This Row],[number]]-grand[[#This Row],[received]]</f>
        <v>0</v>
      </c>
      <c r="J134" s="30"/>
      <c r="K134" s="2"/>
      <c r="L134" s="2"/>
      <c r="M134" s="2">
        <f>K134-L134</f>
        <v>0</v>
      </c>
      <c r="N134" s="2"/>
      <c r="O134" s="2"/>
      <c r="P134" s="7">
        <f>grand[[#This Row],[total weight]]/grand[[#This Row],[received]]</f>
        <v>0</v>
      </c>
      <c r="Q134" s="7">
        <f>grand[[#This Row],[receiving weight]]/grand[[#This Row],[received]]</f>
        <v>0</v>
      </c>
      <c r="R134" s="7">
        <f>grand[[#This Row],[transportation loss ]]/grand[[#This Row],[received]]</f>
        <v>0</v>
      </c>
      <c r="S134" s="7">
        <f>grand[[#This Row],[ carcass weight]]/grand[[#This Row],[received]]</f>
        <v>0</v>
      </c>
      <c r="T134" s="7">
        <f>grand[[#This Row],[ kidneys fat quantity]]/grand[[#This Row],[received]]</f>
        <v>0</v>
      </c>
      <c r="U134" s="2">
        <v>25</v>
      </c>
      <c r="V134" s="2">
        <v>0</v>
      </c>
      <c r="W134" s="2">
        <v>49.8</v>
      </c>
      <c r="X134" s="2">
        <v>10</v>
      </c>
      <c r="Y134" s="8">
        <v>8.5</v>
      </c>
      <c r="Z134" s="3"/>
      <c r="AA134" s="12">
        <f>AVERAGE((grand[[#This Row],[am]]/25),(grand[[#This Row],[pm]]/50))</f>
        <v>0.998</v>
      </c>
      <c r="AB134" s="3"/>
      <c r="AC134" s="3">
        <f>SUM(grand[[#This Row],[am]:[meat transportation]])/100</f>
        <v>0.93299999999999994</v>
      </c>
      <c r="AD134" s="2"/>
      <c r="AE134" s="2"/>
      <c r="AF134" s="2"/>
      <c r="AG134" s="2"/>
      <c r="AH134" s="2"/>
      <c r="AI134" s="2"/>
      <c r="AJ134" s="2"/>
    </row>
    <row r="135" spans="1:36" hidden="1" x14ac:dyDescent="0.2">
      <c r="A135" s="11">
        <v>43684</v>
      </c>
      <c r="B135" s="53" t="s">
        <v>1337</v>
      </c>
      <c r="C135" s="52" t="str">
        <f>IF(MID(B135,4,2)="09","Ramadan",IF(AND(MID(B135,4,2)="12",VALUE(LEFT(B135,2))&lt;=9),"Adha Season","Normal"))</f>
        <v>Adha Season</v>
      </c>
      <c r="D135" s="1" t="s">
        <v>45</v>
      </c>
      <c r="F135" s="4" t="s">
        <v>46</v>
      </c>
      <c r="G135" s="2">
        <v>23</v>
      </c>
      <c r="H135" s="2">
        <v>23</v>
      </c>
      <c r="I135" s="2">
        <f>grand[[#This Row],[number]]-grand[[#This Row],[received]]</f>
        <v>0</v>
      </c>
      <c r="J135" s="30"/>
      <c r="K135" s="2"/>
      <c r="L135" s="2"/>
      <c r="M135" s="2">
        <f>K135-L135</f>
        <v>0</v>
      </c>
      <c r="N135" s="2"/>
      <c r="O135" s="2"/>
      <c r="P135" s="7"/>
      <c r="Q135" s="7"/>
      <c r="R135" s="7"/>
      <c r="S135" s="7"/>
      <c r="T135" s="7"/>
      <c r="U135" s="2">
        <v>24</v>
      </c>
      <c r="V135" s="2"/>
      <c r="W135" s="2">
        <v>49.6</v>
      </c>
      <c r="X135" s="2">
        <v>10</v>
      </c>
      <c r="Y135" s="8">
        <v>8.5</v>
      </c>
      <c r="Z135" s="3"/>
      <c r="AA135" s="12">
        <f>AVERAGE((grand[[#This Row],[am]]/25),(grand[[#This Row],[pm]]/50))</f>
        <v>0.97599999999999998</v>
      </c>
      <c r="AB135" s="3"/>
      <c r="AC135" s="3">
        <f>SUM(grand[[#This Row],[am]:[meat transportation]])/100</f>
        <v>0.92099999999999993</v>
      </c>
      <c r="AD135" s="2"/>
      <c r="AE135" s="2"/>
      <c r="AF135" s="2"/>
      <c r="AG135" s="2"/>
      <c r="AH135" s="2"/>
      <c r="AI135" s="2"/>
      <c r="AJ135" s="2"/>
    </row>
    <row r="136" spans="1:36" hidden="1" x14ac:dyDescent="0.2">
      <c r="A136" s="11">
        <v>43685</v>
      </c>
      <c r="B136" s="53" t="s">
        <v>1338</v>
      </c>
      <c r="C136" s="52" t="str">
        <f>IF(MID(B136,4,2)="09","Ramadan",IF(AND(MID(B136,4,2)="12",VALUE(LEFT(B136,2))&lt;=9),"Adha Season","Normal"))</f>
        <v>Adha Season</v>
      </c>
      <c r="D136" s="2" t="s">
        <v>294</v>
      </c>
      <c r="E136" s="2"/>
      <c r="F136" s="4" t="s">
        <v>35</v>
      </c>
      <c r="G136" s="2">
        <v>75</v>
      </c>
      <c r="H136" s="2">
        <v>75</v>
      </c>
      <c r="I136" s="2">
        <f>grand[[#This Row],[number]]-grand[[#This Row],[received]]</f>
        <v>0</v>
      </c>
      <c r="J136" s="30"/>
      <c r="K136" s="2"/>
      <c r="L136" s="2"/>
      <c r="M136" s="2">
        <f>K136-L136</f>
        <v>0</v>
      </c>
      <c r="N136" s="2"/>
      <c r="O136" s="2"/>
      <c r="P136" s="7">
        <f>grand[[#This Row],[total weight]]/grand[[#This Row],[received]]</f>
        <v>0</v>
      </c>
      <c r="Q136" s="7">
        <f>grand[[#This Row],[receiving weight]]/grand[[#This Row],[received]]</f>
        <v>0</v>
      </c>
      <c r="R136" s="7">
        <f>grand[[#This Row],[transportation loss ]]/grand[[#This Row],[received]]</f>
        <v>0</v>
      </c>
      <c r="S136" s="7">
        <f>grand[[#This Row],[ carcass weight]]/grand[[#This Row],[received]]</f>
        <v>0</v>
      </c>
      <c r="T136" s="7">
        <f>grand[[#This Row],[ kidneys fat quantity]]/grand[[#This Row],[received]]</f>
        <v>0</v>
      </c>
      <c r="U136" s="2">
        <v>25</v>
      </c>
      <c r="V136" s="2">
        <v>0</v>
      </c>
      <c r="W136" s="2">
        <v>46.1</v>
      </c>
      <c r="X136" s="2">
        <v>10</v>
      </c>
      <c r="Y136" s="8">
        <v>8.5</v>
      </c>
      <c r="Z136" s="3"/>
      <c r="AA136" s="12">
        <f>AVERAGE((grand[[#This Row],[am]]/25),(grand[[#This Row],[pm]]/50))</f>
        <v>0.96100000000000008</v>
      </c>
      <c r="AB136" s="3"/>
      <c r="AC136" s="3">
        <f>SUM(grand[[#This Row],[am]:[meat transportation]])/100</f>
        <v>0.89599999999999991</v>
      </c>
      <c r="AD136" s="2"/>
      <c r="AE136" s="2"/>
      <c r="AF136" s="2"/>
      <c r="AG136" s="2"/>
      <c r="AH136" s="2"/>
      <c r="AI136" s="2"/>
      <c r="AJ136" s="2"/>
    </row>
    <row r="137" spans="1:36" hidden="1" x14ac:dyDescent="0.2">
      <c r="A137" s="11">
        <v>43686</v>
      </c>
      <c r="B137" s="53" t="s">
        <v>1339</v>
      </c>
      <c r="C137" s="52" t="str">
        <f>IF(MID(B137,4,2)="09","Ramadan",IF(AND(MID(B137,4,2)="12",VALUE(LEFT(B137,2))&lt;=9),"Adha Season","Normal"))</f>
        <v>Adha Season</v>
      </c>
      <c r="D137" s="2" t="s">
        <v>294</v>
      </c>
      <c r="E137" s="2"/>
      <c r="F137" s="4" t="s">
        <v>35</v>
      </c>
      <c r="G137" s="2">
        <v>85</v>
      </c>
      <c r="H137" s="2">
        <v>85</v>
      </c>
      <c r="I137" s="2">
        <f>grand[[#This Row],[number]]-grand[[#This Row],[received]]</f>
        <v>0</v>
      </c>
      <c r="J137" s="30"/>
      <c r="K137" s="2"/>
      <c r="L137" s="2"/>
      <c r="M137" s="2">
        <f>K137-L137</f>
        <v>0</v>
      </c>
      <c r="N137" s="2"/>
      <c r="O137" s="2"/>
      <c r="P137" s="7">
        <f>grand[[#This Row],[total weight]]/grand[[#This Row],[received]]</f>
        <v>0</v>
      </c>
      <c r="Q137" s="7">
        <f>grand[[#This Row],[receiving weight]]/grand[[#This Row],[received]]</f>
        <v>0</v>
      </c>
      <c r="R137" s="7">
        <f>grand[[#This Row],[transportation loss ]]/grand[[#This Row],[received]]</f>
        <v>0</v>
      </c>
      <c r="S137" s="7">
        <f>grand[[#This Row],[ carcass weight]]/grand[[#This Row],[received]]</f>
        <v>0</v>
      </c>
      <c r="T137" s="7">
        <f>grand[[#This Row],[ kidneys fat quantity]]/grand[[#This Row],[received]]</f>
        <v>0</v>
      </c>
      <c r="U137" s="2">
        <v>25</v>
      </c>
      <c r="V137" s="2">
        <v>0</v>
      </c>
      <c r="W137" s="2">
        <v>48.7</v>
      </c>
      <c r="X137" s="2">
        <v>10</v>
      </c>
      <c r="Y137" s="8">
        <v>8.5</v>
      </c>
      <c r="Z137" s="3"/>
      <c r="AA137" s="12">
        <f>AVERAGE((grand[[#This Row],[am]]/25),(grand[[#This Row],[pm]]/50))</f>
        <v>0.9870000000000001</v>
      </c>
      <c r="AB137" s="3"/>
      <c r="AC137" s="3">
        <f>SUM(grand[[#This Row],[am]:[meat transportation]])/100</f>
        <v>0.92200000000000004</v>
      </c>
      <c r="AD137" s="2"/>
      <c r="AE137" s="2"/>
      <c r="AF137" s="2"/>
      <c r="AG137" s="2"/>
      <c r="AH137" s="2"/>
      <c r="AI137" s="2"/>
      <c r="AJ137" s="2"/>
    </row>
    <row r="138" spans="1:36" hidden="1" x14ac:dyDescent="0.2">
      <c r="A138" s="11">
        <v>43686</v>
      </c>
      <c r="B138" s="53" t="s">
        <v>1339</v>
      </c>
      <c r="C138" s="52" t="str">
        <f>IF(MID(B138,4,2)="09","Ramadan",IF(AND(MID(B138,4,2)="12",VALUE(LEFT(B138,2))&lt;=9),"Adha Season","Normal"))</f>
        <v>Adha Season</v>
      </c>
      <c r="D138" s="1" t="s">
        <v>45</v>
      </c>
      <c r="F138" s="4" t="s">
        <v>46</v>
      </c>
      <c r="G138" s="2">
        <v>33</v>
      </c>
      <c r="H138" s="2">
        <v>33</v>
      </c>
      <c r="I138" s="2">
        <f>grand[[#This Row],[number]]-grand[[#This Row],[received]]</f>
        <v>0</v>
      </c>
      <c r="J138" s="30"/>
      <c r="K138" s="2"/>
      <c r="L138" s="2"/>
      <c r="M138" s="2">
        <f>K138-L138</f>
        <v>0</v>
      </c>
      <c r="N138" s="2"/>
      <c r="O138" s="2"/>
      <c r="P138" s="7"/>
      <c r="Q138" s="7"/>
      <c r="R138" s="7"/>
      <c r="S138" s="7"/>
      <c r="T138" s="7"/>
      <c r="U138" s="2">
        <v>24</v>
      </c>
      <c r="V138" s="2"/>
      <c r="W138" s="2">
        <v>49.8</v>
      </c>
      <c r="X138" s="2">
        <v>10</v>
      </c>
      <c r="Y138" s="8">
        <v>8.5</v>
      </c>
      <c r="Z138" s="3"/>
      <c r="AA138" s="12">
        <f>AVERAGE((grand[[#This Row],[am]]/25),(grand[[#This Row],[pm]]/50))</f>
        <v>0.97799999999999998</v>
      </c>
      <c r="AB138" s="3"/>
      <c r="AC138" s="3">
        <f>SUM(grand[[#This Row],[am]:[meat transportation]])/100</f>
        <v>0.92299999999999993</v>
      </c>
      <c r="AD138" s="2"/>
      <c r="AE138" s="2"/>
      <c r="AF138" s="2"/>
      <c r="AG138" s="2"/>
      <c r="AH138" s="2"/>
      <c r="AI138" s="2"/>
      <c r="AJ138" s="2"/>
    </row>
    <row r="139" spans="1:36" hidden="1" x14ac:dyDescent="0.2">
      <c r="A139" s="11">
        <v>43687</v>
      </c>
      <c r="B139" s="53" t="s">
        <v>1340</v>
      </c>
      <c r="C139" s="52" t="str">
        <f>IF(MID(B139,4,2)="09","Ramadan",IF(AND(MID(B139,4,2)="12",VALUE(LEFT(B139,2))&lt;=9),"Adha Season","Normal"))</f>
        <v>Adha Season</v>
      </c>
      <c r="D139" s="1" t="s">
        <v>45</v>
      </c>
      <c r="F139" s="4" t="s">
        <v>46</v>
      </c>
      <c r="G139" s="2">
        <v>16</v>
      </c>
      <c r="H139" s="2">
        <v>16</v>
      </c>
      <c r="I139" s="2">
        <f>grand[[#This Row],[number]]-grand[[#This Row],[received]]</f>
        <v>0</v>
      </c>
      <c r="J139" s="30"/>
      <c r="K139" s="2">
        <v>7700</v>
      </c>
      <c r="L139" s="2">
        <v>7700</v>
      </c>
      <c r="M139" s="2">
        <f>K139-L139</f>
        <v>0</v>
      </c>
      <c r="N139" s="2">
        <v>4619.7</v>
      </c>
      <c r="O139" s="2"/>
      <c r="P139" s="7">
        <f>grand[[#This Row],[total weight]]/grand[[#This Row],[received]]</f>
        <v>481.25</v>
      </c>
      <c r="Q139" s="7">
        <f>grand[[#This Row],[receiving weight]]/grand[[#This Row],[received]]</f>
        <v>481.25</v>
      </c>
      <c r="R139" s="7"/>
      <c r="S139" s="7">
        <f>grand[[#This Row],[ carcass weight]]/grand[[#This Row],[received]]</f>
        <v>288.73124999999999</v>
      </c>
      <c r="T139" s="7"/>
      <c r="U139" s="2">
        <v>24</v>
      </c>
      <c r="V139" s="2"/>
      <c r="W139" s="2">
        <v>50</v>
      </c>
      <c r="X139" s="2">
        <v>10</v>
      </c>
      <c r="Y139" s="8">
        <v>8.5</v>
      </c>
      <c r="Z139" s="3">
        <f>grand[[#This Row],[av. Transportation loss]]/grand[[#This Row],[av.total weight]]</f>
        <v>0</v>
      </c>
      <c r="AA139" s="12">
        <f>AVERAGE((grand[[#This Row],[am]]/25),(grand[[#This Row],[pm]]/50))</f>
        <v>0.98</v>
      </c>
      <c r="AB139" s="3">
        <f>grand[[#This Row],[ carcass weight]]/grand[[#This Row],[total weight]]</f>
        <v>0.59996103896103892</v>
      </c>
      <c r="AC139" s="3">
        <f>SUM(grand[[#This Row],[am]:[meat transportation]])/100</f>
        <v>0.92500000000000004</v>
      </c>
      <c r="AD139" s="2"/>
      <c r="AE139" s="2"/>
      <c r="AF139" s="2"/>
      <c r="AG139" s="2"/>
      <c r="AH139" s="2"/>
      <c r="AI139" s="2"/>
      <c r="AJ139" s="2"/>
    </row>
    <row r="140" spans="1:36" hidden="1" x14ac:dyDescent="0.2">
      <c r="A140" s="11">
        <v>43687</v>
      </c>
      <c r="B140" s="53" t="s">
        <v>1340</v>
      </c>
      <c r="C140" s="52" t="str">
        <f>IF(MID(B140,4,2)="09","Ramadan",IF(AND(MID(B140,4,2)="12",VALUE(LEFT(B140,2))&lt;=9),"Adha Season","Normal"))</f>
        <v>Adha Season</v>
      </c>
      <c r="D140" s="2" t="s">
        <v>294</v>
      </c>
      <c r="E140" s="2"/>
      <c r="F140" s="4" t="s">
        <v>35</v>
      </c>
      <c r="G140" s="2">
        <v>41</v>
      </c>
      <c r="H140" s="2">
        <v>41</v>
      </c>
      <c r="I140" s="2">
        <f>grand[[#This Row],[number]]-grand[[#This Row],[received]]</f>
        <v>0</v>
      </c>
      <c r="J140" s="30"/>
      <c r="K140" s="2"/>
      <c r="L140" s="2"/>
      <c r="M140" s="2">
        <f>K140-L140</f>
        <v>0</v>
      </c>
      <c r="N140" s="2"/>
      <c r="O140" s="2"/>
      <c r="P140" s="7">
        <f>grand[[#This Row],[total weight]]/grand[[#This Row],[received]]</f>
        <v>0</v>
      </c>
      <c r="Q140" s="7">
        <f>grand[[#This Row],[receiving weight]]/grand[[#This Row],[received]]</f>
        <v>0</v>
      </c>
      <c r="R140" s="7">
        <f>grand[[#This Row],[transportation loss ]]/grand[[#This Row],[received]]</f>
        <v>0</v>
      </c>
      <c r="S140" s="7">
        <f>grand[[#This Row],[ carcass weight]]/grand[[#This Row],[received]]</f>
        <v>0</v>
      </c>
      <c r="T140" s="7">
        <f>grand[[#This Row],[ kidneys fat quantity]]/grand[[#This Row],[received]]</f>
        <v>0</v>
      </c>
      <c r="U140" s="2">
        <v>25</v>
      </c>
      <c r="V140" s="2">
        <v>0</v>
      </c>
      <c r="W140" s="2">
        <v>49.6</v>
      </c>
      <c r="X140" s="2">
        <v>10</v>
      </c>
      <c r="Y140" s="8">
        <v>8.5</v>
      </c>
      <c r="Z140" s="3"/>
      <c r="AA140" s="12">
        <f>AVERAGE((grand[[#This Row],[am]]/25),(grand[[#This Row],[pm]]/50))</f>
        <v>0.996</v>
      </c>
      <c r="AB140" s="3"/>
      <c r="AC140" s="3">
        <f>SUM(grand[[#This Row],[am]:[meat transportation]])/100</f>
        <v>0.93099999999999994</v>
      </c>
      <c r="AD140" s="2"/>
      <c r="AE140" s="2"/>
      <c r="AF140" s="2"/>
      <c r="AG140" s="2"/>
      <c r="AH140" s="2"/>
      <c r="AI140" s="2"/>
      <c r="AJ140" s="2"/>
    </row>
    <row r="141" spans="1:36" hidden="1" x14ac:dyDescent="0.2">
      <c r="A141" s="11">
        <v>43696</v>
      </c>
      <c r="B141" s="53" t="s">
        <v>1341</v>
      </c>
      <c r="C141" s="52" t="str">
        <f>IF(MID(B141,4,2)="09","Ramadan",IF(AND(MID(B141,4,2)="12",VALUE(LEFT(B141,2))&lt;=9),"Adha Season","Normal"))</f>
        <v>Normal</v>
      </c>
      <c r="D141" s="1" t="s">
        <v>45</v>
      </c>
      <c r="F141" s="4" t="s">
        <v>46</v>
      </c>
      <c r="G141" s="2">
        <v>16</v>
      </c>
      <c r="H141" s="2">
        <v>16</v>
      </c>
      <c r="I141" s="2">
        <f>grand[[#This Row],[number]]-grand[[#This Row],[received]]</f>
        <v>0</v>
      </c>
      <c r="J141" s="30"/>
      <c r="K141" s="2">
        <v>7930</v>
      </c>
      <c r="L141" s="2">
        <v>7430</v>
      </c>
      <c r="M141" s="2">
        <f>K141-L141</f>
        <v>500</v>
      </c>
      <c r="N141" s="2">
        <v>4786.8999999999996</v>
      </c>
      <c r="O141" s="2"/>
      <c r="P141" s="7">
        <f>grand[[#This Row],[total weight]]/grand[[#This Row],[received]]</f>
        <v>495.625</v>
      </c>
      <c r="Q141" s="7">
        <f>grand[[#This Row],[receiving weight]]/grand[[#This Row],[received]]</f>
        <v>464.375</v>
      </c>
      <c r="R141" s="7">
        <f>grand[[#This Row],[transportation loss ]]/grand[[#This Row],[received]]</f>
        <v>31.25</v>
      </c>
      <c r="S141" s="7">
        <f>grand[[#This Row],[ carcass weight]]/grand[[#This Row],[received]]</f>
        <v>299.18124999999998</v>
      </c>
      <c r="T141" s="7"/>
      <c r="U141" s="2">
        <v>25</v>
      </c>
      <c r="V141" s="2"/>
      <c r="W141" s="2">
        <v>49.8</v>
      </c>
      <c r="X141" s="2">
        <v>10</v>
      </c>
      <c r="Y141" s="8">
        <v>8.5</v>
      </c>
      <c r="Z141" s="3">
        <f>grand[[#This Row],[av. Transportation loss]]/grand[[#This Row],[av.total weight]]</f>
        <v>6.3051702395964693E-2</v>
      </c>
      <c r="AA141" s="12">
        <f>AVERAGE((grand[[#This Row],[am]]/25),(grand[[#This Row],[pm]]/50))</f>
        <v>0.998</v>
      </c>
      <c r="AB141" s="3">
        <f>grand[[#This Row],[ carcass weight]]/grand[[#This Row],[total weight]]</f>
        <v>0.60364438839848666</v>
      </c>
      <c r="AC141" s="3">
        <f>SUM(grand[[#This Row],[am]:[meat transportation]])/100</f>
        <v>0.93299999999999994</v>
      </c>
      <c r="AD141" s="2"/>
      <c r="AE141" s="2"/>
      <c r="AF141" s="2"/>
      <c r="AG141" s="2"/>
      <c r="AH141" s="2"/>
      <c r="AI141" s="2"/>
      <c r="AJ141" s="2"/>
    </row>
    <row r="142" spans="1:36" hidden="1" x14ac:dyDescent="0.2">
      <c r="A142" s="11">
        <v>43697</v>
      </c>
      <c r="B142" s="53" t="s">
        <v>1342</v>
      </c>
      <c r="C142" s="52" t="str">
        <f>IF(MID(B142,4,2)="09","Ramadan",IF(AND(MID(B142,4,2)="12",VALUE(LEFT(B142,2))&lt;=9),"Adha Season","Normal"))</f>
        <v>Normal</v>
      </c>
      <c r="D142" s="1" t="s">
        <v>45</v>
      </c>
      <c r="F142" s="4" t="s">
        <v>46</v>
      </c>
      <c r="G142" s="2">
        <v>19</v>
      </c>
      <c r="H142" s="2">
        <v>19</v>
      </c>
      <c r="I142" s="2">
        <f>grand[[#This Row],[number]]-grand[[#This Row],[received]]</f>
        <v>0</v>
      </c>
      <c r="J142" s="30"/>
      <c r="K142" s="2">
        <v>8940</v>
      </c>
      <c r="L142" s="2">
        <v>8435</v>
      </c>
      <c r="M142" s="2">
        <f>K142-L142</f>
        <v>505</v>
      </c>
      <c r="N142" s="2">
        <v>5366.8</v>
      </c>
      <c r="O142" s="2"/>
      <c r="P142" s="7">
        <f>grand[[#This Row],[total weight]]/grand[[#This Row],[received]]</f>
        <v>470.5263157894737</v>
      </c>
      <c r="Q142" s="7">
        <f>grand[[#This Row],[receiving weight]]/grand[[#This Row],[received]]</f>
        <v>443.94736842105266</v>
      </c>
      <c r="R142" s="7">
        <f>grand[[#This Row],[transportation loss ]]/grand[[#This Row],[received]]</f>
        <v>26.578947368421051</v>
      </c>
      <c r="S142" s="7">
        <f>grand[[#This Row],[ carcass weight]]/grand[[#This Row],[received]]</f>
        <v>282.46315789473687</v>
      </c>
      <c r="T142" s="7"/>
      <c r="U142" s="2">
        <v>25</v>
      </c>
      <c r="V142" s="2"/>
      <c r="W142" s="2">
        <v>50</v>
      </c>
      <c r="X142" s="2">
        <v>10</v>
      </c>
      <c r="Y142" s="8">
        <v>8.5</v>
      </c>
      <c r="Z142" s="3">
        <f>grand[[#This Row],[av. Transportation loss]]/grand[[#This Row],[av.total weight]]</f>
        <v>5.6487695749440708E-2</v>
      </c>
      <c r="AA142" s="12">
        <f>AVERAGE((grand[[#This Row],[am]]/25),(grand[[#This Row],[pm]]/50))</f>
        <v>1</v>
      </c>
      <c r="AB142" s="3">
        <f>grand[[#This Row],[ carcass weight]]/grand[[#This Row],[total weight]]</f>
        <v>0.60031319910514547</v>
      </c>
      <c r="AC142" s="3">
        <f>SUM(grand[[#This Row],[am]:[meat transportation]])/100</f>
        <v>0.93500000000000005</v>
      </c>
      <c r="AD142" s="2"/>
      <c r="AE142" s="2"/>
      <c r="AF142" s="2"/>
      <c r="AG142" s="2"/>
      <c r="AH142" s="2"/>
      <c r="AI142" s="2"/>
      <c r="AJ142" s="2"/>
    </row>
    <row r="143" spans="1:36" hidden="1" x14ac:dyDescent="0.2">
      <c r="A143" s="11">
        <v>43698</v>
      </c>
      <c r="B143" s="53" t="s">
        <v>1343</v>
      </c>
      <c r="C143" s="52" t="str">
        <f>IF(MID(B143,4,2)="09","Ramadan",IF(AND(MID(B143,4,2)="12",VALUE(LEFT(B143,2))&lt;=9),"Adha Season","Normal"))</f>
        <v>Normal</v>
      </c>
      <c r="D143" s="1" t="s">
        <v>45</v>
      </c>
      <c r="F143" s="4" t="s">
        <v>46</v>
      </c>
      <c r="G143" s="2">
        <v>16</v>
      </c>
      <c r="H143" s="2">
        <v>16</v>
      </c>
      <c r="I143" s="2">
        <f>grand[[#This Row],[number]]-grand[[#This Row],[received]]</f>
        <v>0</v>
      </c>
      <c r="J143" s="30"/>
      <c r="K143" s="2">
        <v>7945</v>
      </c>
      <c r="L143" s="2">
        <v>7574</v>
      </c>
      <c r="M143" s="2">
        <f>K143-L143</f>
        <v>371</v>
      </c>
      <c r="N143" s="2">
        <v>4769.2</v>
      </c>
      <c r="O143" s="2"/>
      <c r="P143" s="7">
        <f>grand[[#This Row],[total weight]]/grand[[#This Row],[received]]</f>
        <v>496.5625</v>
      </c>
      <c r="Q143" s="7">
        <f>grand[[#This Row],[receiving weight]]/grand[[#This Row],[received]]</f>
        <v>473.375</v>
      </c>
      <c r="R143" s="7">
        <f>grand[[#This Row],[transportation loss ]]/grand[[#This Row],[received]]</f>
        <v>23.1875</v>
      </c>
      <c r="S143" s="7">
        <f>grand[[#This Row],[ carcass weight]]/grand[[#This Row],[received]]</f>
        <v>298.07499999999999</v>
      </c>
      <c r="T143" s="7"/>
      <c r="U143" s="2">
        <v>24.8</v>
      </c>
      <c r="V143" s="2"/>
      <c r="W143" s="2">
        <v>50</v>
      </c>
      <c r="X143" s="2">
        <v>10</v>
      </c>
      <c r="Y143" s="8">
        <v>8.5</v>
      </c>
      <c r="Z143" s="3">
        <f>grand[[#This Row],[av. Transportation loss]]/grand[[#This Row],[av.total weight]]</f>
        <v>4.6696035242290747E-2</v>
      </c>
      <c r="AA143" s="12">
        <f>AVERAGE((grand[[#This Row],[am]]/25),(grand[[#This Row],[pm]]/50))</f>
        <v>0.996</v>
      </c>
      <c r="AB143" s="3">
        <f>grand[[#This Row],[ carcass weight]]/grand[[#This Row],[total weight]]</f>
        <v>0.600276903713027</v>
      </c>
      <c r="AC143" s="3">
        <f>SUM(grand[[#This Row],[am]:[meat transportation]])/100</f>
        <v>0.93299999999999994</v>
      </c>
      <c r="AD143" s="2"/>
      <c r="AE143" s="2"/>
      <c r="AF143" s="2"/>
      <c r="AG143" s="2"/>
      <c r="AH143" s="2"/>
      <c r="AI143" s="2"/>
      <c r="AJ143" s="2"/>
    </row>
    <row r="144" spans="1:36" hidden="1" x14ac:dyDescent="0.2">
      <c r="A144" s="11">
        <v>43699</v>
      </c>
      <c r="B144" s="53" t="s">
        <v>1344</v>
      </c>
      <c r="C144" s="52" t="str">
        <f>IF(MID(B144,4,2)="09","Ramadan",IF(AND(MID(B144,4,2)="12",VALUE(LEFT(B144,2))&lt;=9),"Adha Season","Normal"))</f>
        <v>Normal</v>
      </c>
      <c r="D144" s="1" t="s">
        <v>45</v>
      </c>
      <c r="F144" s="4" t="s">
        <v>39</v>
      </c>
      <c r="G144" s="2">
        <v>24</v>
      </c>
      <c r="H144" s="2">
        <v>24</v>
      </c>
      <c r="I144" s="2">
        <f>grand[[#This Row],[number]]-grand[[#This Row],[received]]</f>
        <v>0</v>
      </c>
      <c r="J144" s="30"/>
      <c r="K144" s="2">
        <v>9170</v>
      </c>
      <c r="L144" s="2">
        <v>8580</v>
      </c>
      <c r="M144" s="2">
        <f>K144-L144</f>
        <v>590</v>
      </c>
      <c r="N144" s="2">
        <v>5578.6</v>
      </c>
      <c r="O144" s="2"/>
      <c r="P144" s="7">
        <f>grand[[#This Row],[total weight]]/grand[[#This Row],[received]]</f>
        <v>382.08333333333331</v>
      </c>
      <c r="Q144" s="7">
        <f>grand[[#This Row],[receiving weight]]/grand[[#This Row],[received]]</f>
        <v>357.5</v>
      </c>
      <c r="R144" s="7">
        <f>grand[[#This Row],[transportation loss ]]/grand[[#This Row],[received]]</f>
        <v>24.583333333333332</v>
      </c>
      <c r="S144" s="7">
        <f>grand[[#This Row],[ carcass weight]]/grand[[#This Row],[received]]</f>
        <v>232.44166666666669</v>
      </c>
      <c r="T144" s="7"/>
      <c r="U144" s="2">
        <v>25</v>
      </c>
      <c r="V144" s="2"/>
      <c r="W144" s="2">
        <v>49.6</v>
      </c>
      <c r="X144" s="2">
        <v>10</v>
      </c>
      <c r="Y144" s="8">
        <v>8.5</v>
      </c>
      <c r="Z144" s="3">
        <f>grand[[#This Row],[av. Transportation loss]]/grand[[#This Row],[av.total weight]]</f>
        <v>6.4340239912759001E-2</v>
      </c>
      <c r="AA144" s="12">
        <f>AVERAGE((grand[[#This Row],[am]]/25),(grand[[#This Row],[pm]]/50))</f>
        <v>0.996</v>
      </c>
      <c r="AB144" s="3">
        <f>grand[[#This Row],[ carcass weight]]/grand[[#This Row],[total weight]]</f>
        <v>0.60835332606324977</v>
      </c>
      <c r="AC144" s="3">
        <f>SUM(grand[[#This Row],[am]:[meat transportation]])/100</f>
        <v>0.93099999999999994</v>
      </c>
      <c r="AD144" s="2"/>
      <c r="AE144" s="2"/>
      <c r="AF144" s="2"/>
      <c r="AG144" s="2"/>
      <c r="AH144" s="2"/>
      <c r="AI144" s="2"/>
      <c r="AJ144" s="2"/>
    </row>
    <row r="145" spans="1:36" hidden="1" x14ac:dyDescent="0.2">
      <c r="A145" s="11">
        <v>43699</v>
      </c>
      <c r="B145" s="53" t="s">
        <v>1344</v>
      </c>
      <c r="C145" s="52" t="str">
        <f>IF(MID(B145,4,2)="09","Ramadan",IF(AND(MID(B145,4,2)="12",VALUE(LEFT(B145,2))&lt;=9),"Adha Season","Normal"))</f>
        <v>Normal</v>
      </c>
      <c r="D145" s="2" t="s">
        <v>294</v>
      </c>
      <c r="E145" s="2"/>
      <c r="F145" s="4" t="s">
        <v>35</v>
      </c>
      <c r="G145" s="2">
        <v>23</v>
      </c>
      <c r="H145" s="2">
        <v>23</v>
      </c>
      <c r="I145" s="2">
        <f>grand[[#This Row],[number]]-grand[[#This Row],[received]]</f>
        <v>0</v>
      </c>
      <c r="J145" s="30"/>
      <c r="K145" s="2"/>
      <c r="L145" s="2"/>
      <c r="M145" s="2">
        <f>K145-L145</f>
        <v>0</v>
      </c>
      <c r="N145" s="2"/>
      <c r="O145" s="2"/>
      <c r="P145" s="7">
        <f>grand[[#This Row],[total weight]]/grand[[#This Row],[received]]</f>
        <v>0</v>
      </c>
      <c r="Q145" s="7">
        <f>grand[[#This Row],[receiving weight]]/grand[[#This Row],[received]]</f>
        <v>0</v>
      </c>
      <c r="R145" s="7">
        <f>grand[[#This Row],[transportation loss ]]/grand[[#This Row],[received]]</f>
        <v>0</v>
      </c>
      <c r="S145" s="7">
        <f>grand[[#This Row],[ carcass weight]]/grand[[#This Row],[received]]</f>
        <v>0</v>
      </c>
      <c r="T145" s="7">
        <f>grand[[#This Row],[ kidneys fat quantity]]/grand[[#This Row],[received]]</f>
        <v>0</v>
      </c>
      <c r="U145" s="2">
        <v>25</v>
      </c>
      <c r="V145" s="2">
        <v>0</v>
      </c>
      <c r="W145" s="2">
        <v>49</v>
      </c>
      <c r="X145" s="2">
        <v>10</v>
      </c>
      <c r="Y145" s="8">
        <v>8.5</v>
      </c>
      <c r="Z145" s="3"/>
      <c r="AA145" s="12">
        <f>AVERAGE((grand[[#This Row],[am]]/25),(grand[[#This Row],[pm]]/50))</f>
        <v>0.99</v>
      </c>
      <c r="AB145" s="3"/>
      <c r="AC145" s="3">
        <f>SUM(grand[[#This Row],[am]:[meat transportation]])/100</f>
        <v>0.92500000000000004</v>
      </c>
      <c r="AD145" s="2"/>
      <c r="AE145" s="2"/>
      <c r="AF145" s="2"/>
      <c r="AG145" s="2"/>
      <c r="AH145" s="2"/>
      <c r="AI145" s="2"/>
      <c r="AJ145" s="2"/>
    </row>
    <row r="146" spans="1:36" hidden="1" x14ac:dyDescent="0.2">
      <c r="A146" s="11">
        <v>43702</v>
      </c>
      <c r="B146" s="53" t="s">
        <v>1345</v>
      </c>
      <c r="C146" s="52" t="str">
        <f>IF(MID(B146,4,2)="09","Ramadan",IF(AND(MID(B146,4,2)="12",VALUE(LEFT(B146,2))&lt;=9),"Adha Season","Normal"))</f>
        <v>Normal</v>
      </c>
      <c r="D146" s="1" t="s">
        <v>45</v>
      </c>
      <c r="F146" s="4" t="s">
        <v>39</v>
      </c>
      <c r="G146" s="2">
        <v>25</v>
      </c>
      <c r="H146" s="2">
        <v>25</v>
      </c>
      <c r="I146" s="2">
        <f>grand[[#This Row],[number]]-grand[[#This Row],[received]]</f>
        <v>0</v>
      </c>
      <c r="J146" s="30"/>
      <c r="K146" s="2">
        <v>9677</v>
      </c>
      <c r="L146" s="2">
        <v>8980</v>
      </c>
      <c r="M146" s="2">
        <f>K146-L146</f>
        <v>697</v>
      </c>
      <c r="N146" s="2">
        <v>5866</v>
      </c>
      <c r="O146" s="2"/>
      <c r="P146" s="7">
        <f>grand[[#This Row],[total weight]]/grand[[#This Row],[received]]</f>
        <v>387.08</v>
      </c>
      <c r="Q146" s="7">
        <f>grand[[#This Row],[receiving weight]]/grand[[#This Row],[received]]</f>
        <v>359.2</v>
      </c>
      <c r="R146" s="7">
        <f>grand[[#This Row],[transportation loss ]]/grand[[#This Row],[received]]</f>
        <v>27.88</v>
      </c>
      <c r="S146" s="7">
        <f>grand[[#This Row],[ carcass weight]]/grand[[#This Row],[received]]</f>
        <v>234.64</v>
      </c>
      <c r="T146" s="7"/>
      <c r="U146" s="2">
        <v>25</v>
      </c>
      <c r="V146" s="2"/>
      <c r="W146" s="2">
        <v>50</v>
      </c>
      <c r="X146" s="2">
        <v>10</v>
      </c>
      <c r="Y146" s="8">
        <v>8.5</v>
      </c>
      <c r="Z146" s="3">
        <f>grand[[#This Row],[av. Transportation loss]]/grand[[#This Row],[av.total weight]]</f>
        <v>7.2026454479694121E-2</v>
      </c>
      <c r="AA146" s="12">
        <f>AVERAGE((grand[[#This Row],[am]]/25),(grand[[#This Row],[pm]]/50))</f>
        <v>1</v>
      </c>
      <c r="AB146" s="3">
        <f>grand[[#This Row],[ carcass weight]]/grand[[#This Row],[total weight]]</f>
        <v>0.60617960111604841</v>
      </c>
      <c r="AC146" s="3">
        <f>SUM(grand[[#This Row],[am]:[meat transportation]])/100</f>
        <v>0.93500000000000005</v>
      </c>
      <c r="AD146" s="2"/>
      <c r="AE146" s="2"/>
      <c r="AF146" s="2"/>
      <c r="AG146" s="2"/>
      <c r="AH146" s="2"/>
      <c r="AI146" s="2"/>
      <c r="AJ146" s="2"/>
    </row>
    <row r="147" spans="1:36" hidden="1" x14ac:dyDescent="0.2">
      <c r="A147" s="11">
        <v>43702</v>
      </c>
      <c r="B147" s="53" t="s">
        <v>1345</v>
      </c>
      <c r="C147" s="52" t="str">
        <f>IF(MID(B147,4,2)="09","Ramadan",IF(AND(MID(B147,4,2)="12",VALUE(LEFT(B147,2))&lt;=9),"Adha Season","Normal"))</f>
        <v>Normal</v>
      </c>
      <c r="D147" s="2" t="s">
        <v>294</v>
      </c>
      <c r="E147" s="2"/>
      <c r="F147" s="4" t="s">
        <v>35</v>
      </c>
      <c r="G147" s="2">
        <v>20</v>
      </c>
      <c r="H147" s="2">
        <v>20</v>
      </c>
      <c r="I147" s="2">
        <f>grand[[#This Row],[number]]-grand[[#This Row],[received]]</f>
        <v>0</v>
      </c>
      <c r="J147" s="30"/>
      <c r="K147" s="2"/>
      <c r="L147" s="2"/>
      <c r="M147" s="2">
        <f>K147-L147</f>
        <v>0</v>
      </c>
      <c r="N147" s="2"/>
      <c r="O147" s="2"/>
      <c r="P147" s="7">
        <f>grand[[#This Row],[total weight]]/grand[[#This Row],[received]]</f>
        <v>0</v>
      </c>
      <c r="Q147" s="7">
        <f>grand[[#This Row],[receiving weight]]/grand[[#This Row],[received]]</f>
        <v>0</v>
      </c>
      <c r="R147" s="7">
        <f>grand[[#This Row],[transportation loss ]]/grand[[#This Row],[received]]</f>
        <v>0</v>
      </c>
      <c r="S147" s="7">
        <f>grand[[#This Row],[ carcass weight]]/grand[[#This Row],[received]]</f>
        <v>0</v>
      </c>
      <c r="T147" s="7">
        <f>grand[[#This Row],[ kidneys fat quantity]]/grand[[#This Row],[received]]</f>
        <v>0</v>
      </c>
      <c r="U147" s="2">
        <v>25</v>
      </c>
      <c r="V147" s="2">
        <v>0</v>
      </c>
      <c r="W147" s="2">
        <v>50</v>
      </c>
      <c r="X147" s="2">
        <v>10</v>
      </c>
      <c r="Y147" s="8">
        <v>8.5</v>
      </c>
      <c r="Z147" s="3"/>
      <c r="AA147" s="12">
        <f>AVERAGE((grand[[#This Row],[am]]/25),(grand[[#This Row],[pm]]/50))</f>
        <v>1</v>
      </c>
      <c r="AB147" s="3"/>
      <c r="AC147" s="3">
        <f>SUM(grand[[#This Row],[am]:[meat transportation]])/100</f>
        <v>0.93500000000000005</v>
      </c>
      <c r="AD147" s="2"/>
      <c r="AE147" s="2"/>
      <c r="AF147" s="2"/>
      <c r="AG147" s="2"/>
      <c r="AH147" s="2"/>
      <c r="AI147" s="2"/>
      <c r="AJ147" s="2"/>
    </row>
    <row r="148" spans="1:36" hidden="1" x14ac:dyDescent="0.2">
      <c r="A148" s="11">
        <v>43704</v>
      </c>
      <c r="B148" s="53" t="s">
        <v>1346</v>
      </c>
      <c r="C148" s="52" t="str">
        <f>IF(MID(B148,4,2)="09","Ramadan",IF(AND(MID(B148,4,2)="12",VALUE(LEFT(B148,2))&lt;=9),"Adha Season","Normal"))</f>
        <v>Normal</v>
      </c>
      <c r="D148" s="1" t="s">
        <v>45</v>
      </c>
      <c r="F148" s="4" t="s">
        <v>46</v>
      </c>
      <c r="G148" s="2">
        <v>27</v>
      </c>
      <c r="H148" s="2">
        <v>27</v>
      </c>
      <c r="I148" s="2">
        <f>grand[[#This Row],[number]]-grand[[#This Row],[received]]</f>
        <v>0</v>
      </c>
      <c r="J148" s="30"/>
      <c r="K148" s="2">
        <v>12600</v>
      </c>
      <c r="L148" s="2">
        <v>12250</v>
      </c>
      <c r="M148" s="2">
        <f>K148-L148</f>
        <v>350</v>
      </c>
      <c r="N148" s="2">
        <v>7563.5</v>
      </c>
      <c r="O148" s="2"/>
      <c r="P148" s="7">
        <f>grand[[#This Row],[total weight]]/grand[[#This Row],[received]]</f>
        <v>466.66666666666669</v>
      </c>
      <c r="Q148" s="7">
        <f>grand[[#This Row],[receiving weight]]/grand[[#This Row],[received]]</f>
        <v>453.7037037037037</v>
      </c>
      <c r="R148" s="7">
        <f>grand[[#This Row],[transportation loss ]]/grand[[#This Row],[received]]</f>
        <v>12.962962962962964</v>
      </c>
      <c r="S148" s="7">
        <f>grand[[#This Row],[ carcass weight]]/grand[[#This Row],[received]]</f>
        <v>280.12962962962962</v>
      </c>
      <c r="T148" s="7"/>
      <c r="U148" s="2">
        <v>25</v>
      </c>
      <c r="V148" s="2"/>
      <c r="W148" s="2">
        <v>50</v>
      </c>
      <c r="X148" s="2">
        <v>10</v>
      </c>
      <c r="Y148" s="8">
        <v>8.5</v>
      </c>
      <c r="Z148" s="3">
        <f>grand[[#This Row],[av. Transportation loss]]/grand[[#This Row],[av.total weight]]</f>
        <v>2.777777777777778E-2</v>
      </c>
      <c r="AA148" s="12">
        <f>AVERAGE((grand[[#This Row],[am]]/25),(grand[[#This Row],[pm]]/50))</f>
        <v>1</v>
      </c>
      <c r="AB148" s="3">
        <f>grand[[#This Row],[ carcass weight]]/grand[[#This Row],[total weight]]</f>
        <v>0.6002777777777778</v>
      </c>
      <c r="AC148" s="3">
        <f>SUM(grand[[#This Row],[am]:[meat transportation]])/100</f>
        <v>0.93500000000000005</v>
      </c>
      <c r="AD148" s="2"/>
      <c r="AE148" s="2"/>
      <c r="AF148" s="2"/>
      <c r="AG148" s="2"/>
      <c r="AH148" s="2"/>
      <c r="AI148" s="2"/>
      <c r="AJ148" s="2"/>
    </row>
    <row r="149" spans="1:36" hidden="1" x14ac:dyDescent="0.2">
      <c r="A149" s="11">
        <v>43706</v>
      </c>
      <c r="B149" s="53" t="s">
        <v>1347</v>
      </c>
      <c r="C149" s="52" t="str">
        <f>IF(MID(B149,4,2)="09","Ramadan",IF(AND(MID(B149,4,2)="12",VALUE(LEFT(B149,2))&lt;=9),"Adha Season","Normal"))</f>
        <v>Normal</v>
      </c>
      <c r="D149" s="2" t="s">
        <v>294</v>
      </c>
      <c r="E149" s="2"/>
      <c r="F149" s="4" t="s">
        <v>35</v>
      </c>
      <c r="G149" s="2">
        <v>20</v>
      </c>
      <c r="H149" s="2">
        <v>20</v>
      </c>
      <c r="I149" s="2">
        <f>grand[[#This Row],[number]]-grand[[#This Row],[received]]</f>
        <v>0</v>
      </c>
      <c r="J149" s="30"/>
      <c r="K149" s="2"/>
      <c r="L149" s="2"/>
      <c r="M149" s="2">
        <f>K149-L149</f>
        <v>0</v>
      </c>
      <c r="N149" s="2"/>
      <c r="O149" s="2"/>
      <c r="P149" s="7">
        <f>grand[[#This Row],[total weight]]/grand[[#This Row],[received]]</f>
        <v>0</v>
      </c>
      <c r="Q149" s="7">
        <f>grand[[#This Row],[receiving weight]]/grand[[#This Row],[received]]</f>
        <v>0</v>
      </c>
      <c r="R149" s="7">
        <f>grand[[#This Row],[transportation loss ]]/grand[[#This Row],[received]]</f>
        <v>0</v>
      </c>
      <c r="S149" s="7">
        <f>grand[[#This Row],[ carcass weight]]/grand[[#This Row],[received]]</f>
        <v>0</v>
      </c>
      <c r="T149" s="7">
        <f>grand[[#This Row],[ kidneys fat quantity]]/grand[[#This Row],[received]]</f>
        <v>0</v>
      </c>
      <c r="U149" s="2">
        <v>25</v>
      </c>
      <c r="V149" s="2">
        <v>0</v>
      </c>
      <c r="W149" s="2">
        <v>48.9</v>
      </c>
      <c r="X149" s="2">
        <v>10</v>
      </c>
      <c r="Y149" s="8">
        <v>8.5</v>
      </c>
      <c r="Z149" s="3"/>
      <c r="AA149" s="12">
        <f>AVERAGE((grand[[#This Row],[am]]/25),(grand[[#This Row],[pm]]/50))</f>
        <v>0.98899999999999999</v>
      </c>
      <c r="AB149" s="3"/>
      <c r="AC149" s="3">
        <f>SUM(grand[[#This Row],[am]:[meat transportation]])/100</f>
        <v>0.92400000000000004</v>
      </c>
      <c r="AD149" s="2"/>
      <c r="AE149" s="2"/>
      <c r="AF149" s="2"/>
      <c r="AG149" s="2"/>
      <c r="AH149" s="2"/>
      <c r="AI149" s="2"/>
      <c r="AJ149" s="2"/>
    </row>
    <row r="150" spans="1:36" hidden="1" x14ac:dyDescent="0.2">
      <c r="A150" s="11">
        <v>43711</v>
      </c>
      <c r="B150" s="53" t="s">
        <v>1349</v>
      </c>
      <c r="C150" s="52" t="str">
        <f>IF(MID(B150,4,2)="09","Ramadan",IF(AND(MID(B150,4,2)="12",VALUE(LEFT(B150,2))&lt;=9),"Adha Season","Normal"))</f>
        <v>Normal</v>
      </c>
      <c r="D150" s="1" t="s">
        <v>45</v>
      </c>
      <c r="F150" s="4" t="s">
        <v>39</v>
      </c>
      <c r="G150" s="2">
        <v>33</v>
      </c>
      <c r="H150" s="2">
        <v>33</v>
      </c>
      <c r="I150" s="2">
        <f>grand[[#This Row],[number]]-grand[[#This Row],[received]]</f>
        <v>0</v>
      </c>
      <c r="J150" s="30"/>
      <c r="K150" s="2">
        <v>12994</v>
      </c>
      <c r="L150" s="2">
        <v>12035</v>
      </c>
      <c r="M150" s="2">
        <f>K150-L150</f>
        <v>959</v>
      </c>
      <c r="N150" s="2">
        <v>7882.85</v>
      </c>
      <c r="O150" s="2">
        <v>217</v>
      </c>
      <c r="P150" s="7">
        <f>grand[[#This Row],[total weight]]/grand[[#This Row],[received]]</f>
        <v>393.75757575757575</v>
      </c>
      <c r="Q150" s="7">
        <f>grand[[#This Row],[receiving weight]]/grand[[#This Row],[received]]</f>
        <v>364.69696969696969</v>
      </c>
      <c r="R150" s="7">
        <f>grand[[#This Row],[transportation loss ]]/grand[[#This Row],[received]]</f>
        <v>29.060606060606062</v>
      </c>
      <c r="S150" s="7">
        <f>grand[[#This Row],[ carcass weight]]/grand[[#This Row],[received]]</f>
        <v>238.87424242424242</v>
      </c>
      <c r="T150" s="8">
        <f>grand[[#This Row],[ kidneys fat quantity]]/grand[[#This Row],[received]]</f>
        <v>6.5757575757575761</v>
      </c>
      <c r="U150" s="2">
        <v>25</v>
      </c>
      <c r="V150" s="2"/>
      <c r="W150" s="2">
        <v>49.5</v>
      </c>
      <c r="X150" s="2">
        <v>10</v>
      </c>
      <c r="Y150" s="8">
        <v>8.5</v>
      </c>
      <c r="Z150" s="3">
        <f>grand[[#This Row],[av. Transportation loss]]/grand[[#This Row],[av.total weight]]</f>
        <v>7.3803293827920585E-2</v>
      </c>
      <c r="AA150" s="12">
        <f>AVERAGE((grand[[#This Row],[am]]/25),(grand[[#This Row],[pm]]/50))</f>
        <v>0.995</v>
      </c>
      <c r="AB150" s="3">
        <f>grand[[#This Row],[ carcass weight]]/grand[[#This Row],[total weight]]</f>
        <v>0.60665307064799145</v>
      </c>
      <c r="AC150" s="3">
        <f>SUM(grand[[#This Row],[am]:[meat transportation]])/100</f>
        <v>0.93</v>
      </c>
      <c r="AD150" s="2"/>
      <c r="AE150" s="2"/>
      <c r="AF150" s="2"/>
      <c r="AG150" s="2"/>
      <c r="AH150" s="2"/>
      <c r="AI150" s="2"/>
      <c r="AJ150" s="2"/>
    </row>
    <row r="151" spans="1:36" hidden="1" x14ac:dyDescent="0.2">
      <c r="A151" s="11">
        <v>43713</v>
      </c>
      <c r="B151" s="53" t="s">
        <v>1350</v>
      </c>
      <c r="C151" s="52" t="str">
        <f>IF(MID(B151,4,2)="09","Ramadan",IF(AND(MID(B151,4,2)="12",VALUE(LEFT(B151,2))&lt;=9),"Adha Season","Normal"))</f>
        <v>Normal</v>
      </c>
      <c r="D151" s="2" t="s">
        <v>294</v>
      </c>
      <c r="E151" s="2"/>
      <c r="F151" s="4" t="s">
        <v>35</v>
      </c>
      <c r="G151" s="2">
        <v>20</v>
      </c>
      <c r="H151" s="2">
        <v>20</v>
      </c>
      <c r="I151" s="2">
        <f>grand[[#This Row],[number]]-grand[[#This Row],[received]]</f>
        <v>0</v>
      </c>
      <c r="J151" s="30"/>
      <c r="K151" s="2"/>
      <c r="L151" s="2"/>
      <c r="M151" s="2">
        <f>K151-L151</f>
        <v>0</v>
      </c>
      <c r="N151" s="2"/>
      <c r="O151" s="2"/>
      <c r="P151" s="7">
        <f>grand[[#This Row],[total weight]]/grand[[#This Row],[received]]</f>
        <v>0</v>
      </c>
      <c r="Q151" s="7">
        <f>grand[[#This Row],[receiving weight]]/grand[[#This Row],[received]]</f>
        <v>0</v>
      </c>
      <c r="R151" s="7">
        <f>grand[[#This Row],[transportation loss ]]/grand[[#This Row],[received]]</f>
        <v>0</v>
      </c>
      <c r="S151" s="7">
        <f>grand[[#This Row],[ carcass weight]]/grand[[#This Row],[received]]</f>
        <v>0</v>
      </c>
      <c r="T151" s="7">
        <f>grand[[#This Row],[ kidneys fat quantity]]/grand[[#This Row],[received]]</f>
        <v>0</v>
      </c>
      <c r="U151" s="2">
        <v>25</v>
      </c>
      <c r="V151" s="2">
        <v>0</v>
      </c>
      <c r="W151" s="2">
        <v>49.8</v>
      </c>
      <c r="X151" s="2">
        <v>10</v>
      </c>
      <c r="Y151" s="8">
        <v>8.5</v>
      </c>
      <c r="Z151" s="3"/>
      <c r="AA151" s="12">
        <f>AVERAGE((grand[[#This Row],[am]]/25),(grand[[#This Row],[pm]]/50))</f>
        <v>0.998</v>
      </c>
      <c r="AB151" s="3"/>
      <c r="AC151" s="3">
        <f>SUM(grand[[#This Row],[am]:[meat transportation]])/100</f>
        <v>0.93299999999999994</v>
      </c>
      <c r="AD151" s="2"/>
      <c r="AE151" s="2"/>
      <c r="AF151" s="2"/>
      <c r="AG151" s="2"/>
      <c r="AH151" s="2"/>
      <c r="AI151" s="2"/>
      <c r="AJ151" s="2"/>
    </row>
    <row r="152" spans="1:36" hidden="1" x14ac:dyDescent="0.2">
      <c r="A152" s="11">
        <v>43716</v>
      </c>
      <c r="B152" s="53" t="s">
        <v>1351</v>
      </c>
      <c r="C152" s="52" t="str">
        <f>IF(MID(B152,4,2)="09","Ramadan",IF(AND(MID(B152,4,2)="12",VALUE(LEFT(B152,2))&lt;=9),"Adha Season","Normal"))</f>
        <v>Normal</v>
      </c>
      <c r="D152" s="1" t="s">
        <v>45</v>
      </c>
      <c r="F152" s="4" t="s">
        <v>46</v>
      </c>
      <c r="G152" s="2">
        <v>31</v>
      </c>
      <c r="H152" s="2">
        <v>31</v>
      </c>
      <c r="I152" s="2">
        <f>grand[[#This Row],[number]]-grand[[#This Row],[received]]</f>
        <v>0</v>
      </c>
      <c r="J152" s="30"/>
      <c r="K152" s="2">
        <v>14940</v>
      </c>
      <c r="L152" s="2">
        <v>14105</v>
      </c>
      <c r="M152" s="2">
        <f>K152-L152</f>
        <v>835</v>
      </c>
      <c r="N152" s="2">
        <v>9012.2000000000007</v>
      </c>
      <c r="O152" s="2">
        <v>309</v>
      </c>
      <c r="P152" s="7">
        <f>grand[[#This Row],[total weight]]/grand[[#This Row],[received]]</f>
        <v>481.93548387096774</v>
      </c>
      <c r="Q152" s="7">
        <f>grand[[#This Row],[receiving weight]]/grand[[#This Row],[received]]</f>
        <v>455</v>
      </c>
      <c r="R152" s="7">
        <f>grand[[#This Row],[transportation loss ]]/grand[[#This Row],[received]]</f>
        <v>26.93548387096774</v>
      </c>
      <c r="S152" s="7">
        <f>grand[[#This Row],[ carcass weight]]/grand[[#This Row],[received]]</f>
        <v>290.7161290322581</v>
      </c>
      <c r="T152" s="7">
        <f>grand[[#This Row],[ kidneys fat quantity]]/grand[[#This Row],[received]]</f>
        <v>9.9677419354838701</v>
      </c>
      <c r="U152" s="2">
        <v>21.8</v>
      </c>
      <c r="V152" s="2"/>
      <c r="W152" s="2">
        <v>49.8</v>
      </c>
      <c r="X152" s="2">
        <v>9.9</v>
      </c>
      <c r="Y152" s="8">
        <v>8.5</v>
      </c>
      <c r="Z152" s="3">
        <f>grand[[#This Row],[av. Transportation loss]]/grand[[#This Row],[av.total weight]]</f>
        <v>5.5890227576974559E-2</v>
      </c>
      <c r="AA152" s="12">
        <f>AVERAGE((grand[[#This Row],[am]]/25),(grand[[#This Row],[pm]]/50))</f>
        <v>0.93399999999999994</v>
      </c>
      <c r="AB152" s="3">
        <f>grand[[#This Row],[ carcass weight]]/grand[[#This Row],[total weight]]</f>
        <v>0.60322623828647925</v>
      </c>
      <c r="AC152" s="3">
        <f>SUM(grand[[#This Row],[am]:[meat transportation]])/100</f>
        <v>0.9</v>
      </c>
      <c r="AD152" s="2"/>
      <c r="AE152" s="2"/>
      <c r="AF152" s="2"/>
      <c r="AG152" s="2"/>
      <c r="AH152" s="2"/>
      <c r="AI152" s="2"/>
      <c r="AJ152" s="2"/>
    </row>
    <row r="153" spans="1:36" hidden="1" x14ac:dyDescent="0.2">
      <c r="A153" s="11">
        <v>43718</v>
      </c>
      <c r="B153" s="53" t="s">
        <v>1352</v>
      </c>
      <c r="C153" s="52" t="str">
        <f>IF(MID(B153,4,2)="09","Ramadan",IF(AND(MID(B153,4,2)="12",VALUE(LEFT(B153,2))&lt;=9),"Adha Season","Normal"))</f>
        <v>Normal</v>
      </c>
      <c r="D153" s="1" t="s">
        <v>45</v>
      </c>
      <c r="F153" s="4" t="s">
        <v>46</v>
      </c>
      <c r="G153" s="2">
        <v>31</v>
      </c>
      <c r="H153" s="2">
        <v>31</v>
      </c>
      <c r="I153" s="2">
        <f>grand[[#This Row],[number]]-grand[[#This Row],[received]]</f>
        <v>0</v>
      </c>
      <c r="J153" s="30"/>
      <c r="K153" s="2">
        <v>15600</v>
      </c>
      <c r="L153" s="2">
        <v>15150</v>
      </c>
      <c r="M153" s="2">
        <f>K153-L153</f>
        <v>450</v>
      </c>
      <c r="N153" s="2">
        <v>9719</v>
      </c>
      <c r="O153" s="2"/>
      <c r="P153" s="7">
        <f>grand[[#This Row],[total weight]]/grand[[#This Row],[received]]</f>
        <v>503.22580645161293</v>
      </c>
      <c r="Q153" s="7">
        <f>grand[[#This Row],[receiving weight]]/grand[[#This Row],[received]]</f>
        <v>488.70967741935482</v>
      </c>
      <c r="R153" s="7">
        <f>grand[[#This Row],[transportation loss ]]/grand[[#This Row],[received]]</f>
        <v>14.516129032258064</v>
      </c>
      <c r="S153" s="7">
        <f>grand[[#This Row],[ carcass weight]]/grand[[#This Row],[received]]</f>
        <v>313.51612903225805</v>
      </c>
      <c r="T153" s="7"/>
      <c r="U153" s="2">
        <v>21.8</v>
      </c>
      <c r="V153" s="2"/>
      <c r="W153" s="2">
        <v>49.4</v>
      </c>
      <c r="X153" s="2">
        <v>9.8000000000000007</v>
      </c>
      <c r="Y153" s="8">
        <v>8.5</v>
      </c>
      <c r="Z153" s="3">
        <f>grand[[#This Row],[av. Transportation loss]]/grand[[#This Row],[av.total weight]]</f>
        <v>2.8846153846153844E-2</v>
      </c>
      <c r="AA153" s="12">
        <f>AVERAGE((grand[[#This Row],[am]]/25),(grand[[#This Row],[pm]]/50))</f>
        <v>0.92999999999999994</v>
      </c>
      <c r="AB153" s="3">
        <f>grand[[#This Row],[ carcass weight]]/grand[[#This Row],[total weight]]</f>
        <v>0.62301282051282048</v>
      </c>
      <c r="AC153" s="3">
        <f>SUM(grand[[#This Row],[am]:[meat transportation]])/100</f>
        <v>0.89500000000000002</v>
      </c>
      <c r="AD153" s="2"/>
      <c r="AE153" s="2"/>
      <c r="AF153" s="2"/>
      <c r="AG153" s="2"/>
      <c r="AH153" s="2"/>
      <c r="AI153" s="2"/>
      <c r="AJ153" s="2"/>
    </row>
    <row r="154" spans="1:36" hidden="1" x14ac:dyDescent="0.2">
      <c r="A154" s="11">
        <v>43720</v>
      </c>
      <c r="B154" s="53" t="s">
        <v>1353</v>
      </c>
      <c r="C154" s="52" t="str">
        <f>IF(MID(B154,4,2)="09","Ramadan",IF(AND(MID(B154,4,2)="12",VALUE(LEFT(B154,2))&lt;=9),"Adha Season","Normal"))</f>
        <v>Normal</v>
      </c>
      <c r="D154" s="1" t="s">
        <v>45</v>
      </c>
      <c r="F154" s="4" t="s">
        <v>41</v>
      </c>
      <c r="G154" s="2">
        <v>6</v>
      </c>
      <c r="H154" s="2">
        <v>6</v>
      </c>
      <c r="I154" s="2">
        <f>grand[[#This Row],[number]]-grand[[#This Row],[received]]</f>
        <v>0</v>
      </c>
      <c r="J154" s="30"/>
      <c r="K154" s="2">
        <v>2460</v>
      </c>
      <c r="L154" s="2">
        <v>2300</v>
      </c>
      <c r="M154" s="2">
        <f>K154-L154</f>
        <v>160</v>
      </c>
      <c r="N154" s="2">
        <v>1484.6</v>
      </c>
      <c r="O154" s="2"/>
      <c r="P154" s="7">
        <f>grand[[#This Row],[total weight]]/grand[[#This Row],[received]]</f>
        <v>410</v>
      </c>
      <c r="Q154" s="7">
        <f>grand[[#This Row],[receiving weight]]/grand[[#This Row],[received]]</f>
        <v>383.33333333333331</v>
      </c>
      <c r="R154" s="7">
        <f>grand[[#This Row],[transportation loss ]]/grand[[#This Row],[received]]</f>
        <v>26.666666666666668</v>
      </c>
      <c r="S154" s="7">
        <f>grand[[#This Row],[ carcass weight]]/grand[[#This Row],[received]]</f>
        <v>247.43333333333331</v>
      </c>
      <c r="T154" s="7"/>
      <c r="U154" s="2">
        <v>25</v>
      </c>
      <c r="V154" s="2"/>
      <c r="W154" s="2">
        <v>49.7</v>
      </c>
      <c r="X154" s="2">
        <v>10</v>
      </c>
      <c r="Y154" s="8">
        <v>8.5</v>
      </c>
      <c r="Z154" s="3">
        <f>grand[[#This Row],[av. Transportation loss]]/grand[[#This Row],[av.total weight]]</f>
        <v>6.5040650406504072E-2</v>
      </c>
      <c r="AA154" s="12">
        <f>AVERAGE((grand[[#This Row],[am]]/25),(grand[[#This Row],[pm]]/50))</f>
        <v>0.99700000000000011</v>
      </c>
      <c r="AB154" s="3">
        <f>grand[[#This Row],[ carcass weight]]/grand[[#This Row],[total weight]]</f>
        <v>0.60349593495934961</v>
      </c>
      <c r="AC154" s="3">
        <f>SUM(grand[[#This Row],[am]:[meat transportation]])/100</f>
        <v>0.93200000000000005</v>
      </c>
      <c r="AD154" s="2"/>
      <c r="AE154" s="2"/>
      <c r="AF154" s="2"/>
      <c r="AG154" s="2"/>
      <c r="AH154" s="2"/>
      <c r="AI154" s="2"/>
      <c r="AJ154" s="2"/>
    </row>
    <row r="155" spans="1:36" hidden="1" x14ac:dyDescent="0.2">
      <c r="A155" s="11">
        <v>43723</v>
      </c>
      <c r="B155" s="53" t="s">
        <v>1354</v>
      </c>
      <c r="C155" s="52" t="str">
        <f>IF(MID(B155,4,2)="09","Ramadan",IF(AND(MID(B155,4,2)="12",VALUE(LEFT(B155,2))&lt;=9),"Adha Season","Normal"))</f>
        <v>Normal</v>
      </c>
      <c r="D155" s="1" t="s">
        <v>45</v>
      </c>
      <c r="F155" s="4" t="s">
        <v>39</v>
      </c>
      <c r="G155" s="2">
        <v>28</v>
      </c>
      <c r="H155" s="2">
        <v>28</v>
      </c>
      <c r="I155" s="2">
        <f>grand[[#This Row],[number]]-grand[[#This Row],[received]]</f>
        <v>0</v>
      </c>
      <c r="J155" s="30"/>
      <c r="K155" s="2">
        <v>10669</v>
      </c>
      <c r="L155" s="2">
        <v>9910</v>
      </c>
      <c r="M155" s="2">
        <f>K155-L155</f>
        <v>759</v>
      </c>
      <c r="N155" s="2">
        <v>6508.9</v>
      </c>
      <c r="O155" s="2"/>
      <c r="P155" s="7">
        <f>grand[[#This Row],[total weight]]/grand[[#This Row],[received]]</f>
        <v>381.03571428571428</v>
      </c>
      <c r="Q155" s="7">
        <f>grand[[#This Row],[receiving weight]]/grand[[#This Row],[received]]</f>
        <v>353.92857142857144</v>
      </c>
      <c r="R155" s="7">
        <f>grand[[#This Row],[transportation loss ]]/grand[[#This Row],[received]]</f>
        <v>27.107142857142858</v>
      </c>
      <c r="S155" s="7">
        <f>grand[[#This Row],[ carcass weight]]/grand[[#This Row],[received]]</f>
        <v>232.46071428571426</v>
      </c>
      <c r="T155" s="7"/>
      <c r="U155" s="2">
        <v>25</v>
      </c>
      <c r="V155" s="2"/>
      <c r="W155" s="2">
        <v>49.9</v>
      </c>
      <c r="X155" s="2">
        <v>10</v>
      </c>
      <c r="Y155" s="8">
        <v>8.5</v>
      </c>
      <c r="Z155" s="3">
        <f>grand[[#This Row],[av. Transportation loss]]/grand[[#This Row],[av.total weight]]</f>
        <v>7.1140687974505581E-2</v>
      </c>
      <c r="AA155" s="12">
        <f>AVERAGE((grand[[#This Row],[am]]/25),(grand[[#This Row],[pm]]/50))</f>
        <v>0.999</v>
      </c>
      <c r="AB155" s="3">
        <f>grand[[#This Row],[ carcass weight]]/grand[[#This Row],[total weight]]</f>
        <v>0.61007592089230478</v>
      </c>
      <c r="AC155" s="3">
        <f>SUM(grand[[#This Row],[am]:[meat transportation]])/100</f>
        <v>0.93400000000000005</v>
      </c>
      <c r="AD155" s="2"/>
      <c r="AE155" s="2"/>
      <c r="AF155" s="2"/>
      <c r="AG155" s="2"/>
      <c r="AH155" s="2"/>
      <c r="AI155" s="2"/>
      <c r="AJ155" s="2"/>
    </row>
    <row r="156" spans="1:36" hidden="1" x14ac:dyDescent="0.2">
      <c r="A156" s="11">
        <v>43725</v>
      </c>
      <c r="B156" s="53" t="s">
        <v>1355</v>
      </c>
      <c r="C156" s="52" t="str">
        <f>IF(MID(B156,4,2)="09","Ramadan",IF(AND(MID(B156,4,2)="12",VALUE(LEFT(B156,2))&lt;=9),"Adha Season","Normal"))</f>
        <v>Normal</v>
      </c>
      <c r="D156" s="1" t="s">
        <v>45</v>
      </c>
      <c r="F156" s="4" t="s">
        <v>46</v>
      </c>
      <c r="G156" s="2">
        <v>30</v>
      </c>
      <c r="H156" s="2">
        <v>30</v>
      </c>
      <c r="I156" s="2">
        <f>grand[[#This Row],[number]]-grand[[#This Row],[received]]</f>
        <v>0</v>
      </c>
      <c r="J156" s="30"/>
      <c r="K156" s="2">
        <v>13600</v>
      </c>
      <c r="L156" s="2">
        <v>13020</v>
      </c>
      <c r="M156" s="2">
        <f>K156-L156</f>
        <v>580</v>
      </c>
      <c r="N156" s="2">
        <v>8423.7999999999993</v>
      </c>
      <c r="O156" s="2"/>
      <c r="P156" s="7">
        <f>grand[[#This Row],[total weight]]/grand[[#This Row],[received]]</f>
        <v>453.33333333333331</v>
      </c>
      <c r="Q156" s="7">
        <f>grand[[#This Row],[receiving weight]]/grand[[#This Row],[received]]</f>
        <v>434</v>
      </c>
      <c r="R156" s="7">
        <f>grand[[#This Row],[transportation loss ]]/grand[[#This Row],[received]]</f>
        <v>19.333333333333332</v>
      </c>
      <c r="S156" s="7">
        <f>grand[[#This Row],[ carcass weight]]/grand[[#This Row],[received]]</f>
        <v>280.79333333333329</v>
      </c>
      <c r="T156" s="7"/>
      <c r="U156" s="2">
        <v>25</v>
      </c>
      <c r="V156" s="2"/>
      <c r="W156" s="2">
        <v>49.9</v>
      </c>
      <c r="X156" s="2">
        <v>10</v>
      </c>
      <c r="Y156" s="8">
        <v>8.5</v>
      </c>
      <c r="Z156" s="3">
        <f>grand[[#This Row],[av. Transportation loss]]/grand[[#This Row],[av.total weight]]</f>
        <v>4.2647058823529413E-2</v>
      </c>
      <c r="AA156" s="12">
        <f>AVERAGE((grand[[#This Row],[am]]/25),(grand[[#This Row],[pm]]/50))</f>
        <v>0.999</v>
      </c>
      <c r="AB156" s="3">
        <f>grand[[#This Row],[ carcass weight]]/grand[[#This Row],[total weight]]</f>
        <v>0.61939705882352936</v>
      </c>
      <c r="AC156" s="3">
        <f>SUM(grand[[#This Row],[am]:[meat transportation]])/100</f>
        <v>0.93400000000000005</v>
      </c>
      <c r="AD156" s="2"/>
      <c r="AE156" s="2"/>
      <c r="AF156" s="2"/>
      <c r="AG156" s="2"/>
      <c r="AH156" s="2"/>
      <c r="AI156" s="2"/>
      <c r="AJ156" s="2"/>
    </row>
    <row r="157" spans="1:36" hidden="1" x14ac:dyDescent="0.2">
      <c r="A157" s="11">
        <v>43727</v>
      </c>
      <c r="B157" s="53" t="s">
        <v>1356</v>
      </c>
      <c r="C157" s="52" t="str">
        <f>IF(MID(B157,4,2)="09","Ramadan",IF(AND(MID(B157,4,2)="12",VALUE(LEFT(B157,2))&lt;=9),"Adha Season","Normal"))</f>
        <v>Normal</v>
      </c>
      <c r="D157" s="2" t="s">
        <v>294</v>
      </c>
      <c r="E157" s="2"/>
      <c r="F157" s="4" t="s">
        <v>35</v>
      </c>
      <c r="G157" s="2">
        <v>20</v>
      </c>
      <c r="H157" s="2">
        <v>20</v>
      </c>
      <c r="I157" s="2">
        <f>grand[[#This Row],[number]]-grand[[#This Row],[received]]</f>
        <v>0</v>
      </c>
      <c r="J157" s="30"/>
      <c r="K157" s="2"/>
      <c r="L157" s="2"/>
      <c r="M157" s="2">
        <f>K157-L157</f>
        <v>0</v>
      </c>
      <c r="N157" s="2"/>
      <c r="O157" s="2">
        <v>0</v>
      </c>
      <c r="P157" s="7">
        <f>grand[[#This Row],[total weight]]/grand[[#This Row],[received]]</f>
        <v>0</v>
      </c>
      <c r="Q157" s="7">
        <f>grand[[#This Row],[receiving weight]]/grand[[#This Row],[received]]</f>
        <v>0</v>
      </c>
      <c r="R157" s="7">
        <f>grand[[#This Row],[transportation loss ]]/grand[[#This Row],[received]]</f>
        <v>0</v>
      </c>
      <c r="S157" s="7">
        <f>grand[[#This Row],[ carcass weight]]/grand[[#This Row],[received]]</f>
        <v>0</v>
      </c>
      <c r="T157" s="7">
        <f>grand[[#This Row],[ kidneys fat quantity]]/grand[[#This Row],[received]]</f>
        <v>0</v>
      </c>
      <c r="U157" s="2">
        <v>25</v>
      </c>
      <c r="V157" s="2">
        <v>0</v>
      </c>
      <c r="W157" s="2">
        <v>49.7</v>
      </c>
      <c r="X157" s="2">
        <v>10</v>
      </c>
      <c r="Y157" s="8">
        <v>8.5</v>
      </c>
      <c r="Z157" s="3"/>
      <c r="AA157" s="12">
        <f>AVERAGE((grand[[#This Row],[am]]/25),(grand[[#This Row],[pm]]/50))</f>
        <v>0.99700000000000011</v>
      </c>
      <c r="AB157" s="3"/>
      <c r="AC157" s="3">
        <f>SUM(grand[[#This Row],[am]:[meat transportation]])/100</f>
        <v>0.93200000000000005</v>
      </c>
      <c r="AD157" s="2"/>
      <c r="AE157" s="2"/>
      <c r="AF157" s="2"/>
      <c r="AG157" s="2"/>
      <c r="AH157" s="2"/>
      <c r="AI157" s="2"/>
      <c r="AJ157" s="2"/>
    </row>
    <row r="158" spans="1:36" hidden="1" x14ac:dyDescent="0.2">
      <c r="A158" s="11">
        <v>43730</v>
      </c>
      <c r="B158" s="53" t="s">
        <v>1357</v>
      </c>
      <c r="C158" s="52" t="str">
        <f>IF(MID(B158,4,2)="09","Ramadan",IF(AND(MID(B158,4,2)="12",VALUE(LEFT(B158,2))&lt;=9),"Adha Season","Normal"))</f>
        <v>Normal</v>
      </c>
      <c r="D158" s="1" t="s">
        <v>45</v>
      </c>
      <c r="F158" s="4" t="s">
        <v>42</v>
      </c>
      <c r="G158" s="2">
        <v>28</v>
      </c>
      <c r="H158" s="2">
        <v>28</v>
      </c>
      <c r="I158" s="2">
        <f>grand[[#This Row],[number]]-grand[[#This Row],[received]]</f>
        <v>0</v>
      </c>
      <c r="J158" s="30"/>
      <c r="K158" s="2">
        <v>11699</v>
      </c>
      <c r="L158" s="2">
        <v>11255</v>
      </c>
      <c r="M158" s="2">
        <f>K158-L158</f>
        <v>444</v>
      </c>
      <c r="N158" s="2">
        <v>7151.3</v>
      </c>
      <c r="O158" s="2"/>
      <c r="P158" s="7">
        <f>grand[[#This Row],[total weight]]/grand[[#This Row],[received]]</f>
        <v>417.82142857142856</v>
      </c>
      <c r="Q158" s="7">
        <f>grand[[#This Row],[receiving weight]]/grand[[#This Row],[received]]</f>
        <v>401.96428571428572</v>
      </c>
      <c r="R158" s="7">
        <f>grand[[#This Row],[transportation loss ]]/grand[[#This Row],[received]]</f>
        <v>15.857142857142858</v>
      </c>
      <c r="S158" s="7">
        <f>grand[[#This Row],[ carcass weight]]/grand[[#This Row],[received]]</f>
        <v>255.40357142857144</v>
      </c>
      <c r="T158" s="7"/>
      <c r="U158" s="2">
        <v>25</v>
      </c>
      <c r="V158" s="2"/>
      <c r="W158" s="2">
        <v>49.9</v>
      </c>
      <c r="X158" s="2">
        <v>10</v>
      </c>
      <c r="Y158" s="8">
        <v>8.5</v>
      </c>
      <c r="Z158" s="3">
        <f>grand[[#This Row],[av. Transportation loss]]/grand[[#This Row],[av.total weight]]</f>
        <v>3.7951961706128731E-2</v>
      </c>
      <c r="AA158" s="12">
        <f>AVERAGE((grand[[#This Row],[am]]/25),(grand[[#This Row],[pm]]/50))</f>
        <v>0.999</v>
      </c>
      <c r="AB158" s="3">
        <f>grand[[#This Row],[ carcass weight]]/grand[[#This Row],[total weight]]</f>
        <v>0.61127446790323958</v>
      </c>
      <c r="AC158" s="3">
        <f>SUM(grand[[#This Row],[am]:[meat transportation]])/100</f>
        <v>0.93400000000000005</v>
      </c>
      <c r="AD158" s="2"/>
      <c r="AE158" s="2"/>
      <c r="AF158" s="2"/>
      <c r="AG158" s="2"/>
      <c r="AH158" s="2"/>
      <c r="AI158" s="2"/>
      <c r="AJ158" s="2"/>
    </row>
    <row r="159" spans="1:36" hidden="1" x14ac:dyDescent="0.2">
      <c r="A159" s="11">
        <v>43732</v>
      </c>
      <c r="B159" s="53" t="s">
        <v>1358</v>
      </c>
      <c r="C159" s="52" t="str">
        <f>IF(MID(B159,4,2)="09","Ramadan",IF(AND(MID(B159,4,2)="12",VALUE(LEFT(B159,2))&lt;=9),"Adha Season","Normal"))</f>
        <v>Normal</v>
      </c>
      <c r="D159" s="1" t="s">
        <v>45</v>
      </c>
      <c r="F159" s="4" t="s">
        <v>43</v>
      </c>
      <c r="G159" s="2">
        <v>6</v>
      </c>
      <c r="H159" s="2">
        <v>6</v>
      </c>
      <c r="I159" s="2">
        <f>grand[[#This Row],[number]]-grand[[#This Row],[received]]</f>
        <v>0</v>
      </c>
      <c r="J159" s="30"/>
      <c r="K159" s="2">
        <v>2486</v>
      </c>
      <c r="L159" s="2">
        <v>2440</v>
      </c>
      <c r="M159" s="2">
        <f>K159-L159</f>
        <v>46</v>
      </c>
      <c r="N159" s="2">
        <v>1515.7</v>
      </c>
      <c r="O159" s="2"/>
      <c r="P159" s="7">
        <f>grand[[#This Row],[total weight]]/grand[[#This Row],[received]]</f>
        <v>414.33333333333331</v>
      </c>
      <c r="Q159" s="7">
        <f>grand[[#This Row],[receiving weight]]/grand[[#This Row],[received]]</f>
        <v>406.66666666666669</v>
      </c>
      <c r="R159" s="7">
        <f>grand[[#This Row],[transportation loss ]]/grand[[#This Row],[received]]</f>
        <v>7.666666666666667</v>
      </c>
      <c r="S159" s="7">
        <f>grand[[#This Row],[ carcass weight]]/grand[[#This Row],[received]]</f>
        <v>252.61666666666667</v>
      </c>
      <c r="T159" s="7"/>
      <c r="U159" s="2">
        <v>25</v>
      </c>
      <c r="V159" s="2"/>
      <c r="W159" s="2">
        <v>49.4</v>
      </c>
      <c r="X159" s="2">
        <v>10</v>
      </c>
      <c r="Y159" s="8">
        <v>8.5</v>
      </c>
      <c r="Z159" s="3">
        <f>grand[[#This Row],[av. Transportation loss]]/grand[[#This Row],[av.total weight]]</f>
        <v>1.8503620273531779E-2</v>
      </c>
      <c r="AA159" s="12">
        <f>AVERAGE((grand[[#This Row],[am]]/25),(grand[[#This Row],[pm]]/50))</f>
        <v>0.99399999999999999</v>
      </c>
      <c r="AB159" s="3">
        <f>grand[[#This Row],[ carcass weight]]/grand[[#This Row],[total weight]]</f>
        <v>0.60969428801287207</v>
      </c>
      <c r="AC159" s="3">
        <f>SUM(grand[[#This Row],[am]:[meat transportation]])/100</f>
        <v>0.92900000000000005</v>
      </c>
      <c r="AD159" s="2"/>
      <c r="AE159" s="2"/>
      <c r="AF159" s="2"/>
      <c r="AG159" s="2"/>
      <c r="AH159" s="2"/>
      <c r="AI159" s="2"/>
      <c r="AJ159" s="2"/>
    </row>
    <row r="160" spans="1:36" hidden="1" x14ac:dyDescent="0.2">
      <c r="A160" s="11">
        <v>43737</v>
      </c>
      <c r="B160" s="53" t="s">
        <v>1359</v>
      </c>
      <c r="C160" s="52" t="str">
        <f>IF(MID(B160,4,2)="09","Ramadan",IF(AND(MID(B160,4,2)="12",VALUE(LEFT(B160,2))&lt;=9),"Adha Season","Normal"))</f>
        <v>Normal</v>
      </c>
      <c r="D160" s="1" t="s">
        <v>45</v>
      </c>
      <c r="F160" s="4" t="s">
        <v>43</v>
      </c>
      <c r="G160" s="2">
        <v>6</v>
      </c>
      <c r="H160" s="2">
        <v>6</v>
      </c>
      <c r="I160" s="2">
        <f>grand[[#This Row],[number]]-grand[[#This Row],[received]]</f>
        <v>0</v>
      </c>
      <c r="J160" s="30"/>
      <c r="K160" s="2">
        <v>2555</v>
      </c>
      <c r="L160" s="2">
        <v>2490</v>
      </c>
      <c r="M160" s="2">
        <f>K160-L160</f>
        <v>65</v>
      </c>
      <c r="N160" s="2">
        <v>1578.4</v>
      </c>
      <c r="O160" s="2">
        <v>44</v>
      </c>
      <c r="P160" s="7">
        <f>grand[[#This Row],[total weight]]/grand[[#This Row],[received]]</f>
        <v>425.83333333333331</v>
      </c>
      <c r="Q160" s="7">
        <f>grand[[#This Row],[receiving weight]]/grand[[#This Row],[received]]</f>
        <v>415</v>
      </c>
      <c r="R160" s="7">
        <f>grand[[#This Row],[transportation loss ]]/grand[[#This Row],[received]]</f>
        <v>10.833333333333334</v>
      </c>
      <c r="S160" s="7">
        <f>grand[[#This Row],[ carcass weight]]/grand[[#This Row],[received]]</f>
        <v>263.06666666666666</v>
      </c>
      <c r="T160" s="7">
        <f>grand[[#This Row],[ kidneys fat quantity]]/grand[[#This Row],[received]]</f>
        <v>7.333333333333333</v>
      </c>
      <c r="U160" s="2">
        <v>25</v>
      </c>
      <c r="V160" s="2"/>
      <c r="W160" s="2">
        <v>49.8</v>
      </c>
      <c r="X160" s="2">
        <v>10</v>
      </c>
      <c r="Y160" s="8">
        <v>8.3000000000000007</v>
      </c>
      <c r="Z160" s="3">
        <f>grand[[#This Row],[av. Transportation loss]]/grand[[#This Row],[av.total weight]]</f>
        <v>2.544031311154599E-2</v>
      </c>
      <c r="AA160" s="12">
        <f>AVERAGE((grand[[#This Row],[am]]/25),(grand[[#This Row],[pm]]/50))</f>
        <v>0.998</v>
      </c>
      <c r="AB160" s="3">
        <f>grand[[#This Row],[ carcass weight]]/grand[[#This Row],[total weight]]</f>
        <v>0.61776908023483368</v>
      </c>
      <c r="AC160" s="3">
        <f>SUM(grand[[#This Row],[am]:[meat transportation]])/100</f>
        <v>0.93099999999999994</v>
      </c>
      <c r="AD160" s="2"/>
      <c r="AE160" s="2"/>
      <c r="AF160" s="2"/>
      <c r="AG160" s="2"/>
      <c r="AH160" s="2"/>
      <c r="AI160" s="2"/>
      <c r="AJ160" s="2"/>
    </row>
    <row r="161" spans="1:36" hidden="1" x14ac:dyDescent="0.2">
      <c r="A161" s="11">
        <v>43737</v>
      </c>
      <c r="B161" s="53" t="s">
        <v>1359</v>
      </c>
      <c r="C161" s="52" t="str">
        <f>IF(MID(B161,4,2)="09","Ramadan",IF(AND(MID(B161,4,2)="12",VALUE(LEFT(B161,2))&lt;=9),"Adha Season","Normal"))</f>
        <v>Normal</v>
      </c>
      <c r="D161" s="1" t="s">
        <v>45</v>
      </c>
      <c r="F161" s="4" t="s">
        <v>39</v>
      </c>
      <c r="G161" s="2">
        <v>24</v>
      </c>
      <c r="H161" s="2">
        <v>24</v>
      </c>
      <c r="I161" s="2">
        <f>grand[[#This Row],[number]]-grand[[#This Row],[received]]</f>
        <v>0</v>
      </c>
      <c r="J161" s="30"/>
      <c r="K161" s="2">
        <v>9510</v>
      </c>
      <c r="L161" s="2">
        <v>8965</v>
      </c>
      <c r="M161" s="2">
        <f>K161-L161</f>
        <v>545</v>
      </c>
      <c r="N161" s="2">
        <v>5931</v>
      </c>
      <c r="O161" s="2">
        <v>176</v>
      </c>
      <c r="P161" s="7">
        <f>grand[[#This Row],[total weight]]/grand[[#This Row],[received]]</f>
        <v>396.25</v>
      </c>
      <c r="Q161" s="7">
        <f>grand[[#This Row],[receiving weight]]/grand[[#This Row],[received]]</f>
        <v>373.54166666666669</v>
      </c>
      <c r="R161" s="7">
        <f>grand[[#This Row],[transportation loss ]]/grand[[#This Row],[received]]</f>
        <v>22.708333333333332</v>
      </c>
      <c r="S161" s="7">
        <f>grand[[#This Row],[ carcass weight]]/grand[[#This Row],[received]]</f>
        <v>247.125</v>
      </c>
      <c r="T161" s="7">
        <f>grand[[#This Row],[ kidneys fat quantity]]/grand[[#This Row],[received]]</f>
        <v>7.333333333333333</v>
      </c>
      <c r="U161" s="2">
        <v>25</v>
      </c>
      <c r="V161" s="2"/>
      <c r="W161" s="2">
        <v>49.8</v>
      </c>
      <c r="X161" s="2">
        <v>10</v>
      </c>
      <c r="Y161" s="8">
        <v>8.3000000000000007</v>
      </c>
      <c r="Z161" s="3">
        <f>grand[[#This Row],[av. Transportation loss]]/grand[[#This Row],[av.total weight]]</f>
        <v>5.7308096740273394E-2</v>
      </c>
      <c r="AA161" s="12">
        <f>AVERAGE((grand[[#This Row],[am]]/25),(grand[[#This Row],[pm]]/50))</f>
        <v>0.998</v>
      </c>
      <c r="AB161" s="3">
        <f>grand[[#This Row],[ carcass weight]]/grand[[#This Row],[total weight]]</f>
        <v>0.6236593059936909</v>
      </c>
      <c r="AC161" s="3">
        <f>SUM(grand[[#This Row],[am]:[meat transportation]])/100</f>
        <v>0.93099999999999994</v>
      </c>
      <c r="AD161" s="2"/>
      <c r="AE161" s="2"/>
      <c r="AF161" s="2"/>
      <c r="AG161" s="2"/>
      <c r="AH161" s="2"/>
      <c r="AI161" s="2"/>
      <c r="AJ161" s="2"/>
    </row>
    <row r="162" spans="1:36" hidden="1" x14ac:dyDescent="0.2">
      <c r="A162" s="11">
        <v>43739</v>
      </c>
      <c r="B162" s="53" t="s">
        <v>1360</v>
      </c>
      <c r="C162" s="52" t="str">
        <f>IF(MID(B162,4,2)="09","Ramadan",IF(AND(MID(B162,4,2)="12",VALUE(LEFT(B162,2))&lt;=9),"Adha Season","Normal"))</f>
        <v>Normal</v>
      </c>
      <c r="D162" s="1" t="s">
        <v>45</v>
      </c>
      <c r="F162" s="4" t="s">
        <v>43</v>
      </c>
      <c r="G162" s="2">
        <v>6</v>
      </c>
      <c r="H162" s="2">
        <v>6</v>
      </c>
      <c r="I162" s="2">
        <f>grand[[#This Row],[number]]-grand[[#This Row],[received]]</f>
        <v>0</v>
      </c>
      <c r="J162" s="30"/>
      <c r="K162" s="2">
        <v>2565</v>
      </c>
      <c r="L162" s="2">
        <v>2525</v>
      </c>
      <c r="M162" s="2">
        <f>K162-L162</f>
        <v>40</v>
      </c>
      <c r="N162" s="2">
        <v>1548.1</v>
      </c>
      <c r="O162" s="2">
        <v>39.200000000000003</v>
      </c>
      <c r="P162" s="7">
        <f>grand[[#This Row],[total weight]]/grand[[#This Row],[received]]</f>
        <v>427.5</v>
      </c>
      <c r="Q162" s="7">
        <f>grand[[#This Row],[receiving weight]]/grand[[#This Row],[received]]</f>
        <v>420.83333333333331</v>
      </c>
      <c r="R162" s="7">
        <f>grand[[#This Row],[transportation loss ]]/grand[[#This Row],[received]]</f>
        <v>6.666666666666667</v>
      </c>
      <c r="S162" s="7">
        <f>grand[[#This Row],[ carcass weight]]/grand[[#This Row],[received]]</f>
        <v>258.01666666666665</v>
      </c>
      <c r="T162" s="7">
        <f>grand[[#This Row],[ kidneys fat quantity]]/grand[[#This Row],[received]]</f>
        <v>6.5333333333333341</v>
      </c>
      <c r="U162" s="2">
        <v>25</v>
      </c>
      <c r="V162" s="2"/>
      <c r="W162" s="2">
        <v>49.8</v>
      </c>
      <c r="X162" s="2">
        <v>10</v>
      </c>
      <c r="Y162" s="8">
        <v>8.3000000000000007</v>
      </c>
      <c r="Z162" s="3">
        <f>grand[[#This Row],[av. Transportation loss]]/grand[[#This Row],[av.total weight]]</f>
        <v>1.5594541910331385E-2</v>
      </c>
      <c r="AA162" s="12">
        <f>AVERAGE((grand[[#This Row],[am]]/25),(grand[[#This Row],[pm]]/50))</f>
        <v>0.998</v>
      </c>
      <c r="AB162" s="3">
        <f>grand[[#This Row],[ carcass weight]]/grand[[#This Row],[total weight]]</f>
        <v>0.60354775828460039</v>
      </c>
      <c r="AC162" s="3">
        <f>SUM(grand[[#This Row],[am]:[meat transportation]])/100</f>
        <v>0.93099999999999994</v>
      </c>
      <c r="AD162" s="2"/>
      <c r="AE162" s="2"/>
      <c r="AF162" s="2"/>
      <c r="AG162" s="2"/>
      <c r="AH162" s="2"/>
      <c r="AI162" s="2"/>
      <c r="AJ162" s="2"/>
    </row>
    <row r="163" spans="1:36" hidden="1" x14ac:dyDescent="0.2">
      <c r="A163" s="11">
        <v>43739</v>
      </c>
      <c r="B163" s="53" t="s">
        <v>1360</v>
      </c>
      <c r="C163" s="52" t="str">
        <f>IF(MID(B163,4,2)="09","Ramadan",IF(AND(MID(B163,4,2)="12",VALUE(LEFT(B163,2))&lt;=9),"Adha Season","Normal"))</f>
        <v>Normal</v>
      </c>
      <c r="D163" s="1" t="s">
        <v>45</v>
      </c>
      <c r="F163" s="4" t="s">
        <v>42</v>
      </c>
      <c r="G163" s="2">
        <v>24</v>
      </c>
      <c r="H163" s="2">
        <v>24</v>
      </c>
      <c r="I163" s="2">
        <f>grand[[#This Row],[number]]-grand[[#This Row],[received]]</f>
        <v>0</v>
      </c>
      <c r="J163" s="30"/>
      <c r="K163" s="2">
        <v>9792</v>
      </c>
      <c r="L163" s="2">
        <v>9370</v>
      </c>
      <c r="M163" s="2">
        <f>K163-L163</f>
        <v>422</v>
      </c>
      <c r="N163" s="2">
        <v>6000</v>
      </c>
      <c r="O163" s="2">
        <v>156.80000000000001</v>
      </c>
      <c r="P163" s="7">
        <f>grand[[#This Row],[total weight]]/grand[[#This Row],[received]]</f>
        <v>408</v>
      </c>
      <c r="Q163" s="7">
        <f>grand[[#This Row],[receiving weight]]/grand[[#This Row],[received]]</f>
        <v>390.41666666666669</v>
      </c>
      <c r="R163" s="7">
        <f>grand[[#This Row],[transportation loss ]]/grand[[#This Row],[received]]</f>
        <v>17.583333333333332</v>
      </c>
      <c r="S163" s="7">
        <f>grand[[#This Row],[ carcass weight]]/grand[[#This Row],[received]]</f>
        <v>250</v>
      </c>
      <c r="T163" s="7">
        <f>grand[[#This Row],[ kidneys fat quantity]]/grand[[#This Row],[received]]</f>
        <v>6.5333333333333341</v>
      </c>
      <c r="U163" s="2">
        <v>25</v>
      </c>
      <c r="V163" s="2"/>
      <c r="W163" s="2">
        <v>49.8</v>
      </c>
      <c r="X163" s="2">
        <v>10</v>
      </c>
      <c r="Y163" s="8">
        <v>8.3000000000000007</v>
      </c>
      <c r="Z163" s="3">
        <f>grand[[#This Row],[av. Transportation loss]]/grand[[#This Row],[av.total weight]]</f>
        <v>4.3096405228758169E-2</v>
      </c>
      <c r="AA163" s="12">
        <f>AVERAGE((grand[[#This Row],[am]]/25),(grand[[#This Row],[pm]]/50))</f>
        <v>0.998</v>
      </c>
      <c r="AB163" s="3">
        <f>grand[[#This Row],[ carcass weight]]/grand[[#This Row],[total weight]]</f>
        <v>0.61274509803921573</v>
      </c>
      <c r="AC163" s="3">
        <f>SUM(grand[[#This Row],[am]:[meat transportation]])/100</f>
        <v>0.93099999999999994</v>
      </c>
      <c r="AD163" s="2"/>
      <c r="AE163" s="2"/>
      <c r="AF163" s="2"/>
      <c r="AG163" s="2"/>
      <c r="AH163" s="2"/>
      <c r="AI163" s="2"/>
      <c r="AJ163" s="2"/>
    </row>
    <row r="164" spans="1:36" hidden="1" x14ac:dyDescent="0.2">
      <c r="A164" s="11">
        <v>43741</v>
      </c>
      <c r="B164" s="53" t="s">
        <v>1361</v>
      </c>
      <c r="C164" s="52" t="str">
        <f>IF(MID(B164,4,2)="09","Ramadan",IF(AND(MID(B164,4,2)="12",VALUE(LEFT(B164,2))&lt;=9),"Adha Season","Normal"))</f>
        <v>Normal</v>
      </c>
      <c r="D164" s="2" t="s">
        <v>294</v>
      </c>
      <c r="E164" s="2"/>
      <c r="F164" s="4" t="s">
        <v>46</v>
      </c>
      <c r="G164" s="2">
        <v>20</v>
      </c>
      <c r="H164" s="2">
        <v>20</v>
      </c>
      <c r="I164" s="2">
        <f>grand[[#This Row],[number]]-grand[[#This Row],[received]]</f>
        <v>0</v>
      </c>
      <c r="J164" s="30"/>
      <c r="K164" s="2"/>
      <c r="L164" s="2"/>
      <c r="M164" s="2">
        <f>K164-L164</f>
        <v>0</v>
      </c>
      <c r="N164" s="2"/>
      <c r="O164" s="2"/>
      <c r="P164" s="7">
        <f>grand[[#This Row],[total weight]]/grand[[#This Row],[received]]</f>
        <v>0</v>
      </c>
      <c r="Q164" s="7">
        <f>grand[[#This Row],[receiving weight]]/grand[[#This Row],[received]]</f>
        <v>0</v>
      </c>
      <c r="R164" s="7">
        <f>grand[[#This Row],[transportation loss ]]/grand[[#This Row],[received]]</f>
        <v>0</v>
      </c>
      <c r="S164" s="7">
        <f>grand[[#This Row],[ carcass weight]]/grand[[#This Row],[received]]</f>
        <v>0</v>
      </c>
      <c r="T164" s="7">
        <f>grand[[#This Row],[ kidneys fat quantity]]/grand[[#This Row],[received]]</f>
        <v>0</v>
      </c>
      <c r="U164" s="2">
        <v>20</v>
      </c>
      <c r="V164" s="2">
        <v>0</v>
      </c>
      <c r="W164" s="2">
        <v>47.7</v>
      </c>
      <c r="X164" s="2">
        <v>10</v>
      </c>
      <c r="Y164" s="8">
        <v>8.5</v>
      </c>
      <c r="Z164" s="3"/>
      <c r="AA164" s="12">
        <f>AVERAGE((grand[[#This Row],[am]]/25),(grand[[#This Row],[pm]]/50))</f>
        <v>0.877</v>
      </c>
      <c r="AB164" s="3"/>
      <c r="AC164" s="3">
        <f>SUM(grand[[#This Row],[am]:[meat transportation]])/100</f>
        <v>0.86199999999999999</v>
      </c>
      <c r="AD164" s="2"/>
      <c r="AE164" s="2"/>
      <c r="AF164" s="2"/>
      <c r="AG164" s="2"/>
      <c r="AH164" s="2"/>
      <c r="AI164" s="2"/>
      <c r="AJ164" s="2"/>
    </row>
    <row r="165" spans="1:36" hidden="1" x14ac:dyDescent="0.2">
      <c r="A165" s="11">
        <v>43741</v>
      </c>
      <c r="B165" s="53" t="s">
        <v>1361</v>
      </c>
      <c r="C165" s="52" t="str">
        <f>IF(MID(B165,4,2)="09","Ramadan",IF(AND(MID(B165,4,2)="12",VALUE(LEFT(B165,2))&lt;=9),"Adha Season","Normal"))</f>
        <v>Normal</v>
      </c>
      <c r="D165" s="1" t="s">
        <v>45</v>
      </c>
      <c r="F165" s="4" t="s">
        <v>43</v>
      </c>
      <c r="G165" s="2">
        <v>8</v>
      </c>
      <c r="H165" s="2">
        <v>8</v>
      </c>
      <c r="I165" s="2">
        <f>grand[[#This Row],[number]]-grand[[#This Row],[received]]</f>
        <v>0</v>
      </c>
      <c r="J165" s="30"/>
      <c r="K165" s="2"/>
      <c r="L165" s="2"/>
      <c r="M165" s="2">
        <f>K165-L165</f>
        <v>0</v>
      </c>
      <c r="N165" s="2"/>
      <c r="O165" s="2"/>
      <c r="P165" s="7"/>
      <c r="Q165" s="7"/>
      <c r="R165" s="7"/>
      <c r="S165" s="7"/>
      <c r="T165" s="7"/>
      <c r="U165" s="2">
        <v>19.8</v>
      </c>
      <c r="V165" s="2"/>
      <c r="W165" s="2">
        <v>49.7</v>
      </c>
      <c r="X165" s="2">
        <v>10</v>
      </c>
      <c r="Y165" s="8">
        <v>8.5</v>
      </c>
      <c r="Z165" s="3"/>
      <c r="AA165" s="12">
        <f>AVERAGE((grand[[#This Row],[am]]/25),(grand[[#This Row],[pm]]/50))</f>
        <v>0.89300000000000002</v>
      </c>
      <c r="AB165" s="3"/>
      <c r="AC165" s="3">
        <f>SUM(grand[[#This Row],[am]:[meat transportation]])/100</f>
        <v>0.88</v>
      </c>
      <c r="AD165" s="2"/>
      <c r="AE165" s="2"/>
      <c r="AF165" s="2"/>
      <c r="AG165" s="2"/>
      <c r="AH165" s="2"/>
      <c r="AI165" s="2"/>
      <c r="AJ165" s="2"/>
    </row>
    <row r="166" spans="1:36" hidden="1" x14ac:dyDescent="0.2">
      <c r="A166" s="11">
        <v>43744</v>
      </c>
      <c r="B166" s="53" t="s">
        <v>1362</v>
      </c>
      <c r="C166" s="52" t="str">
        <f>IF(MID(B166,4,2)="09","Ramadan",IF(AND(MID(B166,4,2)="12",VALUE(LEFT(B166,2))&lt;=9),"Adha Season","Normal"))</f>
        <v>Normal</v>
      </c>
      <c r="D166" s="1" t="s">
        <v>45</v>
      </c>
      <c r="F166" s="4" t="s">
        <v>39</v>
      </c>
      <c r="G166" s="2">
        <v>27</v>
      </c>
      <c r="H166" s="2">
        <v>27</v>
      </c>
      <c r="I166" s="2">
        <f>grand[[#This Row],[number]]-grand[[#This Row],[received]]</f>
        <v>0</v>
      </c>
      <c r="J166" s="30"/>
      <c r="K166" s="2">
        <v>10709</v>
      </c>
      <c r="L166" s="2">
        <v>10530</v>
      </c>
      <c r="M166" s="2">
        <f>K166-L166</f>
        <v>179</v>
      </c>
      <c r="N166" s="2">
        <v>6551.4</v>
      </c>
      <c r="O166" s="2"/>
      <c r="P166" s="7">
        <f>grand[[#This Row],[total weight]]/grand[[#This Row],[received]]</f>
        <v>396.62962962962962</v>
      </c>
      <c r="Q166" s="7">
        <f>grand[[#This Row],[receiving weight]]/grand[[#This Row],[received]]</f>
        <v>390</v>
      </c>
      <c r="R166" s="7">
        <f>grand[[#This Row],[transportation loss ]]/grand[[#This Row],[received]]</f>
        <v>6.6296296296296298</v>
      </c>
      <c r="S166" s="7">
        <f>grand[[#This Row],[ carcass weight]]/grand[[#This Row],[received]]</f>
        <v>242.64444444444442</v>
      </c>
      <c r="T166" s="7"/>
      <c r="U166" s="2">
        <v>25</v>
      </c>
      <c r="V166" s="2"/>
      <c r="W166" s="2">
        <v>49.8</v>
      </c>
      <c r="X166" s="2">
        <v>10</v>
      </c>
      <c r="Y166" s="8">
        <v>8.5</v>
      </c>
      <c r="Z166" s="3">
        <f>grand[[#This Row],[av. Transportation loss]]/grand[[#This Row],[av.total weight]]</f>
        <v>1.6714912690260528E-2</v>
      </c>
      <c r="AA166" s="12">
        <f>AVERAGE((grand[[#This Row],[am]]/25),(grand[[#This Row],[pm]]/50))</f>
        <v>0.998</v>
      </c>
      <c r="AB166" s="3">
        <f>grand[[#This Row],[ carcass weight]]/grand[[#This Row],[total weight]]</f>
        <v>0.61176580446353535</v>
      </c>
      <c r="AC166" s="3">
        <f>SUM(grand[[#This Row],[am]:[meat transportation]])/100</f>
        <v>0.93299999999999994</v>
      </c>
      <c r="AD166" s="2"/>
      <c r="AE166" s="2"/>
      <c r="AF166" s="2"/>
      <c r="AG166" s="2"/>
      <c r="AH166" s="2"/>
      <c r="AI166" s="2"/>
      <c r="AJ166" s="2"/>
    </row>
    <row r="167" spans="1:36" hidden="1" x14ac:dyDescent="0.2">
      <c r="A167" s="11">
        <v>43746</v>
      </c>
      <c r="B167" s="53" t="s">
        <v>1363</v>
      </c>
      <c r="C167" s="52" t="str">
        <f>IF(MID(B167,4,2)="09","Ramadan",IF(AND(MID(B167,4,2)="12",VALUE(LEFT(B167,2))&lt;=9),"Adha Season","Normal"))</f>
        <v>Normal</v>
      </c>
      <c r="D167" s="1" t="s">
        <v>45</v>
      </c>
      <c r="F167" s="4" t="s">
        <v>46</v>
      </c>
      <c r="G167" s="2">
        <v>23</v>
      </c>
      <c r="H167" s="2">
        <v>23</v>
      </c>
      <c r="I167" s="2">
        <f>grand[[#This Row],[number]]-grand[[#This Row],[received]]</f>
        <v>0</v>
      </c>
      <c r="J167" s="30"/>
      <c r="K167" s="2">
        <v>10700</v>
      </c>
      <c r="L167" s="2">
        <v>10405</v>
      </c>
      <c r="M167" s="2">
        <f>K167-L167</f>
        <v>295</v>
      </c>
      <c r="N167" s="2">
        <v>6456.8</v>
      </c>
      <c r="O167" s="2">
        <v>183.34</v>
      </c>
      <c r="P167" s="7">
        <f>grand[[#This Row],[total weight]]/grand[[#This Row],[received]]</f>
        <v>465.21739130434781</v>
      </c>
      <c r="Q167" s="7">
        <f>grand[[#This Row],[receiving weight]]/grand[[#This Row],[received]]</f>
        <v>452.39130434782606</v>
      </c>
      <c r="R167" s="7">
        <f>grand[[#This Row],[transportation loss ]]/grand[[#This Row],[received]]</f>
        <v>12.826086956521738</v>
      </c>
      <c r="S167" s="7">
        <f>grand[[#This Row],[ carcass weight]]/grand[[#This Row],[received]]</f>
        <v>280.73043478260871</v>
      </c>
      <c r="T167" s="7">
        <f>grand[[#This Row],[ kidneys fat quantity]]/grand[[#This Row],[received]]</f>
        <v>7.971304347826087</v>
      </c>
      <c r="U167" s="2">
        <v>25</v>
      </c>
      <c r="V167" s="2"/>
      <c r="W167" s="2">
        <v>49.7</v>
      </c>
      <c r="X167" s="2">
        <v>9.9</v>
      </c>
      <c r="Y167" s="8">
        <v>8</v>
      </c>
      <c r="Z167" s="3">
        <f>grand[[#This Row],[av. Transportation loss]]/grand[[#This Row],[av.total weight]]</f>
        <v>2.7570093457943923E-2</v>
      </c>
      <c r="AA167" s="12">
        <f>AVERAGE((grand[[#This Row],[am]]/25),(grand[[#This Row],[pm]]/50))</f>
        <v>0.99700000000000011</v>
      </c>
      <c r="AB167" s="3">
        <f>grand[[#This Row],[ carcass weight]]/grand[[#This Row],[total weight]]</f>
        <v>0.60343925233644857</v>
      </c>
      <c r="AC167" s="3">
        <f>SUM(grand[[#This Row],[am]:[meat transportation]])/100</f>
        <v>0.92600000000000005</v>
      </c>
      <c r="AD167" s="2"/>
      <c r="AE167" s="2"/>
      <c r="AF167" s="2"/>
      <c r="AG167" s="2"/>
      <c r="AH167" s="2"/>
      <c r="AI167" s="2"/>
      <c r="AJ167" s="2"/>
    </row>
    <row r="168" spans="1:36" hidden="1" x14ac:dyDescent="0.2">
      <c r="A168" s="11">
        <v>43746</v>
      </c>
      <c r="B168" s="53" t="s">
        <v>1363</v>
      </c>
      <c r="C168" s="52" t="str">
        <f>IF(MID(B168,4,2)="09","Ramadan",IF(AND(MID(B168,4,2)="12",VALUE(LEFT(B168,2))&lt;=9),"Adha Season","Normal"))</f>
        <v>Normal</v>
      </c>
      <c r="D168" s="1" t="s">
        <v>45</v>
      </c>
      <c r="F168" s="4" t="s">
        <v>43</v>
      </c>
      <c r="G168" s="2">
        <v>12</v>
      </c>
      <c r="H168" s="2">
        <v>12</v>
      </c>
      <c r="I168" s="2">
        <f>grand[[#This Row],[number]]-grand[[#This Row],[received]]</f>
        <v>0</v>
      </c>
      <c r="J168" s="30"/>
      <c r="K168" s="2">
        <v>5085</v>
      </c>
      <c r="L168" s="2">
        <v>4910</v>
      </c>
      <c r="M168" s="2">
        <f>K168-L168</f>
        <v>175</v>
      </c>
      <c r="N168" s="2">
        <v>3087.25</v>
      </c>
      <c r="O168" s="2">
        <v>95.66</v>
      </c>
      <c r="P168" s="7">
        <f>grand[[#This Row],[total weight]]/grand[[#This Row],[received]]</f>
        <v>423.75</v>
      </c>
      <c r="Q168" s="7">
        <f>grand[[#This Row],[receiving weight]]/grand[[#This Row],[received]]</f>
        <v>409.16666666666669</v>
      </c>
      <c r="R168" s="7">
        <f>grand[[#This Row],[transportation loss ]]/grand[[#This Row],[received]]</f>
        <v>14.583333333333334</v>
      </c>
      <c r="S168" s="7">
        <f>grand[[#This Row],[ carcass weight]]/grand[[#This Row],[received]]</f>
        <v>257.27083333333331</v>
      </c>
      <c r="T168" s="7">
        <f>grand[[#This Row],[ kidneys fat quantity]]/grand[[#This Row],[received]]</f>
        <v>7.9716666666666667</v>
      </c>
      <c r="U168" s="2">
        <v>25</v>
      </c>
      <c r="V168" s="2"/>
      <c r="W168" s="2">
        <v>49.7</v>
      </c>
      <c r="X168" s="2">
        <v>9.9</v>
      </c>
      <c r="Y168" s="8">
        <v>8</v>
      </c>
      <c r="Z168" s="3">
        <f>grand[[#This Row],[av. Transportation loss]]/grand[[#This Row],[av.total weight]]</f>
        <v>3.44149459193707E-2</v>
      </c>
      <c r="AA168" s="12">
        <f>AVERAGE((grand[[#This Row],[am]]/25),(grand[[#This Row],[pm]]/50))</f>
        <v>0.99700000000000011</v>
      </c>
      <c r="AB168" s="3">
        <f>grand[[#This Row],[ carcass weight]]/grand[[#This Row],[total weight]]</f>
        <v>0.60712881022615539</v>
      </c>
      <c r="AC168" s="3">
        <f>SUM(grand[[#This Row],[am]:[meat transportation]])/100</f>
        <v>0.92600000000000005</v>
      </c>
      <c r="AD168" s="2"/>
      <c r="AE168" s="2"/>
      <c r="AF168" s="2"/>
      <c r="AG168" s="2"/>
      <c r="AH168" s="2"/>
      <c r="AI168" s="2"/>
      <c r="AJ168" s="2"/>
    </row>
    <row r="169" spans="1:36" hidden="1" x14ac:dyDescent="0.2">
      <c r="A169" s="11">
        <v>43748</v>
      </c>
      <c r="B169" s="53" t="s">
        <v>1364</v>
      </c>
      <c r="C169" s="52" t="str">
        <f>IF(MID(B169,4,2)="09","Ramadan",IF(AND(MID(B169,4,2)="12",VALUE(LEFT(B169,2))&lt;=9),"Adha Season","Normal"))</f>
        <v>Normal</v>
      </c>
      <c r="D169" s="1" t="s">
        <v>45</v>
      </c>
      <c r="F169" s="4" t="s">
        <v>39</v>
      </c>
      <c r="G169" s="2">
        <v>35</v>
      </c>
      <c r="H169" s="2">
        <v>35</v>
      </c>
      <c r="I169" s="2">
        <f>grand[[#This Row],[number]]-grand[[#This Row],[received]]</f>
        <v>0</v>
      </c>
      <c r="J169" s="30"/>
      <c r="K169" s="2">
        <v>13991</v>
      </c>
      <c r="L169" s="2">
        <v>13105</v>
      </c>
      <c r="M169" s="2">
        <f>K169-L169</f>
        <v>886</v>
      </c>
      <c r="N169" s="2">
        <v>8619.4</v>
      </c>
      <c r="O169" s="2">
        <v>243</v>
      </c>
      <c r="P169" s="7">
        <f>grand[[#This Row],[total weight]]/grand[[#This Row],[received]]</f>
        <v>399.74285714285713</v>
      </c>
      <c r="Q169" s="7">
        <f>grand[[#This Row],[receiving weight]]/grand[[#This Row],[received]]</f>
        <v>374.42857142857144</v>
      </c>
      <c r="R169" s="7">
        <f>grand[[#This Row],[transportation loss ]]/grand[[#This Row],[received]]</f>
        <v>25.314285714285713</v>
      </c>
      <c r="S169" s="7">
        <f>grand[[#This Row],[ carcass weight]]/grand[[#This Row],[received]]</f>
        <v>246.26857142857142</v>
      </c>
      <c r="T169" s="7">
        <f>grand[[#This Row],[ kidneys fat quantity]]/grand[[#This Row],[received]]</f>
        <v>6.9428571428571431</v>
      </c>
      <c r="U169" s="2">
        <v>25</v>
      </c>
      <c r="V169" s="2"/>
      <c r="W169" s="2">
        <v>49.8</v>
      </c>
      <c r="X169" s="2">
        <v>8</v>
      </c>
      <c r="Y169" s="8">
        <v>10</v>
      </c>
      <c r="Z169" s="3">
        <f>grand[[#This Row],[av. Transportation loss]]/grand[[#This Row],[av.total weight]]</f>
        <v>6.332642412979772E-2</v>
      </c>
      <c r="AA169" s="12">
        <f>AVERAGE((grand[[#This Row],[am]]/25),(grand[[#This Row],[pm]]/50))</f>
        <v>0.998</v>
      </c>
      <c r="AB169" s="3">
        <f>grand[[#This Row],[ carcass weight]]/grand[[#This Row],[total weight]]</f>
        <v>0.61606747194625111</v>
      </c>
      <c r="AC169" s="3">
        <f>SUM(grand[[#This Row],[am]:[meat transportation]])/100</f>
        <v>0.92799999999999994</v>
      </c>
      <c r="AD169" s="2"/>
      <c r="AE169" s="2"/>
      <c r="AF169" s="2"/>
      <c r="AG169" s="2"/>
      <c r="AH169" s="2"/>
      <c r="AI169" s="2"/>
      <c r="AJ169" s="2"/>
    </row>
    <row r="170" spans="1:36" hidden="1" x14ac:dyDescent="0.2">
      <c r="A170" s="11">
        <v>43751</v>
      </c>
      <c r="B170" s="53" t="s">
        <v>1365</v>
      </c>
      <c r="C170" s="52" t="str">
        <f>IF(MID(B170,4,2)="09","Ramadan",IF(AND(MID(B170,4,2)="12",VALUE(LEFT(B170,2))&lt;=9),"Adha Season","Normal"))</f>
        <v>Normal</v>
      </c>
      <c r="D170" s="1" t="s">
        <v>45</v>
      </c>
      <c r="F170" s="4" t="s">
        <v>46</v>
      </c>
      <c r="G170" s="2">
        <v>33</v>
      </c>
      <c r="H170" s="2">
        <v>33</v>
      </c>
      <c r="I170" s="2">
        <f>grand[[#This Row],[number]]-grand[[#This Row],[received]]</f>
        <v>0</v>
      </c>
      <c r="J170" s="30"/>
      <c r="K170" s="2">
        <v>15500</v>
      </c>
      <c r="L170" s="2">
        <v>14665</v>
      </c>
      <c r="M170" s="2">
        <f>K170-L170</f>
        <v>835</v>
      </c>
      <c r="N170" s="2">
        <v>9548.1</v>
      </c>
      <c r="O170" s="2">
        <v>275</v>
      </c>
      <c r="P170" s="7">
        <f>grand[[#This Row],[total weight]]/grand[[#This Row],[received]]</f>
        <v>469.69696969696969</v>
      </c>
      <c r="Q170" s="7">
        <f>grand[[#This Row],[receiving weight]]/grand[[#This Row],[received]]</f>
        <v>444.39393939393938</v>
      </c>
      <c r="R170" s="7">
        <f>grand[[#This Row],[transportation loss ]]/grand[[#This Row],[received]]</f>
        <v>25.303030303030305</v>
      </c>
      <c r="S170" s="7">
        <f>grand[[#This Row],[ carcass weight]]/grand[[#This Row],[received]]</f>
        <v>289.33636363636367</v>
      </c>
      <c r="T170" s="7">
        <f>grand[[#This Row],[ kidneys fat quantity]]/grand[[#This Row],[received]]</f>
        <v>8.3333333333333339</v>
      </c>
      <c r="U170" s="2">
        <v>24.8</v>
      </c>
      <c r="V170" s="2"/>
      <c r="W170" s="2">
        <v>49.9</v>
      </c>
      <c r="X170" s="2">
        <v>10</v>
      </c>
      <c r="Y170" s="8">
        <v>8.5</v>
      </c>
      <c r="Z170" s="3">
        <f>grand[[#This Row],[av. Transportation loss]]/grand[[#This Row],[av.total weight]]</f>
        <v>5.3870967741935491E-2</v>
      </c>
      <c r="AA170" s="12">
        <f>AVERAGE((grand[[#This Row],[am]]/25),(grand[[#This Row],[pm]]/50))</f>
        <v>0.995</v>
      </c>
      <c r="AB170" s="3">
        <f>grand[[#This Row],[ carcass weight]]/grand[[#This Row],[total weight]]</f>
        <v>0.61600645161290324</v>
      </c>
      <c r="AC170" s="3">
        <f>SUM(grand[[#This Row],[am]:[meat transportation]])/100</f>
        <v>0.93200000000000005</v>
      </c>
      <c r="AD170" s="2"/>
      <c r="AE170" s="2"/>
      <c r="AF170" s="2"/>
      <c r="AG170" s="2"/>
      <c r="AH170" s="2"/>
      <c r="AI170" s="2"/>
      <c r="AJ170" s="2"/>
    </row>
    <row r="171" spans="1:36" hidden="1" x14ac:dyDescent="0.2">
      <c r="A171" s="11">
        <v>43751</v>
      </c>
      <c r="B171" s="53" t="s">
        <v>1365</v>
      </c>
      <c r="C171" s="52" t="str">
        <f>IF(MID(B171,4,2)="09","Ramadan",IF(AND(MID(B171,4,2)="12",VALUE(LEFT(B171,2))&lt;=9),"Adha Season","Normal"))</f>
        <v>Normal</v>
      </c>
      <c r="D171" s="2" t="s">
        <v>294</v>
      </c>
      <c r="E171" s="2"/>
      <c r="F171" s="4" t="s">
        <v>35</v>
      </c>
      <c r="G171" s="2">
        <v>21</v>
      </c>
      <c r="H171" s="2">
        <v>21</v>
      </c>
      <c r="I171" s="2">
        <f>grand[[#This Row],[number]]-grand[[#This Row],[received]]</f>
        <v>0</v>
      </c>
      <c r="J171" s="30"/>
      <c r="K171" s="2"/>
      <c r="L171" s="2"/>
      <c r="M171" s="2">
        <f>K171-L171</f>
        <v>0</v>
      </c>
      <c r="N171" s="2"/>
      <c r="O171" s="2"/>
      <c r="P171" s="7">
        <f>grand[[#This Row],[total weight]]/grand[[#This Row],[received]]</f>
        <v>0</v>
      </c>
      <c r="Q171" s="7">
        <f>grand[[#This Row],[receiving weight]]/grand[[#This Row],[received]]</f>
        <v>0</v>
      </c>
      <c r="R171" s="7">
        <f>grand[[#This Row],[transportation loss ]]/grand[[#This Row],[received]]</f>
        <v>0</v>
      </c>
      <c r="S171" s="7">
        <f>grand[[#This Row],[ carcass weight]]/grand[[#This Row],[received]]</f>
        <v>0</v>
      </c>
      <c r="T171" s="7">
        <f>grand[[#This Row],[ kidneys fat quantity]]/grand[[#This Row],[received]]</f>
        <v>0</v>
      </c>
      <c r="U171" s="2">
        <v>20</v>
      </c>
      <c r="V171" s="2">
        <v>0</v>
      </c>
      <c r="W171" s="2">
        <v>49.7</v>
      </c>
      <c r="X171" s="2">
        <v>10</v>
      </c>
      <c r="Y171" s="8">
        <v>8.5</v>
      </c>
      <c r="Z171" s="3"/>
      <c r="AA171" s="12">
        <f>AVERAGE((grand[[#This Row],[am]]/25),(grand[[#This Row],[pm]]/50))</f>
        <v>0.89700000000000002</v>
      </c>
      <c r="AB171" s="3"/>
      <c r="AC171" s="3">
        <f>SUM(grand[[#This Row],[am]:[meat transportation]])/100</f>
        <v>0.88200000000000001</v>
      </c>
      <c r="AD171" s="2"/>
      <c r="AE171" s="2"/>
      <c r="AF171" s="2"/>
      <c r="AG171" s="2"/>
      <c r="AH171" s="2"/>
      <c r="AI171" s="2"/>
      <c r="AJ171" s="2"/>
    </row>
    <row r="172" spans="1:36" hidden="1" x14ac:dyDescent="0.2">
      <c r="A172" s="11">
        <v>43753</v>
      </c>
      <c r="B172" s="53" t="s">
        <v>1366</v>
      </c>
      <c r="C172" s="52" t="str">
        <f>IF(MID(B172,4,2)="09","Ramadan",IF(AND(MID(B172,4,2)="12",VALUE(LEFT(B172,2))&lt;=9),"Adha Season","Normal"))</f>
        <v>Normal</v>
      </c>
      <c r="D172" s="1" t="s">
        <v>45</v>
      </c>
      <c r="F172" s="4" t="s">
        <v>43</v>
      </c>
      <c r="G172" s="2">
        <v>6</v>
      </c>
      <c r="H172" s="2">
        <v>6</v>
      </c>
      <c r="I172" s="2">
        <f>grand[[#This Row],[number]]-grand[[#This Row],[received]]</f>
        <v>0</v>
      </c>
      <c r="J172" s="30"/>
      <c r="K172" s="2">
        <v>2400</v>
      </c>
      <c r="L172" s="2">
        <v>2285</v>
      </c>
      <c r="M172" s="2">
        <f>K172-L172</f>
        <v>115</v>
      </c>
      <c r="N172" s="2">
        <v>1446.22</v>
      </c>
      <c r="O172" s="2">
        <v>38</v>
      </c>
      <c r="P172" s="7">
        <f>grand[[#This Row],[total weight]]/grand[[#This Row],[received]]</f>
        <v>400</v>
      </c>
      <c r="Q172" s="7">
        <f>grand[[#This Row],[receiving weight]]/grand[[#This Row],[received]]</f>
        <v>380.83333333333331</v>
      </c>
      <c r="R172" s="7">
        <f>grand[[#This Row],[transportation loss ]]/grand[[#This Row],[received]]</f>
        <v>19.166666666666668</v>
      </c>
      <c r="S172" s="7">
        <f>grand[[#This Row],[ carcass weight]]/grand[[#This Row],[received]]</f>
        <v>241.03666666666666</v>
      </c>
      <c r="T172" s="7">
        <f>grand[[#This Row],[ kidneys fat quantity]]/grand[[#This Row],[received]]</f>
        <v>6.333333333333333</v>
      </c>
      <c r="U172" s="2">
        <v>25</v>
      </c>
      <c r="V172" s="2"/>
      <c r="W172" s="2">
        <v>49.8</v>
      </c>
      <c r="X172" s="2">
        <v>10</v>
      </c>
      <c r="Y172" s="8">
        <v>8.5</v>
      </c>
      <c r="Z172" s="3">
        <f>grand[[#This Row],[av. Transportation loss]]/grand[[#This Row],[av.total weight]]</f>
        <v>4.791666666666667E-2</v>
      </c>
      <c r="AA172" s="12">
        <f>AVERAGE((grand[[#This Row],[am]]/25),(grand[[#This Row],[pm]]/50))</f>
        <v>0.998</v>
      </c>
      <c r="AB172" s="3">
        <f>grand[[#This Row],[ carcass weight]]/grand[[#This Row],[total weight]]</f>
        <v>0.60259166666666664</v>
      </c>
      <c r="AC172" s="3">
        <f>SUM(grand[[#This Row],[am]:[meat transportation]])/100</f>
        <v>0.93299999999999994</v>
      </c>
      <c r="AD172" s="2"/>
      <c r="AE172" s="2"/>
      <c r="AF172" s="2"/>
      <c r="AG172" s="2"/>
      <c r="AH172" s="2"/>
      <c r="AI172" s="2"/>
      <c r="AJ172" s="2"/>
    </row>
    <row r="173" spans="1:36" hidden="1" x14ac:dyDescent="0.2">
      <c r="A173" s="11">
        <v>43753</v>
      </c>
      <c r="B173" s="53" t="s">
        <v>1366</v>
      </c>
      <c r="C173" s="52" t="str">
        <f>IF(MID(B173,4,2)="09","Ramadan",IF(AND(MID(B173,4,2)="12",VALUE(LEFT(B173,2))&lt;=9),"Adha Season","Normal"))</f>
        <v>Normal</v>
      </c>
      <c r="D173" s="1" t="s">
        <v>45</v>
      </c>
      <c r="F173" s="4" t="s">
        <v>42</v>
      </c>
      <c r="G173" s="2">
        <v>27</v>
      </c>
      <c r="H173" s="2">
        <v>27</v>
      </c>
      <c r="I173" s="2">
        <f>grand[[#This Row],[number]]-grand[[#This Row],[received]]</f>
        <v>0</v>
      </c>
      <c r="J173" s="30"/>
      <c r="K173" s="2">
        <v>11419</v>
      </c>
      <c r="L173" s="2">
        <v>10885</v>
      </c>
      <c r="M173" s="2">
        <f>K173-L173</f>
        <v>534</v>
      </c>
      <c r="N173" s="2">
        <v>6978.5</v>
      </c>
      <c r="O173" s="2">
        <v>171</v>
      </c>
      <c r="P173" s="7">
        <f>grand[[#This Row],[total weight]]/grand[[#This Row],[received]]</f>
        <v>422.92592592592592</v>
      </c>
      <c r="Q173" s="7">
        <f>grand[[#This Row],[receiving weight]]/grand[[#This Row],[received]]</f>
        <v>403.14814814814815</v>
      </c>
      <c r="R173" s="7">
        <f>grand[[#This Row],[transportation loss ]]/grand[[#This Row],[received]]</f>
        <v>19.777777777777779</v>
      </c>
      <c r="S173" s="7">
        <f>grand[[#This Row],[ carcass weight]]/grand[[#This Row],[received]]</f>
        <v>258.46296296296299</v>
      </c>
      <c r="T173" s="7">
        <f>grand[[#This Row],[ kidneys fat quantity]]/grand[[#This Row],[received]]</f>
        <v>6.333333333333333</v>
      </c>
      <c r="U173" s="2">
        <v>25</v>
      </c>
      <c r="V173" s="2"/>
      <c r="W173" s="2">
        <v>49.8</v>
      </c>
      <c r="X173" s="2">
        <v>10</v>
      </c>
      <c r="Y173" s="8">
        <v>8.5</v>
      </c>
      <c r="Z173" s="3">
        <f>grand[[#This Row],[av. Transportation loss]]/grand[[#This Row],[av.total weight]]</f>
        <v>4.6764164988177599E-2</v>
      </c>
      <c r="AA173" s="12">
        <f>AVERAGE((grand[[#This Row],[am]]/25),(grand[[#This Row],[pm]]/50))</f>
        <v>0.998</v>
      </c>
      <c r="AB173" s="3">
        <f>grand[[#This Row],[ carcass weight]]/grand[[#This Row],[total weight]]</f>
        <v>0.61113057185392772</v>
      </c>
      <c r="AC173" s="3">
        <f>SUM(grand[[#This Row],[am]:[meat transportation]])/100</f>
        <v>0.93299999999999994</v>
      </c>
      <c r="AD173" s="2"/>
      <c r="AE173" s="2"/>
      <c r="AF173" s="2"/>
      <c r="AG173" s="2"/>
      <c r="AH173" s="2"/>
      <c r="AI173" s="2"/>
      <c r="AJ173" s="2"/>
    </row>
    <row r="174" spans="1:36" hidden="1" x14ac:dyDescent="0.2">
      <c r="A174" s="11">
        <v>43755</v>
      </c>
      <c r="B174" s="53" t="s">
        <v>1367</v>
      </c>
      <c r="C174" s="52" t="str">
        <f>IF(MID(B174,4,2)="09","Ramadan",IF(AND(MID(B174,4,2)="12",VALUE(LEFT(B174,2))&lt;=9),"Adha Season","Normal"))</f>
        <v>Normal</v>
      </c>
      <c r="D174" s="1" t="s">
        <v>45</v>
      </c>
      <c r="F174" s="4" t="s">
        <v>43</v>
      </c>
      <c r="G174" s="2">
        <v>14</v>
      </c>
      <c r="H174" s="2">
        <v>14</v>
      </c>
      <c r="I174" s="2">
        <f>grand[[#This Row],[number]]-grand[[#This Row],[received]]</f>
        <v>0</v>
      </c>
      <c r="J174" s="30"/>
      <c r="K174" s="2">
        <v>5770</v>
      </c>
      <c r="L174" s="2">
        <v>5635</v>
      </c>
      <c r="M174" s="2">
        <f>K174-L174</f>
        <v>135</v>
      </c>
      <c r="N174" s="2">
        <v>3461.9</v>
      </c>
      <c r="O174" s="2">
        <v>80</v>
      </c>
      <c r="P174" s="7">
        <f>grand[[#This Row],[total weight]]/grand[[#This Row],[received]]</f>
        <v>412.14285714285717</v>
      </c>
      <c r="Q174" s="7">
        <f>grand[[#This Row],[receiving weight]]/grand[[#This Row],[received]]</f>
        <v>402.5</v>
      </c>
      <c r="R174" s="7">
        <f>grand[[#This Row],[transportation loss ]]/grand[[#This Row],[received]]</f>
        <v>9.6428571428571423</v>
      </c>
      <c r="S174" s="7">
        <f>grand[[#This Row],[ carcass weight]]/grand[[#This Row],[received]]</f>
        <v>247.27857142857144</v>
      </c>
      <c r="T174" s="7">
        <f>grand[[#This Row],[ kidneys fat quantity]]/grand[[#This Row],[received]]</f>
        <v>5.7142857142857144</v>
      </c>
      <c r="U174" s="2">
        <v>25</v>
      </c>
      <c r="V174" s="2"/>
      <c r="W174" s="2">
        <v>49.5</v>
      </c>
      <c r="X174" s="2">
        <v>9.9</v>
      </c>
      <c r="Y174" s="8">
        <v>8.5</v>
      </c>
      <c r="Z174" s="3">
        <f>grand[[#This Row],[av. Transportation loss]]/grand[[#This Row],[av.total weight]]</f>
        <v>2.3396880415944538E-2</v>
      </c>
      <c r="AA174" s="12">
        <f>AVERAGE((grand[[#This Row],[am]]/25),(grand[[#This Row],[pm]]/50))</f>
        <v>0.995</v>
      </c>
      <c r="AB174" s="3">
        <f>grand[[#This Row],[ carcass weight]]/grand[[#This Row],[total weight]]</f>
        <v>0.59998266897746966</v>
      </c>
      <c r="AC174" s="3">
        <f>SUM(grand[[#This Row],[am]:[meat transportation]])/100</f>
        <v>0.92900000000000005</v>
      </c>
      <c r="AD174" s="2"/>
      <c r="AE174" s="2"/>
      <c r="AF174" s="2"/>
      <c r="AG174" s="2"/>
      <c r="AH174" s="2"/>
      <c r="AI174" s="2"/>
      <c r="AJ174" s="2"/>
    </row>
    <row r="175" spans="1:36" hidden="1" x14ac:dyDescent="0.2">
      <c r="A175" s="11">
        <v>43755</v>
      </c>
      <c r="B175" s="53" t="s">
        <v>1367</v>
      </c>
      <c r="C175" s="52" t="str">
        <f>IF(MID(B175,4,2)="09","Ramadan",IF(AND(MID(B175,4,2)="12",VALUE(LEFT(B175,2))&lt;=9),"Adha Season","Normal"))</f>
        <v>Normal</v>
      </c>
      <c r="D175" s="1" t="s">
        <v>45</v>
      </c>
      <c r="F175" s="4" t="s">
        <v>46</v>
      </c>
      <c r="G175" s="2">
        <v>21</v>
      </c>
      <c r="H175" s="2">
        <v>21</v>
      </c>
      <c r="I175" s="2">
        <f>grand[[#This Row],[number]]-grand[[#This Row],[received]]</f>
        <v>0</v>
      </c>
      <c r="J175" s="30"/>
      <c r="K175" s="2">
        <v>9185</v>
      </c>
      <c r="L175" s="2">
        <v>8855</v>
      </c>
      <c r="M175" s="2">
        <f>K175-L175</f>
        <v>330</v>
      </c>
      <c r="N175" s="2">
        <v>5512.1</v>
      </c>
      <c r="O175" s="2">
        <v>120</v>
      </c>
      <c r="P175" s="7">
        <f>grand[[#This Row],[total weight]]/grand[[#This Row],[received]]</f>
        <v>437.38095238095241</v>
      </c>
      <c r="Q175" s="7">
        <f>grand[[#This Row],[receiving weight]]/grand[[#This Row],[received]]</f>
        <v>421.66666666666669</v>
      </c>
      <c r="R175" s="7">
        <f>grand[[#This Row],[transportation loss ]]/grand[[#This Row],[received]]</f>
        <v>15.714285714285714</v>
      </c>
      <c r="S175" s="7">
        <f>grand[[#This Row],[ carcass weight]]/grand[[#This Row],[received]]</f>
        <v>262.48095238095237</v>
      </c>
      <c r="T175" s="7">
        <f>grand[[#This Row],[ kidneys fat quantity]]/grand[[#This Row],[received]]</f>
        <v>5.7142857142857144</v>
      </c>
      <c r="U175" s="2">
        <v>25</v>
      </c>
      <c r="V175" s="2"/>
      <c r="W175" s="2">
        <v>49.5</v>
      </c>
      <c r="X175" s="2">
        <v>9.9</v>
      </c>
      <c r="Y175" s="8">
        <v>8.5</v>
      </c>
      <c r="Z175" s="3">
        <f>grand[[#This Row],[av. Transportation loss]]/grand[[#This Row],[av.total weight]]</f>
        <v>3.5928143712574849E-2</v>
      </c>
      <c r="AA175" s="12">
        <f>AVERAGE((grand[[#This Row],[am]]/25),(grand[[#This Row],[pm]]/50))</f>
        <v>0.995</v>
      </c>
      <c r="AB175" s="3">
        <f>grand[[#This Row],[ carcass weight]]/grand[[#This Row],[total weight]]</f>
        <v>0.60011976047904192</v>
      </c>
      <c r="AC175" s="3">
        <f>SUM(grand[[#This Row],[am]:[meat transportation]])/100</f>
        <v>0.92900000000000005</v>
      </c>
      <c r="AD175" s="2"/>
      <c r="AE175" s="2"/>
      <c r="AF175" s="2"/>
      <c r="AG175" s="2"/>
      <c r="AH175" s="2"/>
      <c r="AI175" s="2"/>
      <c r="AJ175" s="2"/>
    </row>
    <row r="176" spans="1:36" hidden="1" x14ac:dyDescent="0.2">
      <c r="A176" s="11">
        <v>43758</v>
      </c>
      <c r="B176" s="53" t="s">
        <v>1368</v>
      </c>
      <c r="C176" s="52" t="str">
        <f>IF(MID(B176,4,2)="09","Ramadan",IF(AND(MID(B176,4,2)="12",VALUE(LEFT(B176,2))&lt;=9),"Adha Season","Normal"))</f>
        <v>Normal</v>
      </c>
      <c r="D176" s="1" t="s">
        <v>45</v>
      </c>
      <c r="F176" s="4" t="s">
        <v>39</v>
      </c>
      <c r="G176" s="2">
        <v>35</v>
      </c>
      <c r="H176" s="2">
        <v>35</v>
      </c>
      <c r="I176" s="2">
        <f>grand[[#This Row],[number]]-grand[[#This Row],[received]]</f>
        <v>0</v>
      </c>
      <c r="J176" s="30"/>
      <c r="K176" s="2">
        <v>13968</v>
      </c>
      <c r="L176" s="2">
        <v>12965</v>
      </c>
      <c r="M176" s="2">
        <f>K176-L176</f>
        <v>1003</v>
      </c>
      <c r="N176" s="2">
        <v>8486.2999999999993</v>
      </c>
      <c r="O176" s="2"/>
      <c r="P176" s="7">
        <f>grand[[#This Row],[total weight]]/grand[[#This Row],[received]]</f>
        <v>399.08571428571429</v>
      </c>
      <c r="Q176" s="7">
        <f>grand[[#This Row],[receiving weight]]/grand[[#This Row],[received]]</f>
        <v>370.42857142857144</v>
      </c>
      <c r="R176" s="7">
        <f>grand[[#This Row],[transportation loss ]]/grand[[#This Row],[received]]</f>
        <v>28.657142857142858</v>
      </c>
      <c r="S176" s="7">
        <f>grand[[#This Row],[ carcass weight]]/grand[[#This Row],[received]]</f>
        <v>242.46571428571426</v>
      </c>
      <c r="T176" s="7"/>
      <c r="U176" s="2">
        <v>25</v>
      </c>
      <c r="V176" s="2"/>
      <c r="W176" s="2">
        <v>50</v>
      </c>
      <c r="X176" s="2">
        <v>9</v>
      </c>
      <c r="Y176" s="8">
        <v>8.5</v>
      </c>
      <c r="Z176" s="3">
        <f>grand[[#This Row],[av. Transportation loss]]/grand[[#This Row],[av.total weight]]</f>
        <v>7.1806987399770913E-2</v>
      </c>
      <c r="AA176" s="12">
        <f>AVERAGE((grand[[#This Row],[am]]/25),(grand[[#This Row],[pm]]/50))</f>
        <v>1</v>
      </c>
      <c r="AB176" s="3">
        <f>grand[[#This Row],[ carcass weight]]/grand[[#This Row],[total weight]]</f>
        <v>0.60755297823596788</v>
      </c>
      <c r="AC176" s="3">
        <f>SUM(grand[[#This Row],[am]:[meat transportation]])/100</f>
        <v>0.92500000000000004</v>
      </c>
      <c r="AD176" s="2"/>
      <c r="AE176" s="2"/>
      <c r="AF176" s="2"/>
      <c r="AG176" s="2"/>
      <c r="AH176" s="2"/>
      <c r="AI176" s="2"/>
      <c r="AJ176" s="2"/>
    </row>
    <row r="177" spans="1:36" hidden="1" x14ac:dyDescent="0.2">
      <c r="A177" s="11">
        <v>43758</v>
      </c>
      <c r="B177" s="53" t="s">
        <v>1368</v>
      </c>
      <c r="C177" s="52" t="str">
        <f>IF(MID(B177,4,2)="09","Ramadan",IF(AND(MID(B177,4,2)="12",VALUE(LEFT(B177,2))&lt;=9),"Adha Season","Normal"))</f>
        <v>Normal</v>
      </c>
      <c r="D177" s="2" t="s">
        <v>294</v>
      </c>
      <c r="E177" s="2"/>
      <c r="F177" s="4" t="s">
        <v>35</v>
      </c>
      <c r="G177" s="2">
        <v>20</v>
      </c>
      <c r="H177" s="2">
        <v>20</v>
      </c>
      <c r="I177" s="2">
        <f>grand[[#This Row],[number]]-grand[[#This Row],[received]]</f>
        <v>0</v>
      </c>
      <c r="J177" s="30"/>
      <c r="K177" s="2"/>
      <c r="L177" s="2"/>
      <c r="M177" s="2">
        <f>K177-L177</f>
        <v>0</v>
      </c>
      <c r="N177" s="2"/>
      <c r="O177" s="2"/>
      <c r="P177" s="7">
        <f>grand[[#This Row],[total weight]]/grand[[#This Row],[received]]</f>
        <v>0</v>
      </c>
      <c r="Q177" s="7">
        <f>grand[[#This Row],[receiving weight]]/grand[[#This Row],[received]]</f>
        <v>0</v>
      </c>
      <c r="R177" s="7">
        <f>grand[[#This Row],[transportation loss ]]/grand[[#This Row],[received]]</f>
        <v>0</v>
      </c>
      <c r="S177" s="7">
        <f>grand[[#This Row],[ carcass weight]]/grand[[#This Row],[received]]</f>
        <v>0</v>
      </c>
      <c r="T177" s="7">
        <f>grand[[#This Row],[ kidneys fat quantity]]/grand[[#This Row],[received]]</f>
        <v>0</v>
      </c>
      <c r="U177" s="2">
        <v>25</v>
      </c>
      <c r="V177" s="2">
        <v>0</v>
      </c>
      <c r="W177" s="2">
        <v>49.7</v>
      </c>
      <c r="X177" s="2">
        <v>10</v>
      </c>
      <c r="Y177" s="8">
        <v>8.5</v>
      </c>
      <c r="Z177" s="3"/>
      <c r="AA177" s="12">
        <f>AVERAGE((grand[[#This Row],[am]]/25),(grand[[#This Row],[pm]]/50))</f>
        <v>0.99700000000000011</v>
      </c>
      <c r="AB177" s="3"/>
      <c r="AC177" s="3">
        <f>SUM(grand[[#This Row],[am]:[meat transportation]])/100</f>
        <v>0.93200000000000005</v>
      </c>
      <c r="AD177" s="2"/>
      <c r="AE177" s="2"/>
      <c r="AF177" s="2"/>
      <c r="AG177" s="2"/>
      <c r="AH177" s="2"/>
      <c r="AI177" s="2"/>
      <c r="AJ177" s="2"/>
    </row>
    <row r="178" spans="1:36" hidden="1" x14ac:dyDescent="0.2">
      <c r="A178" s="11">
        <v>43760</v>
      </c>
      <c r="B178" s="53" t="s">
        <v>1369</v>
      </c>
      <c r="C178" s="52" t="str">
        <f>IF(MID(B178,4,2)="09","Ramadan",IF(AND(MID(B178,4,2)="12",VALUE(LEFT(B178,2))&lt;=9),"Adha Season","Normal"))</f>
        <v>Normal</v>
      </c>
      <c r="D178" s="1" t="s">
        <v>45</v>
      </c>
      <c r="F178" s="4" t="s">
        <v>42</v>
      </c>
      <c r="G178" s="2">
        <v>33</v>
      </c>
      <c r="H178" s="2">
        <v>33</v>
      </c>
      <c r="I178" s="2">
        <f>grand[[#This Row],[number]]-grand[[#This Row],[received]]</f>
        <v>0</v>
      </c>
      <c r="J178" s="30"/>
      <c r="K178" s="2">
        <v>13810</v>
      </c>
      <c r="L178" s="2">
        <v>13120</v>
      </c>
      <c r="M178" s="2">
        <f>K178-L178</f>
        <v>690</v>
      </c>
      <c r="N178" s="2">
        <v>8383.1</v>
      </c>
      <c r="O178" s="2"/>
      <c r="P178" s="7">
        <f>grand[[#This Row],[total weight]]/grand[[#This Row],[received]]</f>
        <v>418.4848484848485</v>
      </c>
      <c r="Q178" s="7">
        <f>grand[[#This Row],[receiving weight]]/grand[[#This Row],[received]]</f>
        <v>397.57575757575756</v>
      </c>
      <c r="R178" s="7">
        <f>grand[[#This Row],[transportation loss ]]/grand[[#This Row],[received]]</f>
        <v>20.90909090909091</v>
      </c>
      <c r="S178" s="7">
        <f>grand[[#This Row],[ carcass weight]]/grand[[#This Row],[received]]</f>
        <v>254.03333333333333</v>
      </c>
      <c r="T178" s="7"/>
      <c r="U178" s="2">
        <v>25</v>
      </c>
      <c r="V178" s="2"/>
      <c r="W178" s="2">
        <v>49.6</v>
      </c>
      <c r="X178" s="2">
        <v>10</v>
      </c>
      <c r="Y178" s="8">
        <v>8.5</v>
      </c>
      <c r="Z178" s="3">
        <f>grand[[#This Row],[av. Transportation loss]]/grand[[#This Row],[av.total weight]]</f>
        <v>4.9963794351918903E-2</v>
      </c>
      <c r="AA178" s="12">
        <f>AVERAGE((grand[[#This Row],[am]]/25),(grand[[#This Row],[pm]]/50))</f>
        <v>0.996</v>
      </c>
      <c r="AB178" s="3">
        <f>grand[[#This Row],[ carcass weight]]/grand[[#This Row],[total weight]]</f>
        <v>0.60703113685734977</v>
      </c>
      <c r="AC178" s="3">
        <f>SUM(grand[[#This Row],[am]:[meat transportation]])/100</f>
        <v>0.93099999999999994</v>
      </c>
      <c r="AD178" s="2"/>
      <c r="AE178" s="2"/>
      <c r="AF178" s="2"/>
      <c r="AG178" s="2"/>
      <c r="AH178" s="2"/>
      <c r="AI178" s="2"/>
      <c r="AJ178" s="2"/>
    </row>
    <row r="179" spans="1:36" hidden="1" x14ac:dyDescent="0.2">
      <c r="A179" s="11">
        <v>43762</v>
      </c>
      <c r="B179" s="53" t="s">
        <v>1370</v>
      </c>
      <c r="C179" s="52" t="str">
        <f>IF(MID(B179,4,2)="09","Ramadan",IF(AND(MID(B179,4,2)="12",VALUE(LEFT(B179,2))&lt;=9),"Adha Season","Normal"))</f>
        <v>Normal</v>
      </c>
      <c r="D179" s="1" t="s">
        <v>45</v>
      </c>
      <c r="F179" s="4" t="s">
        <v>46</v>
      </c>
      <c r="G179" s="2">
        <v>32</v>
      </c>
      <c r="H179" s="2">
        <v>32</v>
      </c>
      <c r="I179" s="2">
        <f>grand[[#This Row],[number]]-grand[[#This Row],[received]]</f>
        <v>0</v>
      </c>
      <c r="J179" s="30"/>
      <c r="K179" s="2">
        <v>14980</v>
      </c>
      <c r="L179" s="2">
        <v>14475</v>
      </c>
      <c r="M179" s="2">
        <f>K179-L179</f>
        <v>505</v>
      </c>
      <c r="N179" s="2">
        <v>9286.7999999999993</v>
      </c>
      <c r="O179" s="2"/>
      <c r="P179" s="7">
        <f>grand[[#This Row],[total weight]]/grand[[#This Row],[received]]</f>
        <v>468.125</v>
      </c>
      <c r="Q179" s="7">
        <f>grand[[#This Row],[receiving weight]]/grand[[#This Row],[received]]</f>
        <v>452.34375</v>
      </c>
      <c r="R179" s="7">
        <f>grand[[#This Row],[transportation loss ]]/grand[[#This Row],[received]]</f>
        <v>15.78125</v>
      </c>
      <c r="S179" s="7">
        <f>grand[[#This Row],[ carcass weight]]/grand[[#This Row],[received]]</f>
        <v>290.21249999999998</v>
      </c>
      <c r="T179" s="7"/>
      <c r="U179" s="2">
        <v>25</v>
      </c>
      <c r="V179" s="2"/>
      <c r="W179" s="2">
        <v>50</v>
      </c>
      <c r="X179" s="2">
        <v>10</v>
      </c>
      <c r="Y179" s="8">
        <v>8.5</v>
      </c>
      <c r="Z179" s="3">
        <f>grand[[#This Row],[av. Transportation loss]]/grand[[#This Row],[av.total weight]]</f>
        <v>3.3711615487316424E-2</v>
      </c>
      <c r="AA179" s="12">
        <f>AVERAGE((grand[[#This Row],[am]]/25),(grand[[#This Row],[pm]]/50))</f>
        <v>1</v>
      </c>
      <c r="AB179" s="3">
        <f>grand[[#This Row],[ carcass weight]]/grand[[#This Row],[total weight]]</f>
        <v>0.61994659546061415</v>
      </c>
      <c r="AC179" s="3">
        <f>SUM(grand[[#This Row],[am]:[meat transportation]])/100</f>
        <v>0.93500000000000005</v>
      </c>
      <c r="AD179" s="2"/>
      <c r="AE179" s="2"/>
      <c r="AF179" s="2"/>
      <c r="AG179" s="2"/>
      <c r="AH179" s="2"/>
      <c r="AI179" s="2"/>
      <c r="AJ179" s="2"/>
    </row>
    <row r="180" spans="1:36" hidden="1" x14ac:dyDescent="0.2">
      <c r="A180" s="11">
        <v>43765</v>
      </c>
      <c r="B180" s="53" t="s">
        <v>1371</v>
      </c>
      <c r="C180" s="52" t="str">
        <f>IF(MID(B180,4,2)="09","Ramadan",IF(AND(MID(B180,4,2)="12",VALUE(LEFT(B180,2))&lt;=9),"Adha Season","Normal"))</f>
        <v>Normal</v>
      </c>
      <c r="D180" s="1" t="s">
        <v>45</v>
      </c>
      <c r="F180" s="4" t="s">
        <v>39</v>
      </c>
      <c r="G180" s="2">
        <v>35</v>
      </c>
      <c r="H180" s="2">
        <v>35</v>
      </c>
      <c r="I180" s="2">
        <f>grand[[#This Row],[number]]-grand[[#This Row],[received]]</f>
        <v>0</v>
      </c>
      <c r="J180" s="30"/>
      <c r="K180" s="2">
        <v>14327</v>
      </c>
      <c r="L180" s="2">
        <v>13535</v>
      </c>
      <c r="M180" s="2">
        <f>K180-L180</f>
        <v>792</v>
      </c>
      <c r="N180" s="2">
        <v>8810.7999999999993</v>
      </c>
      <c r="O180" s="2"/>
      <c r="P180" s="7">
        <f>grand[[#This Row],[total weight]]/grand[[#This Row],[received]]</f>
        <v>409.34285714285716</v>
      </c>
      <c r="Q180" s="7">
        <f>grand[[#This Row],[receiving weight]]/grand[[#This Row],[received]]</f>
        <v>386.71428571428572</v>
      </c>
      <c r="R180" s="7">
        <f>grand[[#This Row],[transportation loss ]]/grand[[#This Row],[received]]</f>
        <v>22.62857142857143</v>
      </c>
      <c r="S180" s="7">
        <f>grand[[#This Row],[ carcass weight]]/grand[[#This Row],[received]]</f>
        <v>251.73714285714283</v>
      </c>
      <c r="T180" s="7"/>
      <c r="U180" s="2">
        <v>25</v>
      </c>
      <c r="V180" s="2"/>
      <c r="W180" s="2">
        <v>49.9</v>
      </c>
      <c r="X180" s="2">
        <v>9</v>
      </c>
      <c r="Y180" s="8">
        <v>8.5</v>
      </c>
      <c r="Z180" s="3">
        <f>grand[[#This Row],[av. Transportation loss]]/grand[[#This Row],[av.total weight]]</f>
        <v>5.5280240106093392E-2</v>
      </c>
      <c r="AA180" s="12">
        <f>AVERAGE((grand[[#This Row],[am]]/25),(grand[[#This Row],[pm]]/50))</f>
        <v>0.999</v>
      </c>
      <c r="AB180" s="3">
        <f>grand[[#This Row],[ carcass weight]]/grand[[#This Row],[total weight]]</f>
        <v>0.61497871152369643</v>
      </c>
      <c r="AC180" s="3">
        <f>SUM(grand[[#This Row],[am]:[meat transportation]])/100</f>
        <v>0.92400000000000004</v>
      </c>
      <c r="AD180" s="2"/>
      <c r="AE180" s="2"/>
      <c r="AF180" s="2"/>
      <c r="AG180" s="2"/>
      <c r="AH180" s="2"/>
      <c r="AI180" s="2"/>
      <c r="AJ180" s="2"/>
    </row>
    <row r="181" spans="1:36" hidden="1" x14ac:dyDescent="0.2">
      <c r="A181" s="11">
        <v>43765</v>
      </c>
      <c r="B181" s="53" t="s">
        <v>1371</v>
      </c>
      <c r="C181" s="52" t="str">
        <f>IF(MID(B181,4,2)="09","Ramadan",IF(AND(MID(B181,4,2)="12",VALUE(LEFT(B181,2))&lt;=9),"Adha Season","Normal"))</f>
        <v>Normal</v>
      </c>
      <c r="D181" s="2" t="s">
        <v>294</v>
      </c>
      <c r="E181" s="2"/>
      <c r="F181" s="4" t="s">
        <v>35</v>
      </c>
      <c r="G181" s="2">
        <v>20</v>
      </c>
      <c r="H181" s="2">
        <v>20</v>
      </c>
      <c r="I181" s="2">
        <f>grand[[#This Row],[number]]-grand[[#This Row],[received]]</f>
        <v>0</v>
      </c>
      <c r="J181" s="30"/>
      <c r="K181" s="2"/>
      <c r="L181" s="2"/>
      <c r="M181" s="2">
        <f>K181-L181</f>
        <v>0</v>
      </c>
      <c r="N181" s="2"/>
      <c r="O181" s="2"/>
      <c r="P181" s="7">
        <f>grand[[#This Row],[total weight]]/grand[[#This Row],[received]]</f>
        <v>0</v>
      </c>
      <c r="Q181" s="7">
        <f>grand[[#This Row],[receiving weight]]/grand[[#This Row],[received]]</f>
        <v>0</v>
      </c>
      <c r="R181" s="7">
        <f>grand[[#This Row],[transportation loss ]]/grand[[#This Row],[received]]</f>
        <v>0</v>
      </c>
      <c r="S181" s="7">
        <f>grand[[#This Row],[ carcass weight]]/grand[[#This Row],[received]]</f>
        <v>0</v>
      </c>
      <c r="T181" s="7">
        <f>grand[[#This Row],[ kidneys fat quantity]]/grand[[#This Row],[received]]</f>
        <v>0</v>
      </c>
      <c r="U181" s="2">
        <v>25</v>
      </c>
      <c r="V181" s="2">
        <v>0</v>
      </c>
      <c r="W181" s="2">
        <v>49.7</v>
      </c>
      <c r="X181" s="2">
        <v>10</v>
      </c>
      <c r="Y181" s="8">
        <v>8.5</v>
      </c>
      <c r="Z181" s="3"/>
      <c r="AA181" s="12">
        <f>AVERAGE((grand[[#This Row],[am]]/25),(grand[[#This Row],[pm]]/50))</f>
        <v>0.99700000000000011</v>
      </c>
      <c r="AB181" s="3"/>
      <c r="AC181" s="3">
        <f>SUM(grand[[#This Row],[am]:[meat transportation]])/100</f>
        <v>0.93200000000000005</v>
      </c>
      <c r="AD181" s="2"/>
      <c r="AE181" s="2"/>
      <c r="AF181" s="2"/>
      <c r="AG181" s="2"/>
      <c r="AH181" s="2"/>
      <c r="AI181" s="2"/>
      <c r="AJ181" s="2"/>
    </row>
    <row r="182" spans="1:36" hidden="1" x14ac:dyDescent="0.2">
      <c r="A182" s="11">
        <v>43769</v>
      </c>
      <c r="B182" s="53" t="s">
        <v>1373</v>
      </c>
      <c r="C182" s="52" t="str">
        <f>IF(MID(B182,4,2)="09","Ramadan",IF(AND(MID(B182,4,2)="12",VALUE(LEFT(B182,2))&lt;=9),"Adha Season","Normal"))</f>
        <v>Normal</v>
      </c>
      <c r="D182" s="1" t="s">
        <v>45</v>
      </c>
      <c r="F182" s="4" t="s">
        <v>42</v>
      </c>
      <c r="G182" s="2">
        <v>35</v>
      </c>
      <c r="H182" s="2">
        <v>35</v>
      </c>
      <c r="I182" s="2">
        <f>grand[[#This Row],[number]]-grand[[#This Row],[received]]</f>
        <v>0</v>
      </c>
      <c r="J182" s="30"/>
      <c r="K182" s="2">
        <v>15843</v>
      </c>
      <c r="L182" s="2">
        <v>15380</v>
      </c>
      <c r="M182" s="2">
        <f>K182-L182</f>
        <v>463</v>
      </c>
      <c r="N182" s="2">
        <v>9873.5</v>
      </c>
      <c r="O182" s="2"/>
      <c r="P182" s="7">
        <f>grand[[#This Row],[total weight]]/grand[[#This Row],[received]]</f>
        <v>452.65714285714284</v>
      </c>
      <c r="Q182" s="7">
        <f>grand[[#This Row],[receiving weight]]/grand[[#This Row],[received]]</f>
        <v>439.42857142857144</v>
      </c>
      <c r="R182" s="7">
        <f>grand[[#This Row],[transportation loss ]]/grand[[#This Row],[received]]</f>
        <v>13.228571428571428</v>
      </c>
      <c r="S182" s="7">
        <f>grand[[#This Row],[ carcass weight]]/grand[[#This Row],[received]]</f>
        <v>282.10000000000002</v>
      </c>
      <c r="T182" s="7"/>
      <c r="U182" s="2">
        <v>25</v>
      </c>
      <c r="V182" s="2"/>
      <c r="W182" s="2">
        <v>49.7</v>
      </c>
      <c r="X182" s="2">
        <v>10</v>
      </c>
      <c r="Y182" s="8">
        <v>8.5</v>
      </c>
      <c r="Z182" s="3">
        <f>grand[[#This Row],[av. Transportation loss]]/grand[[#This Row],[av.total weight]]</f>
        <v>2.9224263081487092E-2</v>
      </c>
      <c r="AA182" s="12">
        <f>AVERAGE((grand[[#This Row],[am]]/25),(grand[[#This Row],[pm]]/50))</f>
        <v>0.99700000000000011</v>
      </c>
      <c r="AB182" s="3">
        <f>grand[[#This Row],[ carcass weight]]/grand[[#This Row],[total weight]]</f>
        <v>0.62320898819667991</v>
      </c>
      <c r="AC182" s="3">
        <f>SUM(grand[[#This Row],[am]:[meat transportation]])/100</f>
        <v>0.93200000000000005</v>
      </c>
      <c r="AD182" s="2"/>
      <c r="AE182" s="2"/>
      <c r="AF182" s="2"/>
      <c r="AG182" s="2"/>
      <c r="AH182" s="2"/>
      <c r="AI182" s="2"/>
      <c r="AJ182" s="2"/>
    </row>
    <row r="183" spans="1:36" hidden="1" x14ac:dyDescent="0.2">
      <c r="A183" s="11">
        <v>43772</v>
      </c>
      <c r="B183" s="53" t="s">
        <v>1374</v>
      </c>
      <c r="C183" s="52" t="str">
        <f>IF(MID(B183,4,2)="09","Ramadan",IF(AND(MID(B183,4,2)="12",VALUE(LEFT(B183,2))&lt;=9),"Adha Season","Normal"))</f>
        <v>Normal</v>
      </c>
      <c r="D183" s="2" t="s">
        <v>294</v>
      </c>
      <c r="E183" s="2"/>
      <c r="F183" s="4" t="s">
        <v>35</v>
      </c>
      <c r="G183" s="2">
        <v>20</v>
      </c>
      <c r="H183" s="2">
        <v>20</v>
      </c>
      <c r="I183" s="2">
        <f>grand[[#This Row],[number]]-grand[[#This Row],[received]]</f>
        <v>0</v>
      </c>
      <c r="J183" s="30"/>
      <c r="K183" s="2"/>
      <c r="L183" s="2"/>
      <c r="M183" s="2">
        <f>K183-L183</f>
        <v>0</v>
      </c>
      <c r="N183" s="2"/>
      <c r="O183" s="2"/>
      <c r="P183" s="7">
        <f>grand[[#This Row],[total weight]]/grand[[#This Row],[received]]</f>
        <v>0</v>
      </c>
      <c r="Q183" s="7">
        <f>grand[[#This Row],[receiving weight]]/grand[[#This Row],[received]]</f>
        <v>0</v>
      </c>
      <c r="R183" s="7">
        <f>grand[[#This Row],[transportation loss ]]/grand[[#This Row],[received]]</f>
        <v>0</v>
      </c>
      <c r="S183" s="7">
        <f>grand[[#This Row],[ carcass weight]]/grand[[#This Row],[received]]</f>
        <v>0</v>
      </c>
      <c r="T183" s="7">
        <f>grand[[#This Row],[ kidneys fat quantity]]/grand[[#This Row],[received]]</f>
        <v>0</v>
      </c>
      <c r="U183" s="2">
        <v>25</v>
      </c>
      <c r="V183" s="2">
        <v>0</v>
      </c>
      <c r="W183" s="2">
        <v>50</v>
      </c>
      <c r="X183" s="2">
        <v>10</v>
      </c>
      <c r="Y183" s="8">
        <v>8.5</v>
      </c>
      <c r="Z183" s="3"/>
      <c r="AA183" s="12">
        <f>AVERAGE((grand[[#This Row],[am]]/25),(grand[[#This Row],[pm]]/50))</f>
        <v>1</v>
      </c>
      <c r="AB183" s="3"/>
      <c r="AC183" s="3">
        <f>SUM(grand[[#This Row],[am]:[meat transportation]])/100</f>
        <v>0.93500000000000005</v>
      </c>
      <c r="AD183" s="2"/>
      <c r="AE183" s="2"/>
      <c r="AF183" s="2"/>
      <c r="AG183" s="2"/>
      <c r="AH183" s="2"/>
      <c r="AI183" s="2"/>
      <c r="AJ183" s="2"/>
    </row>
    <row r="184" spans="1:36" hidden="1" x14ac:dyDescent="0.2">
      <c r="A184" s="11">
        <v>43776</v>
      </c>
      <c r="B184" s="53" t="s">
        <v>1376</v>
      </c>
      <c r="C184" s="52" t="str">
        <f>IF(MID(B184,4,2)="09","Ramadan",IF(AND(MID(B184,4,2)="12",VALUE(LEFT(B184,2))&lt;=9),"Adha Season","Normal"))</f>
        <v>Normal</v>
      </c>
      <c r="D184" s="1" t="s">
        <v>45</v>
      </c>
      <c r="F184" s="4" t="s">
        <v>46</v>
      </c>
      <c r="G184" s="2">
        <v>35</v>
      </c>
      <c r="H184" s="2">
        <v>35</v>
      </c>
      <c r="I184" s="2">
        <f>grand[[#This Row],[number]]-grand[[#This Row],[received]]</f>
        <v>0</v>
      </c>
      <c r="J184" s="30"/>
      <c r="K184" s="2">
        <v>16400</v>
      </c>
      <c r="L184" s="2">
        <v>15695</v>
      </c>
      <c r="M184" s="2">
        <f>K184-L184</f>
        <v>705</v>
      </c>
      <c r="N184" s="2">
        <v>9857.7999999999993</v>
      </c>
      <c r="O184" s="2"/>
      <c r="P184" s="7">
        <f>grand[[#This Row],[total weight]]/grand[[#This Row],[received]]</f>
        <v>468.57142857142856</v>
      </c>
      <c r="Q184" s="7">
        <f>grand[[#This Row],[receiving weight]]/grand[[#This Row],[received]]</f>
        <v>448.42857142857144</v>
      </c>
      <c r="R184" s="7">
        <f>grand[[#This Row],[transportation loss ]]/grand[[#This Row],[received]]</f>
        <v>20.142857142857142</v>
      </c>
      <c r="S184" s="7">
        <f>grand[[#This Row],[ carcass weight]]/grand[[#This Row],[received]]</f>
        <v>281.65142857142854</v>
      </c>
      <c r="T184" s="7"/>
      <c r="U184" s="2">
        <v>22</v>
      </c>
      <c r="V184" s="2"/>
      <c r="W184" s="2">
        <v>44.7</v>
      </c>
      <c r="X184" s="2">
        <v>10</v>
      </c>
      <c r="Y184" s="8">
        <v>8.5</v>
      </c>
      <c r="Z184" s="3">
        <f>grand[[#This Row],[av. Transportation loss]]/grand[[#This Row],[av.total weight]]</f>
        <v>4.2987804878048784E-2</v>
      </c>
      <c r="AA184" s="12">
        <f>AVERAGE((grand[[#This Row],[am]]/25),(grand[[#This Row],[pm]]/50))</f>
        <v>0.88700000000000001</v>
      </c>
      <c r="AB184" s="3">
        <f>grand[[#This Row],[ carcass weight]]/grand[[#This Row],[total weight]]</f>
        <v>0.60108536585365846</v>
      </c>
      <c r="AC184" s="3">
        <f>SUM(grand[[#This Row],[am]:[meat transportation]])/100</f>
        <v>0.85199999999999998</v>
      </c>
      <c r="AD184" s="2"/>
      <c r="AE184" s="2"/>
      <c r="AF184" s="2"/>
      <c r="AG184" s="2"/>
      <c r="AH184" s="2"/>
      <c r="AI184" s="2"/>
      <c r="AJ184" s="2"/>
    </row>
    <row r="185" spans="1:36" hidden="1" x14ac:dyDescent="0.2">
      <c r="A185" s="11">
        <v>43779</v>
      </c>
      <c r="B185" s="53" t="s">
        <v>1377</v>
      </c>
      <c r="C185" s="52" t="str">
        <f>IF(MID(B185,4,2)="09","Ramadan",IF(AND(MID(B185,4,2)="12",VALUE(LEFT(B185,2))&lt;=9),"Adha Season","Normal"))</f>
        <v>Normal</v>
      </c>
      <c r="D185" s="2" t="s">
        <v>294</v>
      </c>
      <c r="E185" s="2"/>
      <c r="F185" s="4" t="s">
        <v>35</v>
      </c>
      <c r="G185" s="2">
        <v>20</v>
      </c>
      <c r="H185" s="2">
        <v>20</v>
      </c>
      <c r="I185" s="2">
        <f>grand[[#This Row],[number]]-grand[[#This Row],[received]]</f>
        <v>0</v>
      </c>
      <c r="J185" s="30"/>
      <c r="K185" s="2"/>
      <c r="L185" s="2"/>
      <c r="M185" s="2">
        <f>K185-L185</f>
        <v>0</v>
      </c>
      <c r="N185" s="2"/>
      <c r="O185" s="2"/>
      <c r="P185" s="7">
        <f>grand[[#This Row],[total weight]]/grand[[#This Row],[received]]</f>
        <v>0</v>
      </c>
      <c r="Q185" s="7">
        <f>grand[[#This Row],[receiving weight]]/grand[[#This Row],[received]]</f>
        <v>0</v>
      </c>
      <c r="R185" s="7">
        <f>grand[[#This Row],[transportation loss ]]/grand[[#This Row],[received]]</f>
        <v>0</v>
      </c>
      <c r="S185" s="7">
        <f>grand[[#This Row],[ carcass weight]]/grand[[#This Row],[received]]</f>
        <v>0</v>
      </c>
      <c r="T185" s="7">
        <f>grand[[#This Row],[ kidneys fat quantity]]/grand[[#This Row],[received]]</f>
        <v>0</v>
      </c>
      <c r="U185" s="2">
        <v>25</v>
      </c>
      <c r="V185" s="2">
        <v>0</v>
      </c>
      <c r="W185" s="2">
        <v>49.8</v>
      </c>
      <c r="X185" s="2">
        <v>10</v>
      </c>
      <c r="Y185" s="8">
        <v>8.5</v>
      </c>
      <c r="Z185" s="3"/>
      <c r="AA185" s="12">
        <f>AVERAGE((grand[[#This Row],[am]]/25),(grand[[#This Row],[pm]]/50))</f>
        <v>0.998</v>
      </c>
      <c r="AB185" s="3"/>
      <c r="AC185" s="3">
        <f>SUM(grand[[#This Row],[am]:[meat transportation]])/100</f>
        <v>0.93299999999999994</v>
      </c>
      <c r="AD185" s="2"/>
      <c r="AE185" s="2"/>
      <c r="AF185" s="2"/>
      <c r="AG185" s="2"/>
      <c r="AH185" s="2"/>
      <c r="AI185" s="2"/>
      <c r="AJ185" s="2"/>
    </row>
    <row r="186" spans="1:36" hidden="1" x14ac:dyDescent="0.2">
      <c r="A186" s="11">
        <v>43781</v>
      </c>
      <c r="B186" s="53" t="s">
        <v>1378</v>
      </c>
      <c r="C186" s="52" t="str">
        <f>IF(MID(B186,4,2)="09","Ramadan",IF(AND(MID(B186,4,2)="12",VALUE(LEFT(B186,2))&lt;=9),"Adha Season","Normal"))</f>
        <v>Normal</v>
      </c>
      <c r="D186" s="1" t="s">
        <v>45</v>
      </c>
      <c r="F186" s="4" t="s">
        <v>46</v>
      </c>
      <c r="G186" s="2">
        <v>32</v>
      </c>
      <c r="H186" s="2">
        <v>32</v>
      </c>
      <c r="I186" s="2">
        <f>grand[[#This Row],[number]]-grand[[#This Row],[received]]</f>
        <v>0</v>
      </c>
      <c r="J186" s="30"/>
      <c r="K186" s="2">
        <v>15300</v>
      </c>
      <c r="L186" s="2">
        <v>15300</v>
      </c>
      <c r="M186" s="2">
        <f>K186-L186</f>
        <v>0</v>
      </c>
      <c r="N186" s="2">
        <v>9192.2000000000007</v>
      </c>
      <c r="O186" s="2"/>
      <c r="P186" s="7">
        <f>grand[[#This Row],[total weight]]/grand[[#This Row],[received]]</f>
        <v>478.125</v>
      </c>
      <c r="Q186" s="7">
        <f>grand[[#This Row],[receiving weight]]/grand[[#This Row],[received]]</f>
        <v>478.125</v>
      </c>
      <c r="R186" s="7"/>
      <c r="S186" s="7">
        <f>grand[[#This Row],[ carcass weight]]/grand[[#This Row],[received]]</f>
        <v>287.25625000000002</v>
      </c>
      <c r="T186" s="7"/>
      <c r="U186" s="2">
        <v>25</v>
      </c>
      <c r="V186" s="2"/>
      <c r="W186" s="2">
        <v>49.8</v>
      </c>
      <c r="X186" s="2">
        <v>10</v>
      </c>
      <c r="Y186" s="8">
        <v>8.5</v>
      </c>
      <c r="Z186" s="3">
        <f>grand[[#This Row],[av. Transportation loss]]/grand[[#This Row],[av.total weight]]</f>
        <v>0</v>
      </c>
      <c r="AA186" s="12">
        <f>AVERAGE((grand[[#This Row],[am]]/25),(grand[[#This Row],[pm]]/50))</f>
        <v>0.998</v>
      </c>
      <c r="AB186" s="3">
        <f>grand[[#This Row],[ carcass weight]]/grand[[#This Row],[total weight]]</f>
        <v>0.60079738562091511</v>
      </c>
      <c r="AC186" s="3">
        <f>SUM(grand[[#This Row],[am]:[meat transportation]])/100</f>
        <v>0.93299999999999994</v>
      </c>
      <c r="AD186" s="2"/>
      <c r="AE186" s="2"/>
      <c r="AF186" s="2"/>
      <c r="AG186" s="2"/>
      <c r="AH186" s="2"/>
      <c r="AI186" s="2"/>
      <c r="AJ186" s="2"/>
    </row>
    <row r="187" spans="1:36" hidden="1" x14ac:dyDescent="0.2">
      <c r="A187" s="11">
        <v>43783</v>
      </c>
      <c r="B187" s="53" t="s">
        <v>1379</v>
      </c>
      <c r="C187" s="52" t="str">
        <f>IF(MID(B187,4,2)="09","Ramadan",IF(AND(MID(B187,4,2)="12",VALUE(LEFT(B187,2))&lt;=9),"Adha Season","Normal"))</f>
        <v>Normal</v>
      </c>
      <c r="D187" s="1" t="s">
        <v>45</v>
      </c>
      <c r="F187" s="4" t="s">
        <v>39</v>
      </c>
      <c r="G187" s="2">
        <v>35</v>
      </c>
      <c r="H187" s="2">
        <v>35</v>
      </c>
      <c r="I187" s="2">
        <f>grand[[#This Row],[number]]-grand[[#This Row],[received]]</f>
        <v>0</v>
      </c>
      <c r="J187" s="30"/>
      <c r="K187" s="2">
        <v>14010</v>
      </c>
      <c r="L187" s="2">
        <v>13035</v>
      </c>
      <c r="M187" s="2">
        <f>K187-L187</f>
        <v>975</v>
      </c>
      <c r="N187" s="2">
        <v>8578.7000000000007</v>
      </c>
      <c r="O187" s="2"/>
      <c r="P187" s="7">
        <f>grand[[#This Row],[total weight]]/grand[[#This Row],[received]]</f>
        <v>400.28571428571428</v>
      </c>
      <c r="Q187" s="7">
        <f>grand[[#This Row],[receiving weight]]/grand[[#This Row],[received]]</f>
        <v>372.42857142857144</v>
      </c>
      <c r="R187" s="7">
        <f>grand[[#This Row],[transportation loss ]]/grand[[#This Row],[received]]</f>
        <v>27.857142857142858</v>
      </c>
      <c r="S187" s="7">
        <f>grand[[#This Row],[ carcass weight]]/grand[[#This Row],[received]]</f>
        <v>245.1057142857143</v>
      </c>
      <c r="T187" s="7"/>
      <c r="U187" s="2">
        <v>25</v>
      </c>
      <c r="V187" s="2"/>
      <c r="W187" s="2">
        <v>49.7</v>
      </c>
      <c r="X187" s="2">
        <v>9</v>
      </c>
      <c r="Y187" s="8">
        <v>8.5</v>
      </c>
      <c r="Z187" s="3">
        <f>grand[[#This Row],[av. Transportation loss]]/grand[[#This Row],[av.total weight]]</f>
        <v>6.9593147751605994E-2</v>
      </c>
      <c r="AA187" s="12">
        <f>AVERAGE((grand[[#This Row],[am]]/25),(grand[[#This Row],[pm]]/50))</f>
        <v>0.99700000000000011</v>
      </c>
      <c r="AB187" s="3">
        <f>grand[[#This Row],[ carcass weight]]/grand[[#This Row],[total weight]]</f>
        <v>0.61232690935046397</v>
      </c>
      <c r="AC187" s="3">
        <f>SUM(grand[[#This Row],[am]:[meat transportation]])/100</f>
        <v>0.92200000000000004</v>
      </c>
      <c r="AD187" s="2"/>
      <c r="AE187" s="2"/>
      <c r="AF187" s="2"/>
      <c r="AG187" s="2"/>
      <c r="AH187" s="2"/>
      <c r="AI187" s="2"/>
      <c r="AJ187" s="2"/>
    </row>
    <row r="188" spans="1:36" hidden="1" x14ac:dyDescent="0.2">
      <c r="A188" s="11">
        <v>43786</v>
      </c>
      <c r="B188" s="53" t="s">
        <v>1380</v>
      </c>
      <c r="C188" s="52" t="str">
        <f>IF(MID(B188,4,2)="09","Ramadan",IF(AND(MID(B188,4,2)="12",VALUE(LEFT(B188,2))&lt;=9),"Adha Season","Normal"))</f>
        <v>Normal</v>
      </c>
      <c r="D188" s="1" t="s">
        <v>45</v>
      </c>
      <c r="F188" s="4" t="s">
        <v>40</v>
      </c>
      <c r="G188" s="2">
        <v>17</v>
      </c>
      <c r="H188" s="2">
        <v>17</v>
      </c>
      <c r="I188" s="2">
        <f>grand[[#This Row],[number]]-grand[[#This Row],[received]]</f>
        <v>0</v>
      </c>
      <c r="J188" s="30"/>
      <c r="K188" s="2">
        <v>7345</v>
      </c>
      <c r="L188" s="2">
        <v>7035</v>
      </c>
      <c r="M188" s="2">
        <f>K188-L188</f>
        <v>310</v>
      </c>
      <c r="N188" s="2">
        <v>4474.1000000000004</v>
      </c>
      <c r="O188" s="2"/>
      <c r="P188" s="7">
        <f>grand[[#This Row],[total weight]]/grand[[#This Row],[received]]</f>
        <v>432.05882352941177</v>
      </c>
      <c r="Q188" s="7">
        <f>grand[[#This Row],[receiving weight]]/grand[[#This Row],[received]]</f>
        <v>413.8235294117647</v>
      </c>
      <c r="R188" s="7">
        <f>grand[[#This Row],[transportation loss ]]/grand[[#This Row],[received]]</f>
        <v>18.235294117647058</v>
      </c>
      <c r="S188" s="7">
        <f>grand[[#This Row],[ carcass weight]]/grand[[#This Row],[received]]</f>
        <v>263.18235294117648</v>
      </c>
      <c r="T188" s="7"/>
      <c r="U188" s="2">
        <v>19.899999999999999</v>
      </c>
      <c r="V188" s="2"/>
      <c r="W188" s="2">
        <v>49.8</v>
      </c>
      <c r="X188" s="2">
        <v>10</v>
      </c>
      <c r="Y188" s="8">
        <v>8.5</v>
      </c>
      <c r="Z188" s="3">
        <f>grand[[#This Row],[av. Transportation loss]]/grand[[#This Row],[av.total weight]]</f>
        <v>4.2205582028590878E-2</v>
      </c>
      <c r="AA188" s="12">
        <f>AVERAGE((grand[[#This Row],[am]]/25),(grand[[#This Row],[pm]]/50))</f>
        <v>0.89599999999999991</v>
      </c>
      <c r="AB188" s="3">
        <f>grand[[#This Row],[ carcass weight]]/grand[[#This Row],[total weight]]</f>
        <v>0.60913546630360793</v>
      </c>
      <c r="AC188" s="3">
        <f>SUM(grand[[#This Row],[am]:[meat transportation]])/100</f>
        <v>0.8819999999999999</v>
      </c>
      <c r="AD188" s="2"/>
      <c r="AE188" s="2"/>
      <c r="AF188" s="2"/>
      <c r="AG188" s="2"/>
      <c r="AH188" s="2"/>
      <c r="AI188" s="2"/>
      <c r="AJ188" s="2"/>
    </row>
    <row r="189" spans="1:36" hidden="1" x14ac:dyDescent="0.2">
      <c r="A189" s="11">
        <v>43788</v>
      </c>
      <c r="B189" s="53" t="s">
        <v>1381</v>
      </c>
      <c r="C189" s="52" t="str">
        <f>IF(MID(B189,4,2)="09","Ramadan",IF(AND(MID(B189,4,2)="12",VALUE(LEFT(B189,2))&lt;=9),"Adha Season","Normal"))</f>
        <v>Normal</v>
      </c>
      <c r="D189" s="1" t="s">
        <v>45</v>
      </c>
      <c r="F189" s="4" t="s">
        <v>41</v>
      </c>
      <c r="G189" s="2">
        <v>7</v>
      </c>
      <c r="H189" s="2">
        <v>7</v>
      </c>
      <c r="I189" s="2">
        <f>grand[[#This Row],[number]]-grand[[#This Row],[received]]</f>
        <v>0</v>
      </c>
      <c r="J189" s="30"/>
      <c r="K189" s="2">
        <v>3010</v>
      </c>
      <c r="L189" s="2">
        <v>2905</v>
      </c>
      <c r="M189" s="2">
        <f>K189-L189</f>
        <v>105</v>
      </c>
      <c r="N189" s="2">
        <v>1813.4</v>
      </c>
      <c r="O189" s="2"/>
      <c r="P189" s="7">
        <f>grand[[#This Row],[total weight]]/grand[[#This Row],[received]]</f>
        <v>430</v>
      </c>
      <c r="Q189" s="7">
        <f>grand[[#This Row],[receiving weight]]/grand[[#This Row],[received]]</f>
        <v>415</v>
      </c>
      <c r="R189" s="7">
        <f>grand[[#This Row],[transportation loss ]]/grand[[#This Row],[received]]</f>
        <v>15</v>
      </c>
      <c r="S189" s="7">
        <f>grand[[#This Row],[ carcass weight]]/grand[[#This Row],[received]]</f>
        <v>259.05714285714288</v>
      </c>
      <c r="T189" s="7"/>
      <c r="U189" s="2">
        <v>23.4</v>
      </c>
      <c r="V189" s="2"/>
      <c r="W189" s="2">
        <v>49</v>
      </c>
      <c r="X189" s="2">
        <v>10</v>
      </c>
      <c r="Y189" s="8">
        <v>8.5</v>
      </c>
      <c r="Z189" s="3">
        <f>grand[[#This Row],[av. Transportation loss]]/grand[[#This Row],[av.total weight]]</f>
        <v>3.4883720930232558E-2</v>
      </c>
      <c r="AA189" s="12">
        <f>AVERAGE((grand[[#This Row],[am]]/25),(grand[[#This Row],[pm]]/50))</f>
        <v>0.95799999999999996</v>
      </c>
      <c r="AB189" s="3">
        <f>grand[[#This Row],[ carcass weight]]/grand[[#This Row],[total weight]]</f>
        <v>0.60245847176079736</v>
      </c>
      <c r="AC189" s="3">
        <f>SUM(grand[[#This Row],[am]:[meat transportation]])/100</f>
        <v>0.90900000000000003</v>
      </c>
      <c r="AD189" s="2"/>
      <c r="AE189" s="2"/>
      <c r="AF189" s="2"/>
      <c r="AG189" s="2"/>
      <c r="AH189" s="2"/>
      <c r="AI189" s="2"/>
      <c r="AJ189" s="2"/>
    </row>
    <row r="190" spans="1:36" hidden="1" x14ac:dyDescent="0.2">
      <c r="A190" s="11">
        <v>43790</v>
      </c>
      <c r="B190" s="53" t="s">
        <v>1382</v>
      </c>
      <c r="C190" s="52" t="str">
        <f>IF(MID(B190,4,2)="09","Ramadan",IF(AND(MID(B190,4,2)="12",VALUE(LEFT(B190,2))&lt;=9),"Adha Season","Normal"))</f>
        <v>Normal</v>
      </c>
      <c r="D190" s="1" t="s">
        <v>45</v>
      </c>
      <c r="F190" s="4" t="s">
        <v>39</v>
      </c>
      <c r="G190" s="2">
        <v>35</v>
      </c>
      <c r="H190" s="2">
        <v>35</v>
      </c>
      <c r="I190" s="2">
        <f>grand[[#This Row],[number]]-grand[[#This Row],[received]]</f>
        <v>0</v>
      </c>
      <c r="J190" s="30"/>
      <c r="K190" s="2">
        <v>14334</v>
      </c>
      <c r="L190" s="2">
        <v>13555</v>
      </c>
      <c r="M190" s="2">
        <f>K190-L190</f>
        <v>779</v>
      </c>
      <c r="N190" s="2">
        <v>8839.5</v>
      </c>
      <c r="O190" s="2"/>
      <c r="P190" s="7">
        <f>grand[[#This Row],[total weight]]/grand[[#This Row],[received]]</f>
        <v>409.54285714285714</v>
      </c>
      <c r="Q190" s="7">
        <f>grand[[#This Row],[receiving weight]]/grand[[#This Row],[received]]</f>
        <v>387.28571428571428</v>
      </c>
      <c r="R190" s="7">
        <f>grand[[#This Row],[transportation loss ]]/grand[[#This Row],[received]]</f>
        <v>22.257142857142856</v>
      </c>
      <c r="S190" s="7">
        <f>grand[[#This Row],[ carcass weight]]/grand[[#This Row],[received]]</f>
        <v>252.55714285714285</v>
      </c>
      <c r="T190" s="7"/>
      <c r="U190" s="2">
        <v>25</v>
      </c>
      <c r="V190" s="2"/>
      <c r="W190" s="2">
        <v>49.9</v>
      </c>
      <c r="X190" s="2">
        <v>9</v>
      </c>
      <c r="Y190" s="8">
        <v>8.5</v>
      </c>
      <c r="Z190" s="3">
        <f>grand[[#This Row],[av. Transportation loss]]/grand[[#This Row],[av.total weight]]</f>
        <v>5.434630947397795E-2</v>
      </c>
      <c r="AA190" s="12">
        <f>AVERAGE((grand[[#This Row],[am]]/25),(grand[[#This Row],[pm]]/50))</f>
        <v>0.999</v>
      </c>
      <c r="AB190" s="3">
        <f>grand[[#This Row],[ carcass weight]]/grand[[#This Row],[total weight]]</f>
        <v>0.61668061950606945</v>
      </c>
      <c r="AC190" s="3">
        <f>SUM(grand[[#This Row],[am]:[meat transportation]])/100</f>
        <v>0.92400000000000004</v>
      </c>
      <c r="AD190" s="2"/>
      <c r="AE190" s="2"/>
      <c r="AF190" s="2"/>
      <c r="AG190" s="2"/>
      <c r="AH190" s="2"/>
      <c r="AI190" s="2"/>
      <c r="AJ190" s="2"/>
    </row>
    <row r="191" spans="1:36" hidden="1" x14ac:dyDescent="0.2">
      <c r="A191" s="11">
        <v>43793</v>
      </c>
      <c r="B191" s="53" t="s">
        <v>1383</v>
      </c>
      <c r="C191" s="52" t="str">
        <f>IF(MID(B191,4,2)="09","Ramadan",IF(AND(MID(B191,4,2)="12",VALUE(LEFT(B191,2))&lt;=9),"Adha Season","Normal"))</f>
        <v>Normal</v>
      </c>
      <c r="D191" s="2" t="s">
        <v>294</v>
      </c>
      <c r="E191" s="2"/>
      <c r="F191" s="4" t="s">
        <v>35</v>
      </c>
      <c r="G191" s="2">
        <v>20</v>
      </c>
      <c r="H191" s="2">
        <v>20</v>
      </c>
      <c r="I191" s="2">
        <f>grand[[#This Row],[number]]-grand[[#This Row],[received]]</f>
        <v>0</v>
      </c>
      <c r="J191" s="30"/>
      <c r="K191" s="2"/>
      <c r="L191" s="2"/>
      <c r="M191" s="2">
        <f>K191-L191</f>
        <v>0</v>
      </c>
      <c r="N191" s="2"/>
      <c r="O191" s="2"/>
      <c r="P191" s="7">
        <f>grand[[#This Row],[total weight]]/grand[[#This Row],[received]]</f>
        <v>0</v>
      </c>
      <c r="Q191" s="7">
        <f>grand[[#This Row],[receiving weight]]/grand[[#This Row],[received]]</f>
        <v>0</v>
      </c>
      <c r="R191" s="7">
        <f>grand[[#This Row],[transportation loss ]]/grand[[#This Row],[received]]</f>
        <v>0</v>
      </c>
      <c r="S191" s="7">
        <f>grand[[#This Row],[ carcass weight]]/grand[[#This Row],[received]]</f>
        <v>0</v>
      </c>
      <c r="T191" s="7">
        <f>grand[[#This Row],[ kidneys fat quantity]]/grand[[#This Row],[received]]</f>
        <v>0</v>
      </c>
      <c r="U191" s="2">
        <v>25</v>
      </c>
      <c r="V191" s="2">
        <v>0</v>
      </c>
      <c r="W191" s="2">
        <v>49.7</v>
      </c>
      <c r="X191" s="2">
        <v>10</v>
      </c>
      <c r="Y191" s="8">
        <v>8.5</v>
      </c>
      <c r="Z191" s="3"/>
      <c r="AA191" s="12">
        <f>AVERAGE((grand[[#This Row],[am]]/25),(grand[[#This Row],[pm]]/50))</f>
        <v>0.99700000000000011</v>
      </c>
      <c r="AB191" s="3"/>
      <c r="AC191" s="3">
        <f>SUM(grand[[#This Row],[am]:[meat transportation]])/100</f>
        <v>0.93200000000000005</v>
      </c>
      <c r="AD191" s="2"/>
      <c r="AE191" s="2"/>
      <c r="AF191" s="2"/>
      <c r="AG191" s="2"/>
      <c r="AH191" s="2"/>
      <c r="AI191" s="2"/>
      <c r="AJ191" s="2"/>
    </row>
    <row r="192" spans="1:36" hidden="1" x14ac:dyDescent="0.2">
      <c r="A192" s="11">
        <v>43797</v>
      </c>
      <c r="B192" s="53" t="s">
        <v>1385</v>
      </c>
      <c r="C192" s="52" t="str">
        <f>IF(MID(B192,4,2)="09","Ramadan",IF(AND(MID(B192,4,2)="12",VALUE(LEFT(B192,2))&lt;=9),"Adha Season","Normal"))</f>
        <v>Normal</v>
      </c>
      <c r="D192" s="1" t="s">
        <v>45</v>
      </c>
      <c r="F192" s="4" t="s">
        <v>39</v>
      </c>
      <c r="G192" s="2">
        <v>30</v>
      </c>
      <c r="H192" s="2">
        <v>30</v>
      </c>
      <c r="I192" s="2">
        <f>grand[[#This Row],[number]]-grand[[#This Row],[received]]</f>
        <v>0</v>
      </c>
      <c r="J192" s="30"/>
      <c r="K192" s="2">
        <v>11907</v>
      </c>
      <c r="L192" s="2">
        <v>11155</v>
      </c>
      <c r="M192" s="2">
        <f>K192-L192</f>
        <v>752</v>
      </c>
      <c r="N192" s="2">
        <v>7370</v>
      </c>
      <c r="O192" s="2"/>
      <c r="P192" s="7">
        <f>grand[[#This Row],[total weight]]/grand[[#This Row],[received]]</f>
        <v>396.9</v>
      </c>
      <c r="Q192" s="7">
        <f>grand[[#This Row],[receiving weight]]/grand[[#This Row],[received]]</f>
        <v>371.83333333333331</v>
      </c>
      <c r="R192" s="7">
        <f>grand[[#This Row],[transportation loss ]]/grand[[#This Row],[received]]</f>
        <v>25.066666666666666</v>
      </c>
      <c r="S192" s="7">
        <f>grand[[#This Row],[ carcass weight]]/grand[[#This Row],[received]]</f>
        <v>245.66666666666666</v>
      </c>
      <c r="T192" s="7"/>
      <c r="U192" s="2">
        <v>25</v>
      </c>
      <c r="V192" s="2"/>
      <c r="W192" s="2">
        <v>49.8</v>
      </c>
      <c r="X192" s="2">
        <v>9</v>
      </c>
      <c r="Y192" s="8">
        <v>8.5</v>
      </c>
      <c r="Z192" s="3">
        <f>grand[[#This Row],[av. Transportation loss]]/grand[[#This Row],[av.total weight]]</f>
        <v>6.3156126648190147E-2</v>
      </c>
      <c r="AA192" s="12">
        <f>AVERAGE((grand[[#This Row],[am]]/25),(grand[[#This Row],[pm]]/50))</f>
        <v>0.998</v>
      </c>
      <c r="AB192" s="3">
        <f>grand[[#This Row],[ carcass weight]]/grand[[#This Row],[total weight]]</f>
        <v>0.61896363483665073</v>
      </c>
      <c r="AC192" s="3">
        <f>SUM(grand[[#This Row],[am]:[meat transportation]])/100</f>
        <v>0.92299999999999993</v>
      </c>
      <c r="AD192" s="2"/>
      <c r="AE192" s="2"/>
      <c r="AF192" s="2"/>
      <c r="AG192" s="2"/>
      <c r="AH192" s="2"/>
      <c r="AI192" s="2"/>
      <c r="AJ192" s="2"/>
    </row>
    <row r="193" spans="1:37" hidden="1" x14ac:dyDescent="0.2">
      <c r="A193" s="11">
        <v>43800</v>
      </c>
      <c r="B193" s="53" t="s">
        <v>1386</v>
      </c>
      <c r="C193" s="52" t="str">
        <f>IF(MID(B193,4,2)="09","Ramadan",IF(AND(MID(B193,4,2)="12",VALUE(LEFT(B193,2))&lt;=9),"Adha Season","Normal"))</f>
        <v>Normal</v>
      </c>
      <c r="D193" s="1" t="s">
        <v>45</v>
      </c>
      <c r="F193" s="4" t="s">
        <v>39</v>
      </c>
      <c r="G193" s="2">
        <v>32</v>
      </c>
      <c r="H193" s="2">
        <v>32</v>
      </c>
      <c r="I193" s="2">
        <f>grand[[#This Row],[number]]-grand[[#This Row],[received]]</f>
        <v>0</v>
      </c>
      <c r="J193" s="30"/>
      <c r="K193" s="2">
        <v>12659</v>
      </c>
      <c r="L193" s="2">
        <v>11925</v>
      </c>
      <c r="M193" s="2">
        <f>K193-L193</f>
        <v>734</v>
      </c>
      <c r="N193" s="2">
        <v>7810</v>
      </c>
      <c r="O193" s="2">
        <v>240</v>
      </c>
      <c r="P193" s="7">
        <f>grand[[#This Row],[total weight]]/grand[[#This Row],[received]]</f>
        <v>395.59375</v>
      </c>
      <c r="Q193" s="7">
        <f>grand[[#This Row],[receiving weight]]/grand[[#This Row],[received]]</f>
        <v>372.65625</v>
      </c>
      <c r="R193" s="7">
        <f>grand[[#This Row],[transportation loss ]]/grand[[#This Row],[received]]</f>
        <v>22.9375</v>
      </c>
      <c r="S193" s="7">
        <f>grand[[#This Row],[ carcass weight]]/grand[[#This Row],[received]]</f>
        <v>244.0625</v>
      </c>
      <c r="T193" s="7">
        <f>grand[[#This Row],[ kidneys fat quantity]]/grand[[#This Row],[received]]</f>
        <v>7.5</v>
      </c>
      <c r="U193" s="2">
        <v>25</v>
      </c>
      <c r="V193" s="2"/>
      <c r="W193" s="2">
        <v>49.4</v>
      </c>
      <c r="X193" s="2">
        <v>9</v>
      </c>
      <c r="Y193" s="8">
        <v>8.5</v>
      </c>
      <c r="Z193" s="3">
        <f>grand[[#This Row],[av. Transportation loss]]/grand[[#This Row],[av.total weight]]</f>
        <v>5.7982463069752743E-2</v>
      </c>
      <c r="AA193" s="12">
        <f>AVERAGE((grand[[#This Row],[am]]/25),(grand[[#This Row],[pm]]/50))</f>
        <v>0.99399999999999999</v>
      </c>
      <c r="AB193" s="3">
        <f>grand[[#This Row],[ carcass weight]]/grand[[#This Row],[total weight]]</f>
        <v>0.6169523659056797</v>
      </c>
      <c r="AC193" s="3">
        <f>SUM(grand[[#This Row],[am]:[meat transportation]])/100</f>
        <v>0.91900000000000004</v>
      </c>
      <c r="AD193" s="2"/>
      <c r="AE193" s="2"/>
      <c r="AF193" s="2"/>
      <c r="AG193" s="2"/>
      <c r="AH193" s="2"/>
      <c r="AI193" s="2"/>
      <c r="AJ193" s="2"/>
    </row>
    <row r="194" spans="1:37" hidden="1" x14ac:dyDescent="0.2">
      <c r="A194" s="11">
        <v>43802</v>
      </c>
      <c r="B194" s="53" t="s">
        <v>1387</v>
      </c>
      <c r="C194" s="52" t="str">
        <f>IF(MID(B194,4,2)="09","Ramadan",IF(AND(MID(B194,4,2)="12",VALUE(LEFT(B194,2))&lt;=9),"Adha Season","Normal"))</f>
        <v>Normal</v>
      </c>
      <c r="D194" s="1" t="s">
        <v>45</v>
      </c>
      <c r="F194" s="4" t="s">
        <v>46</v>
      </c>
      <c r="G194" s="2">
        <v>31</v>
      </c>
      <c r="H194" s="2">
        <v>31</v>
      </c>
      <c r="I194" s="2">
        <f>grand[[#This Row],[number]]-grand[[#This Row],[received]]</f>
        <v>0</v>
      </c>
      <c r="J194" s="30"/>
      <c r="K194" s="2">
        <v>14930</v>
      </c>
      <c r="L194" s="2">
        <v>14110</v>
      </c>
      <c r="M194" s="2">
        <f>K194-L194</f>
        <v>820</v>
      </c>
      <c r="N194" s="2">
        <v>9093</v>
      </c>
      <c r="O194" s="2"/>
      <c r="P194" s="7">
        <f>grand[[#This Row],[total weight]]/grand[[#This Row],[received]]</f>
        <v>481.61290322580646</v>
      </c>
      <c r="Q194" s="7">
        <f>grand[[#This Row],[receiving weight]]/grand[[#This Row],[received]]</f>
        <v>455.16129032258067</v>
      </c>
      <c r="R194" s="7">
        <f>grand[[#This Row],[transportation loss ]]/grand[[#This Row],[received]]</f>
        <v>26.451612903225808</v>
      </c>
      <c r="S194" s="7">
        <f>grand[[#This Row],[ carcass weight]]/grand[[#This Row],[received]]</f>
        <v>293.32258064516128</v>
      </c>
      <c r="T194" s="7"/>
      <c r="U194" s="2">
        <v>25</v>
      </c>
      <c r="V194" s="2"/>
      <c r="W194" s="2">
        <v>49.1</v>
      </c>
      <c r="X194" s="2">
        <v>10</v>
      </c>
      <c r="Y194" s="8">
        <v>8.5</v>
      </c>
      <c r="Z194" s="3">
        <f>grand[[#This Row],[av. Transportation loss]]/grand[[#This Row],[av.total weight]]</f>
        <v>5.4922973878097789E-2</v>
      </c>
      <c r="AA194" s="12">
        <f>AVERAGE((grand[[#This Row],[am]]/25),(grand[[#This Row],[pm]]/50))</f>
        <v>0.99099999999999999</v>
      </c>
      <c r="AB194" s="3">
        <f>grand[[#This Row],[ carcass weight]]/grand[[#This Row],[total weight]]</f>
        <v>0.60904219691895511</v>
      </c>
      <c r="AC194" s="3">
        <f>SUM(grand[[#This Row],[am]:[meat transportation]])/100</f>
        <v>0.92599999999999993</v>
      </c>
      <c r="AD194" s="2"/>
      <c r="AE194" s="2"/>
      <c r="AF194" s="2"/>
      <c r="AG194" s="2"/>
      <c r="AH194" s="2"/>
      <c r="AI194" s="2"/>
      <c r="AJ194" s="2"/>
    </row>
    <row r="195" spans="1:37" hidden="1" x14ac:dyDescent="0.2">
      <c r="A195" s="11">
        <v>43807</v>
      </c>
      <c r="B195" s="53" t="s">
        <v>1389</v>
      </c>
      <c r="C195" s="52" t="str">
        <f>IF(MID(B195,4,2)="09","Ramadan",IF(AND(MID(B195,4,2)="12",VALUE(LEFT(B195,2))&lt;=9),"Adha Season","Normal"))</f>
        <v>Normal</v>
      </c>
      <c r="D195" s="1" t="s">
        <v>45</v>
      </c>
      <c r="F195" s="4" t="s">
        <v>44</v>
      </c>
      <c r="G195" s="2">
        <v>30</v>
      </c>
      <c r="H195" s="2">
        <v>30</v>
      </c>
      <c r="I195" s="2">
        <f>grand[[#This Row],[number]]-grand[[#This Row],[received]]</f>
        <v>0</v>
      </c>
      <c r="J195" s="30"/>
      <c r="K195" s="2">
        <v>11481</v>
      </c>
      <c r="L195" s="2">
        <v>11130</v>
      </c>
      <c r="M195" s="2">
        <f>K195-L195</f>
        <v>351</v>
      </c>
      <c r="N195" s="2">
        <v>7053.6</v>
      </c>
      <c r="O195" s="2"/>
      <c r="P195" s="7">
        <f>grand[[#This Row],[total weight]]/grand[[#This Row],[received]]</f>
        <v>382.7</v>
      </c>
      <c r="Q195" s="7">
        <f>grand[[#This Row],[receiving weight]]/grand[[#This Row],[received]]</f>
        <v>371</v>
      </c>
      <c r="R195" s="7">
        <f>grand[[#This Row],[transportation loss ]]/grand[[#This Row],[received]]</f>
        <v>11.7</v>
      </c>
      <c r="S195" s="7">
        <f>grand[[#This Row],[ carcass weight]]/grand[[#This Row],[received]]</f>
        <v>235.12</v>
      </c>
      <c r="T195" s="7"/>
      <c r="U195" s="2">
        <v>20</v>
      </c>
      <c r="V195" s="2"/>
      <c r="W195" s="2">
        <v>49.6</v>
      </c>
      <c r="X195" s="2">
        <v>10</v>
      </c>
      <c r="Y195" s="8">
        <v>8.5</v>
      </c>
      <c r="Z195" s="3">
        <f>grand[[#This Row],[av. Transportation loss]]/grand[[#This Row],[av.total weight]]</f>
        <v>3.0572249804024038E-2</v>
      </c>
      <c r="AA195" s="12">
        <f>AVERAGE((grand[[#This Row],[am]]/25),(grand[[#This Row],[pm]]/50))</f>
        <v>0.89600000000000002</v>
      </c>
      <c r="AB195" s="3">
        <f>grand[[#This Row],[ carcass weight]]/grand[[#This Row],[total weight]]</f>
        <v>0.61437157042069512</v>
      </c>
      <c r="AC195" s="3">
        <f>SUM(grand[[#This Row],[am]:[meat transportation]])/100</f>
        <v>0.88099999999999989</v>
      </c>
      <c r="AD195" s="2"/>
      <c r="AE195" s="2"/>
      <c r="AF195" s="2"/>
      <c r="AG195" s="2"/>
      <c r="AH195" s="2"/>
      <c r="AI195" s="2"/>
      <c r="AJ195" s="2"/>
    </row>
    <row r="196" spans="1:37" hidden="1" x14ac:dyDescent="0.2">
      <c r="A196" s="11">
        <v>43807</v>
      </c>
      <c r="B196" s="53" t="s">
        <v>1389</v>
      </c>
      <c r="C196" s="52" t="str">
        <f>IF(MID(B196,4,2)="09","Ramadan",IF(AND(MID(B196,4,2)="12",VALUE(LEFT(B196,2))&lt;=9),"Adha Season","Normal"))</f>
        <v>Normal</v>
      </c>
      <c r="D196" s="2" t="s">
        <v>294</v>
      </c>
      <c r="E196" s="2"/>
      <c r="F196" s="4" t="s">
        <v>39</v>
      </c>
      <c r="G196" s="2">
        <v>22</v>
      </c>
      <c r="H196" s="2">
        <v>22</v>
      </c>
      <c r="I196" s="2">
        <f>grand[[#This Row],[number]]-grand[[#This Row],[received]]</f>
        <v>0</v>
      </c>
      <c r="J196" s="30"/>
      <c r="K196" s="2"/>
      <c r="L196" s="2"/>
      <c r="M196" s="2">
        <f>K196-L196</f>
        <v>0</v>
      </c>
      <c r="N196" s="2"/>
      <c r="O196" s="2"/>
      <c r="P196" s="7">
        <f>grand[[#This Row],[total weight]]/grand[[#This Row],[received]]</f>
        <v>0</v>
      </c>
      <c r="Q196" s="7">
        <f>grand[[#This Row],[receiving weight]]/grand[[#This Row],[received]]</f>
        <v>0</v>
      </c>
      <c r="R196" s="7">
        <f>grand[[#This Row],[transportation loss ]]/grand[[#This Row],[received]]</f>
        <v>0</v>
      </c>
      <c r="S196" s="7">
        <f>grand[[#This Row],[ carcass weight]]/grand[[#This Row],[received]]</f>
        <v>0</v>
      </c>
      <c r="T196" s="7">
        <f>grand[[#This Row],[ kidneys fat quantity]]/grand[[#This Row],[received]]</f>
        <v>0</v>
      </c>
      <c r="U196" s="2">
        <v>25</v>
      </c>
      <c r="V196" s="2">
        <v>0</v>
      </c>
      <c r="W196" s="2">
        <v>49.8</v>
      </c>
      <c r="X196" s="2">
        <v>10</v>
      </c>
      <c r="Y196" s="8">
        <v>8.5</v>
      </c>
      <c r="Z196" s="3"/>
      <c r="AA196" s="12">
        <f>AVERAGE((grand[[#This Row],[am]]/25),(grand[[#This Row],[pm]]/50))</f>
        <v>0.998</v>
      </c>
      <c r="AB196" s="3"/>
      <c r="AC196" s="3">
        <f>SUM(grand[[#This Row],[am]:[meat transportation]])/100</f>
        <v>0.93299999999999994</v>
      </c>
      <c r="AD196" s="2"/>
      <c r="AE196" s="2"/>
      <c r="AF196" s="2"/>
      <c r="AG196" s="2"/>
      <c r="AH196" s="2"/>
      <c r="AI196" s="2"/>
      <c r="AJ196" s="2"/>
    </row>
    <row r="197" spans="1:37" hidden="1" x14ac:dyDescent="0.2">
      <c r="A197" s="11">
        <v>43811</v>
      </c>
      <c r="B197" s="53" t="s">
        <v>1391</v>
      </c>
      <c r="C197" s="52" t="str">
        <f>IF(MID(B197,4,2)="09","Ramadan",IF(AND(MID(B197,4,2)="12",VALUE(LEFT(B197,2))&lt;=9),"Adha Season","Normal"))</f>
        <v>Normal</v>
      </c>
      <c r="D197" s="1" t="s">
        <v>45</v>
      </c>
      <c r="F197" s="4" t="s">
        <v>39</v>
      </c>
      <c r="G197" s="2">
        <v>30</v>
      </c>
      <c r="H197" s="2">
        <v>30</v>
      </c>
      <c r="I197" s="2">
        <f>grand[[#This Row],[number]]-grand[[#This Row],[received]]</f>
        <v>0</v>
      </c>
      <c r="J197" s="30"/>
      <c r="K197" s="2">
        <v>12294</v>
      </c>
      <c r="L197" s="2">
        <v>11485</v>
      </c>
      <c r="M197" s="2">
        <f>K197-L197</f>
        <v>809</v>
      </c>
      <c r="N197" s="2">
        <v>7561</v>
      </c>
      <c r="O197" s="2"/>
      <c r="P197" s="7">
        <f>grand[[#This Row],[total weight]]/grand[[#This Row],[received]]</f>
        <v>409.8</v>
      </c>
      <c r="Q197" s="7">
        <f>grand[[#This Row],[receiving weight]]/grand[[#This Row],[received]]</f>
        <v>382.83333333333331</v>
      </c>
      <c r="R197" s="7">
        <f>grand[[#This Row],[transportation loss ]]/grand[[#This Row],[received]]</f>
        <v>26.966666666666665</v>
      </c>
      <c r="S197" s="7">
        <f>grand[[#This Row],[ carcass weight]]/grand[[#This Row],[received]]</f>
        <v>252.03333333333333</v>
      </c>
      <c r="T197" s="7"/>
      <c r="U197" s="2">
        <v>25</v>
      </c>
      <c r="V197" s="2"/>
      <c r="W197" s="2">
        <v>49.9</v>
      </c>
      <c r="X197" s="2">
        <v>9</v>
      </c>
      <c r="Y197" s="8">
        <v>8.5</v>
      </c>
      <c r="Z197" s="3">
        <f>grand[[#This Row],[av. Transportation loss]]/grand[[#This Row],[av.total weight]]</f>
        <v>6.5804457458923049E-2</v>
      </c>
      <c r="AA197" s="12">
        <f>AVERAGE((grand[[#This Row],[am]]/25),(grand[[#This Row],[pm]]/50))</f>
        <v>0.999</v>
      </c>
      <c r="AB197" s="3">
        <f>grand[[#This Row],[ carcass weight]]/grand[[#This Row],[total weight]]</f>
        <v>0.6150154546933464</v>
      </c>
      <c r="AC197" s="3">
        <f>SUM(grand[[#This Row],[am]:[meat transportation]])/100</f>
        <v>0.92400000000000004</v>
      </c>
      <c r="AD197" s="2"/>
      <c r="AE197" s="2"/>
      <c r="AF197" s="2"/>
      <c r="AG197" s="2"/>
      <c r="AH197" s="2"/>
      <c r="AI197" s="2"/>
      <c r="AJ197" s="2"/>
    </row>
    <row r="198" spans="1:37" hidden="1" x14ac:dyDescent="0.2">
      <c r="A198" s="11">
        <v>43814</v>
      </c>
      <c r="B198" s="53" t="s">
        <v>1392</v>
      </c>
      <c r="C198" s="52" t="str">
        <f>IF(MID(B198,4,2)="09","Ramadan",IF(AND(MID(B198,4,2)="12",VALUE(LEFT(B198,2))&lt;=9),"Adha Season","Normal"))</f>
        <v>Normal</v>
      </c>
      <c r="D198" s="1" t="s">
        <v>45</v>
      </c>
      <c r="F198" s="4" t="s">
        <v>42</v>
      </c>
      <c r="G198" s="2">
        <v>30</v>
      </c>
      <c r="H198" s="2">
        <v>30</v>
      </c>
      <c r="I198" s="2">
        <f>grand[[#This Row],[number]]-grand[[#This Row],[received]]</f>
        <v>0</v>
      </c>
      <c r="J198" s="30"/>
      <c r="K198" s="2">
        <v>14090</v>
      </c>
      <c r="L198" s="2">
        <v>13745</v>
      </c>
      <c r="M198" s="2">
        <f>K198-L198</f>
        <v>345</v>
      </c>
      <c r="N198" s="2">
        <v>8520.9</v>
      </c>
      <c r="O198" s="2"/>
      <c r="P198" s="7">
        <f>grand[[#This Row],[total weight]]/grand[[#This Row],[received]]</f>
        <v>469.66666666666669</v>
      </c>
      <c r="Q198" s="7">
        <f>grand[[#This Row],[receiving weight]]/grand[[#This Row],[received]]</f>
        <v>458.16666666666669</v>
      </c>
      <c r="R198" s="7">
        <f>grand[[#This Row],[transportation loss ]]/grand[[#This Row],[received]]</f>
        <v>11.5</v>
      </c>
      <c r="S198" s="7">
        <f>grand[[#This Row],[ carcass weight]]/grand[[#This Row],[received]]</f>
        <v>284.02999999999997</v>
      </c>
      <c r="T198" s="7"/>
      <c r="U198" s="2">
        <v>25</v>
      </c>
      <c r="V198" s="2"/>
      <c r="W198" s="2">
        <v>50</v>
      </c>
      <c r="X198" s="2">
        <v>10</v>
      </c>
      <c r="Y198" s="8">
        <v>8.5</v>
      </c>
      <c r="Z198" s="3">
        <f>grand[[#This Row],[av. Transportation loss]]/grand[[#This Row],[av.total weight]]</f>
        <v>2.4485450674237047E-2</v>
      </c>
      <c r="AA198" s="12">
        <f>AVERAGE((grand[[#This Row],[am]]/25),(grand[[#This Row],[pm]]/50))</f>
        <v>1</v>
      </c>
      <c r="AB198" s="3">
        <f>grand[[#This Row],[ carcass weight]]/grand[[#This Row],[total weight]]</f>
        <v>0.60474804826117812</v>
      </c>
      <c r="AC198" s="3">
        <f>SUM(grand[[#This Row],[am]:[meat transportation]])/100</f>
        <v>0.93500000000000005</v>
      </c>
      <c r="AD198" s="2"/>
      <c r="AE198" s="2"/>
      <c r="AF198" s="2"/>
      <c r="AG198" s="2"/>
      <c r="AH198" s="2"/>
      <c r="AI198" s="2"/>
      <c r="AJ198" s="2"/>
    </row>
    <row r="199" spans="1:37" hidden="1" x14ac:dyDescent="0.2">
      <c r="A199" s="11">
        <v>43814</v>
      </c>
      <c r="B199" s="53" t="s">
        <v>1392</v>
      </c>
      <c r="C199" s="52" t="str">
        <f>IF(MID(B199,4,2)="09","Ramadan",IF(AND(MID(B199,4,2)="12",VALUE(LEFT(B199,2))&lt;=9),"Adha Season","Normal"))</f>
        <v>Normal</v>
      </c>
      <c r="D199" s="2" t="s">
        <v>294</v>
      </c>
      <c r="E199" s="2"/>
      <c r="F199" s="4" t="s">
        <v>39</v>
      </c>
      <c r="G199" s="2">
        <v>20</v>
      </c>
      <c r="H199" s="2">
        <v>20</v>
      </c>
      <c r="I199" s="2">
        <f>grand[[#This Row],[number]]-grand[[#This Row],[received]]</f>
        <v>0</v>
      </c>
      <c r="J199" s="30"/>
      <c r="K199" s="2"/>
      <c r="L199" s="2"/>
      <c r="M199" s="2">
        <f>K199-L199</f>
        <v>0</v>
      </c>
      <c r="N199" s="2"/>
      <c r="O199" s="2"/>
      <c r="P199" s="7">
        <f>grand[[#This Row],[total weight]]/grand[[#This Row],[received]]</f>
        <v>0</v>
      </c>
      <c r="Q199" s="7">
        <f>grand[[#This Row],[receiving weight]]/grand[[#This Row],[received]]</f>
        <v>0</v>
      </c>
      <c r="R199" s="7">
        <f>grand[[#This Row],[transportation loss ]]/grand[[#This Row],[received]]</f>
        <v>0</v>
      </c>
      <c r="S199" s="7">
        <f>grand[[#This Row],[ carcass weight]]/grand[[#This Row],[received]]</f>
        <v>0</v>
      </c>
      <c r="T199" s="7">
        <f>grand[[#This Row],[ kidneys fat quantity]]/grand[[#This Row],[received]]</f>
        <v>0</v>
      </c>
      <c r="U199" s="2">
        <v>25</v>
      </c>
      <c r="V199" s="2">
        <v>0</v>
      </c>
      <c r="W199" s="2">
        <v>49.7</v>
      </c>
      <c r="X199" s="2">
        <v>10</v>
      </c>
      <c r="Y199" s="8">
        <v>8.5</v>
      </c>
      <c r="Z199" s="3"/>
      <c r="AA199" s="12">
        <f>AVERAGE((grand[[#This Row],[am]]/25),(grand[[#This Row],[pm]]/50))</f>
        <v>0.99700000000000011</v>
      </c>
      <c r="AB199" s="3"/>
      <c r="AC199" s="3">
        <f>SUM(grand[[#This Row],[am]:[meat transportation]])/100</f>
        <v>0.93200000000000005</v>
      </c>
      <c r="AD199" s="2"/>
      <c r="AE199" s="2"/>
      <c r="AF199" s="2"/>
      <c r="AG199" s="2"/>
      <c r="AH199" s="2"/>
      <c r="AI199" s="2"/>
      <c r="AJ199" s="2"/>
    </row>
    <row r="200" spans="1:37" hidden="1" x14ac:dyDescent="0.2">
      <c r="A200" s="11">
        <v>43816</v>
      </c>
      <c r="B200" s="53" t="s">
        <v>1393</v>
      </c>
      <c r="C200" s="52" t="str">
        <f>IF(MID(B200,4,2)="09","Ramadan",IF(AND(MID(B200,4,2)="12",VALUE(LEFT(B200,2))&lt;=9),"Adha Season","Normal"))</f>
        <v>Normal</v>
      </c>
      <c r="D200" s="1" t="s">
        <v>45</v>
      </c>
      <c r="F200" s="4" t="s">
        <v>39</v>
      </c>
      <c r="G200" s="2">
        <v>30</v>
      </c>
      <c r="H200" s="2">
        <v>30</v>
      </c>
      <c r="I200" s="2">
        <f>grand[[#This Row],[number]]-grand[[#This Row],[received]]</f>
        <v>0</v>
      </c>
      <c r="J200" s="30"/>
      <c r="K200" s="2">
        <v>12142</v>
      </c>
      <c r="L200" s="2">
        <v>11620</v>
      </c>
      <c r="M200" s="2">
        <f>K200-L200</f>
        <v>522</v>
      </c>
      <c r="N200" s="2">
        <v>7682.7</v>
      </c>
      <c r="O200" s="2"/>
      <c r="P200" s="7">
        <f>grand[[#This Row],[total weight]]/grand[[#This Row],[received]]</f>
        <v>404.73333333333335</v>
      </c>
      <c r="Q200" s="7">
        <f>grand[[#This Row],[receiving weight]]/grand[[#This Row],[received]]</f>
        <v>387.33333333333331</v>
      </c>
      <c r="R200" s="7">
        <f>grand[[#This Row],[transportation loss ]]/grand[[#This Row],[received]]</f>
        <v>17.399999999999999</v>
      </c>
      <c r="S200" s="7">
        <f>grand[[#This Row],[ carcass weight]]/grand[[#This Row],[received]]</f>
        <v>256.08999999999997</v>
      </c>
      <c r="T200" s="7"/>
      <c r="U200" s="2">
        <v>25</v>
      </c>
      <c r="V200" s="2"/>
      <c r="W200" s="2">
        <v>49.1</v>
      </c>
      <c r="X200" s="2">
        <v>9</v>
      </c>
      <c r="Y200" s="8">
        <v>8.5</v>
      </c>
      <c r="Z200" s="3">
        <f>grand[[#This Row],[av. Transportation loss]]/grand[[#This Row],[av.total weight]]</f>
        <v>4.2991269971998015E-2</v>
      </c>
      <c r="AA200" s="12">
        <f>AVERAGE((grand[[#This Row],[am]]/25),(grand[[#This Row],[pm]]/50))</f>
        <v>0.99099999999999999</v>
      </c>
      <c r="AB200" s="3">
        <f>grand[[#This Row],[ carcass weight]]/grand[[#This Row],[total weight]]</f>
        <v>0.63273760500741227</v>
      </c>
      <c r="AC200" s="3">
        <f>SUM(grand[[#This Row],[am]:[meat transportation]])/100</f>
        <v>0.91599999999999993</v>
      </c>
      <c r="AD200" s="2"/>
      <c r="AE200" s="2"/>
      <c r="AF200" s="2"/>
      <c r="AG200" s="2"/>
      <c r="AH200" s="2"/>
      <c r="AI200" s="2"/>
      <c r="AJ200" s="2"/>
    </row>
    <row r="201" spans="1:37" hidden="1" x14ac:dyDescent="0.2">
      <c r="A201" s="11">
        <v>43823</v>
      </c>
      <c r="B201" s="53" t="s">
        <v>1396</v>
      </c>
      <c r="C201" s="52" t="str">
        <f>IF(MID(B201,4,2)="09","Ramadan",IF(AND(MID(B201,4,2)="12",VALUE(LEFT(B201,2))&lt;=9),"Adha Season","Normal"))</f>
        <v>Normal</v>
      </c>
      <c r="D201" s="1" t="s">
        <v>45</v>
      </c>
      <c r="F201" s="4" t="s">
        <v>46</v>
      </c>
      <c r="G201" s="2">
        <v>30</v>
      </c>
      <c r="H201" s="2">
        <v>30</v>
      </c>
      <c r="I201" s="2">
        <f>grand[[#This Row],[number]]-grand[[#This Row],[received]]</f>
        <v>0</v>
      </c>
      <c r="J201" s="30"/>
      <c r="K201" s="2">
        <v>13950</v>
      </c>
      <c r="L201" s="2">
        <v>13610</v>
      </c>
      <c r="M201" s="2">
        <f>K201-L201</f>
        <v>340</v>
      </c>
      <c r="N201" s="2">
        <v>8397.9</v>
      </c>
      <c r="O201" s="2"/>
      <c r="P201" s="7">
        <f>grand[[#This Row],[total weight]]/grand[[#This Row],[received]]</f>
        <v>465</v>
      </c>
      <c r="Q201" s="7">
        <f>grand[[#This Row],[receiving weight]]/grand[[#This Row],[received]]</f>
        <v>453.66666666666669</v>
      </c>
      <c r="R201" s="7">
        <f>grand[[#This Row],[transportation loss ]]/grand[[#This Row],[received]]</f>
        <v>11.333333333333334</v>
      </c>
      <c r="S201" s="7">
        <f>grand[[#This Row],[ carcass weight]]/grand[[#This Row],[received]]</f>
        <v>279.93</v>
      </c>
      <c r="T201" s="7"/>
      <c r="U201" s="2">
        <v>25</v>
      </c>
      <c r="V201" s="2"/>
      <c r="W201" s="2">
        <v>49.8</v>
      </c>
      <c r="X201" s="2">
        <v>10</v>
      </c>
      <c r="Y201" s="8">
        <v>8.5</v>
      </c>
      <c r="Z201" s="3">
        <f>grand[[#This Row],[av. Transportation loss]]/grand[[#This Row],[av.total weight]]</f>
        <v>2.4372759856630826E-2</v>
      </c>
      <c r="AA201" s="12">
        <f>AVERAGE((grand[[#This Row],[am]]/25),(grand[[#This Row],[pm]]/50))</f>
        <v>0.998</v>
      </c>
      <c r="AB201" s="3">
        <f>grand[[#This Row],[ carcass weight]]/grand[[#This Row],[total weight]]</f>
        <v>0.60199999999999998</v>
      </c>
      <c r="AC201" s="3">
        <f>SUM(grand[[#This Row],[am]:[meat transportation]])/100</f>
        <v>0.93299999999999994</v>
      </c>
      <c r="AD201" s="2"/>
      <c r="AE201" s="2"/>
      <c r="AF201" s="2"/>
      <c r="AG201" s="2"/>
      <c r="AH201" s="2"/>
      <c r="AI201" s="2"/>
      <c r="AJ201" s="2"/>
    </row>
    <row r="202" spans="1:37" hidden="1" x14ac:dyDescent="0.2">
      <c r="A202" s="11">
        <v>43825</v>
      </c>
      <c r="B202" s="53" t="s">
        <v>1397</v>
      </c>
      <c r="C202" s="52" t="str">
        <f>IF(MID(B202,4,2)="09","Ramadan",IF(AND(MID(B202,4,2)="12",VALUE(LEFT(B202,2))&lt;=9),"Adha Season","Normal"))</f>
        <v>Normal</v>
      </c>
      <c r="D202" s="1" t="s">
        <v>45</v>
      </c>
      <c r="F202" s="4" t="s">
        <v>42</v>
      </c>
      <c r="G202" s="2">
        <v>32</v>
      </c>
      <c r="H202" s="2">
        <v>32</v>
      </c>
      <c r="I202" s="2">
        <f>grand[[#This Row],[number]]-grand[[#This Row],[received]]</f>
        <v>0</v>
      </c>
      <c r="J202" s="30"/>
      <c r="K202" s="2">
        <v>15200</v>
      </c>
      <c r="L202" s="2">
        <v>14590</v>
      </c>
      <c r="M202" s="2">
        <f>K202-L202</f>
        <v>610</v>
      </c>
      <c r="N202" s="2">
        <v>9141.15</v>
      </c>
      <c r="O202" s="2"/>
      <c r="P202" s="7">
        <f>grand[[#This Row],[total weight]]/grand[[#This Row],[received]]</f>
        <v>475</v>
      </c>
      <c r="Q202" s="7">
        <f>grand[[#This Row],[receiving weight]]/grand[[#This Row],[received]]</f>
        <v>455.9375</v>
      </c>
      <c r="R202" s="7">
        <f>grand[[#This Row],[transportation loss ]]/grand[[#This Row],[received]]</f>
        <v>19.0625</v>
      </c>
      <c r="S202" s="7">
        <f>grand[[#This Row],[ carcass weight]]/grand[[#This Row],[received]]</f>
        <v>285.66093749999999</v>
      </c>
      <c r="T202" s="7"/>
      <c r="U202" s="2">
        <v>25</v>
      </c>
      <c r="V202" s="2"/>
      <c r="W202" s="2">
        <v>49.9</v>
      </c>
      <c r="X202" s="2">
        <v>10</v>
      </c>
      <c r="Y202" s="8">
        <v>8</v>
      </c>
      <c r="Z202" s="3">
        <f>grand[[#This Row],[av. Transportation loss]]/grand[[#This Row],[av.total weight]]</f>
        <v>4.0131578947368421E-2</v>
      </c>
      <c r="AA202" s="12">
        <f>AVERAGE((grand[[#This Row],[am]]/25),(grand[[#This Row],[pm]]/50))</f>
        <v>0.999</v>
      </c>
      <c r="AB202" s="3">
        <f>grand[[#This Row],[ carcass weight]]/grand[[#This Row],[total weight]]</f>
        <v>0.60139144736842098</v>
      </c>
      <c r="AC202" s="3">
        <f>SUM(grand[[#This Row],[am]:[meat transportation]])/100</f>
        <v>0.92900000000000005</v>
      </c>
      <c r="AD202" s="2"/>
      <c r="AE202" s="2"/>
      <c r="AF202" s="2"/>
      <c r="AG202" s="2"/>
      <c r="AH202" s="2"/>
      <c r="AI202" s="2"/>
      <c r="AJ202" s="2"/>
    </row>
    <row r="203" spans="1:37" hidden="1" x14ac:dyDescent="0.2">
      <c r="A203" s="11">
        <v>43828</v>
      </c>
      <c r="B203" s="53" t="s">
        <v>1398</v>
      </c>
      <c r="C203" s="52" t="str">
        <f>IF(MID(B203,4,2)="09","Ramadan",IF(AND(MID(B203,4,2)="12",VALUE(LEFT(B203,2))&lt;=9),"Adha Season","Normal"))</f>
        <v>Normal</v>
      </c>
      <c r="D203" s="1" t="s">
        <v>45</v>
      </c>
      <c r="F203" s="4" t="s">
        <v>46</v>
      </c>
      <c r="G203" s="2">
        <v>35</v>
      </c>
      <c r="H203" s="2">
        <v>35</v>
      </c>
      <c r="I203" s="2">
        <f>grand[[#This Row],[number]]-grand[[#This Row],[received]]</f>
        <v>0</v>
      </c>
      <c r="J203" s="30"/>
      <c r="K203" s="2">
        <v>16485</v>
      </c>
      <c r="L203" s="2">
        <v>15690</v>
      </c>
      <c r="M203" s="2">
        <f>K203-L203</f>
        <v>795</v>
      </c>
      <c r="N203" s="2">
        <v>9891.5</v>
      </c>
      <c r="O203" s="2"/>
      <c r="P203" s="7">
        <f>grand[[#This Row],[total weight]]/grand[[#This Row],[received]]</f>
        <v>471</v>
      </c>
      <c r="Q203" s="7">
        <f>grand[[#This Row],[receiving weight]]/grand[[#This Row],[received]]</f>
        <v>448.28571428571428</v>
      </c>
      <c r="R203" s="7">
        <f>grand[[#This Row],[transportation loss ]]/grand[[#This Row],[received]]</f>
        <v>22.714285714285715</v>
      </c>
      <c r="S203" s="7">
        <f>grand[[#This Row],[ carcass weight]]/grand[[#This Row],[received]]</f>
        <v>282.6142857142857</v>
      </c>
      <c r="T203" s="7"/>
      <c r="U203" s="2">
        <v>25</v>
      </c>
      <c r="V203" s="2"/>
      <c r="W203" s="2">
        <v>49.7</v>
      </c>
      <c r="X203" s="2">
        <v>9.6999999999999993</v>
      </c>
      <c r="Y203" s="8">
        <v>8.5</v>
      </c>
      <c r="Z203" s="3">
        <f>grand[[#This Row],[av. Transportation loss]]/grand[[#This Row],[av.total weight]]</f>
        <v>4.8225659690627844E-2</v>
      </c>
      <c r="AA203" s="12">
        <f>AVERAGE((grand[[#This Row],[am]]/25),(grand[[#This Row],[pm]]/50))</f>
        <v>0.99700000000000011</v>
      </c>
      <c r="AB203" s="3">
        <f>grand[[#This Row],[ carcass weight]]/grand[[#This Row],[total weight]]</f>
        <v>0.60003033060357902</v>
      </c>
      <c r="AC203" s="3">
        <f>SUM(grand[[#This Row],[am]:[meat transportation]])/100</f>
        <v>0.92900000000000005</v>
      </c>
      <c r="AD203" s="2"/>
      <c r="AE203" s="2"/>
      <c r="AF203" s="2"/>
      <c r="AG203" s="2"/>
      <c r="AH203" s="2"/>
      <c r="AI203" s="2"/>
      <c r="AJ203" s="2"/>
    </row>
    <row r="204" spans="1:37" hidden="1" x14ac:dyDescent="0.2">
      <c r="A204" s="11">
        <v>43830</v>
      </c>
      <c r="B204" s="53" t="s">
        <v>1399</v>
      </c>
      <c r="C204" s="52" t="str">
        <f>IF(MID(B204,4,2)="09","Ramadan",IF(AND(MID(B204,4,2)="12",VALUE(LEFT(B204,2))&lt;=9),"Adha Season","Normal"))</f>
        <v>Normal</v>
      </c>
      <c r="D204" s="1" t="s">
        <v>45</v>
      </c>
      <c r="F204" s="4" t="s">
        <v>39</v>
      </c>
      <c r="G204" s="2">
        <v>30</v>
      </c>
      <c r="H204" s="2">
        <v>30</v>
      </c>
      <c r="I204" s="2">
        <f>grand[[#This Row],[number]]-grand[[#This Row],[received]]</f>
        <v>0</v>
      </c>
      <c r="J204" s="30"/>
      <c r="K204" s="2">
        <v>11858</v>
      </c>
      <c r="L204" s="2">
        <v>11858</v>
      </c>
      <c r="M204" s="2">
        <f>K204-L204</f>
        <v>0</v>
      </c>
      <c r="N204" s="2">
        <v>7416.1</v>
      </c>
      <c r="O204" s="2"/>
      <c r="P204" s="7">
        <f>grand[[#This Row],[total weight]]/grand[[#This Row],[received]]</f>
        <v>395.26666666666665</v>
      </c>
      <c r="Q204" s="7">
        <f>grand[[#This Row],[receiving weight]]/grand[[#This Row],[received]]</f>
        <v>395.26666666666665</v>
      </c>
      <c r="R204" s="7"/>
      <c r="S204" s="7">
        <f>grand[[#This Row],[ carcass weight]]/grand[[#This Row],[received]]</f>
        <v>247.20333333333335</v>
      </c>
      <c r="T204" s="7"/>
      <c r="U204" s="2">
        <v>25</v>
      </c>
      <c r="V204" s="2"/>
      <c r="W204" s="2">
        <v>49.8</v>
      </c>
      <c r="X204" s="2">
        <v>9</v>
      </c>
      <c r="Y204" s="8">
        <v>8.5</v>
      </c>
      <c r="Z204" s="3">
        <f>grand[[#This Row],[av. Transportation loss]]/grand[[#This Row],[av.total weight]]</f>
        <v>0</v>
      </c>
      <c r="AA204" s="12">
        <f>AVERAGE((grand[[#This Row],[am]]/25),(grand[[#This Row],[pm]]/50))</f>
        <v>0.998</v>
      </c>
      <c r="AB204" s="3">
        <f>grand[[#This Row],[ carcass weight]]/grand[[#This Row],[total weight]]</f>
        <v>0.62540900657783782</v>
      </c>
      <c r="AC204" s="3">
        <f>SUM(grand[[#This Row],[am]:[meat transportation]])/100</f>
        <v>0.92299999999999993</v>
      </c>
      <c r="AD204" s="2"/>
      <c r="AE204" s="2"/>
      <c r="AF204" s="2"/>
      <c r="AG204" s="2"/>
      <c r="AH204" s="2"/>
      <c r="AI204" s="2"/>
      <c r="AJ204" s="2"/>
    </row>
    <row r="205" spans="1:37" hidden="1" x14ac:dyDescent="0.2">
      <c r="A205" s="11">
        <v>43832</v>
      </c>
      <c r="B205" s="53" t="s">
        <v>1400</v>
      </c>
      <c r="C205" s="52" t="str">
        <f>IF(MID(B205,4,2)="09","Ramadan",IF(AND(MID(B205,4,2)="12",VALUE(LEFT(B205,2))&lt;=9),"Adha Season","Normal"))</f>
        <v>Normal</v>
      </c>
      <c r="D205" s="1" t="s">
        <v>45</v>
      </c>
      <c r="F205" s="4" t="s">
        <v>46</v>
      </c>
      <c r="G205" s="4">
        <v>17</v>
      </c>
      <c r="H205" s="4">
        <v>17</v>
      </c>
      <c r="I205" s="2">
        <f>grand[[#This Row],[number]]-grand[[#This Row],[received]]</f>
        <v>0</v>
      </c>
      <c r="J205" s="30"/>
      <c r="K205" s="4">
        <v>8175</v>
      </c>
      <c r="L205" s="4">
        <v>7775</v>
      </c>
      <c r="M205" s="2">
        <f>K205-L205</f>
        <v>400</v>
      </c>
      <c r="N205" s="4">
        <v>4904.8</v>
      </c>
      <c r="O205" s="4">
        <v>0</v>
      </c>
      <c r="P205" s="7">
        <f>grand[[#This Row],[total weight]]/grand[[#This Row],[received]]</f>
        <v>480.88235294117646</v>
      </c>
      <c r="Q205" s="7">
        <f>grand[[#This Row],[receiving weight]]/grand[[#This Row],[received]]</f>
        <v>457.35294117647061</v>
      </c>
      <c r="R205" s="7">
        <f>grand[[#This Row],[transportation loss ]]/grand[[#This Row],[received]]</f>
        <v>23.529411764705884</v>
      </c>
      <c r="S205" s="7">
        <f>grand[[#This Row],[ carcass weight]]/grand[[#This Row],[received]]</f>
        <v>288.51764705882351</v>
      </c>
      <c r="T205" s="7">
        <f>grand[[#This Row],[ kidneys fat quantity]]/grand[[#This Row],[received]]</f>
        <v>0</v>
      </c>
      <c r="U205" s="4">
        <v>24.9</v>
      </c>
      <c r="V205" s="4">
        <v>0</v>
      </c>
      <c r="W205" s="4">
        <v>49.9</v>
      </c>
      <c r="X205" s="4">
        <v>10</v>
      </c>
      <c r="Y205" s="8">
        <v>8.5</v>
      </c>
      <c r="Z205" s="3">
        <f>grand[[#This Row],[av. Transportation loss]]/grand[[#This Row],[av.total weight]]</f>
        <v>4.8929663608562698E-2</v>
      </c>
      <c r="AA205" s="12">
        <f>AVERAGE((grand[[#This Row],[am]]/25),(grand[[#This Row],[pm]]/50))</f>
        <v>0.997</v>
      </c>
      <c r="AB205" s="3">
        <f>grand[[#This Row],[ carcass weight]]/grand[[#This Row],[total weight]]</f>
        <v>0.59997553516819579</v>
      </c>
      <c r="AC205" s="6">
        <f>SUM(grand[[#This Row],[am]:[meat transportation]])/100</f>
        <v>0.93299999999999994</v>
      </c>
      <c r="AD205" s="4"/>
      <c r="AE205" s="4"/>
      <c r="AF205" s="4"/>
      <c r="AG205" s="4"/>
      <c r="AH205" s="4"/>
      <c r="AI205" s="4">
        <v>1</v>
      </c>
      <c r="AJ205" s="2"/>
      <c r="AK205" s="4"/>
    </row>
    <row r="206" spans="1:37" hidden="1" x14ac:dyDescent="0.2">
      <c r="A206" s="11">
        <v>43832</v>
      </c>
      <c r="B206" s="53" t="s">
        <v>1400</v>
      </c>
      <c r="C206" s="52" t="str">
        <f>IF(MID(B206,4,2)="09","Ramadan",IF(AND(MID(B206,4,2)="12",VALUE(LEFT(B206,2))&lt;=9),"Adha Season","Normal"))</f>
        <v>Normal</v>
      </c>
      <c r="D206" s="1" t="s">
        <v>45</v>
      </c>
      <c r="F206" s="4" t="s">
        <v>47</v>
      </c>
      <c r="G206" s="4">
        <v>18</v>
      </c>
      <c r="H206" s="4">
        <v>18</v>
      </c>
      <c r="I206" s="2">
        <f>grand[[#This Row],[number]]-grand[[#This Row],[received]]</f>
        <v>0</v>
      </c>
      <c r="J206" s="30"/>
      <c r="K206" s="4">
        <v>8645</v>
      </c>
      <c r="L206" s="4">
        <v>8480</v>
      </c>
      <c r="M206" s="2">
        <f>K206-L206</f>
        <v>165</v>
      </c>
      <c r="N206" s="4">
        <v>5272</v>
      </c>
      <c r="O206" s="4">
        <v>0</v>
      </c>
      <c r="P206" s="7">
        <f>grand[[#This Row],[total weight]]/grand[[#This Row],[received]]</f>
        <v>480.27777777777777</v>
      </c>
      <c r="Q206" s="7">
        <f>grand[[#This Row],[receiving weight]]/grand[[#This Row],[received]]</f>
        <v>471.11111111111109</v>
      </c>
      <c r="R206" s="7">
        <f>grand[[#This Row],[transportation loss ]]/grand[[#This Row],[received]]</f>
        <v>9.1666666666666661</v>
      </c>
      <c r="S206" s="7">
        <f>grand[[#This Row],[ carcass weight]]/grand[[#This Row],[received]]</f>
        <v>292.88888888888891</v>
      </c>
      <c r="T206" s="7">
        <f>grand[[#This Row],[ kidneys fat quantity]]/grand[[#This Row],[received]]</f>
        <v>0</v>
      </c>
      <c r="U206" s="4">
        <v>24.9</v>
      </c>
      <c r="V206" s="4">
        <v>0</v>
      </c>
      <c r="W206" s="4">
        <v>49.9</v>
      </c>
      <c r="X206" s="4">
        <v>10</v>
      </c>
      <c r="Y206" s="8">
        <v>8.5</v>
      </c>
      <c r="Z206" s="3">
        <f>grand[[#This Row],[av. Transportation loss]]/grand[[#This Row],[av.total weight]]</f>
        <v>1.9086176980913822E-2</v>
      </c>
      <c r="AA206" s="12">
        <f>AVERAGE((grand[[#This Row],[am]]/25),(grand[[#This Row],[pm]]/50))</f>
        <v>0.997</v>
      </c>
      <c r="AB206" s="3">
        <f>grand[[#This Row],[ carcass weight]]/grand[[#This Row],[total weight]]</f>
        <v>0.60983227299016773</v>
      </c>
      <c r="AC206" s="6">
        <f>SUM(grand[[#This Row],[am]:[meat transportation]])/100</f>
        <v>0.93299999999999994</v>
      </c>
      <c r="AD206" s="4"/>
      <c r="AE206" s="4"/>
      <c r="AF206" s="4"/>
      <c r="AG206" s="4"/>
      <c r="AH206" s="4"/>
      <c r="AI206" s="4"/>
      <c r="AJ206" s="2"/>
      <c r="AK206" s="4"/>
    </row>
    <row r="207" spans="1:37" hidden="1" x14ac:dyDescent="0.2">
      <c r="A207" s="11">
        <v>43837</v>
      </c>
      <c r="B207" s="53" t="s">
        <v>1402</v>
      </c>
      <c r="C207" s="52" t="str">
        <f>IF(MID(B207,4,2)="09","Ramadan",IF(AND(MID(B207,4,2)="12",VALUE(LEFT(B207,2))&lt;=9),"Adha Season","Normal"))</f>
        <v>Normal</v>
      </c>
      <c r="D207" s="1" t="s">
        <v>45</v>
      </c>
      <c r="F207" s="4" t="s">
        <v>50</v>
      </c>
      <c r="G207" s="4">
        <v>30</v>
      </c>
      <c r="H207" s="4">
        <v>30</v>
      </c>
      <c r="I207" s="2">
        <f>grand[[#This Row],[number]]-grand[[#This Row],[received]]</f>
        <v>0</v>
      </c>
      <c r="J207" s="30"/>
      <c r="K207" s="4">
        <v>12037</v>
      </c>
      <c r="L207" s="4">
        <v>11405</v>
      </c>
      <c r="M207" s="2">
        <f>K207-L207</f>
        <v>632</v>
      </c>
      <c r="N207" s="4">
        <v>7460.8</v>
      </c>
      <c r="O207" s="4"/>
      <c r="P207" s="7">
        <f>grand[[#This Row],[total weight]]/grand[[#This Row],[received]]</f>
        <v>401.23333333333335</v>
      </c>
      <c r="Q207" s="7">
        <f>grand[[#This Row],[receiving weight]]/grand[[#This Row],[received]]</f>
        <v>380.16666666666669</v>
      </c>
      <c r="R207" s="7">
        <f>grand[[#This Row],[transportation loss ]]/grand[[#This Row],[received]]</f>
        <v>21.066666666666666</v>
      </c>
      <c r="S207" s="7">
        <f>grand[[#This Row],[ carcass weight]]/grand[[#This Row],[received]]</f>
        <v>248.69333333333333</v>
      </c>
      <c r="T207" s="7">
        <f>grand[[#This Row],[ kidneys fat quantity]]/grand[[#This Row],[received]]</f>
        <v>0</v>
      </c>
      <c r="U207" s="4">
        <v>25</v>
      </c>
      <c r="V207" s="4">
        <v>0</v>
      </c>
      <c r="W207" s="4">
        <v>50</v>
      </c>
      <c r="X207" s="4">
        <v>10</v>
      </c>
      <c r="Y207" s="8">
        <v>8.5</v>
      </c>
      <c r="Z207" s="3">
        <f>grand[[#This Row],[av. Transportation loss]]/grand[[#This Row],[av.total weight]]</f>
        <v>5.2504776937775194E-2</v>
      </c>
      <c r="AA207" s="12">
        <f>AVERAGE((grand[[#This Row],[am]]/25),(grand[[#This Row],[pm]]/50))</f>
        <v>1</v>
      </c>
      <c r="AB207" s="3">
        <f>grand[[#This Row],[ carcass weight]]/grand[[#This Row],[total weight]]</f>
        <v>0.61982221483758415</v>
      </c>
      <c r="AC207" s="6">
        <f>SUM(grand[[#This Row],[am]:[meat transportation]])/100</f>
        <v>0.93500000000000005</v>
      </c>
      <c r="AD207" s="4"/>
      <c r="AE207" s="4"/>
      <c r="AF207" s="4"/>
      <c r="AG207" s="4"/>
      <c r="AH207" s="4"/>
      <c r="AI207" s="4"/>
      <c r="AJ207" s="2"/>
      <c r="AK207" s="4"/>
    </row>
    <row r="208" spans="1:37" hidden="1" x14ac:dyDescent="0.2">
      <c r="A208" s="11">
        <v>43842</v>
      </c>
      <c r="B208" s="53" t="s">
        <v>1404</v>
      </c>
      <c r="C208" s="52" t="str">
        <f>IF(MID(B208,4,2)="09","Ramadan",IF(AND(MID(B208,4,2)="12",VALUE(LEFT(B208,2))&lt;=9),"Adha Season","Normal"))</f>
        <v>Normal</v>
      </c>
      <c r="D208" s="1" t="s">
        <v>45</v>
      </c>
      <c r="F208" s="4" t="s">
        <v>46</v>
      </c>
      <c r="G208" s="4">
        <v>35</v>
      </c>
      <c r="H208" s="4">
        <v>35</v>
      </c>
      <c r="I208" s="2">
        <f>grand[[#This Row],[number]]-grand[[#This Row],[received]]</f>
        <v>0</v>
      </c>
      <c r="J208" s="30"/>
      <c r="K208" s="4">
        <v>16610</v>
      </c>
      <c r="L208" s="4">
        <v>15925</v>
      </c>
      <c r="M208" s="2">
        <f>K208-L208</f>
        <v>685</v>
      </c>
      <c r="N208" s="4">
        <v>10038.4</v>
      </c>
      <c r="O208" s="4"/>
      <c r="P208" s="7">
        <f>grand[[#This Row],[total weight]]/grand[[#This Row],[received]]</f>
        <v>474.57142857142856</v>
      </c>
      <c r="Q208" s="7">
        <f>grand[[#This Row],[receiving weight]]/grand[[#This Row],[received]]</f>
        <v>455</v>
      </c>
      <c r="R208" s="7">
        <f>grand[[#This Row],[transportation loss ]]/grand[[#This Row],[received]]</f>
        <v>19.571428571428573</v>
      </c>
      <c r="S208" s="7">
        <f>grand[[#This Row],[ carcass weight]]/grand[[#This Row],[received]]</f>
        <v>286.81142857142856</v>
      </c>
      <c r="T208" s="7">
        <f>grand[[#This Row],[ kidneys fat quantity]]/grand[[#This Row],[received]]</f>
        <v>0</v>
      </c>
      <c r="U208" s="4">
        <v>24</v>
      </c>
      <c r="V208" s="4">
        <v>0</v>
      </c>
      <c r="W208" s="4">
        <v>49.1</v>
      </c>
      <c r="X208" s="4">
        <v>10</v>
      </c>
      <c r="Y208" s="8">
        <v>8.5</v>
      </c>
      <c r="Z208" s="3">
        <f>grand[[#This Row],[av. Transportation loss]]/grand[[#This Row],[av.total weight]]</f>
        <v>4.1240216736905484E-2</v>
      </c>
      <c r="AA208" s="12">
        <f>AVERAGE((grand[[#This Row],[am]]/25),(grand[[#This Row],[pm]]/50))</f>
        <v>0.97099999999999997</v>
      </c>
      <c r="AB208" s="3">
        <f>grand[[#This Row],[ carcass weight]]/grand[[#This Row],[total weight]]</f>
        <v>0.60435881998795904</v>
      </c>
      <c r="AC208" s="6">
        <f>SUM(grand[[#This Row],[am]:[meat transportation]])/100</f>
        <v>0.91599999999999993</v>
      </c>
      <c r="AD208" s="4"/>
      <c r="AE208" s="4">
        <v>2</v>
      </c>
      <c r="AF208" s="4" t="s">
        <v>53</v>
      </c>
      <c r="AG208" s="4">
        <v>17</v>
      </c>
      <c r="AH208" s="4">
        <v>1</v>
      </c>
      <c r="AI208" s="4">
        <v>4</v>
      </c>
      <c r="AJ208" s="2"/>
      <c r="AK208" s="4"/>
    </row>
    <row r="209" spans="1:37" hidden="1" x14ac:dyDescent="0.2">
      <c r="A209" s="11">
        <v>43844</v>
      </c>
      <c r="B209" s="53" t="s">
        <v>1405</v>
      </c>
      <c r="C209" s="52" t="str">
        <f>IF(MID(B209,4,2)="09","Ramadan",IF(AND(MID(B209,4,2)="12",VALUE(LEFT(B209,2))&lt;=9),"Adha Season","Normal"))</f>
        <v>Normal</v>
      </c>
      <c r="D209" s="1" t="s">
        <v>45</v>
      </c>
      <c r="F209" s="4" t="s">
        <v>50</v>
      </c>
      <c r="G209" s="4">
        <v>30</v>
      </c>
      <c r="H209" s="4">
        <v>30</v>
      </c>
      <c r="I209" s="2">
        <f>grand[[#This Row],[number]]-grand[[#This Row],[received]]</f>
        <v>0</v>
      </c>
      <c r="J209" s="30"/>
      <c r="K209" s="4">
        <v>11836</v>
      </c>
      <c r="L209" s="4">
        <v>11160</v>
      </c>
      <c r="M209" s="2">
        <f>K209-L209</f>
        <v>676</v>
      </c>
      <c r="N209" s="4">
        <v>7262.1</v>
      </c>
      <c r="O209" s="4"/>
      <c r="P209" s="7">
        <f>grand[[#This Row],[total weight]]/grand[[#This Row],[received]]</f>
        <v>394.53333333333336</v>
      </c>
      <c r="Q209" s="7">
        <f>grand[[#This Row],[receiving weight]]/grand[[#This Row],[received]]</f>
        <v>372</v>
      </c>
      <c r="R209" s="7">
        <f>grand[[#This Row],[transportation loss ]]/grand[[#This Row],[received]]</f>
        <v>22.533333333333335</v>
      </c>
      <c r="S209" s="7">
        <f>grand[[#This Row],[ carcass weight]]/grand[[#This Row],[received]]</f>
        <v>242.07000000000002</v>
      </c>
      <c r="T209" s="7">
        <f>grand[[#This Row],[ kidneys fat quantity]]/grand[[#This Row],[received]]</f>
        <v>0</v>
      </c>
      <c r="U209" s="4">
        <v>25</v>
      </c>
      <c r="V209" s="4">
        <v>0</v>
      </c>
      <c r="W209" s="4">
        <v>49.6</v>
      </c>
      <c r="X209" s="4">
        <v>10</v>
      </c>
      <c r="Y209" s="8">
        <v>8.5</v>
      </c>
      <c r="Z209" s="3">
        <f>grand[[#This Row],[av. Transportation loss]]/grand[[#This Row],[av.total weight]]</f>
        <v>5.7113889827644475E-2</v>
      </c>
      <c r="AA209" s="12">
        <f>AVERAGE((grand[[#This Row],[am]]/25),(grand[[#This Row],[pm]]/50))</f>
        <v>0.996</v>
      </c>
      <c r="AB209" s="3">
        <f>grand[[#This Row],[ carcass weight]]/grand[[#This Row],[total weight]]</f>
        <v>0.61356032443393038</v>
      </c>
      <c r="AC209" s="6">
        <f>SUM(grand[[#This Row],[am]:[meat transportation]])/100</f>
        <v>0.93099999999999994</v>
      </c>
      <c r="AD209" s="4" t="s">
        <v>54</v>
      </c>
      <c r="AE209" s="4">
        <v>1</v>
      </c>
      <c r="AF209" s="4" t="s">
        <v>55</v>
      </c>
      <c r="AG209" s="4"/>
      <c r="AH209" s="4"/>
      <c r="AI209" s="4"/>
      <c r="AJ209" s="2"/>
      <c r="AK209" s="4"/>
    </row>
    <row r="210" spans="1:37" hidden="1" x14ac:dyDescent="0.2">
      <c r="A210" s="11">
        <v>43849</v>
      </c>
      <c r="B210" s="53" t="s">
        <v>1407</v>
      </c>
      <c r="C210" s="52" t="str">
        <f>IF(MID(B210,4,2)="09","Ramadan",IF(AND(MID(B210,4,2)="12",VALUE(LEFT(B210,2))&lt;=9),"Adha Season","Normal"))</f>
        <v>Normal</v>
      </c>
      <c r="D210" s="1" t="s">
        <v>45</v>
      </c>
      <c r="F210" s="4" t="s">
        <v>47</v>
      </c>
      <c r="G210" s="4">
        <v>35</v>
      </c>
      <c r="H210" s="4">
        <v>35</v>
      </c>
      <c r="I210" s="2">
        <f>grand[[#This Row],[number]]-grand[[#This Row],[received]]</f>
        <v>0</v>
      </c>
      <c r="J210" s="30"/>
      <c r="K210" s="4">
        <v>17300</v>
      </c>
      <c r="L210" s="4">
        <v>17230</v>
      </c>
      <c r="M210" s="2">
        <f>K210-L210</f>
        <v>70</v>
      </c>
      <c r="N210" s="4">
        <v>10683.4</v>
      </c>
      <c r="O210" s="4"/>
      <c r="P210" s="7">
        <f>grand[[#This Row],[total weight]]/grand[[#This Row],[received]]</f>
        <v>494.28571428571428</v>
      </c>
      <c r="Q210" s="7">
        <f>grand[[#This Row],[receiving weight]]/grand[[#This Row],[received]]</f>
        <v>492.28571428571428</v>
      </c>
      <c r="R210" s="7">
        <f>grand[[#This Row],[transportation loss ]]/grand[[#This Row],[received]]</f>
        <v>2</v>
      </c>
      <c r="S210" s="7">
        <f>grand[[#This Row],[ carcass weight]]/grand[[#This Row],[received]]</f>
        <v>305.24</v>
      </c>
      <c r="T210" s="7">
        <f>grand[[#This Row],[ kidneys fat quantity]]/grand[[#This Row],[received]]</f>
        <v>0</v>
      </c>
      <c r="U210" s="4">
        <v>25</v>
      </c>
      <c r="V210" s="4">
        <v>0</v>
      </c>
      <c r="W210" s="4">
        <v>49.9</v>
      </c>
      <c r="X210" s="4">
        <v>10</v>
      </c>
      <c r="Y210" s="8">
        <v>8.5</v>
      </c>
      <c r="Z210" s="3">
        <f>grand[[#This Row],[av. Transportation loss]]/grand[[#This Row],[av.total weight]]</f>
        <v>4.0462427745664737E-3</v>
      </c>
      <c r="AA210" s="12">
        <f>AVERAGE((grand[[#This Row],[am]]/25),(grand[[#This Row],[pm]]/50))</f>
        <v>0.999</v>
      </c>
      <c r="AB210" s="3">
        <f>grand[[#This Row],[ carcass weight]]/grand[[#This Row],[total weight]]</f>
        <v>0.61753757225433525</v>
      </c>
      <c r="AC210" s="6">
        <f>SUM(grand[[#This Row],[am]:[meat transportation]])/100</f>
        <v>0.93400000000000005</v>
      </c>
      <c r="AD210" s="4"/>
      <c r="AE210" s="4">
        <v>1</v>
      </c>
      <c r="AF210" s="4"/>
      <c r="AG210" s="4"/>
      <c r="AH210" s="4"/>
      <c r="AI210" s="4"/>
      <c r="AJ210" s="2"/>
      <c r="AK210" s="4"/>
    </row>
    <row r="211" spans="1:37" hidden="1" x14ac:dyDescent="0.2">
      <c r="A211" s="11">
        <v>43851</v>
      </c>
      <c r="B211" s="53" t="s">
        <v>1408</v>
      </c>
      <c r="C211" s="52" t="str">
        <f>IF(MID(B211,4,2)="09","Ramadan",IF(AND(MID(B211,4,2)="12",VALUE(LEFT(B211,2))&lt;=9),"Adha Season","Normal"))</f>
        <v>Normal</v>
      </c>
      <c r="D211" s="1" t="s">
        <v>45</v>
      </c>
      <c r="F211" s="4" t="s">
        <v>50</v>
      </c>
      <c r="G211" s="4">
        <v>32</v>
      </c>
      <c r="H211" s="4">
        <v>32</v>
      </c>
      <c r="I211" s="2">
        <f>grand[[#This Row],[number]]-grand[[#This Row],[received]]</f>
        <v>0</v>
      </c>
      <c r="J211" s="30"/>
      <c r="K211" s="4">
        <v>12936</v>
      </c>
      <c r="L211" s="4">
        <v>12240</v>
      </c>
      <c r="M211" s="2">
        <f>K211-L211</f>
        <v>696</v>
      </c>
      <c r="N211" s="4">
        <v>7982.7</v>
      </c>
      <c r="O211" s="4"/>
      <c r="P211" s="7">
        <f>grand[[#This Row],[total weight]]/grand[[#This Row],[received]]</f>
        <v>404.25</v>
      </c>
      <c r="Q211" s="7">
        <f>grand[[#This Row],[receiving weight]]/grand[[#This Row],[received]]</f>
        <v>382.5</v>
      </c>
      <c r="R211" s="7">
        <f>grand[[#This Row],[transportation loss ]]/grand[[#This Row],[received]]</f>
        <v>21.75</v>
      </c>
      <c r="S211" s="7">
        <f>grand[[#This Row],[ carcass weight]]/grand[[#This Row],[received]]</f>
        <v>249.45937499999999</v>
      </c>
      <c r="T211" s="7">
        <f>grand[[#This Row],[ kidneys fat quantity]]/grand[[#This Row],[received]]</f>
        <v>0</v>
      </c>
      <c r="U211" s="4">
        <v>24.7</v>
      </c>
      <c r="V211" s="4">
        <v>0</v>
      </c>
      <c r="W211" s="4">
        <v>49.7</v>
      </c>
      <c r="X211" s="4">
        <v>10</v>
      </c>
      <c r="Y211" s="8">
        <v>8.5</v>
      </c>
      <c r="Z211" s="3">
        <f>grand[[#This Row],[av. Transportation loss]]/grand[[#This Row],[av.total weight]]</f>
        <v>5.3803339517625233E-2</v>
      </c>
      <c r="AA211" s="12">
        <f>AVERAGE((grand[[#This Row],[am]]/25),(grand[[#This Row],[pm]]/50))</f>
        <v>0.9910000000000001</v>
      </c>
      <c r="AB211" s="3">
        <f>grand[[#This Row],[ carcass weight]]/grand[[#This Row],[total weight]]</f>
        <v>0.61709183673469381</v>
      </c>
      <c r="AC211" s="6">
        <f>SUM(grand[[#This Row],[am]:[meat transportation]])/100</f>
        <v>0.92900000000000005</v>
      </c>
      <c r="AD211" s="4"/>
      <c r="AE211" s="4">
        <v>3</v>
      </c>
      <c r="AF211" s="4" t="s">
        <v>56</v>
      </c>
      <c r="AG211" s="4">
        <v>5</v>
      </c>
      <c r="AH211" s="4"/>
      <c r="AI211" s="4"/>
      <c r="AJ211" s="2"/>
      <c r="AK211" s="4"/>
    </row>
    <row r="212" spans="1:37" hidden="1" x14ac:dyDescent="0.2">
      <c r="A212" s="11">
        <v>43853</v>
      </c>
      <c r="B212" s="53" t="s">
        <v>1409</v>
      </c>
      <c r="C212" s="52" t="str">
        <f>IF(MID(B212,4,2)="09","Ramadan",IF(AND(MID(B212,4,2)="12",VALUE(LEFT(B212,2))&lt;=9),"Adha Season","Normal"))</f>
        <v>Normal</v>
      </c>
      <c r="D212" s="1" t="s">
        <v>45</v>
      </c>
      <c r="F212" s="4" t="s">
        <v>46</v>
      </c>
      <c r="G212" s="4">
        <v>32</v>
      </c>
      <c r="H212" s="4">
        <v>32</v>
      </c>
      <c r="I212" s="2">
        <f>grand[[#This Row],[number]]-grand[[#This Row],[received]]</f>
        <v>0</v>
      </c>
      <c r="J212" s="30"/>
      <c r="K212" s="4">
        <v>15040</v>
      </c>
      <c r="L212" s="4">
        <v>14390</v>
      </c>
      <c r="M212" s="2">
        <f>K212-L212</f>
        <v>650</v>
      </c>
      <c r="N212" s="4">
        <v>9071.2000000000007</v>
      </c>
      <c r="O212" s="4"/>
      <c r="P212" s="7">
        <f>grand[[#This Row],[total weight]]/grand[[#This Row],[received]]</f>
        <v>470</v>
      </c>
      <c r="Q212" s="7">
        <f>grand[[#This Row],[receiving weight]]/grand[[#This Row],[received]]</f>
        <v>449.6875</v>
      </c>
      <c r="R212" s="7">
        <f>grand[[#This Row],[transportation loss ]]/grand[[#This Row],[received]]</f>
        <v>20.3125</v>
      </c>
      <c r="S212" s="7">
        <f>grand[[#This Row],[ carcass weight]]/grand[[#This Row],[received]]</f>
        <v>283.47500000000002</v>
      </c>
      <c r="T212" s="7">
        <f>grand[[#This Row],[ kidneys fat quantity]]/grand[[#This Row],[received]]</f>
        <v>0</v>
      </c>
      <c r="U212" s="4">
        <v>25</v>
      </c>
      <c r="V212" s="4">
        <v>0</v>
      </c>
      <c r="W212" s="4">
        <v>49.9</v>
      </c>
      <c r="X212" s="4">
        <v>10</v>
      </c>
      <c r="Y212" s="8">
        <v>8.5</v>
      </c>
      <c r="Z212" s="3">
        <f>grand[[#This Row],[av. Transportation loss]]/grand[[#This Row],[av.total weight]]</f>
        <v>4.3218085106382982E-2</v>
      </c>
      <c r="AA212" s="12">
        <f>AVERAGE((grand[[#This Row],[am]]/25),(grand[[#This Row],[pm]]/50))</f>
        <v>0.999</v>
      </c>
      <c r="AB212" s="3">
        <f>grand[[#This Row],[ carcass weight]]/grand[[#This Row],[total weight]]</f>
        <v>0.60313829787234052</v>
      </c>
      <c r="AC212" s="6">
        <f>SUM(grand[[#This Row],[am]:[meat transportation]])/100</f>
        <v>0.93400000000000005</v>
      </c>
      <c r="AD212" s="4"/>
      <c r="AE212" s="4"/>
      <c r="AF212" s="4" t="s">
        <v>55</v>
      </c>
      <c r="AG212" s="4"/>
      <c r="AH212" s="4"/>
      <c r="AI212" s="4"/>
      <c r="AJ212" s="2"/>
      <c r="AK212" s="4"/>
    </row>
    <row r="213" spans="1:37" hidden="1" x14ac:dyDescent="0.2">
      <c r="A213" s="11">
        <v>43856</v>
      </c>
      <c r="B213" s="53" t="s">
        <v>1410</v>
      </c>
      <c r="C213" s="52" t="str">
        <f>IF(MID(B213,4,2)="09","Ramadan",IF(AND(MID(B213,4,2)="12",VALUE(LEFT(B213,2))&lt;=9),"Adha Season","Normal"))</f>
        <v>Normal</v>
      </c>
      <c r="D213" s="1" t="s">
        <v>45</v>
      </c>
      <c r="F213" s="4" t="s">
        <v>47</v>
      </c>
      <c r="G213" s="4">
        <v>35</v>
      </c>
      <c r="H213" s="4">
        <v>35</v>
      </c>
      <c r="I213" s="2">
        <f>grand[[#This Row],[number]]-grand[[#This Row],[received]]</f>
        <v>0</v>
      </c>
      <c r="J213" s="30"/>
      <c r="K213" s="4">
        <v>17050</v>
      </c>
      <c r="L213" s="4">
        <v>16810</v>
      </c>
      <c r="M213" s="2">
        <f>K213-L213</f>
        <v>240</v>
      </c>
      <c r="N213" s="4">
        <v>10557</v>
      </c>
      <c r="O213" s="4">
        <v>0</v>
      </c>
      <c r="P213" s="7">
        <f>grand[[#This Row],[total weight]]/grand[[#This Row],[received]]</f>
        <v>487.14285714285717</v>
      </c>
      <c r="Q213" s="7">
        <f>grand[[#This Row],[receiving weight]]/grand[[#This Row],[received]]</f>
        <v>480.28571428571428</v>
      </c>
      <c r="R213" s="7">
        <f>grand[[#This Row],[transportation loss ]]/grand[[#This Row],[received]]</f>
        <v>6.8571428571428568</v>
      </c>
      <c r="S213" s="7">
        <f>grand[[#This Row],[ carcass weight]]/grand[[#This Row],[received]]</f>
        <v>301.62857142857143</v>
      </c>
      <c r="T213" s="7">
        <f>grand[[#This Row],[ kidneys fat quantity]]/grand[[#This Row],[received]]</f>
        <v>0</v>
      </c>
      <c r="U213" s="4">
        <v>25</v>
      </c>
      <c r="V213" s="4">
        <v>0</v>
      </c>
      <c r="W213" s="4">
        <v>50</v>
      </c>
      <c r="X213" s="4">
        <v>10</v>
      </c>
      <c r="Y213" s="8">
        <v>8.5</v>
      </c>
      <c r="Z213" s="3">
        <f>grand[[#This Row],[av. Transportation loss]]/grand[[#This Row],[av.total weight]]</f>
        <v>1.4076246334310849E-2</v>
      </c>
      <c r="AA213" s="12">
        <f>AVERAGE((grand[[#This Row],[am]]/25),(grand[[#This Row],[pm]]/50))</f>
        <v>1</v>
      </c>
      <c r="AB213" s="3">
        <f>grand[[#This Row],[ carcass weight]]/grand[[#This Row],[total weight]]</f>
        <v>0.6191788856304985</v>
      </c>
      <c r="AC213" s="6">
        <f>SUM(grand[[#This Row],[am]:[meat transportation]])/100</f>
        <v>0.93500000000000005</v>
      </c>
      <c r="AD213" s="4" t="s">
        <v>57</v>
      </c>
      <c r="AE213" s="4"/>
      <c r="AF213" s="4"/>
      <c r="AG213" s="4"/>
      <c r="AH213" s="4"/>
      <c r="AI213" s="4"/>
      <c r="AJ213" s="2"/>
      <c r="AK213" s="4"/>
    </row>
    <row r="214" spans="1:37" hidden="1" x14ac:dyDescent="0.2">
      <c r="A214" s="11">
        <v>43867</v>
      </c>
      <c r="B214" s="53" t="s">
        <v>1415</v>
      </c>
      <c r="C214" s="52" t="str">
        <f>IF(MID(B214,4,2)="09","Ramadan",IF(AND(MID(B214,4,2)="12",VALUE(LEFT(B214,2))&lt;=9),"Adha Season","Normal"))</f>
        <v>Normal</v>
      </c>
      <c r="D214" s="1" t="s">
        <v>45</v>
      </c>
      <c r="F214" s="4" t="s">
        <v>46</v>
      </c>
      <c r="G214" s="4">
        <v>34</v>
      </c>
      <c r="H214" s="4">
        <v>34</v>
      </c>
      <c r="I214" s="2">
        <f>grand[[#This Row],[number]]-grand[[#This Row],[received]]</f>
        <v>0</v>
      </c>
      <c r="J214" s="30"/>
      <c r="K214" s="4">
        <v>16530</v>
      </c>
      <c r="L214" s="4">
        <v>15805</v>
      </c>
      <c r="M214" s="2">
        <f>K214-L214</f>
        <v>725</v>
      </c>
      <c r="N214" s="4">
        <v>10132.5</v>
      </c>
      <c r="O214" s="4"/>
      <c r="P214" s="7">
        <f>grand[[#This Row],[total weight]]/grand[[#This Row],[received]]</f>
        <v>486.1764705882353</v>
      </c>
      <c r="Q214" s="7">
        <f>grand[[#This Row],[receiving weight]]/grand[[#This Row],[received]]</f>
        <v>464.85294117647061</v>
      </c>
      <c r="R214" s="7">
        <f>grand[[#This Row],[transportation loss ]]/grand[[#This Row],[received]]</f>
        <v>21.323529411764707</v>
      </c>
      <c r="S214" s="7">
        <f>grand[[#This Row],[ carcass weight]]/grand[[#This Row],[received]]</f>
        <v>298.01470588235293</v>
      </c>
      <c r="T214" s="7">
        <f>grand[[#This Row],[ kidneys fat quantity]]/grand[[#This Row],[received]]</f>
        <v>0</v>
      </c>
      <c r="U214" s="4">
        <v>25</v>
      </c>
      <c r="V214" s="4">
        <v>0</v>
      </c>
      <c r="W214" s="4">
        <v>49.9</v>
      </c>
      <c r="X214" s="4">
        <v>10</v>
      </c>
      <c r="Y214" s="8">
        <v>8.5</v>
      </c>
      <c r="Z214" s="3">
        <f>grand[[#This Row],[av. Transportation loss]]/grand[[#This Row],[av.total weight]]</f>
        <v>4.3859649122807015E-2</v>
      </c>
      <c r="AA214" s="12">
        <f>AVERAGE((grand[[#This Row],[am]]/25),(grand[[#This Row],[pm]]/50))</f>
        <v>0.999</v>
      </c>
      <c r="AB214" s="3">
        <f>grand[[#This Row],[ carcass weight]]/grand[[#This Row],[total weight]]</f>
        <v>0.61297640653357532</v>
      </c>
      <c r="AC214" s="6">
        <f>SUM(grand[[#This Row],[am]:[meat transportation]])/100</f>
        <v>0.93400000000000005</v>
      </c>
      <c r="AD214" s="4"/>
      <c r="AE214" s="4">
        <v>1</v>
      </c>
      <c r="AF214" s="4"/>
      <c r="AG214" s="4"/>
      <c r="AH214" s="4"/>
      <c r="AI214" s="4"/>
      <c r="AJ214" s="2"/>
      <c r="AK214" s="4"/>
    </row>
    <row r="215" spans="1:37" hidden="1" x14ac:dyDescent="0.2">
      <c r="A215" s="11">
        <v>43870</v>
      </c>
      <c r="B215" s="53" t="s">
        <v>1416</v>
      </c>
      <c r="C215" s="52" t="str">
        <f>IF(MID(B215,4,2)="09","Ramadan",IF(AND(MID(B215,4,2)="12",VALUE(LEFT(B215,2))&lt;=9),"Adha Season","Normal"))</f>
        <v>Normal</v>
      </c>
      <c r="D215" s="1" t="s">
        <v>45</v>
      </c>
      <c r="F215" s="4" t="s">
        <v>47</v>
      </c>
      <c r="G215" s="4">
        <v>35</v>
      </c>
      <c r="H215" s="4">
        <v>35</v>
      </c>
      <c r="I215" s="2">
        <f>grand[[#This Row],[number]]-grand[[#This Row],[received]]</f>
        <v>0</v>
      </c>
      <c r="J215" s="30"/>
      <c r="K215" s="4">
        <v>15201</v>
      </c>
      <c r="L215" s="4">
        <v>14475</v>
      </c>
      <c r="M215" s="2">
        <f>K215-L215</f>
        <v>726</v>
      </c>
      <c r="N215" s="4">
        <v>9217.7999999999993</v>
      </c>
      <c r="O215" s="4"/>
      <c r="P215" s="7">
        <f>grand[[#This Row],[total weight]]/grand[[#This Row],[received]]</f>
        <v>434.31428571428569</v>
      </c>
      <c r="Q215" s="7">
        <f>grand[[#This Row],[receiving weight]]/grand[[#This Row],[received]]</f>
        <v>413.57142857142856</v>
      </c>
      <c r="R215" s="7">
        <f>grand[[#This Row],[transportation loss ]]/grand[[#This Row],[received]]</f>
        <v>20.742857142857144</v>
      </c>
      <c r="S215" s="7">
        <f>grand[[#This Row],[ carcass weight]]/grand[[#This Row],[received]]</f>
        <v>263.36571428571426</v>
      </c>
      <c r="T215" s="7">
        <f>grand[[#This Row],[ kidneys fat quantity]]/grand[[#This Row],[received]]</f>
        <v>0</v>
      </c>
      <c r="U215" s="4">
        <v>25</v>
      </c>
      <c r="V215" s="4">
        <v>0</v>
      </c>
      <c r="W215" s="4">
        <v>49.4</v>
      </c>
      <c r="X215" s="4">
        <v>10</v>
      </c>
      <c r="Y215" s="8">
        <v>8.5</v>
      </c>
      <c r="Z215" s="3">
        <f>grand[[#This Row],[av. Transportation loss]]/grand[[#This Row],[av.total weight]]</f>
        <v>4.7760015788434973E-2</v>
      </c>
      <c r="AA215" s="12">
        <f>AVERAGE((grand[[#This Row],[am]]/25),(grand[[#This Row],[pm]]/50))</f>
        <v>0.99399999999999999</v>
      </c>
      <c r="AB215" s="3">
        <f>grand[[#This Row],[ carcass weight]]/grand[[#This Row],[total weight]]</f>
        <v>0.60639431616341022</v>
      </c>
      <c r="AC215" s="6">
        <f>SUM(grand[[#This Row],[am]:[meat transportation]])/100</f>
        <v>0.92900000000000005</v>
      </c>
      <c r="AD215" s="4" t="s">
        <v>62</v>
      </c>
      <c r="AE215" s="4"/>
      <c r="AF215" s="4" t="s">
        <v>63</v>
      </c>
      <c r="AG215" s="4"/>
      <c r="AH215" s="4"/>
      <c r="AI215" s="4"/>
      <c r="AJ215" s="2"/>
      <c r="AK215" s="4"/>
    </row>
    <row r="216" spans="1:37" hidden="1" x14ac:dyDescent="0.2">
      <c r="A216" s="11">
        <v>43872</v>
      </c>
      <c r="B216" s="53" t="s">
        <v>1417</v>
      </c>
      <c r="C216" s="52" t="str">
        <f>IF(MID(B216,4,2)="09","Ramadan",IF(AND(MID(B216,4,2)="12",VALUE(LEFT(B216,2))&lt;=9),"Adha Season","Normal"))</f>
        <v>Normal</v>
      </c>
      <c r="D216" s="1" t="s">
        <v>45</v>
      </c>
      <c r="F216" s="4" t="s">
        <v>50</v>
      </c>
      <c r="G216" s="4">
        <v>32</v>
      </c>
      <c r="H216" s="4">
        <v>32</v>
      </c>
      <c r="I216" s="2">
        <f>grand[[#This Row],[number]]-grand[[#This Row],[received]]</f>
        <v>0</v>
      </c>
      <c r="J216" s="30"/>
      <c r="K216" s="4">
        <v>13273</v>
      </c>
      <c r="L216" s="4">
        <v>12695</v>
      </c>
      <c r="M216" s="2">
        <f>K216-L216</f>
        <v>578</v>
      </c>
      <c r="N216" s="4">
        <v>8358.5499999999993</v>
      </c>
      <c r="O216" s="4"/>
      <c r="P216" s="7">
        <f>grand[[#This Row],[total weight]]/grand[[#This Row],[received]]</f>
        <v>414.78125</v>
      </c>
      <c r="Q216" s="7">
        <f>grand[[#This Row],[receiving weight]]/grand[[#This Row],[received]]</f>
        <v>396.71875</v>
      </c>
      <c r="R216" s="7">
        <f>grand[[#This Row],[transportation loss ]]/grand[[#This Row],[received]]</f>
        <v>18.0625</v>
      </c>
      <c r="S216" s="7">
        <f>grand[[#This Row],[ carcass weight]]/grand[[#This Row],[received]]</f>
        <v>261.20468749999998</v>
      </c>
      <c r="T216" s="7">
        <f>grand[[#This Row],[ kidneys fat quantity]]/grand[[#This Row],[received]]</f>
        <v>0</v>
      </c>
      <c r="U216" s="4">
        <v>25</v>
      </c>
      <c r="V216" s="4">
        <v>0</v>
      </c>
      <c r="W216" s="4">
        <v>49.8</v>
      </c>
      <c r="X216" s="4">
        <v>10</v>
      </c>
      <c r="Y216" s="8">
        <v>8.5</v>
      </c>
      <c r="Z216" s="3">
        <f>grand[[#This Row],[av. Transportation loss]]/grand[[#This Row],[av.total weight]]</f>
        <v>4.3547050403073911E-2</v>
      </c>
      <c r="AA216" s="12">
        <f>AVERAGE((grand[[#This Row],[am]]/25),(grand[[#This Row],[pm]]/50))</f>
        <v>0.998</v>
      </c>
      <c r="AB216" s="3">
        <f>grand[[#This Row],[ carcass weight]]/grand[[#This Row],[total weight]]</f>
        <v>0.62974082724327574</v>
      </c>
      <c r="AC216" s="6">
        <f>SUM(grand[[#This Row],[am]:[meat transportation]])/100</f>
        <v>0.93299999999999994</v>
      </c>
      <c r="AD216" s="4"/>
      <c r="AE216" s="4">
        <v>1</v>
      </c>
      <c r="AF216" s="4"/>
      <c r="AG216" s="4"/>
      <c r="AH216" s="4">
        <v>4</v>
      </c>
      <c r="AI216" s="4"/>
      <c r="AJ216" s="2"/>
      <c r="AK216" s="4"/>
    </row>
    <row r="217" spans="1:37" hidden="1" x14ac:dyDescent="0.2">
      <c r="A217" s="11">
        <v>43874</v>
      </c>
      <c r="B217" s="53" t="s">
        <v>1418</v>
      </c>
      <c r="C217" s="52" t="str">
        <f>IF(MID(B217,4,2)="09","Ramadan",IF(AND(MID(B217,4,2)="12",VALUE(LEFT(B217,2))&lt;=9),"Adha Season","Normal"))</f>
        <v>Normal</v>
      </c>
      <c r="D217" s="1" t="s">
        <v>45</v>
      </c>
      <c r="F217" s="4" t="s">
        <v>46</v>
      </c>
      <c r="G217" s="4">
        <v>35</v>
      </c>
      <c r="H217" s="4">
        <v>35</v>
      </c>
      <c r="I217" s="2">
        <f>grand[[#This Row],[number]]-grand[[#This Row],[received]]</f>
        <v>0</v>
      </c>
      <c r="J217" s="30"/>
      <c r="K217" s="4">
        <v>17060</v>
      </c>
      <c r="L217" s="4">
        <v>16080</v>
      </c>
      <c r="M217" s="2">
        <f>K217-L217</f>
        <v>980</v>
      </c>
      <c r="N217" s="4">
        <v>10235.6</v>
      </c>
      <c r="O217" s="4"/>
      <c r="P217" s="7">
        <f>grand[[#This Row],[total weight]]/grand[[#This Row],[received]]</f>
        <v>487.42857142857144</v>
      </c>
      <c r="Q217" s="7">
        <f>grand[[#This Row],[receiving weight]]/grand[[#This Row],[received]]</f>
        <v>459.42857142857144</v>
      </c>
      <c r="R217" s="7">
        <f>grand[[#This Row],[transportation loss ]]/grand[[#This Row],[received]]</f>
        <v>28</v>
      </c>
      <c r="S217" s="7">
        <f>grand[[#This Row],[ carcass weight]]/grand[[#This Row],[received]]</f>
        <v>292.4457142857143</v>
      </c>
      <c r="T217" s="7">
        <f>grand[[#This Row],[ kidneys fat quantity]]/grand[[#This Row],[received]]</f>
        <v>0</v>
      </c>
      <c r="U217" s="4">
        <v>21.1</v>
      </c>
      <c r="V217" s="4">
        <v>0</v>
      </c>
      <c r="W217" s="4">
        <v>49.9</v>
      </c>
      <c r="X217" s="4">
        <v>10</v>
      </c>
      <c r="Y217" s="8">
        <v>8.5</v>
      </c>
      <c r="Z217" s="3">
        <f>grand[[#This Row],[av. Transportation loss]]/grand[[#This Row],[av.total weight]]</f>
        <v>5.74443141852286E-2</v>
      </c>
      <c r="AA217" s="12">
        <f>AVERAGE((grand[[#This Row],[am]]/25),(grand[[#This Row],[pm]]/50))</f>
        <v>0.92100000000000004</v>
      </c>
      <c r="AB217" s="3">
        <f>grand[[#This Row],[ carcass weight]]/grand[[#This Row],[total weight]]</f>
        <v>0.59997655334114885</v>
      </c>
      <c r="AC217" s="6">
        <f>SUM(grand[[#This Row],[am]:[meat transportation]])/100</f>
        <v>0.89500000000000002</v>
      </c>
      <c r="AD217" s="4"/>
      <c r="AE217" s="4">
        <v>1</v>
      </c>
      <c r="AF217" s="4" t="s">
        <v>65</v>
      </c>
      <c r="AG217" s="4"/>
      <c r="AH217" s="4"/>
      <c r="AI217" s="4"/>
      <c r="AJ217" s="2"/>
      <c r="AK217" s="4"/>
    </row>
    <row r="218" spans="1:37" hidden="1" x14ac:dyDescent="0.2">
      <c r="A218" s="11">
        <v>43877</v>
      </c>
      <c r="B218" s="53" t="s">
        <v>1419</v>
      </c>
      <c r="C218" s="52" t="str">
        <f>IF(MID(B218,4,2)="09","Ramadan",IF(AND(MID(B218,4,2)="12",VALUE(LEFT(B218,2))&lt;=9),"Adha Season","Normal"))</f>
        <v>Normal</v>
      </c>
      <c r="D218" s="1" t="s">
        <v>45</v>
      </c>
      <c r="F218" s="4" t="s">
        <v>47</v>
      </c>
      <c r="G218" s="4">
        <v>35</v>
      </c>
      <c r="H218" s="4">
        <v>35</v>
      </c>
      <c r="I218" s="2">
        <f>grand[[#This Row],[number]]-grand[[#This Row],[received]]</f>
        <v>0</v>
      </c>
      <c r="J218" s="30"/>
      <c r="K218" s="4">
        <v>15890</v>
      </c>
      <c r="L218" s="4">
        <v>15405</v>
      </c>
      <c r="M218" s="2">
        <f>K218-L218</f>
        <v>485</v>
      </c>
      <c r="N218" s="4">
        <v>9793.6</v>
      </c>
      <c r="O218" s="4"/>
      <c r="P218" s="7">
        <f>grand[[#This Row],[total weight]]/grand[[#This Row],[received]]</f>
        <v>454</v>
      </c>
      <c r="Q218" s="7">
        <f>grand[[#This Row],[receiving weight]]/grand[[#This Row],[received]]</f>
        <v>440.14285714285717</v>
      </c>
      <c r="R218" s="7">
        <f>grand[[#This Row],[transportation loss ]]/grand[[#This Row],[received]]</f>
        <v>13.857142857142858</v>
      </c>
      <c r="S218" s="7">
        <f>grand[[#This Row],[ carcass weight]]/grand[[#This Row],[received]]</f>
        <v>279.81714285714287</v>
      </c>
      <c r="T218" s="7">
        <f>grand[[#This Row],[ kidneys fat quantity]]/grand[[#This Row],[received]]</f>
        <v>0</v>
      </c>
      <c r="U218" s="4">
        <v>25</v>
      </c>
      <c r="V218" s="4">
        <v>0</v>
      </c>
      <c r="W218" s="4">
        <v>50</v>
      </c>
      <c r="X218" s="4">
        <v>10</v>
      </c>
      <c r="Y218" s="8">
        <v>8.5</v>
      </c>
      <c r="Z218" s="3">
        <f>grand[[#This Row],[av. Transportation loss]]/grand[[#This Row],[av.total weight]]</f>
        <v>3.052234109502832E-2</v>
      </c>
      <c r="AA218" s="12">
        <f>AVERAGE((grand[[#This Row],[am]]/25),(grand[[#This Row],[pm]]/50))</f>
        <v>1</v>
      </c>
      <c r="AB218" s="3">
        <f>grand[[#This Row],[ carcass weight]]/grand[[#This Row],[total weight]]</f>
        <v>0.61633731906859668</v>
      </c>
      <c r="AC218" s="6">
        <f>SUM(grand[[#This Row],[am]:[meat transportation]])/100</f>
        <v>0.93500000000000005</v>
      </c>
      <c r="AD218" s="4"/>
      <c r="AE218" s="4"/>
      <c r="AF218" s="4"/>
      <c r="AG218" s="4"/>
      <c r="AH218" s="4"/>
      <c r="AI218" s="4"/>
      <c r="AJ218" s="2"/>
      <c r="AK218" s="4"/>
    </row>
    <row r="219" spans="1:37" hidden="1" x14ac:dyDescent="0.2">
      <c r="A219" s="11">
        <v>43881</v>
      </c>
      <c r="B219" s="53" t="s">
        <v>1421</v>
      </c>
      <c r="C219" s="52" t="str">
        <f>IF(MID(B219,4,2)="09","Ramadan",IF(AND(MID(B219,4,2)="12",VALUE(LEFT(B219,2))&lt;=9),"Adha Season","Normal"))</f>
        <v>Normal</v>
      </c>
      <c r="D219" s="1" t="s">
        <v>45</v>
      </c>
      <c r="F219" s="4" t="s">
        <v>46</v>
      </c>
      <c r="G219" s="4">
        <v>35</v>
      </c>
      <c r="H219" s="4">
        <v>35</v>
      </c>
      <c r="I219" s="2">
        <f>grand[[#This Row],[number]]-grand[[#This Row],[received]]</f>
        <v>0</v>
      </c>
      <c r="J219" s="30"/>
      <c r="K219" s="4">
        <v>16270</v>
      </c>
      <c r="L219" s="4">
        <v>15695</v>
      </c>
      <c r="M219" s="2">
        <f>K219-L219</f>
        <v>575</v>
      </c>
      <c r="N219" s="4">
        <v>10122.4</v>
      </c>
      <c r="O219" s="4"/>
      <c r="P219" s="7">
        <f>grand[[#This Row],[total weight]]/grand[[#This Row],[received]]</f>
        <v>464.85714285714283</v>
      </c>
      <c r="Q219" s="7">
        <f>grand[[#This Row],[receiving weight]]/grand[[#This Row],[received]]</f>
        <v>448.42857142857144</v>
      </c>
      <c r="R219" s="7">
        <f>grand[[#This Row],[transportation loss ]]/grand[[#This Row],[received]]</f>
        <v>16.428571428571427</v>
      </c>
      <c r="S219" s="7">
        <f>grand[[#This Row],[ carcass weight]]/grand[[#This Row],[received]]</f>
        <v>289.21142857142854</v>
      </c>
      <c r="T219" s="7">
        <f>grand[[#This Row],[ kidneys fat quantity]]/grand[[#This Row],[received]]</f>
        <v>0</v>
      </c>
      <c r="U219" s="4">
        <v>21.3</v>
      </c>
      <c r="V219" s="4">
        <v>0</v>
      </c>
      <c r="W219" s="4">
        <v>50</v>
      </c>
      <c r="X219" s="4">
        <v>10</v>
      </c>
      <c r="Y219" s="8">
        <v>8.5</v>
      </c>
      <c r="Z219" s="3">
        <f>grand[[#This Row],[av. Transportation loss]]/grand[[#This Row],[av.total weight]]</f>
        <v>3.5341118623232942E-2</v>
      </c>
      <c r="AA219" s="12">
        <f>AVERAGE((grand[[#This Row],[am]]/25),(grand[[#This Row],[pm]]/50))</f>
        <v>0.92599999999999993</v>
      </c>
      <c r="AB219" s="3">
        <f>grand[[#This Row],[ carcass weight]]/grand[[#This Row],[total weight]]</f>
        <v>0.62215119852489242</v>
      </c>
      <c r="AC219" s="6">
        <f>SUM(grand[[#This Row],[am]:[meat transportation]])/100</f>
        <v>0.89800000000000002</v>
      </c>
      <c r="AD219" s="4"/>
      <c r="AE219" s="4"/>
      <c r="AF219" s="4"/>
      <c r="AG219" s="4"/>
      <c r="AH219" s="4"/>
      <c r="AI219" s="4"/>
      <c r="AJ219" s="2"/>
      <c r="AK219" s="4" t="s">
        <v>67</v>
      </c>
    </row>
    <row r="220" spans="1:37" hidden="1" x14ac:dyDescent="0.2">
      <c r="A220" s="11">
        <v>43881</v>
      </c>
      <c r="B220" s="53" t="s">
        <v>1421</v>
      </c>
      <c r="C220" s="52" t="str">
        <f>IF(MID(B220,4,2)="09","Ramadan",IF(AND(MID(B220,4,2)="12",VALUE(LEFT(B220,2))&lt;=9),"Adha Season","Normal"))</f>
        <v>Normal</v>
      </c>
      <c r="D220" s="2" t="s">
        <v>294</v>
      </c>
      <c r="E220" s="2"/>
      <c r="F220" s="4" t="s">
        <v>68</v>
      </c>
      <c r="G220" s="4">
        <v>5</v>
      </c>
      <c r="H220" s="4">
        <v>5</v>
      </c>
      <c r="I220" s="2">
        <f>grand[[#This Row],[number]]-grand[[#This Row],[received]]</f>
        <v>0</v>
      </c>
      <c r="J220" s="30"/>
      <c r="K220" s="4"/>
      <c r="L220" s="4"/>
      <c r="M220" s="2">
        <f>K220-L220</f>
        <v>0</v>
      </c>
      <c r="N220" s="4"/>
      <c r="O220" s="4"/>
      <c r="P220" s="7">
        <f>grand[[#This Row],[total weight]]/grand[[#This Row],[received]]</f>
        <v>0</v>
      </c>
      <c r="Q220" s="7">
        <f>grand[[#This Row],[receiving weight]]/grand[[#This Row],[received]]</f>
        <v>0</v>
      </c>
      <c r="R220" s="7">
        <f>grand[[#This Row],[transportation loss ]]/grand[[#This Row],[received]]</f>
        <v>0</v>
      </c>
      <c r="S220" s="7">
        <f>grand[[#This Row],[ carcass weight]]/grand[[#This Row],[received]]</f>
        <v>0</v>
      </c>
      <c r="T220" s="7">
        <f>grand[[#This Row],[ kidneys fat quantity]]/grand[[#This Row],[received]]</f>
        <v>0</v>
      </c>
      <c r="U220" s="4">
        <v>25</v>
      </c>
      <c r="V220" s="4">
        <v>0</v>
      </c>
      <c r="W220" s="4">
        <v>48.8</v>
      </c>
      <c r="X220" s="4">
        <v>10</v>
      </c>
      <c r="Y220" s="8">
        <v>8.5</v>
      </c>
      <c r="Z220" s="3"/>
      <c r="AA220" s="12">
        <f>AVERAGE((grand[[#This Row],[am]]/25),(grand[[#This Row],[pm]]/50))</f>
        <v>0.98799999999999999</v>
      </c>
      <c r="AB220" s="3"/>
      <c r="AC220" s="6">
        <f>SUM(grand[[#This Row],[am]:[meat transportation]])/100</f>
        <v>0.92299999999999993</v>
      </c>
      <c r="AD220" s="4"/>
      <c r="AE220" s="4"/>
      <c r="AF220" s="4" t="s">
        <v>69</v>
      </c>
      <c r="AG220" s="4"/>
      <c r="AH220" s="4"/>
      <c r="AI220" s="4"/>
      <c r="AJ220" s="2"/>
      <c r="AK220" s="4"/>
    </row>
    <row r="221" spans="1:37" hidden="1" x14ac:dyDescent="0.2">
      <c r="A221" s="11">
        <v>43884</v>
      </c>
      <c r="B221" s="53" t="s">
        <v>1422</v>
      </c>
      <c r="C221" s="52" t="str">
        <f>IF(MID(B221,4,2)="09","Ramadan",IF(AND(MID(B221,4,2)="12",VALUE(LEFT(B221,2))&lt;=9),"Adha Season","Normal"))</f>
        <v>Normal</v>
      </c>
      <c r="D221" s="1" t="s">
        <v>45</v>
      </c>
      <c r="F221" s="4" t="s">
        <v>47</v>
      </c>
      <c r="G221" s="4">
        <v>37</v>
      </c>
      <c r="H221" s="4">
        <v>37</v>
      </c>
      <c r="I221" s="2">
        <f>grand[[#This Row],[number]]-grand[[#This Row],[received]]</f>
        <v>0</v>
      </c>
      <c r="J221" s="30"/>
      <c r="K221" s="4">
        <v>17270</v>
      </c>
      <c r="L221" s="4">
        <v>17070</v>
      </c>
      <c r="M221" s="2">
        <f>K221-L221</f>
        <v>200</v>
      </c>
      <c r="N221" s="4">
        <v>10526</v>
      </c>
      <c r="O221" s="4"/>
      <c r="P221" s="7">
        <f>grand[[#This Row],[total weight]]/grand[[#This Row],[received]]</f>
        <v>466.75675675675677</v>
      </c>
      <c r="Q221" s="7">
        <f>grand[[#This Row],[receiving weight]]/grand[[#This Row],[received]]</f>
        <v>461.35135135135135</v>
      </c>
      <c r="R221" s="7">
        <f>grand[[#This Row],[transportation loss ]]/grand[[#This Row],[received]]</f>
        <v>5.4054054054054053</v>
      </c>
      <c r="S221" s="7">
        <f>grand[[#This Row],[ carcass weight]]/grand[[#This Row],[received]]</f>
        <v>284.48648648648651</v>
      </c>
      <c r="T221" s="7">
        <f>grand[[#This Row],[ kidneys fat quantity]]/grand[[#This Row],[received]]</f>
        <v>0</v>
      </c>
      <c r="U221" s="4">
        <v>25</v>
      </c>
      <c r="V221" s="4">
        <v>0</v>
      </c>
      <c r="W221" s="4">
        <v>49.6</v>
      </c>
      <c r="X221" s="4">
        <v>10</v>
      </c>
      <c r="Y221" s="8">
        <v>8.5</v>
      </c>
      <c r="Z221" s="3">
        <f>grand[[#This Row],[av. Transportation loss]]/grand[[#This Row],[av.total weight]]</f>
        <v>1.1580775911986103E-2</v>
      </c>
      <c r="AA221" s="12">
        <f>AVERAGE((grand[[#This Row],[am]]/25),(grand[[#This Row],[pm]]/50))</f>
        <v>0.996</v>
      </c>
      <c r="AB221" s="3">
        <f>grand[[#This Row],[ carcass weight]]/grand[[#This Row],[total weight]]</f>
        <v>0.60949623624782856</v>
      </c>
      <c r="AC221" s="6">
        <f>SUM(grand[[#This Row],[am]:[meat transportation]])/100</f>
        <v>0.93099999999999994</v>
      </c>
      <c r="AD221" s="4" t="s">
        <v>49</v>
      </c>
      <c r="AE221" s="4">
        <v>2</v>
      </c>
      <c r="AF221" s="4" t="s">
        <v>55</v>
      </c>
      <c r="AG221" s="4"/>
      <c r="AH221" s="4"/>
      <c r="AI221" s="4"/>
      <c r="AJ221" s="2"/>
      <c r="AK221" s="4"/>
    </row>
    <row r="222" spans="1:37" hidden="1" x14ac:dyDescent="0.2">
      <c r="A222" s="11">
        <v>43884</v>
      </c>
      <c r="B222" s="53" t="s">
        <v>1422</v>
      </c>
      <c r="C222" s="52" t="str">
        <f>IF(MID(B222,4,2)="09","Ramadan",IF(AND(MID(B222,4,2)="12",VALUE(LEFT(B222,2))&lt;=9),"Adha Season","Normal"))</f>
        <v>Normal</v>
      </c>
      <c r="D222" s="2" t="s">
        <v>294</v>
      </c>
      <c r="E222" s="2"/>
      <c r="F222" s="4" t="s">
        <v>68</v>
      </c>
      <c r="G222" s="4">
        <v>6</v>
      </c>
      <c r="H222" s="4">
        <v>6</v>
      </c>
      <c r="I222" s="2">
        <f>grand[[#This Row],[number]]-grand[[#This Row],[received]]</f>
        <v>0</v>
      </c>
      <c r="J222" s="30"/>
      <c r="K222" s="4"/>
      <c r="L222" s="4"/>
      <c r="M222" s="2">
        <f>K222-L222</f>
        <v>0</v>
      </c>
      <c r="N222" s="4"/>
      <c r="O222" s="4"/>
      <c r="P222" s="7">
        <f>grand[[#This Row],[total weight]]/grand[[#This Row],[received]]</f>
        <v>0</v>
      </c>
      <c r="Q222" s="7">
        <f>grand[[#This Row],[receiving weight]]/grand[[#This Row],[received]]</f>
        <v>0</v>
      </c>
      <c r="R222" s="7">
        <f>grand[[#This Row],[transportation loss ]]/grand[[#This Row],[received]]</f>
        <v>0</v>
      </c>
      <c r="S222" s="7">
        <f>grand[[#This Row],[ carcass weight]]/grand[[#This Row],[received]]</f>
        <v>0</v>
      </c>
      <c r="T222" s="7">
        <f>grand[[#This Row],[ kidneys fat quantity]]/grand[[#This Row],[received]]</f>
        <v>0</v>
      </c>
      <c r="U222" s="4">
        <v>25</v>
      </c>
      <c r="V222" s="4">
        <v>0</v>
      </c>
      <c r="W222" s="4">
        <v>48.7</v>
      </c>
      <c r="X222" s="4">
        <v>10</v>
      </c>
      <c r="Y222" s="8">
        <v>8.5</v>
      </c>
      <c r="Z222" s="3"/>
      <c r="AA222" s="12">
        <f>AVERAGE((grand[[#This Row],[am]]/25),(grand[[#This Row],[pm]]/50))</f>
        <v>0.9870000000000001</v>
      </c>
      <c r="AB222" s="3"/>
      <c r="AC222" s="6">
        <f>SUM(grand[[#This Row],[am]:[meat transportation]])/100</f>
        <v>0.92200000000000004</v>
      </c>
      <c r="AD222" s="4"/>
      <c r="AE222" s="4"/>
      <c r="AF222" s="4"/>
      <c r="AG222" s="4"/>
      <c r="AH222" s="4"/>
      <c r="AI222" s="4"/>
      <c r="AJ222" s="2"/>
      <c r="AK222" s="4"/>
    </row>
    <row r="223" spans="1:37" hidden="1" x14ac:dyDescent="0.2">
      <c r="A223" s="11">
        <v>43886</v>
      </c>
      <c r="B223" s="53" t="s">
        <v>1423</v>
      </c>
      <c r="C223" s="52" t="str">
        <f>IF(MID(B223,4,2)="09","Ramadan",IF(AND(MID(B223,4,2)="12",VALUE(LEFT(B223,2))&lt;=9),"Adha Season","Normal"))</f>
        <v>Normal</v>
      </c>
      <c r="D223" s="2" t="s">
        <v>294</v>
      </c>
      <c r="E223" s="2"/>
      <c r="F223" s="4" t="s">
        <v>68</v>
      </c>
      <c r="G223" s="4">
        <v>15</v>
      </c>
      <c r="H223" s="4">
        <v>15</v>
      </c>
      <c r="I223" s="2">
        <f>grand[[#This Row],[number]]-grand[[#This Row],[received]]</f>
        <v>0</v>
      </c>
      <c r="J223" s="30"/>
      <c r="K223" s="4"/>
      <c r="L223" s="4"/>
      <c r="M223" s="2">
        <f>K223-L223</f>
        <v>0</v>
      </c>
      <c r="N223" s="4"/>
      <c r="O223" s="4"/>
      <c r="P223" s="7">
        <f>grand[[#This Row],[total weight]]/grand[[#This Row],[received]]</f>
        <v>0</v>
      </c>
      <c r="Q223" s="7">
        <f>grand[[#This Row],[receiving weight]]/grand[[#This Row],[received]]</f>
        <v>0</v>
      </c>
      <c r="R223" s="7">
        <f>grand[[#This Row],[transportation loss ]]/grand[[#This Row],[received]]</f>
        <v>0</v>
      </c>
      <c r="S223" s="7">
        <f>grand[[#This Row],[ carcass weight]]/grand[[#This Row],[received]]</f>
        <v>0</v>
      </c>
      <c r="T223" s="7">
        <f>grand[[#This Row],[ kidneys fat quantity]]/grand[[#This Row],[received]]</f>
        <v>0</v>
      </c>
      <c r="U223" s="4">
        <v>25</v>
      </c>
      <c r="V223" s="4">
        <v>0</v>
      </c>
      <c r="W223" s="4">
        <v>44.1</v>
      </c>
      <c r="X223" s="4">
        <v>10</v>
      </c>
      <c r="Y223" s="8">
        <v>8.5</v>
      </c>
      <c r="Z223" s="3"/>
      <c r="AA223" s="12">
        <f>AVERAGE((grand[[#This Row],[am]]/25),(grand[[#This Row],[pm]]/50))</f>
        <v>0.94100000000000006</v>
      </c>
      <c r="AB223" s="3"/>
      <c r="AC223" s="6">
        <f>SUM(grand[[#This Row],[am]:[meat transportation]])/100</f>
        <v>0.87599999999999989</v>
      </c>
      <c r="AD223" s="4" t="s">
        <v>54</v>
      </c>
      <c r="AE223" s="4"/>
      <c r="AF223" s="4" t="s">
        <v>70</v>
      </c>
      <c r="AG223" s="4"/>
      <c r="AH223" s="4"/>
      <c r="AI223" s="4"/>
      <c r="AJ223" s="2"/>
      <c r="AK223" s="4"/>
    </row>
    <row r="224" spans="1:37" hidden="1" x14ac:dyDescent="0.2">
      <c r="A224" s="11">
        <v>43891</v>
      </c>
      <c r="B224" s="53" t="s">
        <v>1425</v>
      </c>
      <c r="C224" s="52" t="str">
        <f>IF(MID(B224,4,2)="09","Ramadan",IF(AND(MID(B224,4,2)="12",VALUE(LEFT(B224,2))&lt;=9),"Adha Season","Normal"))</f>
        <v>Normal</v>
      </c>
      <c r="D224" s="1" t="s">
        <v>45</v>
      </c>
      <c r="F224" s="4" t="s">
        <v>46</v>
      </c>
      <c r="G224" s="4">
        <v>34</v>
      </c>
      <c r="H224" s="4">
        <v>34</v>
      </c>
      <c r="I224" s="2">
        <f>grand[[#This Row],[number]]-grand[[#This Row],[received]]</f>
        <v>0</v>
      </c>
      <c r="J224" s="30"/>
      <c r="K224" s="4">
        <v>15405</v>
      </c>
      <c r="L224" s="4">
        <v>14500</v>
      </c>
      <c r="M224" s="2">
        <f>K224-L224</f>
        <v>905</v>
      </c>
      <c r="N224" s="4">
        <v>9242.9</v>
      </c>
      <c r="O224" s="4"/>
      <c r="P224" s="7">
        <f>grand[[#This Row],[total weight]]/grand[[#This Row],[received]]</f>
        <v>453.08823529411762</v>
      </c>
      <c r="Q224" s="7">
        <f>grand[[#This Row],[receiving weight]]/grand[[#This Row],[received]]</f>
        <v>426.47058823529414</v>
      </c>
      <c r="R224" s="7">
        <f>grand[[#This Row],[transportation loss ]]/grand[[#This Row],[received]]</f>
        <v>26.617647058823529</v>
      </c>
      <c r="S224" s="7">
        <f>grand[[#This Row],[ carcass weight]]/grand[[#This Row],[received]]</f>
        <v>271.84999999999997</v>
      </c>
      <c r="T224" s="7">
        <f>grand[[#This Row],[ kidneys fat quantity]]/grand[[#This Row],[received]]</f>
        <v>0</v>
      </c>
      <c r="U224" s="4">
        <v>25</v>
      </c>
      <c r="V224" s="4">
        <v>0</v>
      </c>
      <c r="W224" s="4">
        <v>50</v>
      </c>
      <c r="X224" s="4">
        <v>10</v>
      </c>
      <c r="Y224" s="8">
        <v>8.5</v>
      </c>
      <c r="Z224" s="3">
        <f>grand[[#This Row],[av. Transportation loss]]/grand[[#This Row],[av.total weight]]</f>
        <v>5.8747160012982802E-2</v>
      </c>
      <c r="AA224" s="12">
        <f>AVERAGE((grand[[#This Row],[am]]/25),(grand[[#This Row],[pm]]/50))</f>
        <v>1</v>
      </c>
      <c r="AB224" s="3">
        <f>grand[[#This Row],[ carcass weight]]/grand[[#This Row],[total weight]]</f>
        <v>0.59999350860110356</v>
      </c>
      <c r="AC224" s="6">
        <f>SUM(grand[[#This Row],[am]:[meat transportation]])/100</f>
        <v>0.93500000000000005</v>
      </c>
      <c r="AD224" s="4"/>
      <c r="AE224" s="4"/>
      <c r="AF224" s="4"/>
      <c r="AG224" s="4"/>
      <c r="AH224" s="4"/>
      <c r="AI224" s="4"/>
      <c r="AJ224" s="2"/>
      <c r="AK224" s="4"/>
    </row>
    <row r="225" spans="1:37" hidden="1" x14ac:dyDescent="0.2">
      <c r="A225" s="11">
        <v>43891</v>
      </c>
      <c r="B225" s="53" t="s">
        <v>1425</v>
      </c>
      <c r="C225" s="52" t="str">
        <f>IF(MID(B225,4,2)="09","Ramadan",IF(AND(MID(B225,4,2)="12",VALUE(LEFT(B225,2))&lt;=9),"Adha Season","Normal"))</f>
        <v>Normal</v>
      </c>
      <c r="D225" s="2" t="s">
        <v>294</v>
      </c>
      <c r="E225" s="2"/>
      <c r="F225" s="4" t="s">
        <v>68</v>
      </c>
      <c r="G225" s="4">
        <v>8</v>
      </c>
      <c r="H225" s="4">
        <v>8</v>
      </c>
      <c r="I225" s="2">
        <f>grand[[#This Row],[number]]-grand[[#This Row],[received]]</f>
        <v>0</v>
      </c>
      <c r="J225" s="30"/>
      <c r="K225" s="4"/>
      <c r="L225" s="4"/>
      <c r="M225" s="2">
        <f>K225-L225</f>
        <v>0</v>
      </c>
      <c r="N225" s="4"/>
      <c r="O225" s="4"/>
      <c r="P225" s="7">
        <f>grand[[#This Row],[total weight]]/grand[[#This Row],[received]]</f>
        <v>0</v>
      </c>
      <c r="Q225" s="7">
        <f>grand[[#This Row],[receiving weight]]/grand[[#This Row],[received]]</f>
        <v>0</v>
      </c>
      <c r="R225" s="7">
        <f>grand[[#This Row],[transportation loss ]]/grand[[#This Row],[received]]</f>
        <v>0</v>
      </c>
      <c r="S225" s="7">
        <f>grand[[#This Row],[ carcass weight]]/grand[[#This Row],[received]]</f>
        <v>0</v>
      </c>
      <c r="T225" s="7">
        <f>grand[[#This Row],[ kidneys fat quantity]]/grand[[#This Row],[received]]</f>
        <v>0</v>
      </c>
      <c r="U225" s="4">
        <v>25</v>
      </c>
      <c r="V225" s="4">
        <v>0</v>
      </c>
      <c r="W225" s="4">
        <v>47.5</v>
      </c>
      <c r="X225" s="4">
        <v>10</v>
      </c>
      <c r="Y225" s="8">
        <v>8.5</v>
      </c>
      <c r="Z225" s="3"/>
      <c r="AA225" s="12">
        <f>AVERAGE((grand[[#This Row],[am]]/25),(grand[[#This Row],[pm]]/50))</f>
        <v>0.97499999999999998</v>
      </c>
      <c r="AB225" s="3"/>
      <c r="AC225" s="6">
        <f>SUM(grand[[#This Row],[am]:[meat transportation]])/100</f>
        <v>0.91</v>
      </c>
      <c r="AD225" s="4" t="s">
        <v>71</v>
      </c>
      <c r="AE225" s="4"/>
      <c r="AF225" s="4" t="s">
        <v>69</v>
      </c>
      <c r="AG225" s="4"/>
      <c r="AH225" s="4"/>
      <c r="AI225" s="4"/>
      <c r="AJ225" s="2"/>
      <c r="AK225" s="4"/>
    </row>
    <row r="226" spans="1:37" hidden="1" x14ac:dyDescent="0.2">
      <c r="A226" s="11">
        <v>43893</v>
      </c>
      <c r="B226" s="53" t="s">
        <v>1426</v>
      </c>
      <c r="C226" s="52" t="str">
        <f>IF(MID(B226,4,2)="09","Ramadan",IF(AND(MID(B226,4,2)="12",VALUE(LEFT(B226,2))&lt;=9),"Adha Season","Normal"))</f>
        <v>Normal</v>
      </c>
      <c r="D226" s="1" t="s">
        <v>45</v>
      </c>
      <c r="F226" s="4" t="s">
        <v>47</v>
      </c>
      <c r="G226" s="4">
        <v>40</v>
      </c>
      <c r="H226" s="4">
        <v>40</v>
      </c>
      <c r="I226" s="2">
        <f>grand[[#This Row],[number]]-grand[[#This Row],[received]]</f>
        <v>0</v>
      </c>
      <c r="J226" s="30"/>
      <c r="K226" s="4">
        <v>18215</v>
      </c>
      <c r="L226" s="4">
        <v>17710</v>
      </c>
      <c r="M226" s="2">
        <f>K226-L226</f>
        <v>505</v>
      </c>
      <c r="N226" s="4">
        <v>11027.7</v>
      </c>
      <c r="O226" s="4"/>
      <c r="P226" s="7">
        <f>grand[[#This Row],[total weight]]/grand[[#This Row],[received]]</f>
        <v>455.375</v>
      </c>
      <c r="Q226" s="7">
        <f>grand[[#This Row],[receiving weight]]/grand[[#This Row],[received]]</f>
        <v>442.75</v>
      </c>
      <c r="R226" s="7">
        <f>grand[[#This Row],[transportation loss ]]/grand[[#This Row],[received]]</f>
        <v>12.625</v>
      </c>
      <c r="S226" s="7">
        <f>grand[[#This Row],[ carcass weight]]/grand[[#This Row],[received]]</f>
        <v>275.6925</v>
      </c>
      <c r="T226" s="7">
        <f>grand[[#This Row],[ kidneys fat quantity]]/grand[[#This Row],[received]]</f>
        <v>0</v>
      </c>
      <c r="U226" s="4">
        <v>24.9</v>
      </c>
      <c r="V226" s="4">
        <v>0</v>
      </c>
      <c r="W226" s="4">
        <v>49.9</v>
      </c>
      <c r="X226" s="4">
        <v>10</v>
      </c>
      <c r="Y226" s="8">
        <v>8.5</v>
      </c>
      <c r="Z226" s="3">
        <f>grand[[#This Row],[av. Transportation loss]]/grand[[#This Row],[av.total weight]]</f>
        <v>2.7724402964589626E-2</v>
      </c>
      <c r="AA226" s="12">
        <f>AVERAGE((grand[[#This Row],[am]]/25),(grand[[#This Row],[pm]]/50))</f>
        <v>0.997</v>
      </c>
      <c r="AB226" s="3">
        <f>grand[[#This Row],[ carcass weight]]/grand[[#This Row],[total weight]]</f>
        <v>0.60541861103486139</v>
      </c>
      <c r="AC226" s="6">
        <f>SUM(grand[[#This Row],[am]:[meat transportation]])/100</f>
        <v>0.93299999999999994</v>
      </c>
      <c r="AD226" s="4" t="s">
        <v>72</v>
      </c>
      <c r="AE226" s="4"/>
      <c r="AF226" s="4"/>
      <c r="AG226" s="4"/>
      <c r="AH226" s="4"/>
      <c r="AI226" s="4"/>
      <c r="AJ226" s="2">
        <v>3</v>
      </c>
      <c r="AK226" s="4"/>
    </row>
    <row r="227" spans="1:37" hidden="1" x14ac:dyDescent="0.2">
      <c r="A227" s="11">
        <v>43895</v>
      </c>
      <c r="B227" s="53" t="s">
        <v>1427</v>
      </c>
      <c r="C227" s="52" t="str">
        <f>IF(MID(B227,4,2)="09","Ramadan",IF(AND(MID(B227,4,2)="12",VALUE(LEFT(B227,2))&lt;=9),"Adha Season","Normal"))</f>
        <v>Normal</v>
      </c>
      <c r="D227" s="1" t="s">
        <v>45</v>
      </c>
      <c r="F227" s="4" t="s">
        <v>41</v>
      </c>
      <c r="G227" s="4">
        <v>4</v>
      </c>
      <c r="H227" s="4">
        <v>4</v>
      </c>
      <c r="I227" s="2">
        <f>grand[[#This Row],[number]]-grand[[#This Row],[received]]</f>
        <v>0</v>
      </c>
      <c r="J227" s="30"/>
      <c r="K227" s="4">
        <v>1736</v>
      </c>
      <c r="L227" s="4">
        <v>1736</v>
      </c>
      <c r="M227" s="2">
        <f>K227-L227</f>
        <v>0</v>
      </c>
      <c r="N227" s="4">
        <v>1042</v>
      </c>
      <c r="O227" s="4"/>
      <c r="P227" s="7">
        <f>grand[[#This Row],[total weight]]/grand[[#This Row],[received]]</f>
        <v>434</v>
      </c>
      <c r="Q227" s="7">
        <f>grand[[#This Row],[receiving weight]]/grand[[#This Row],[received]]</f>
        <v>434</v>
      </c>
      <c r="R227" s="7">
        <f>grand[[#This Row],[transportation loss ]]/grand[[#This Row],[received]]</f>
        <v>0</v>
      </c>
      <c r="S227" s="7">
        <f>grand[[#This Row],[ carcass weight]]/grand[[#This Row],[received]]</f>
        <v>260.5</v>
      </c>
      <c r="T227" s="7">
        <f>grand[[#This Row],[ kidneys fat quantity]]/grand[[#This Row],[received]]</f>
        <v>0</v>
      </c>
      <c r="U227" s="4">
        <v>25</v>
      </c>
      <c r="V227" s="4">
        <v>0</v>
      </c>
      <c r="W227" s="4">
        <v>50</v>
      </c>
      <c r="X227" s="4">
        <v>10</v>
      </c>
      <c r="Y227" s="8">
        <v>8.5</v>
      </c>
      <c r="Z227" s="3">
        <f>grand[[#This Row],[av. Transportation loss]]/grand[[#This Row],[av.total weight]]</f>
        <v>0</v>
      </c>
      <c r="AA227" s="12">
        <f>AVERAGE((grand[[#This Row],[am]]/25),(grand[[#This Row],[pm]]/50))</f>
        <v>1</v>
      </c>
      <c r="AB227" s="3">
        <f>grand[[#This Row],[ carcass weight]]/grand[[#This Row],[total weight]]</f>
        <v>0.60023041474654382</v>
      </c>
      <c r="AC227" s="6">
        <f>SUM(grand[[#This Row],[am]:[meat transportation]])/100</f>
        <v>0.93500000000000005</v>
      </c>
      <c r="AD227" s="4"/>
      <c r="AE227" s="4"/>
      <c r="AF227" s="4"/>
      <c r="AG227" s="4"/>
      <c r="AH227" s="4"/>
      <c r="AI227" s="4"/>
      <c r="AJ227" s="2"/>
      <c r="AK227" s="4"/>
    </row>
    <row r="228" spans="1:37" hidden="1" x14ac:dyDescent="0.2">
      <c r="A228" s="11">
        <v>43895</v>
      </c>
      <c r="B228" s="53" t="s">
        <v>1427</v>
      </c>
      <c r="C228" s="52" t="str">
        <f>IF(MID(B228,4,2)="09","Ramadan",IF(AND(MID(B228,4,2)="12",VALUE(LEFT(B228,2))&lt;=9),"Adha Season","Normal"))</f>
        <v>Normal</v>
      </c>
      <c r="D228" s="1" t="s">
        <v>45</v>
      </c>
      <c r="F228" s="4" t="s">
        <v>75</v>
      </c>
      <c r="G228" s="4">
        <v>16</v>
      </c>
      <c r="H228" s="4">
        <v>16</v>
      </c>
      <c r="I228" s="2">
        <f>grand[[#This Row],[number]]-grand[[#This Row],[received]]</f>
        <v>0</v>
      </c>
      <c r="J228" s="30"/>
      <c r="K228" s="4">
        <v>7052</v>
      </c>
      <c r="L228" s="4">
        <v>6805</v>
      </c>
      <c r="M228" s="2">
        <f>K228-L228</f>
        <v>247</v>
      </c>
      <c r="N228" s="4">
        <v>4262</v>
      </c>
      <c r="O228" s="4"/>
      <c r="P228" s="7">
        <f>grand[[#This Row],[total weight]]/grand[[#This Row],[received]]</f>
        <v>440.75</v>
      </c>
      <c r="Q228" s="7">
        <f>grand[[#This Row],[receiving weight]]/grand[[#This Row],[received]]</f>
        <v>425.3125</v>
      </c>
      <c r="R228" s="7">
        <f>grand[[#This Row],[transportation loss ]]/grand[[#This Row],[received]]</f>
        <v>15.4375</v>
      </c>
      <c r="S228" s="7">
        <f>grand[[#This Row],[ carcass weight]]/grand[[#This Row],[received]]</f>
        <v>266.375</v>
      </c>
      <c r="T228" s="7">
        <f>grand[[#This Row],[ kidneys fat quantity]]/grand[[#This Row],[received]]</f>
        <v>0</v>
      </c>
      <c r="U228" s="4">
        <v>25</v>
      </c>
      <c r="V228" s="4">
        <v>0</v>
      </c>
      <c r="W228" s="4">
        <v>50</v>
      </c>
      <c r="X228" s="4">
        <v>10</v>
      </c>
      <c r="Y228" s="8">
        <v>8.5</v>
      </c>
      <c r="Z228" s="3">
        <f>grand[[#This Row],[av. Transportation loss]]/grand[[#This Row],[av.total weight]]</f>
        <v>3.5025524673851387E-2</v>
      </c>
      <c r="AA228" s="12">
        <f>AVERAGE((grand[[#This Row],[am]]/25),(grand[[#This Row],[pm]]/50))</f>
        <v>1</v>
      </c>
      <c r="AB228" s="3">
        <f>grand[[#This Row],[ carcass weight]]/grand[[#This Row],[total weight]]</f>
        <v>0.60436755530345998</v>
      </c>
      <c r="AC228" s="6">
        <f>SUM(grand[[#This Row],[am]:[meat transportation]])/100</f>
        <v>0.93500000000000005</v>
      </c>
      <c r="AD228" s="4"/>
      <c r="AE228" s="4"/>
      <c r="AF228" s="4"/>
      <c r="AG228" s="4"/>
      <c r="AH228" s="4"/>
      <c r="AI228" s="4"/>
      <c r="AJ228" s="2"/>
      <c r="AK228" s="4"/>
    </row>
    <row r="229" spans="1:37" hidden="1" x14ac:dyDescent="0.2">
      <c r="A229" s="11">
        <v>43902</v>
      </c>
      <c r="B229" s="53" t="s">
        <v>1430</v>
      </c>
      <c r="C229" s="52" t="str">
        <f>IF(MID(B229,4,2)="09","Ramadan",IF(AND(MID(B229,4,2)="12",VALUE(LEFT(B229,2))&lt;=9),"Adha Season","Normal"))</f>
        <v>Normal</v>
      </c>
      <c r="D229" s="1" t="s">
        <v>45</v>
      </c>
      <c r="F229" s="4" t="s">
        <v>47</v>
      </c>
      <c r="G229" s="4">
        <v>37</v>
      </c>
      <c r="H229" s="4">
        <v>37</v>
      </c>
      <c r="I229" s="2">
        <f>grand[[#This Row],[number]]-grand[[#This Row],[received]]</f>
        <v>0</v>
      </c>
      <c r="J229" s="30"/>
      <c r="K229" s="4">
        <v>17617</v>
      </c>
      <c r="L229" s="4">
        <v>17045</v>
      </c>
      <c r="M229" s="2">
        <f>K229-L229</f>
        <v>572</v>
      </c>
      <c r="N229" s="4">
        <v>11049.9</v>
      </c>
      <c r="O229" s="4"/>
      <c r="P229" s="7">
        <f>grand[[#This Row],[total weight]]/grand[[#This Row],[received]]</f>
        <v>476.13513513513516</v>
      </c>
      <c r="Q229" s="7">
        <f>grand[[#This Row],[receiving weight]]/grand[[#This Row],[received]]</f>
        <v>460.67567567567568</v>
      </c>
      <c r="R229" s="7">
        <f>grand[[#This Row],[transportation loss ]]/grand[[#This Row],[received]]</f>
        <v>15.45945945945946</v>
      </c>
      <c r="S229" s="7">
        <f>grand[[#This Row],[ carcass weight]]/grand[[#This Row],[received]]</f>
        <v>298.64594594594593</v>
      </c>
      <c r="T229" s="7">
        <f>grand[[#This Row],[ kidneys fat quantity]]/grand[[#This Row],[received]]</f>
        <v>0</v>
      </c>
      <c r="U229" s="4">
        <v>19.600000000000001</v>
      </c>
      <c r="V229" s="4">
        <v>0</v>
      </c>
      <c r="W229" s="4">
        <v>49.9</v>
      </c>
      <c r="X229" s="4">
        <v>10</v>
      </c>
      <c r="Y229" s="8">
        <v>8.5</v>
      </c>
      <c r="Z229" s="3">
        <f>grand[[#This Row],[av. Transportation loss]]/grand[[#This Row],[av.total weight]]</f>
        <v>3.2468638247147644E-2</v>
      </c>
      <c r="AA229" s="12">
        <f>AVERAGE((grand[[#This Row],[am]]/25),(grand[[#This Row],[pm]]/50))</f>
        <v>0.89100000000000001</v>
      </c>
      <c r="AB229" s="3">
        <f>grand[[#This Row],[ carcass weight]]/grand[[#This Row],[total weight]]</f>
        <v>0.62722938071181245</v>
      </c>
      <c r="AC229" s="6">
        <f>SUM(grand[[#This Row],[am]:[meat transportation]])/100</f>
        <v>0.88</v>
      </c>
      <c r="AD229" s="4"/>
      <c r="AE229" s="4"/>
      <c r="AF229" s="4"/>
      <c r="AG229" s="4"/>
      <c r="AH229" s="4"/>
      <c r="AI229" s="4">
        <v>1</v>
      </c>
      <c r="AJ229" s="2">
        <v>3</v>
      </c>
      <c r="AK229" s="4" t="s">
        <v>80</v>
      </c>
    </row>
    <row r="230" spans="1:37" hidden="1" x14ac:dyDescent="0.2">
      <c r="A230" s="11">
        <v>43906</v>
      </c>
      <c r="B230" s="53" t="s">
        <v>1432</v>
      </c>
      <c r="C230" s="52" t="str">
        <f>IF(MID(B230,4,2)="09","Ramadan",IF(AND(MID(B230,4,2)="12",VALUE(LEFT(B230,2))&lt;=9),"Adha Season","Normal"))</f>
        <v>Normal</v>
      </c>
      <c r="D230" s="1" t="s">
        <v>45</v>
      </c>
      <c r="F230" s="4" t="s">
        <v>46</v>
      </c>
      <c r="G230" s="4">
        <v>41</v>
      </c>
      <c r="H230" s="4">
        <v>41</v>
      </c>
      <c r="I230" s="2">
        <f>grand[[#This Row],[number]]-grand[[#This Row],[received]]</f>
        <v>0</v>
      </c>
      <c r="J230" s="30"/>
      <c r="K230" s="4">
        <v>19415</v>
      </c>
      <c r="L230" s="4">
        <v>18155</v>
      </c>
      <c r="M230" s="2">
        <f>K230-L230</f>
        <v>1260</v>
      </c>
      <c r="N230" s="4">
        <v>11648.5</v>
      </c>
      <c r="O230" s="4"/>
      <c r="P230" s="7">
        <f>grand[[#This Row],[total weight]]/grand[[#This Row],[received]]</f>
        <v>473.53658536585368</v>
      </c>
      <c r="Q230" s="7">
        <f>grand[[#This Row],[receiving weight]]/grand[[#This Row],[received]]</f>
        <v>442.80487804878049</v>
      </c>
      <c r="R230" s="7">
        <f>grand[[#This Row],[transportation loss ]]/grand[[#This Row],[received]]</f>
        <v>30.73170731707317</v>
      </c>
      <c r="S230" s="7">
        <f>grand[[#This Row],[ carcass weight]]/grand[[#This Row],[received]]</f>
        <v>284.10975609756099</v>
      </c>
      <c r="T230" s="7">
        <f>grand[[#This Row],[ kidneys fat quantity]]/grand[[#This Row],[received]]</f>
        <v>0</v>
      </c>
      <c r="U230" s="4">
        <v>19.899999999999999</v>
      </c>
      <c r="V230" s="4">
        <v>0</v>
      </c>
      <c r="W230" s="4">
        <v>49.9</v>
      </c>
      <c r="X230" s="4">
        <v>10</v>
      </c>
      <c r="Y230" s="8">
        <v>8.5</v>
      </c>
      <c r="Z230" s="3">
        <f>grand[[#This Row],[av. Transportation loss]]/grand[[#This Row],[av.total weight]]</f>
        <v>6.4898274530002575E-2</v>
      </c>
      <c r="AA230" s="12">
        <f>AVERAGE((grand[[#This Row],[am]]/25),(grand[[#This Row],[pm]]/50))</f>
        <v>0.89700000000000002</v>
      </c>
      <c r="AB230" s="3">
        <f>grand[[#This Row],[ carcass weight]]/grand[[#This Row],[total weight]]</f>
        <v>0.59997424671645638</v>
      </c>
      <c r="AC230" s="6">
        <f>SUM(grand[[#This Row],[am]:[meat transportation]])/100</f>
        <v>0.88300000000000001</v>
      </c>
      <c r="AD230" s="4"/>
      <c r="AE230" s="4"/>
      <c r="AF230" s="4" t="s">
        <v>83</v>
      </c>
      <c r="AG230" s="4"/>
      <c r="AH230" s="4"/>
      <c r="AI230" s="4"/>
      <c r="AJ230" s="2">
        <v>4</v>
      </c>
      <c r="AK230" s="4" t="s">
        <v>80</v>
      </c>
    </row>
    <row r="231" spans="1:37" hidden="1" x14ac:dyDescent="0.2">
      <c r="A231" s="11">
        <v>43906</v>
      </c>
      <c r="B231" s="53" t="s">
        <v>1432</v>
      </c>
      <c r="C231" s="52" t="str">
        <f>IF(MID(B231,4,2)="09","Ramadan",IF(AND(MID(B231,4,2)="12",VALUE(LEFT(B231,2))&lt;=9),"Adha Season","Normal"))</f>
        <v>Normal</v>
      </c>
      <c r="D231" s="1" t="s">
        <v>45</v>
      </c>
      <c r="F231" s="4" t="s">
        <v>50</v>
      </c>
      <c r="G231" s="4">
        <v>40</v>
      </c>
      <c r="H231" s="4">
        <v>40</v>
      </c>
      <c r="I231" s="2">
        <f>grand[[#This Row],[number]]-grand[[#This Row],[received]]</f>
        <v>0</v>
      </c>
      <c r="J231" s="30"/>
      <c r="K231" s="4">
        <v>16646</v>
      </c>
      <c r="L231" s="4">
        <v>15900</v>
      </c>
      <c r="M231" s="2">
        <f>K231-L231</f>
        <v>746</v>
      </c>
      <c r="N231" s="4">
        <v>10152.299999999999</v>
      </c>
      <c r="O231" s="4"/>
      <c r="P231" s="7">
        <f>grand[[#This Row],[total weight]]/grand[[#This Row],[received]]</f>
        <v>416.15</v>
      </c>
      <c r="Q231" s="7">
        <f>grand[[#This Row],[receiving weight]]/grand[[#This Row],[received]]</f>
        <v>397.5</v>
      </c>
      <c r="R231" s="7">
        <f>grand[[#This Row],[transportation loss ]]/grand[[#This Row],[received]]</f>
        <v>18.649999999999999</v>
      </c>
      <c r="S231" s="7">
        <f>grand[[#This Row],[ carcass weight]]/grand[[#This Row],[received]]</f>
        <v>253.80749999999998</v>
      </c>
      <c r="T231" s="7">
        <f>grand[[#This Row],[ kidneys fat quantity]]/grand[[#This Row],[received]]</f>
        <v>0</v>
      </c>
      <c r="U231" s="4">
        <v>25</v>
      </c>
      <c r="V231" s="4">
        <v>0</v>
      </c>
      <c r="W231" s="4">
        <v>48.4</v>
      </c>
      <c r="X231" s="4">
        <v>10</v>
      </c>
      <c r="Y231" s="8">
        <v>8.5</v>
      </c>
      <c r="Z231" s="3">
        <f>grand[[#This Row],[av. Transportation loss]]/grand[[#This Row],[av.total weight]]</f>
        <v>4.4815571308422446E-2</v>
      </c>
      <c r="AA231" s="12">
        <f>AVERAGE((grand[[#This Row],[am]]/25),(grand[[#This Row],[pm]]/50))</f>
        <v>0.98399999999999999</v>
      </c>
      <c r="AB231" s="3">
        <f>grand[[#This Row],[ carcass weight]]/grand[[#This Row],[total weight]]</f>
        <v>0.60989426889342779</v>
      </c>
      <c r="AC231" s="6">
        <f>SUM(grand[[#This Row],[am]:[meat transportation]])/100</f>
        <v>0.91900000000000004</v>
      </c>
      <c r="AD231" s="4"/>
      <c r="AE231" s="4">
        <v>8</v>
      </c>
      <c r="AF231" s="4" t="s">
        <v>55</v>
      </c>
      <c r="AG231" s="4"/>
      <c r="AH231" s="4"/>
      <c r="AI231" s="4"/>
      <c r="AJ231" s="2"/>
      <c r="AK231" s="4"/>
    </row>
    <row r="232" spans="1:37" hidden="1" x14ac:dyDescent="0.2">
      <c r="A232" s="11">
        <v>43908</v>
      </c>
      <c r="B232" s="53" t="s">
        <v>1434</v>
      </c>
      <c r="C232" s="52" t="str">
        <f>IF(MID(B232,4,2)="09","Ramadan",IF(AND(MID(B232,4,2)="12",VALUE(LEFT(B232,2))&lt;=9),"Adha Season","Normal"))</f>
        <v>Normal</v>
      </c>
      <c r="D232" s="1" t="s">
        <v>45</v>
      </c>
      <c r="F232" s="4" t="s">
        <v>46</v>
      </c>
      <c r="G232" s="4">
        <v>32</v>
      </c>
      <c r="H232" s="4">
        <v>32</v>
      </c>
      <c r="I232" s="2">
        <f>grand[[#This Row],[number]]-grand[[#This Row],[received]]</f>
        <v>0</v>
      </c>
      <c r="J232" s="30"/>
      <c r="K232" s="4">
        <v>15020</v>
      </c>
      <c r="L232" s="4">
        <v>14185</v>
      </c>
      <c r="M232" s="2">
        <f>K232-L232</f>
        <v>835</v>
      </c>
      <c r="N232" s="4">
        <v>9214.7000000000007</v>
      </c>
      <c r="O232" s="4"/>
      <c r="P232" s="7">
        <f>grand[[#This Row],[total weight]]/grand[[#This Row],[received]]</f>
        <v>469.375</v>
      </c>
      <c r="Q232" s="7">
        <f>grand[[#This Row],[receiving weight]]/grand[[#This Row],[received]]</f>
        <v>443.28125</v>
      </c>
      <c r="R232" s="7">
        <f>grand[[#This Row],[transportation loss ]]/grand[[#This Row],[received]]</f>
        <v>26.09375</v>
      </c>
      <c r="S232" s="7">
        <f>grand[[#This Row],[ carcass weight]]/grand[[#This Row],[received]]</f>
        <v>287.95937500000002</v>
      </c>
      <c r="T232" s="7">
        <f>grand[[#This Row],[ kidneys fat quantity]]/grand[[#This Row],[received]]</f>
        <v>0</v>
      </c>
      <c r="U232" s="4">
        <v>24.7</v>
      </c>
      <c r="V232" s="4">
        <v>0</v>
      </c>
      <c r="W232" s="4">
        <v>49.9</v>
      </c>
      <c r="X232" s="4">
        <v>10</v>
      </c>
      <c r="Y232" s="8">
        <v>8.5</v>
      </c>
      <c r="Z232" s="3">
        <f>grand[[#This Row],[av. Transportation loss]]/grand[[#This Row],[av.total weight]]</f>
        <v>5.559254327563249E-2</v>
      </c>
      <c r="AA232" s="12">
        <f>AVERAGE((grand[[#This Row],[am]]/25),(grand[[#This Row],[pm]]/50))</f>
        <v>0.99299999999999999</v>
      </c>
      <c r="AB232" s="3">
        <f>grand[[#This Row],[ carcass weight]]/grand[[#This Row],[total weight]]</f>
        <v>0.61349533954727031</v>
      </c>
      <c r="AC232" s="6">
        <f>SUM(grand[[#This Row],[am]:[meat transportation]])/100</f>
        <v>0.93099999999999994</v>
      </c>
      <c r="AD232" s="4"/>
      <c r="AE232" s="4"/>
      <c r="AF232" s="4" t="s">
        <v>66</v>
      </c>
      <c r="AG232" s="4"/>
      <c r="AH232" s="4"/>
      <c r="AI232" s="4"/>
      <c r="AJ232" s="2">
        <v>2</v>
      </c>
      <c r="AK232" s="4"/>
    </row>
    <row r="233" spans="1:37" hidden="1" x14ac:dyDescent="0.2">
      <c r="A233" s="11">
        <v>43909</v>
      </c>
      <c r="B233" s="53" t="s">
        <v>1435</v>
      </c>
      <c r="C233" s="52" t="str">
        <f>IF(MID(B233,4,2)="09","Ramadan",IF(AND(MID(B233,4,2)="12",VALUE(LEFT(B233,2))&lt;=9),"Adha Season","Normal"))</f>
        <v>Normal</v>
      </c>
      <c r="D233" s="1" t="s">
        <v>45</v>
      </c>
      <c r="F233" s="4" t="s">
        <v>46</v>
      </c>
      <c r="G233" s="4">
        <v>43</v>
      </c>
      <c r="H233" s="4">
        <v>43</v>
      </c>
      <c r="I233" s="2">
        <f>grand[[#This Row],[number]]-grand[[#This Row],[received]]</f>
        <v>0</v>
      </c>
      <c r="J233" s="30"/>
      <c r="K233" s="4">
        <v>19595</v>
      </c>
      <c r="L233" s="4">
        <v>19595</v>
      </c>
      <c r="M233" s="2">
        <f>K233-L233</f>
        <v>0</v>
      </c>
      <c r="N233" s="4">
        <v>11756</v>
      </c>
      <c r="O233" s="4"/>
      <c r="P233" s="7">
        <f>grand[[#This Row],[total weight]]/grand[[#This Row],[received]]</f>
        <v>455.69767441860466</v>
      </c>
      <c r="Q233" s="7">
        <f>grand[[#This Row],[receiving weight]]/grand[[#This Row],[received]]</f>
        <v>455.69767441860466</v>
      </c>
      <c r="R233" s="7">
        <f>grand[[#This Row],[transportation loss ]]/grand[[#This Row],[received]]</f>
        <v>0</v>
      </c>
      <c r="S233" s="7">
        <f>grand[[#This Row],[ carcass weight]]/grand[[#This Row],[received]]</f>
        <v>273.39534883720933</v>
      </c>
      <c r="T233" s="7">
        <f>grand[[#This Row],[ kidneys fat quantity]]/grand[[#This Row],[received]]</f>
        <v>0</v>
      </c>
      <c r="U233" s="4">
        <v>24.5</v>
      </c>
      <c r="V233" s="4">
        <v>0</v>
      </c>
      <c r="W233" s="4">
        <v>49.8</v>
      </c>
      <c r="X233" s="4">
        <v>10</v>
      </c>
      <c r="Y233" s="8">
        <v>8.5</v>
      </c>
      <c r="Z233" s="3">
        <f>grand[[#This Row],[av. Transportation loss]]/grand[[#This Row],[av.total weight]]</f>
        <v>0</v>
      </c>
      <c r="AA233" s="12">
        <f>AVERAGE((grand[[#This Row],[am]]/25),(grand[[#This Row],[pm]]/50))</f>
        <v>0.98799999999999999</v>
      </c>
      <c r="AB233" s="3">
        <f>grand[[#This Row],[ carcass weight]]/grand[[#This Row],[total weight]]</f>
        <v>0.59994896657310537</v>
      </c>
      <c r="AC233" s="6">
        <f>SUM(grand[[#This Row],[am]:[meat transportation]])/100</f>
        <v>0.92799999999999994</v>
      </c>
      <c r="AD233" s="4"/>
      <c r="AE233" s="4"/>
      <c r="AF233" s="4" t="s">
        <v>84</v>
      </c>
      <c r="AG233" s="4"/>
      <c r="AH233" s="4"/>
      <c r="AI233" s="4"/>
      <c r="AJ233" s="2">
        <v>4</v>
      </c>
      <c r="AK233" s="4"/>
    </row>
    <row r="234" spans="1:37" hidden="1" x14ac:dyDescent="0.2">
      <c r="A234" s="11">
        <v>43910</v>
      </c>
      <c r="B234" s="53" t="s">
        <v>1436</v>
      </c>
      <c r="C234" s="52" t="str">
        <f>IF(MID(B234,4,2)="09","Ramadan",IF(AND(MID(B234,4,2)="12",VALUE(LEFT(B234,2))&lt;=9),"Adha Season","Normal"))</f>
        <v>Normal</v>
      </c>
      <c r="D234" s="1" t="s">
        <v>45</v>
      </c>
      <c r="F234" s="4" t="s">
        <v>46</v>
      </c>
      <c r="G234" s="4">
        <v>27</v>
      </c>
      <c r="H234" s="4">
        <v>27</v>
      </c>
      <c r="I234" s="2">
        <f>grand[[#This Row],[number]]-grand[[#This Row],[received]]</f>
        <v>0</v>
      </c>
      <c r="J234" s="30"/>
      <c r="K234" s="4">
        <v>9648</v>
      </c>
      <c r="L234" s="4">
        <v>9480</v>
      </c>
      <c r="M234" s="2">
        <f>K234-L234</f>
        <v>168</v>
      </c>
      <c r="N234" s="4">
        <v>5788.6</v>
      </c>
      <c r="O234" s="4"/>
      <c r="P234" s="7">
        <f>grand[[#This Row],[total weight]]/grand[[#This Row],[received]]</f>
        <v>357.33333333333331</v>
      </c>
      <c r="Q234" s="7">
        <f>grand[[#This Row],[receiving weight]]/grand[[#This Row],[received]]</f>
        <v>351.11111111111109</v>
      </c>
      <c r="R234" s="7">
        <f>grand[[#This Row],[transportation loss ]]/grand[[#This Row],[received]]</f>
        <v>6.2222222222222223</v>
      </c>
      <c r="S234" s="7">
        <f>grand[[#This Row],[ carcass weight]]/grand[[#This Row],[received]]</f>
        <v>214.39259259259259</v>
      </c>
      <c r="T234" s="7">
        <f>grand[[#This Row],[ kidneys fat quantity]]/grand[[#This Row],[received]]</f>
        <v>0</v>
      </c>
      <c r="U234" s="4">
        <v>20.5</v>
      </c>
      <c r="V234" s="4">
        <v>0</v>
      </c>
      <c r="W234" s="4">
        <v>49.8</v>
      </c>
      <c r="X234" s="4">
        <v>10</v>
      </c>
      <c r="Y234" s="8">
        <v>8.5</v>
      </c>
      <c r="Z234" s="3">
        <f>grand[[#This Row],[av. Transportation loss]]/grand[[#This Row],[av.total weight]]</f>
        <v>1.7412935323383085E-2</v>
      </c>
      <c r="AA234" s="12">
        <f>AVERAGE((grand[[#This Row],[am]]/25),(grand[[#This Row],[pm]]/50))</f>
        <v>0.90799999999999992</v>
      </c>
      <c r="AB234" s="3">
        <f>grand[[#This Row],[ carcass weight]]/grand[[#This Row],[total weight]]</f>
        <v>0.59997927031509124</v>
      </c>
      <c r="AC234" s="6">
        <f>SUM(grand[[#This Row],[am]:[meat transportation]])/100</f>
        <v>0.88800000000000001</v>
      </c>
      <c r="AD234" s="4"/>
      <c r="AE234" s="4"/>
      <c r="AF234" s="4" t="s">
        <v>85</v>
      </c>
      <c r="AG234" s="4"/>
      <c r="AH234" s="4"/>
      <c r="AI234" s="4"/>
      <c r="AJ234" s="2">
        <v>18</v>
      </c>
      <c r="AK234" s="4"/>
    </row>
    <row r="235" spans="1:37" hidden="1" x14ac:dyDescent="0.2">
      <c r="A235" s="11">
        <v>43914</v>
      </c>
      <c r="B235" s="53" t="s">
        <v>1439</v>
      </c>
      <c r="C235" s="52" t="str">
        <f>IF(MID(B235,4,2)="09","Ramadan",IF(AND(MID(B235,4,2)="12",VALUE(LEFT(B235,2))&lt;=9),"Adha Season","Normal"))</f>
        <v>Normal</v>
      </c>
      <c r="D235" s="1" t="s">
        <v>45</v>
      </c>
      <c r="F235" s="4" t="s">
        <v>47</v>
      </c>
      <c r="G235" s="4">
        <v>40</v>
      </c>
      <c r="H235" s="4">
        <v>40</v>
      </c>
      <c r="I235" s="2">
        <f>grand[[#This Row],[number]]-grand[[#This Row],[received]]</f>
        <v>0</v>
      </c>
      <c r="J235" s="30"/>
      <c r="K235" s="4">
        <v>18875</v>
      </c>
      <c r="L235" s="4">
        <v>18225</v>
      </c>
      <c r="M235" s="2">
        <f>K235-L235</f>
        <v>650</v>
      </c>
      <c r="N235" s="4">
        <v>11489.2</v>
      </c>
      <c r="O235" s="4"/>
      <c r="P235" s="7">
        <f>grand[[#This Row],[total weight]]/grand[[#This Row],[received]]</f>
        <v>471.875</v>
      </c>
      <c r="Q235" s="7">
        <f>grand[[#This Row],[receiving weight]]/grand[[#This Row],[received]]</f>
        <v>455.625</v>
      </c>
      <c r="R235" s="7">
        <f>grand[[#This Row],[transportation loss ]]/grand[[#This Row],[received]]</f>
        <v>16.25</v>
      </c>
      <c r="S235" s="7">
        <f>grand[[#This Row],[ carcass weight]]/grand[[#This Row],[received]]</f>
        <v>287.23</v>
      </c>
      <c r="T235" s="7">
        <f>grand[[#This Row],[ kidneys fat quantity]]/grand[[#This Row],[received]]</f>
        <v>0</v>
      </c>
      <c r="U235" s="4">
        <v>24.9</v>
      </c>
      <c r="V235" s="4">
        <v>0</v>
      </c>
      <c r="W235" s="4">
        <v>49.7</v>
      </c>
      <c r="X235" s="4">
        <v>10</v>
      </c>
      <c r="Y235" s="8">
        <v>8.3000000000000007</v>
      </c>
      <c r="Z235" s="3">
        <f>grand[[#This Row],[av. Transportation loss]]/grand[[#This Row],[av.total weight]]</f>
        <v>3.443708609271523E-2</v>
      </c>
      <c r="AA235" s="12">
        <f>AVERAGE((grand[[#This Row],[am]]/25),(grand[[#This Row],[pm]]/50))</f>
        <v>0.99500000000000011</v>
      </c>
      <c r="AB235" s="3">
        <f>grand[[#This Row],[ carcass weight]]/grand[[#This Row],[total weight]]</f>
        <v>0.60869933774834439</v>
      </c>
      <c r="AC235" s="6">
        <f>SUM(grand[[#This Row],[am]:[meat transportation]])/100</f>
        <v>0.92899999999999994</v>
      </c>
      <c r="AD235" s="4" t="s">
        <v>81</v>
      </c>
      <c r="AE235" s="4"/>
      <c r="AF235" s="4" t="s">
        <v>66</v>
      </c>
      <c r="AG235" s="4"/>
      <c r="AH235" s="4"/>
      <c r="AI235" s="4"/>
      <c r="AJ235" s="2">
        <v>1</v>
      </c>
      <c r="AK235" s="4"/>
    </row>
    <row r="236" spans="1:37" hidden="1" x14ac:dyDescent="0.2">
      <c r="A236" s="11">
        <v>43916</v>
      </c>
      <c r="B236" s="53" t="s">
        <v>1441</v>
      </c>
      <c r="C236" s="52" t="str">
        <f>IF(MID(B236,4,2)="09","Ramadan",IF(AND(MID(B236,4,2)="12",VALUE(LEFT(B236,2))&lt;=9),"Adha Season","Normal"))</f>
        <v>Normal</v>
      </c>
      <c r="D236" s="1" t="s">
        <v>45</v>
      </c>
      <c r="F236" s="4" t="s">
        <v>46</v>
      </c>
      <c r="G236" s="4">
        <v>26</v>
      </c>
      <c r="H236" s="4">
        <v>26</v>
      </c>
      <c r="I236" s="2">
        <f>grand[[#This Row],[number]]-grand[[#This Row],[received]]</f>
        <v>0</v>
      </c>
      <c r="J236" s="30"/>
      <c r="K236" s="4">
        <v>12960</v>
      </c>
      <c r="L236" s="4">
        <v>12960</v>
      </c>
      <c r="M236" s="2">
        <f>K236-L236</f>
        <v>0</v>
      </c>
      <c r="N236" s="4">
        <v>7871.4</v>
      </c>
      <c r="O236" s="4"/>
      <c r="P236" s="7">
        <f>grand[[#This Row],[total weight]]/grand[[#This Row],[received]]</f>
        <v>498.46153846153845</v>
      </c>
      <c r="Q236" s="7">
        <f>grand[[#This Row],[receiving weight]]/grand[[#This Row],[received]]</f>
        <v>498.46153846153845</v>
      </c>
      <c r="R236" s="7">
        <f>grand[[#This Row],[transportation loss ]]/grand[[#This Row],[received]]</f>
        <v>0</v>
      </c>
      <c r="S236" s="7">
        <f>grand[[#This Row],[ carcass weight]]/grand[[#This Row],[received]]</f>
        <v>302.74615384615385</v>
      </c>
      <c r="T236" s="7">
        <f>grand[[#This Row],[ kidneys fat quantity]]/grand[[#This Row],[received]]</f>
        <v>0</v>
      </c>
      <c r="U236" s="4">
        <v>24.8</v>
      </c>
      <c r="V236" s="4">
        <v>0</v>
      </c>
      <c r="W236" s="4">
        <v>49.7</v>
      </c>
      <c r="X236" s="4">
        <v>10</v>
      </c>
      <c r="Y236" s="8">
        <v>8.5</v>
      </c>
      <c r="Z236" s="3">
        <f>grand[[#This Row],[av. Transportation loss]]/grand[[#This Row],[av.total weight]]</f>
        <v>0</v>
      </c>
      <c r="AA236" s="12">
        <f>AVERAGE((grand[[#This Row],[am]]/25),(grand[[#This Row],[pm]]/50))</f>
        <v>0.9930000000000001</v>
      </c>
      <c r="AB236" s="3">
        <f>grand[[#This Row],[ carcass weight]]/grand[[#This Row],[total weight]]</f>
        <v>0.60736111111111113</v>
      </c>
      <c r="AC236" s="6">
        <f>SUM(grand[[#This Row],[am]:[meat transportation]])/100</f>
        <v>0.93</v>
      </c>
      <c r="AD236" s="4"/>
      <c r="AE236" s="4">
        <v>1</v>
      </c>
      <c r="AF236" s="4" t="s">
        <v>87</v>
      </c>
      <c r="AG236" s="4"/>
      <c r="AH236" s="4"/>
      <c r="AI236" s="4"/>
      <c r="AJ236" s="2">
        <v>3</v>
      </c>
      <c r="AK236" s="4"/>
    </row>
    <row r="237" spans="1:37" hidden="1" x14ac:dyDescent="0.2">
      <c r="A237" s="11">
        <v>43918</v>
      </c>
      <c r="B237" s="53" t="s">
        <v>1442</v>
      </c>
      <c r="C237" s="52" t="str">
        <f>IF(MID(B237,4,2)="09","Ramadan",IF(AND(MID(B237,4,2)="12",VALUE(LEFT(B237,2))&lt;=9),"Adha Season","Normal"))</f>
        <v>Normal</v>
      </c>
      <c r="D237" s="1" t="s">
        <v>45</v>
      </c>
      <c r="F237" s="4" t="s">
        <v>46</v>
      </c>
      <c r="G237" s="4">
        <v>27</v>
      </c>
      <c r="H237" s="4">
        <v>27</v>
      </c>
      <c r="I237" s="2">
        <f>grand[[#This Row],[number]]-grand[[#This Row],[received]]</f>
        <v>0</v>
      </c>
      <c r="J237" s="30"/>
      <c r="K237" s="4">
        <v>11587</v>
      </c>
      <c r="L237" s="4">
        <v>11587</v>
      </c>
      <c r="M237" s="2">
        <f>K237-L237</f>
        <v>0</v>
      </c>
      <c r="N237" s="4">
        <v>6952</v>
      </c>
      <c r="O237" s="4"/>
      <c r="P237" s="7">
        <f>grand[[#This Row],[total weight]]/grand[[#This Row],[received]]</f>
        <v>429.14814814814815</v>
      </c>
      <c r="Q237" s="7">
        <f>grand[[#This Row],[receiving weight]]/grand[[#This Row],[received]]</f>
        <v>429.14814814814815</v>
      </c>
      <c r="R237" s="7">
        <f>grand[[#This Row],[transportation loss ]]/grand[[#This Row],[received]]</f>
        <v>0</v>
      </c>
      <c r="S237" s="7">
        <f>grand[[#This Row],[ carcass weight]]/grand[[#This Row],[received]]</f>
        <v>257.48148148148147</v>
      </c>
      <c r="T237" s="7">
        <f>grand[[#This Row],[ kidneys fat quantity]]/grand[[#This Row],[received]]</f>
        <v>0</v>
      </c>
      <c r="U237" s="4">
        <v>25</v>
      </c>
      <c r="V237" s="4">
        <v>0</v>
      </c>
      <c r="W237" s="4">
        <v>41.9</v>
      </c>
      <c r="X237" s="4">
        <v>10</v>
      </c>
      <c r="Y237" s="8">
        <v>8.5</v>
      </c>
      <c r="Z237" s="3">
        <f>grand[[#This Row],[av. Transportation loss]]/grand[[#This Row],[av.total weight]]</f>
        <v>0</v>
      </c>
      <c r="AA237" s="12">
        <f>AVERAGE((grand[[#This Row],[am]]/25),(grand[[#This Row],[pm]]/50))</f>
        <v>0.91900000000000004</v>
      </c>
      <c r="AB237" s="3">
        <f>grand[[#This Row],[ carcass weight]]/grand[[#This Row],[total weight]]</f>
        <v>0.5999827392767757</v>
      </c>
      <c r="AC237" s="6">
        <f>SUM(grand[[#This Row],[am]:[meat transportation]])/100</f>
        <v>0.85400000000000009</v>
      </c>
      <c r="AD237" s="4"/>
      <c r="AE237" s="4">
        <v>1</v>
      </c>
      <c r="AF237" s="4"/>
      <c r="AG237" s="4"/>
      <c r="AH237" s="4"/>
      <c r="AI237" s="4"/>
      <c r="AJ237" s="2"/>
      <c r="AK237" s="4"/>
    </row>
    <row r="238" spans="1:37" hidden="1" x14ac:dyDescent="0.2">
      <c r="A238" s="11">
        <v>43921</v>
      </c>
      <c r="B238" s="53" t="s">
        <v>1445</v>
      </c>
      <c r="C238" s="52" t="str">
        <f>IF(MID(B238,4,2)="09","Ramadan",IF(AND(MID(B238,4,2)="12",VALUE(LEFT(B238,2))&lt;=9),"Adha Season","Normal"))</f>
        <v>Normal</v>
      </c>
      <c r="D238" s="1" t="s">
        <v>45</v>
      </c>
      <c r="F238" s="4" t="s">
        <v>47</v>
      </c>
      <c r="G238" s="4">
        <v>40</v>
      </c>
      <c r="H238" s="4">
        <v>40</v>
      </c>
      <c r="I238" s="2">
        <f>grand[[#This Row],[number]]-grand[[#This Row],[received]]</f>
        <v>0</v>
      </c>
      <c r="J238" s="30"/>
      <c r="K238" s="4">
        <v>19657</v>
      </c>
      <c r="L238" s="4">
        <v>19230</v>
      </c>
      <c r="M238" s="2">
        <f>K238-L238</f>
        <v>427</v>
      </c>
      <c r="N238" s="4">
        <v>12401.5</v>
      </c>
      <c r="O238" s="4"/>
      <c r="P238" s="7">
        <f>grand[[#This Row],[total weight]]/grand[[#This Row],[received]]</f>
        <v>491.42500000000001</v>
      </c>
      <c r="Q238" s="7">
        <f>grand[[#This Row],[receiving weight]]/grand[[#This Row],[received]]</f>
        <v>480.75</v>
      </c>
      <c r="R238" s="7">
        <f>grand[[#This Row],[transportation loss ]]/grand[[#This Row],[received]]</f>
        <v>10.675000000000001</v>
      </c>
      <c r="S238" s="7">
        <f>grand[[#This Row],[ carcass weight]]/grand[[#This Row],[received]]</f>
        <v>310.03750000000002</v>
      </c>
      <c r="T238" s="7">
        <f>grand[[#This Row],[ kidneys fat quantity]]/grand[[#This Row],[received]]</f>
        <v>0</v>
      </c>
      <c r="U238" s="4">
        <v>25</v>
      </c>
      <c r="V238" s="4">
        <v>0</v>
      </c>
      <c r="W238" s="4">
        <v>49.8</v>
      </c>
      <c r="X238" s="4">
        <v>10</v>
      </c>
      <c r="Y238" s="8">
        <v>8.5</v>
      </c>
      <c r="Z238" s="3">
        <f>grand[[#This Row],[av. Transportation loss]]/grand[[#This Row],[av.total weight]]</f>
        <v>2.1722541588238286E-2</v>
      </c>
      <c r="AA238" s="12">
        <f>AVERAGE((grand[[#This Row],[am]]/25),(grand[[#This Row],[pm]]/50))</f>
        <v>0.998</v>
      </c>
      <c r="AB238" s="3">
        <f>grand[[#This Row],[ carcass weight]]/grand[[#This Row],[total weight]]</f>
        <v>0.63089484661952488</v>
      </c>
      <c r="AC238" s="6">
        <f>SUM(grand[[#This Row],[am]:[meat transportation]])/100</f>
        <v>0.93299999999999994</v>
      </c>
      <c r="AD238" s="4"/>
      <c r="AE238" s="4">
        <v>3</v>
      </c>
      <c r="AF238" s="4"/>
      <c r="AG238" s="4"/>
      <c r="AH238" s="4"/>
      <c r="AI238" s="4"/>
      <c r="AJ238" s="2"/>
      <c r="AK238" s="4"/>
    </row>
    <row r="239" spans="1:37" hidden="1" x14ac:dyDescent="0.2">
      <c r="A239" s="11">
        <v>43922</v>
      </c>
      <c r="B239" s="53" t="s">
        <v>1446</v>
      </c>
      <c r="C239" s="52" t="str">
        <f>IF(MID(B239,4,2)="09","Ramadan",IF(AND(MID(B239,4,2)="12",VALUE(LEFT(B239,2))&lt;=9),"Adha Season","Normal"))</f>
        <v>Normal</v>
      </c>
      <c r="D239" s="1" t="s">
        <v>45</v>
      </c>
      <c r="F239" s="4" t="s">
        <v>47</v>
      </c>
      <c r="G239" s="4">
        <v>35</v>
      </c>
      <c r="H239" s="4">
        <v>35</v>
      </c>
      <c r="I239" s="2">
        <f>grand[[#This Row],[number]]-grand[[#This Row],[received]]</f>
        <v>0</v>
      </c>
      <c r="J239" s="30"/>
      <c r="K239" s="4">
        <v>16320</v>
      </c>
      <c r="L239" s="4">
        <v>15896</v>
      </c>
      <c r="M239" s="2">
        <f>K239-L239</f>
        <v>424</v>
      </c>
      <c r="N239" s="4">
        <v>10001</v>
      </c>
      <c r="O239" s="4"/>
      <c r="P239" s="7">
        <f>grand[[#This Row],[total weight]]/grand[[#This Row],[received]]</f>
        <v>466.28571428571428</v>
      </c>
      <c r="Q239" s="7">
        <f>grand[[#This Row],[receiving weight]]/grand[[#This Row],[received]]</f>
        <v>454.17142857142858</v>
      </c>
      <c r="R239" s="7">
        <f>grand[[#This Row],[transportation loss ]]/grand[[#This Row],[received]]</f>
        <v>12.114285714285714</v>
      </c>
      <c r="S239" s="7">
        <f>grand[[#This Row],[ carcass weight]]/grand[[#This Row],[received]]</f>
        <v>285.74285714285713</v>
      </c>
      <c r="T239" s="7">
        <f>grand[[#This Row],[ kidneys fat quantity]]/grand[[#This Row],[received]]</f>
        <v>0</v>
      </c>
      <c r="U239" s="4">
        <v>24.7</v>
      </c>
      <c r="V239" s="4">
        <v>0</v>
      </c>
      <c r="W239" s="4">
        <v>49.8</v>
      </c>
      <c r="X239" s="4">
        <v>10</v>
      </c>
      <c r="Y239" s="8">
        <v>8.5</v>
      </c>
      <c r="Z239" s="3">
        <f>grand[[#This Row],[av. Transportation loss]]/grand[[#This Row],[av.total weight]]</f>
        <v>2.5980392156862743E-2</v>
      </c>
      <c r="AA239" s="12">
        <f>AVERAGE((grand[[#This Row],[am]]/25),(grand[[#This Row],[pm]]/50))</f>
        <v>0.99199999999999999</v>
      </c>
      <c r="AB239" s="3">
        <f>grand[[#This Row],[ carcass weight]]/grand[[#This Row],[total weight]]</f>
        <v>0.6128063725490196</v>
      </c>
      <c r="AC239" s="6">
        <f>SUM(grand[[#This Row],[am]:[meat transportation]])/100</f>
        <v>0.93</v>
      </c>
      <c r="AD239" s="4"/>
      <c r="AE239" s="4">
        <v>2</v>
      </c>
      <c r="AF239" s="4"/>
      <c r="AG239" s="4"/>
      <c r="AH239" s="4"/>
      <c r="AI239" s="4"/>
      <c r="AJ239" s="2">
        <v>2</v>
      </c>
      <c r="AK239" s="4"/>
    </row>
    <row r="240" spans="1:37" hidden="1" x14ac:dyDescent="0.2">
      <c r="A240" s="11">
        <v>43923</v>
      </c>
      <c r="B240" s="53" t="s">
        <v>1447</v>
      </c>
      <c r="C240" s="52" t="str">
        <f>IF(MID(B240,4,2)="09","Ramadan",IF(AND(MID(B240,4,2)="12",VALUE(LEFT(B240,2))&lt;=9),"Adha Season","Normal"))</f>
        <v>Normal</v>
      </c>
      <c r="D240" s="1" t="s">
        <v>45</v>
      </c>
      <c r="F240" s="4" t="s">
        <v>47</v>
      </c>
      <c r="G240" s="4">
        <v>24</v>
      </c>
      <c r="H240" s="4">
        <v>24</v>
      </c>
      <c r="I240" s="2">
        <f>grand[[#This Row],[number]]-grand[[#This Row],[received]]</f>
        <v>0</v>
      </c>
      <c r="J240" s="30"/>
      <c r="K240" s="4">
        <v>11382</v>
      </c>
      <c r="L240" s="4">
        <v>11040</v>
      </c>
      <c r="M240" s="2">
        <f>K240-L240</f>
        <v>342</v>
      </c>
      <c r="N240" s="4">
        <v>6829.6</v>
      </c>
      <c r="O240" s="4"/>
      <c r="P240" s="7">
        <f>grand[[#This Row],[total weight]]/grand[[#This Row],[received]]</f>
        <v>474.25</v>
      </c>
      <c r="Q240" s="7">
        <f>grand[[#This Row],[receiving weight]]/grand[[#This Row],[received]]</f>
        <v>460</v>
      </c>
      <c r="R240" s="7">
        <f>grand[[#This Row],[transportation loss ]]/grand[[#This Row],[received]]</f>
        <v>14.25</v>
      </c>
      <c r="S240" s="7">
        <f>grand[[#This Row],[ carcass weight]]/grand[[#This Row],[received]]</f>
        <v>284.56666666666666</v>
      </c>
      <c r="T240" s="7">
        <f>grand[[#This Row],[ kidneys fat quantity]]/grand[[#This Row],[received]]</f>
        <v>0</v>
      </c>
      <c r="U240" s="4">
        <v>25</v>
      </c>
      <c r="V240" s="4">
        <v>0</v>
      </c>
      <c r="W240" s="4">
        <v>50</v>
      </c>
      <c r="X240" s="4">
        <v>10</v>
      </c>
      <c r="Y240" s="8">
        <v>8.5</v>
      </c>
      <c r="Z240" s="3">
        <f>grand[[#This Row],[av. Transportation loss]]/grand[[#This Row],[av.total weight]]</f>
        <v>3.0047443331576173E-2</v>
      </c>
      <c r="AA240" s="12">
        <f>AVERAGE((grand[[#This Row],[am]]/25),(grand[[#This Row],[pm]]/50))</f>
        <v>1</v>
      </c>
      <c r="AB240" s="3">
        <f>grand[[#This Row],[ carcass weight]]/grand[[#This Row],[total weight]]</f>
        <v>0.60003514320857498</v>
      </c>
      <c r="AC240" s="6">
        <f>SUM(grand[[#This Row],[am]:[meat transportation]])/100</f>
        <v>0.93500000000000005</v>
      </c>
      <c r="AD240" s="4"/>
      <c r="AE240" s="4"/>
      <c r="AF240" s="4"/>
      <c r="AG240" s="4"/>
      <c r="AH240" s="4"/>
      <c r="AI240" s="4">
        <v>1</v>
      </c>
      <c r="AJ240" s="2"/>
      <c r="AK240" s="4"/>
    </row>
    <row r="241" spans="1:37" hidden="1" x14ac:dyDescent="0.2">
      <c r="A241" s="11">
        <v>43926</v>
      </c>
      <c r="B241" s="53" t="s">
        <v>1449</v>
      </c>
      <c r="C241" s="52" t="str">
        <f>IF(MID(B241,4,2)="09","Ramadan",IF(AND(MID(B241,4,2)="12",VALUE(LEFT(B241,2))&lt;=9),"Adha Season","Normal"))</f>
        <v>Normal</v>
      </c>
      <c r="D241" s="1" t="s">
        <v>45</v>
      </c>
      <c r="F241" s="4" t="s">
        <v>47</v>
      </c>
      <c r="G241" s="4">
        <v>40</v>
      </c>
      <c r="H241" s="4">
        <v>40</v>
      </c>
      <c r="I241" s="2">
        <f>grand[[#This Row],[number]]-grand[[#This Row],[received]]</f>
        <v>0</v>
      </c>
      <c r="J241" s="30"/>
      <c r="K241" s="4">
        <v>19499</v>
      </c>
      <c r="L241" s="4">
        <v>18705</v>
      </c>
      <c r="M241" s="2">
        <f>K241-L241</f>
        <v>794</v>
      </c>
      <c r="N241" s="4">
        <v>11835.8</v>
      </c>
      <c r="O241" s="4"/>
      <c r="P241" s="7">
        <f>grand[[#This Row],[total weight]]/grand[[#This Row],[received]]</f>
        <v>487.47500000000002</v>
      </c>
      <c r="Q241" s="7">
        <f>grand[[#This Row],[receiving weight]]/grand[[#This Row],[received]]</f>
        <v>467.625</v>
      </c>
      <c r="R241" s="7">
        <f>grand[[#This Row],[transportation loss ]]/grand[[#This Row],[received]]</f>
        <v>19.850000000000001</v>
      </c>
      <c r="S241" s="7">
        <f>grand[[#This Row],[ carcass weight]]/grand[[#This Row],[received]]</f>
        <v>295.89499999999998</v>
      </c>
      <c r="T241" s="7">
        <f>grand[[#This Row],[ kidneys fat quantity]]/grand[[#This Row],[received]]</f>
        <v>0</v>
      </c>
      <c r="U241" s="4">
        <v>24.8</v>
      </c>
      <c r="V241" s="4">
        <v>0</v>
      </c>
      <c r="W241" s="4">
        <v>49.6</v>
      </c>
      <c r="X241" s="4">
        <v>10</v>
      </c>
      <c r="Y241" s="8">
        <v>8.3000000000000007</v>
      </c>
      <c r="Z241" s="3">
        <f>grand[[#This Row],[av. Transportation loss]]/grand[[#This Row],[av.total weight]]</f>
        <v>4.0720036924970511E-2</v>
      </c>
      <c r="AA241" s="12">
        <f>AVERAGE((grand[[#This Row],[am]]/25),(grand[[#This Row],[pm]]/50))</f>
        <v>0.99199999999999999</v>
      </c>
      <c r="AB241" s="3">
        <f>grand[[#This Row],[ carcass weight]]/grand[[#This Row],[total weight]]</f>
        <v>0.60699523052464222</v>
      </c>
      <c r="AC241" s="6">
        <f>SUM(grand[[#This Row],[am]:[meat transportation]])/100</f>
        <v>0.92700000000000005</v>
      </c>
      <c r="AD241" s="4" t="s">
        <v>89</v>
      </c>
      <c r="AE241" s="4">
        <v>2</v>
      </c>
      <c r="AF241" s="4" t="s">
        <v>55</v>
      </c>
      <c r="AG241" s="4"/>
      <c r="AH241" s="4"/>
      <c r="AI241" s="4"/>
      <c r="AJ241" s="2">
        <v>2</v>
      </c>
      <c r="AK241" s="4"/>
    </row>
    <row r="242" spans="1:37" hidden="1" x14ac:dyDescent="0.2">
      <c r="A242" s="11">
        <v>43927</v>
      </c>
      <c r="B242" s="53" t="s">
        <v>1450</v>
      </c>
      <c r="C242" s="52" t="str">
        <f>IF(MID(B242,4,2)="09","Ramadan",IF(AND(MID(B242,4,2)="12",VALUE(LEFT(B242,2))&lt;=9),"Adha Season","Normal"))</f>
        <v>Normal</v>
      </c>
      <c r="D242" s="1" t="s">
        <v>45</v>
      </c>
      <c r="F242" s="4" t="s">
        <v>46</v>
      </c>
      <c r="G242" s="4">
        <v>28</v>
      </c>
      <c r="H242" s="4">
        <v>28</v>
      </c>
      <c r="I242" s="2">
        <f>grand[[#This Row],[number]]-grand[[#This Row],[received]]</f>
        <v>0</v>
      </c>
      <c r="J242" s="30"/>
      <c r="K242" s="4">
        <v>13126</v>
      </c>
      <c r="L242" s="4">
        <v>13126</v>
      </c>
      <c r="M242" s="2">
        <f>K242-L242</f>
        <v>0</v>
      </c>
      <c r="N242" s="4">
        <v>7875.2</v>
      </c>
      <c r="O242" s="4"/>
      <c r="P242" s="7">
        <f>grand[[#This Row],[total weight]]/grand[[#This Row],[received]]</f>
        <v>468.78571428571428</v>
      </c>
      <c r="Q242" s="7">
        <f>grand[[#This Row],[receiving weight]]/grand[[#This Row],[received]]</f>
        <v>468.78571428571428</v>
      </c>
      <c r="R242" s="7">
        <f>grand[[#This Row],[transportation loss ]]/grand[[#This Row],[received]]</f>
        <v>0</v>
      </c>
      <c r="S242" s="7">
        <f>grand[[#This Row],[ carcass weight]]/grand[[#This Row],[received]]</f>
        <v>281.25714285714287</v>
      </c>
      <c r="T242" s="7">
        <f>grand[[#This Row],[ kidneys fat quantity]]/grand[[#This Row],[received]]</f>
        <v>0</v>
      </c>
      <c r="U242" s="4">
        <v>21.5</v>
      </c>
      <c r="V242" s="4">
        <v>0</v>
      </c>
      <c r="W242" s="4">
        <v>46</v>
      </c>
      <c r="X242" s="4">
        <v>10</v>
      </c>
      <c r="Y242" s="8">
        <v>7.9</v>
      </c>
      <c r="Z242" s="3">
        <f>grand[[#This Row],[av. Transportation loss]]/grand[[#This Row],[av.total weight]]</f>
        <v>0</v>
      </c>
      <c r="AA242" s="12">
        <f>AVERAGE((grand[[#This Row],[am]]/25),(grand[[#This Row],[pm]]/50))</f>
        <v>0.89</v>
      </c>
      <c r="AB242" s="3">
        <f>grand[[#This Row],[ carcass weight]]/grand[[#This Row],[total weight]]</f>
        <v>0.59996952613134236</v>
      </c>
      <c r="AC242" s="6">
        <f>SUM(grand[[#This Row],[am]:[meat transportation]])/100</f>
        <v>0.85400000000000009</v>
      </c>
      <c r="AD242" s="4" t="s">
        <v>90</v>
      </c>
      <c r="AE242" s="4">
        <v>1</v>
      </c>
      <c r="AF242" s="4" t="s">
        <v>91</v>
      </c>
      <c r="AG242" s="4"/>
      <c r="AH242" s="4"/>
      <c r="AI242" s="4">
        <v>20</v>
      </c>
      <c r="AJ242" s="2">
        <v>3</v>
      </c>
      <c r="AK242" s="4">
        <v>20</v>
      </c>
    </row>
    <row r="243" spans="1:37" hidden="1" x14ac:dyDescent="0.2">
      <c r="A243" s="11">
        <v>43930</v>
      </c>
      <c r="B243" s="53" t="s">
        <v>1453</v>
      </c>
      <c r="C243" s="52" t="str">
        <f>IF(MID(B243,4,2)="09","Ramadan",IF(AND(MID(B243,4,2)="12",VALUE(LEFT(B243,2))&lt;=9),"Adha Season","Normal"))</f>
        <v>Normal</v>
      </c>
      <c r="D243" s="1" t="s">
        <v>45</v>
      </c>
      <c r="F243" s="4" t="s">
        <v>47</v>
      </c>
      <c r="G243" s="4">
        <v>30</v>
      </c>
      <c r="H243" s="4">
        <v>30</v>
      </c>
      <c r="I243" s="2">
        <f>grand[[#This Row],[number]]-grand[[#This Row],[received]]</f>
        <v>0</v>
      </c>
      <c r="J243" s="30"/>
      <c r="K243" s="4">
        <v>13700</v>
      </c>
      <c r="L243" s="4">
        <v>13400</v>
      </c>
      <c r="M243" s="2">
        <f>K243-L243</f>
        <v>300</v>
      </c>
      <c r="N243" s="4">
        <v>8526.2999999999993</v>
      </c>
      <c r="O243" s="4"/>
      <c r="P243" s="7">
        <f>grand[[#This Row],[total weight]]/grand[[#This Row],[received]]</f>
        <v>456.66666666666669</v>
      </c>
      <c r="Q243" s="7">
        <f>grand[[#This Row],[receiving weight]]/grand[[#This Row],[received]]</f>
        <v>446.66666666666669</v>
      </c>
      <c r="R243" s="7">
        <f>grand[[#This Row],[transportation loss ]]/grand[[#This Row],[received]]</f>
        <v>10</v>
      </c>
      <c r="S243" s="7">
        <f>grand[[#This Row],[ carcass weight]]/grand[[#This Row],[received]]</f>
        <v>284.20999999999998</v>
      </c>
      <c r="T243" s="7">
        <f>grand[[#This Row],[ kidneys fat quantity]]/grand[[#This Row],[received]]</f>
        <v>0</v>
      </c>
      <c r="U243" s="4">
        <v>25</v>
      </c>
      <c r="V243" s="4">
        <v>0</v>
      </c>
      <c r="W243" s="4">
        <v>49.5</v>
      </c>
      <c r="X243" s="4">
        <v>10</v>
      </c>
      <c r="Y243" s="8">
        <v>8.5</v>
      </c>
      <c r="Z243" s="3">
        <f>grand[[#This Row],[av. Transportation loss]]/grand[[#This Row],[av.total weight]]</f>
        <v>2.18978102189781E-2</v>
      </c>
      <c r="AA243" s="12">
        <f>AVERAGE((grand[[#This Row],[am]]/25),(grand[[#This Row],[pm]]/50))</f>
        <v>0.995</v>
      </c>
      <c r="AB243" s="3">
        <f>grand[[#This Row],[ carcass weight]]/grand[[#This Row],[total weight]]</f>
        <v>0.62235766423357664</v>
      </c>
      <c r="AC243" s="6">
        <f>SUM(grand[[#This Row],[am]:[meat transportation]])/100</f>
        <v>0.93</v>
      </c>
      <c r="AD243" s="4"/>
      <c r="AE243" s="4"/>
      <c r="AF243" s="4" t="s">
        <v>93</v>
      </c>
      <c r="AG243" s="4"/>
      <c r="AH243" s="4"/>
      <c r="AI243" s="4"/>
      <c r="AJ243" s="2"/>
      <c r="AK243" s="4"/>
    </row>
    <row r="244" spans="1:37" hidden="1" x14ac:dyDescent="0.2">
      <c r="A244" s="11">
        <v>43932</v>
      </c>
      <c r="B244" s="53" t="s">
        <v>1454</v>
      </c>
      <c r="C244" s="52" t="str">
        <f>IF(MID(B244,4,2)="09","Ramadan",IF(AND(MID(B244,4,2)="12",VALUE(LEFT(B244,2))&lt;=9),"Adha Season","Normal"))</f>
        <v>Normal</v>
      </c>
      <c r="D244" s="1" t="s">
        <v>45</v>
      </c>
      <c r="F244" s="4" t="s">
        <v>47</v>
      </c>
      <c r="G244" s="4">
        <v>40</v>
      </c>
      <c r="H244" s="4">
        <v>40</v>
      </c>
      <c r="I244" s="2">
        <f>grand[[#This Row],[number]]-grand[[#This Row],[received]]</f>
        <v>0</v>
      </c>
      <c r="J244" s="30"/>
      <c r="K244" s="4">
        <v>17050</v>
      </c>
      <c r="L244" s="4">
        <v>17050</v>
      </c>
      <c r="M244" s="2">
        <f>K244-L244</f>
        <v>0</v>
      </c>
      <c r="N244" s="4">
        <v>10400.9</v>
      </c>
      <c r="O244" s="4"/>
      <c r="P244" s="7">
        <f>grand[[#This Row],[total weight]]/grand[[#This Row],[received]]</f>
        <v>426.25</v>
      </c>
      <c r="Q244" s="7">
        <f>grand[[#This Row],[receiving weight]]/grand[[#This Row],[received]]</f>
        <v>426.25</v>
      </c>
      <c r="R244" s="7">
        <f>grand[[#This Row],[transportation loss ]]/grand[[#This Row],[received]]</f>
        <v>0</v>
      </c>
      <c r="S244" s="7">
        <f>grand[[#This Row],[ carcass weight]]/grand[[#This Row],[received]]</f>
        <v>260.02249999999998</v>
      </c>
      <c r="T244" s="7">
        <f>grand[[#This Row],[ kidneys fat quantity]]/grand[[#This Row],[received]]</f>
        <v>0</v>
      </c>
      <c r="U244" s="4">
        <v>24.5</v>
      </c>
      <c r="V244" s="4">
        <v>0</v>
      </c>
      <c r="W244" s="4">
        <v>49.3</v>
      </c>
      <c r="X244" s="4">
        <v>10</v>
      </c>
      <c r="Y244" s="8">
        <v>0.5</v>
      </c>
      <c r="Z244" s="3">
        <f>grand[[#This Row],[av. Transportation loss]]/grand[[#This Row],[av.total weight]]</f>
        <v>0</v>
      </c>
      <c r="AA244" s="12">
        <f>AVERAGE((grand[[#This Row],[am]]/25),(grand[[#This Row],[pm]]/50))</f>
        <v>0.98299999999999998</v>
      </c>
      <c r="AB244" s="3">
        <f>grand[[#This Row],[ carcass weight]]/grand[[#This Row],[total weight]]</f>
        <v>0.61002346041055722</v>
      </c>
      <c r="AC244" s="6">
        <f>SUM(grand[[#This Row],[am]:[meat transportation]])/100</f>
        <v>0.84299999999999997</v>
      </c>
      <c r="AD244" s="4" t="s">
        <v>94</v>
      </c>
      <c r="AE244" s="4"/>
      <c r="AF244" s="4" t="s">
        <v>95</v>
      </c>
      <c r="AG244" s="4"/>
      <c r="AH244" s="4"/>
      <c r="AI244" s="4">
        <v>4</v>
      </c>
      <c r="AJ244" s="2"/>
      <c r="AK244" s="4">
        <v>4</v>
      </c>
    </row>
    <row r="245" spans="1:37" hidden="1" x14ac:dyDescent="0.2">
      <c r="A245" s="11">
        <v>43934</v>
      </c>
      <c r="B245" s="53" t="s">
        <v>1456</v>
      </c>
      <c r="C245" s="52" t="str">
        <f>IF(MID(B245,4,2)="09","Ramadan",IF(AND(MID(B245,4,2)="12",VALUE(LEFT(B245,2))&lt;=9),"Adha Season","Normal"))</f>
        <v>Normal</v>
      </c>
      <c r="D245" s="1" t="s">
        <v>45</v>
      </c>
      <c r="F245" s="4" t="s">
        <v>47</v>
      </c>
      <c r="G245" s="4">
        <v>40</v>
      </c>
      <c r="H245" s="4">
        <v>40</v>
      </c>
      <c r="I245" s="2">
        <f>grand[[#This Row],[number]]-grand[[#This Row],[received]]</f>
        <v>0</v>
      </c>
      <c r="J245" s="30"/>
      <c r="K245" s="4">
        <v>17520</v>
      </c>
      <c r="L245" s="4">
        <v>17005</v>
      </c>
      <c r="M245" s="2">
        <f>K245-L245</f>
        <v>515</v>
      </c>
      <c r="N245" s="4">
        <v>10815.9</v>
      </c>
      <c r="O245" s="4"/>
      <c r="P245" s="7">
        <f>grand[[#This Row],[total weight]]/grand[[#This Row],[received]]</f>
        <v>438</v>
      </c>
      <c r="Q245" s="7">
        <f>grand[[#This Row],[receiving weight]]/grand[[#This Row],[received]]</f>
        <v>425.125</v>
      </c>
      <c r="R245" s="7">
        <f>grand[[#This Row],[transportation loss ]]/grand[[#This Row],[received]]</f>
        <v>12.875</v>
      </c>
      <c r="S245" s="7">
        <f>grand[[#This Row],[ carcass weight]]/grand[[#This Row],[received]]</f>
        <v>270.39749999999998</v>
      </c>
      <c r="T245" s="7">
        <f>grand[[#This Row],[ kidneys fat quantity]]/grand[[#This Row],[received]]</f>
        <v>0</v>
      </c>
      <c r="U245" s="4">
        <v>25</v>
      </c>
      <c r="V245" s="4">
        <v>0</v>
      </c>
      <c r="W245" s="4">
        <v>49.5</v>
      </c>
      <c r="X245" s="4">
        <v>10</v>
      </c>
      <c r="Y245" s="8">
        <v>8.5</v>
      </c>
      <c r="Z245" s="3">
        <f>grand[[#This Row],[av. Transportation loss]]/grand[[#This Row],[av.total weight]]</f>
        <v>2.939497716894977E-2</v>
      </c>
      <c r="AA245" s="12">
        <f>AVERAGE((grand[[#This Row],[am]]/25),(grand[[#This Row],[pm]]/50))</f>
        <v>0.995</v>
      </c>
      <c r="AB245" s="3">
        <f>grand[[#This Row],[ carcass weight]]/grand[[#This Row],[total weight]]</f>
        <v>0.61734589041095889</v>
      </c>
      <c r="AC245" s="6">
        <f>SUM(grand[[#This Row],[am]:[meat transportation]])/100</f>
        <v>0.93</v>
      </c>
      <c r="AD245" s="4" t="s">
        <v>72</v>
      </c>
      <c r="AE245" s="4">
        <v>3</v>
      </c>
      <c r="AF245" s="4" t="s">
        <v>101</v>
      </c>
      <c r="AG245" s="4"/>
      <c r="AH245" s="4"/>
      <c r="AI245" s="4"/>
      <c r="AJ245" s="2"/>
      <c r="AK245" s="4"/>
    </row>
    <row r="246" spans="1:37" hidden="1" x14ac:dyDescent="0.2">
      <c r="A246" s="11">
        <v>43936</v>
      </c>
      <c r="B246" s="53" t="s">
        <v>1458</v>
      </c>
      <c r="C246" s="52" t="str">
        <f>IF(MID(B246,4,2)="09","Ramadan",IF(AND(MID(B246,4,2)="12",VALUE(LEFT(B246,2))&lt;=9),"Adha Season","Normal"))</f>
        <v>Normal</v>
      </c>
      <c r="D246" s="2" t="s">
        <v>294</v>
      </c>
      <c r="E246" s="2"/>
      <c r="F246" s="4" t="s">
        <v>105</v>
      </c>
      <c r="G246" s="4">
        <v>25</v>
      </c>
      <c r="H246" s="4">
        <v>25</v>
      </c>
      <c r="I246" s="2">
        <f>grand[[#This Row],[number]]-grand[[#This Row],[received]]</f>
        <v>0</v>
      </c>
      <c r="J246" s="30"/>
      <c r="K246" s="4"/>
      <c r="L246" s="4"/>
      <c r="M246" s="2">
        <f>K246-L246</f>
        <v>0</v>
      </c>
      <c r="N246" s="4"/>
      <c r="O246" s="4"/>
      <c r="P246" s="7">
        <f>grand[[#This Row],[total weight]]/grand[[#This Row],[received]]</f>
        <v>0</v>
      </c>
      <c r="Q246" s="7">
        <f>grand[[#This Row],[receiving weight]]/grand[[#This Row],[received]]</f>
        <v>0</v>
      </c>
      <c r="R246" s="7">
        <f>grand[[#This Row],[transportation loss ]]/grand[[#This Row],[received]]</f>
        <v>0</v>
      </c>
      <c r="S246" s="7">
        <f>grand[[#This Row],[ carcass weight]]/grand[[#This Row],[received]]</f>
        <v>0</v>
      </c>
      <c r="T246" s="7">
        <f>grand[[#This Row],[ kidneys fat quantity]]/grand[[#This Row],[received]]</f>
        <v>0</v>
      </c>
      <c r="U246" s="4">
        <v>25</v>
      </c>
      <c r="V246" s="4">
        <v>0</v>
      </c>
      <c r="W246" s="4">
        <v>48.2</v>
      </c>
      <c r="X246" s="4">
        <v>10</v>
      </c>
      <c r="Y246" s="8">
        <v>8.5</v>
      </c>
      <c r="Z246" s="3"/>
      <c r="AA246" s="12">
        <f>AVERAGE((grand[[#This Row],[am]]/25),(grand[[#This Row],[pm]]/50))</f>
        <v>0.98199999999999998</v>
      </c>
      <c r="AB246" s="3"/>
      <c r="AC246" s="6">
        <f>SUM(grand[[#This Row],[am]:[meat transportation]])/100</f>
        <v>0.91700000000000004</v>
      </c>
      <c r="AD246" s="4" t="s">
        <v>106</v>
      </c>
      <c r="AE246" s="4"/>
      <c r="AF246" s="4" t="s">
        <v>70</v>
      </c>
      <c r="AG246" s="4"/>
      <c r="AH246" s="4"/>
      <c r="AI246" s="4"/>
      <c r="AJ246" s="2"/>
      <c r="AK246" s="4"/>
    </row>
    <row r="247" spans="1:37" hidden="1" x14ac:dyDescent="0.2">
      <c r="A247" s="11">
        <v>43939</v>
      </c>
      <c r="B247" s="53" t="s">
        <v>1460</v>
      </c>
      <c r="C247" s="52" t="str">
        <f>IF(MID(B247,4,2)="09","Ramadan",IF(AND(MID(B247,4,2)="12",VALUE(LEFT(B247,2))&lt;=9),"Adha Season","Normal"))</f>
        <v>Normal</v>
      </c>
      <c r="D247" s="1" t="s">
        <v>45</v>
      </c>
      <c r="F247" s="4" t="s">
        <v>47</v>
      </c>
      <c r="G247" s="4">
        <v>45</v>
      </c>
      <c r="H247" s="4">
        <v>45</v>
      </c>
      <c r="I247" s="2">
        <f>grand[[#This Row],[number]]-grand[[#This Row],[received]]</f>
        <v>0</v>
      </c>
      <c r="J247" s="30"/>
      <c r="K247" s="4">
        <v>20400</v>
      </c>
      <c r="L247" s="4">
        <v>20400</v>
      </c>
      <c r="M247" s="2">
        <f>K247-L247</f>
        <v>0</v>
      </c>
      <c r="N247" s="4">
        <v>12585</v>
      </c>
      <c r="O247" s="4"/>
      <c r="P247" s="7">
        <f>grand[[#This Row],[total weight]]/grand[[#This Row],[received]]</f>
        <v>453.33333333333331</v>
      </c>
      <c r="Q247" s="7">
        <f>grand[[#This Row],[receiving weight]]/grand[[#This Row],[received]]</f>
        <v>453.33333333333331</v>
      </c>
      <c r="R247" s="7">
        <f>grand[[#This Row],[transportation loss ]]/grand[[#This Row],[received]]</f>
        <v>0</v>
      </c>
      <c r="S247" s="7">
        <f>grand[[#This Row],[ carcass weight]]/grand[[#This Row],[received]]</f>
        <v>279.66666666666669</v>
      </c>
      <c r="T247" s="7">
        <f>grand[[#This Row],[ kidneys fat quantity]]/grand[[#This Row],[received]]</f>
        <v>0</v>
      </c>
      <c r="U247" s="4">
        <v>25</v>
      </c>
      <c r="V247" s="4">
        <v>0</v>
      </c>
      <c r="W247" s="4">
        <v>49.7</v>
      </c>
      <c r="X247" s="4">
        <v>10</v>
      </c>
      <c r="Y247" s="8">
        <v>8.5</v>
      </c>
      <c r="Z247" s="3">
        <f>grand[[#This Row],[av. Transportation loss]]/grand[[#This Row],[av.total weight]]</f>
        <v>0</v>
      </c>
      <c r="AA247" s="12">
        <f>AVERAGE((grand[[#This Row],[am]]/25),(grand[[#This Row],[pm]]/50))</f>
        <v>0.99700000000000011</v>
      </c>
      <c r="AB247" s="3">
        <f>grand[[#This Row],[ carcass weight]]/grand[[#This Row],[total weight]]</f>
        <v>0.61691176470588238</v>
      </c>
      <c r="AC247" s="6">
        <f>SUM(grand[[#This Row],[am]:[meat transportation]])/100</f>
        <v>0.93200000000000005</v>
      </c>
      <c r="AD247" s="4"/>
      <c r="AE247" s="4">
        <v>1</v>
      </c>
      <c r="AF247" s="4" t="s">
        <v>88</v>
      </c>
      <c r="AG247" s="4"/>
      <c r="AH247" s="4"/>
      <c r="AI247" s="4"/>
      <c r="AJ247" s="2"/>
      <c r="AK247" s="4"/>
    </row>
    <row r="248" spans="1:37" hidden="1" x14ac:dyDescent="0.2">
      <c r="A248" s="11">
        <v>43940</v>
      </c>
      <c r="B248" s="53" t="s">
        <v>1461</v>
      </c>
      <c r="C248" s="52" t="str">
        <f>IF(MID(B248,4,2)="09","Ramadan",IF(AND(MID(B248,4,2)="12",VALUE(LEFT(B248,2))&lt;=9),"Adha Season","Normal"))</f>
        <v>Normal</v>
      </c>
      <c r="D248" s="1" t="s">
        <v>45</v>
      </c>
      <c r="F248" s="4" t="s">
        <v>47</v>
      </c>
      <c r="G248" s="4">
        <v>56</v>
      </c>
      <c r="H248" s="4">
        <v>56</v>
      </c>
      <c r="I248" s="2">
        <f>grand[[#This Row],[number]]-grand[[#This Row],[received]]</f>
        <v>0</v>
      </c>
      <c r="J248" s="30"/>
      <c r="K248" s="4">
        <v>25224</v>
      </c>
      <c r="L248" s="4">
        <v>23885</v>
      </c>
      <c r="M248" s="2">
        <f>K248-L248</f>
        <v>1339</v>
      </c>
      <c r="N248" s="4">
        <v>15397</v>
      </c>
      <c r="O248" s="4"/>
      <c r="P248" s="7">
        <f>grand[[#This Row],[total weight]]/grand[[#This Row],[received]]</f>
        <v>450.42857142857144</v>
      </c>
      <c r="Q248" s="7">
        <f>grand[[#This Row],[receiving weight]]/grand[[#This Row],[received]]</f>
        <v>426.51785714285717</v>
      </c>
      <c r="R248" s="7">
        <f>grand[[#This Row],[transportation loss ]]/grand[[#This Row],[received]]</f>
        <v>23.910714285714285</v>
      </c>
      <c r="S248" s="7">
        <f>grand[[#This Row],[ carcass weight]]/grand[[#This Row],[received]]</f>
        <v>274.94642857142856</v>
      </c>
      <c r="T248" s="7">
        <f>grand[[#This Row],[ kidneys fat quantity]]/grand[[#This Row],[received]]</f>
        <v>0</v>
      </c>
      <c r="U248" s="4">
        <v>20</v>
      </c>
      <c r="V248" s="4">
        <v>0</v>
      </c>
      <c r="W248" s="4">
        <v>49.3</v>
      </c>
      <c r="X248" s="4">
        <v>10</v>
      </c>
      <c r="Y248" s="8">
        <v>8.5</v>
      </c>
      <c r="Z248" s="3">
        <f>grand[[#This Row],[av. Transportation loss]]/grand[[#This Row],[av.total weight]]</f>
        <v>5.3084364097684737E-2</v>
      </c>
      <c r="AA248" s="12">
        <f>AVERAGE((grand[[#This Row],[am]]/25),(grand[[#This Row],[pm]]/50))</f>
        <v>0.89300000000000002</v>
      </c>
      <c r="AB248" s="3">
        <f>grand[[#This Row],[ carcass weight]]/grand[[#This Row],[total weight]]</f>
        <v>0.61041071994925467</v>
      </c>
      <c r="AC248" s="6">
        <f>SUM(grand[[#This Row],[am]:[meat transportation]])/100</f>
        <v>0.878</v>
      </c>
      <c r="AD248" s="4" t="s">
        <v>110</v>
      </c>
      <c r="AE248" s="4">
        <v>6</v>
      </c>
      <c r="AF248" s="4" t="s">
        <v>111</v>
      </c>
      <c r="AG248" s="4"/>
      <c r="AH248" s="4"/>
      <c r="AI248" s="4">
        <v>2</v>
      </c>
      <c r="AJ248" s="2"/>
      <c r="AK248" s="4"/>
    </row>
    <row r="249" spans="1:37" hidden="1" x14ac:dyDescent="0.2">
      <c r="A249" s="11">
        <v>43944</v>
      </c>
      <c r="B249" s="53" t="s">
        <v>1463</v>
      </c>
      <c r="C249" s="52" t="str">
        <f>IF(MID(B249,4,2)="09","Ramadan",IF(AND(MID(B249,4,2)="12",VALUE(LEFT(B249,2))&lt;=9),"Adha Season","Normal"))</f>
        <v>Normal</v>
      </c>
      <c r="D249" s="2" t="s">
        <v>294</v>
      </c>
      <c r="E249" s="2"/>
      <c r="F249" s="4" t="s">
        <v>105</v>
      </c>
      <c r="G249" s="4">
        <v>26</v>
      </c>
      <c r="H249" s="4">
        <v>26</v>
      </c>
      <c r="I249" s="2">
        <f>grand[[#This Row],[number]]-grand[[#This Row],[received]]</f>
        <v>0</v>
      </c>
      <c r="J249" s="30"/>
      <c r="K249" s="4"/>
      <c r="L249" s="4"/>
      <c r="M249" s="2">
        <f>K249-L249</f>
        <v>0</v>
      </c>
      <c r="N249" s="4"/>
      <c r="O249" s="4"/>
      <c r="P249" s="7">
        <f>grand[[#This Row],[total weight]]/grand[[#This Row],[received]]</f>
        <v>0</v>
      </c>
      <c r="Q249" s="7">
        <f>grand[[#This Row],[receiving weight]]/grand[[#This Row],[received]]</f>
        <v>0</v>
      </c>
      <c r="R249" s="7">
        <f>grand[[#This Row],[transportation loss ]]/grand[[#This Row],[received]]</f>
        <v>0</v>
      </c>
      <c r="S249" s="7">
        <f>grand[[#This Row],[ carcass weight]]/grand[[#This Row],[received]]</f>
        <v>0</v>
      </c>
      <c r="T249" s="7">
        <f>grand[[#This Row],[ kidneys fat quantity]]/grand[[#This Row],[received]]</f>
        <v>0</v>
      </c>
      <c r="U249" s="4">
        <v>25</v>
      </c>
      <c r="V249" s="4">
        <v>0</v>
      </c>
      <c r="W249" s="4">
        <v>49.4</v>
      </c>
      <c r="X249" s="4">
        <v>10</v>
      </c>
      <c r="Y249" s="8">
        <v>8.5</v>
      </c>
      <c r="Z249" s="3"/>
      <c r="AA249" s="12">
        <f>AVERAGE((grand[[#This Row],[am]]/25),(grand[[#This Row],[pm]]/50))</f>
        <v>0.99399999999999999</v>
      </c>
      <c r="AB249" s="3"/>
      <c r="AC249" s="6">
        <f>SUM(grand[[#This Row],[am]:[meat transportation]])/100</f>
        <v>0.92900000000000005</v>
      </c>
      <c r="AD249" s="4" t="s">
        <v>113</v>
      </c>
      <c r="AE249" s="4"/>
      <c r="AF249" s="4" t="s">
        <v>104</v>
      </c>
      <c r="AG249" s="4"/>
      <c r="AH249" s="4"/>
      <c r="AI249" s="4"/>
      <c r="AJ249" s="2"/>
      <c r="AK249" s="4"/>
    </row>
    <row r="250" spans="1:37" hidden="1" x14ac:dyDescent="0.2">
      <c r="A250" s="11">
        <v>43949</v>
      </c>
      <c r="B250" s="53" t="s">
        <v>1464</v>
      </c>
      <c r="C250" s="52" t="str">
        <f>IF(MID(B250,4,2)="09","Ramadan",IF(AND(MID(B250,4,2)="12",VALUE(LEFT(B250,2))&lt;=9),"Adha Season","Normal"))</f>
        <v>Ramadan</v>
      </c>
      <c r="D250" s="1" t="s">
        <v>45</v>
      </c>
      <c r="F250" s="4" t="s">
        <v>47</v>
      </c>
      <c r="G250" s="4">
        <v>21</v>
      </c>
      <c r="H250" s="4">
        <v>21</v>
      </c>
      <c r="I250" s="2">
        <f>grand[[#This Row],[number]]-grand[[#This Row],[received]]</f>
        <v>0</v>
      </c>
      <c r="J250" s="30"/>
      <c r="K250" s="4">
        <v>9915</v>
      </c>
      <c r="L250" s="4">
        <v>9570</v>
      </c>
      <c r="M250" s="2">
        <f>K250-L250</f>
        <v>345</v>
      </c>
      <c r="N250" s="4">
        <v>6040.2</v>
      </c>
      <c r="O250" s="4"/>
      <c r="P250" s="7">
        <f>grand[[#This Row],[total weight]]/grand[[#This Row],[received]]</f>
        <v>472.14285714285717</v>
      </c>
      <c r="Q250" s="7">
        <f>grand[[#This Row],[receiving weight]]/grand[[#This Row],[received]]</f>
        <v>455.71428571428572</v>
      </c>
      <c r="R250" s="7">
        <f>grand[[#This Row],[transportation loss ]]/grand[[#This Row],[received]]</f>
        <v>16.428571428571427</v>
      </c>
      <c r="S250" s="7">
        <f>grand[[#This Row],[ carcass weight]]/grand[[#This Row],[received]]</f>
        <v>287.62857142857143</v>
      </c>
      <c r="T250" s="7">
        <f>grand[[#This Row],[ kidneys fat quantity]]/grand[[#This Row],[received]]</f>
        <v>0</v>
      </c>
      <c r="U250" s="4">
        <v>25</v>
      </c>
      <c r="V250" s="4">
        <v>0</v>
      </c>
      <c r="W250" s="4">
        <v>49.4</v>
      </c>
      <c r="X250" s="4">
        <v>10</v>
      </c>
      <c r="Y250" s="8">
        <v>8.5</v>
      </c>
      <c r="Z250" s="3">
        <f>grand[[#This Row],[av. Transportation loss]]/grand[[#This Row],[av.total weight]]</f>
        <v>3.4795763993948556E-2</v>
      </c>
      <c r="AA250" s="12">
        <f>AVERAGE((grand[[#This Row],[am]]/25),(grand[[#This Row],[pm]]/50))</f>
        <v>0.99399999999999999</v>
      </c>
      <c r="AB250" s="3">
        <f>grand[[#This Row],[ carcass weight]]/grand[[#This Row],[total weight]]</f>
        <v>0.60919818456883512</v>
      </c>
      <c r="AC250" s="6">
        <f>SUM(grand[[#This Row],[am]:[meat transportation]])/100</f>
        <v>0.92900000000000005</v>
      </c>
      <c r="AD250" s="4" t="s">
        <v>117</v>
      </c>
      <c r="AE250" s="4"/>
      <c r="AF250" s="4"/>
      <c r="AG250" s="4"/>
      <c r="AH250" s="4"/>
      <c r="AI250" s="4">
        <v>2</v>
      </c>
      <c r="AJ250" s="2"/>
      <c r="AK250" s="4"/>
    </row>
    <row r="251" spans="1:37" hidden="1" x14ac:dyDescent="0.2">
      <c r="A251" s="11">
        <v>43950</v>
      </c>
      <c r="B251" s="53" t="s">
        <v>1465</v>
      </c>
      <c r="C251" s="52" t="str">
        <f>IF(MID(B251,4,2)="09","Ramadan",IF(AND(MID(B251,4,2)="12",VALUE(LEFT(B251,2))&lt;=9),"Adha Season","Normal"))</f>
        <v>Ramadan</v>
      </c>
      <c r="D251" s="1" t="s">
        <v>45</v>
      </c>
      <c r="F251" s="4" t="s">
        <v>50</v>
      </c>
      <c r="G251" s="4">
        <v>16</v>
      </c>
      <c r="H251" s="4">
        <v>16</v>
      </c>
      <c r="I251" s="2">
        <f>grand[[#This Row],[number]]-grand[[#This Row],[received]]</f>
        <v>0</v>
      </c>
      <c r="J251" s="30"/>
      <c r="K251" s="4">
        <v>6643</v>
      </c>
      <c r="L251" s="4">
        <v>6302</v>
      </c>
      <c r="M251" s="2">
        <f>K251-L251</f>
        <v>341</v>
      </c>
      <c r="N251" s="4">
        <v>4179.6000000000004</v>
      </c>
      <c r="O251" s="4"/>
      <c r="P251" s="7">
        <f>grand[[#This Row],[total weight]]/grand[[#This Row],[received]]</f>
        <v>415.1875</v>
      </c>
      <c r="Q251" s="7">
        <f>grand[[#This Row],[receiving weight]]/grand[[#This Row],[received]]</f>
        <v>393.875</v>
      </c>
      <c r="R251" s="7">
        <f>grand[[#This Row],[transportation loss ]]/grand[[#This Row],[received]]</f>
        <v>21.3125</v>
      </c>
      <c r="S251" s="7">
        <f>grand[[#This Row],[ carcass weight]]/grand[[#This Row],[received]]</f>
        <v>261.22500000000002</v>
      </c>
      <c r="T251" s="7">
        <f>grand[[#This Row],[ kidneys fat quantity]]/grand[[#This Row],[received]]</f>
        <v>0</v>
      </c>
      <c r="U251" s="4">
        <v>25</v>
      </c>
      <c r="V251" s="4">
        <v>0</v>
      </c>
      <c r="W251" s="4">
        <v>49.6</v>
      </c>
      <c r="X251" s="4">
        <v>10</v>
      </c>
      <c r="Y251" s="8">
        <v>8.5</v>
      </c>
      <c r="Z251" s="3">
        <f>grand[[#This Row],[av. Transportation loss]]/grand[[#This Row],[av.total weight]]</f>
        <v>5.1332229414421192E-2</v>
      </c>
      <c r="AA251" s="12">
        <f>AVERAGE((grand[[#This Row],[am]]/25),(grand[[#This Row],[pm]]/50))</f>
        <v>0.996</v>
      </c>
      <c r="AB251" s="3">
        <f>grand[[#This Row],[ carcass weight]]/grand[[#This Row],[total weight]]</f>
        <v>0.62917356615986764</v>
      </c>
      <c r="AC251" s="6">
        <f>SUM(grand[[#This Row],[am]:[meat transportation]])/100</f>
        <v>0.93099999999999994</v>
      </c>
      <c r="AD251" s="4"/>
      <c r="AE251" s="4">
        <v>2</v>
      </c>
      <c r="AF251" s="4"/>
      <c r="AG251" s="4"/>
      <c r="AH251" s="4"/>
      <c r="AI251" s="4"/>
      <c r="AJ251" s="2"/>
      <c r="AK251" s="4"/>
    </row>
    <row r="252" spans="1:37" hidden="1" x14ac:dyDescent="0.2">
      <c r="A252" s="11">
        <v>43950</v>
      </c>
      <c r="B252" s="53" t="s">
        <v>1465</v>
      </c>
      <c r="C252" s="52" t="str">
        <f>IF(MID(B252,4,2)="09","Ramadan",IF(AND(MID(B252,4,2)="12",VALUE(LEFT(B252,2))&lt;=9),"Adha Season","Normal"))</f>
        <v>Ramadan</v>
      </c>
      <c r="D252" s="2" t="s">
        <v>294</v>
      </c>
      <c r="E252" s="2"/>
      <c r="F252" s="4" t="s">
        <v>105</v>
      </c>
      <c r="G252" s="4">
        <v>25</v>
      </c>
      <c r="H252" s="4">
        <v>25</v>
      </c>
      <c r="I252" s="2">
        <f>grand[[#This Row],[number]]-grand[[#This Row],[received]]</f>
        <v>0</v>
      </c>
      <c r="J252" s="30" t="s">
        <v>117</v>
      </c>
      <c r="K252" s="4"/>
      <c r="L252" s="4"/>
      <c r="M252" s="2">
        <f>K252-L252</f>
        <v>0</v>
      </c>
      <c r="N252" s="4"/>
      <c r="O252" s="4"/>
      <c r="P252" s="7">
        <f>grand[[#This Row],[total weight]]/grand[[#This Row],[received]]</f>
        <v>0</v>
      </c>
      <c r="Q252" s="7">
        <f>grand[[#This Row],[receiving weight]]/grand[[#This Row],[received]]</f>
        <v>0</v>
      </c>
      <c r="R252" s="7">
        <f>grand[[#This Row],[transportation loss ]]/grand[[#This Row],[received]]</f>
        <v>0</v>
      </c>
      <c r="S252" s="7">
        <f>grand[[#This Row],[ carcass weight]]/grand[[#This Row],[received]]</f>
        <v>0</v>
      </c>
      <c r="T252" s="7">
        <f>grand[[#This Row],[ kidneys fat quantity]]/grand[[#This Row],[received]]</f>
        <v>0</v>
      </c>
      <c r="U252" s="4">
        <v>25</v>
      </c>
      <c r="V252" s="4">
        <v>0</v>
      </c>
      <c r="W252" s="4">
        <v>49.3</v>
      </c>
      <c r="X252" s="4">
        <v>10</v>
      </c>
      <c r="Y252" s="8">
        <v>8.5</v>
      </c>
      <c r="Z252" s="3"/>
      <c r="AA252" s="12">
        <f>AVERAGE((grand[[#This Row],[am]]/25),(grand[[#This Row],[pm]]/50))</f>
        <v>0.99299999999999999</v>
      </c>
      <c r="AB252" s="3"/>
      <c r="AC252" s="6">
        <f>SUM(grand[[#This Row],[am]:[meat transportation]])/100</f>
        <v>0.92799999999999994</v>
      </c>
      <c r="AD252" s="4" t="s">
        <v>117</v>
      </c>
      <c r="AE252" s="4"/>
      <c r="AF252" s="4" t="s">
        <v>118</v>
      </c>
      <c r="AG252" s="4"/>
      <c r="AH252" s="4"/>
      <c r="AI252" s="4"/>
      <c r="AJ252" s="2"/>
      <c r="AK252" s="4"/>
    </row>
    <row r="253" spans="1:37" hidden="1" x14ac:dyDescent="0.2">
      <c r="A253" s="11">
        <v>43951</v>
      </c>
      <c r="B253" s="53" t="s">
        <v>1466</v>
      </c>
      <c r="C253" s="52" t="str">
        <f>IF(MID(B253,4,2)="09","Ramadan",IF(AND(MID(B253,4,2)="12",VALUE(LEFT(B253,2))&lt;=9),"Adha Season","Normal"))</f>
        <v>Ramadan</v>
      </c>
      <c r="D253" s="1" t="s">
        <v>45</v>
      </c>
      <c r="F253" s="4" t="s">
        <v>46</v>
      </c>
      <c r="G253" s="4">
        <v>46</v>
      </c>
      <c r="H253" s="4">
        <v>46</v>
      </c>
      <c r="I253" s="2">
        <f>grand[[#This Row],[number]]-grand[[#This Row],[received]]</f>
        <v>0</v>
      </c>
      <c r="J253" s="30"/>
      <c r="K253" s="4">
        <v>23860</v>
      </c>
      <c r="L253" s="4">
        <v>22525</v>
      </c>
      <c r="M253" s="2">
        <f>K253-L253</f>
        <v>1335</v>
      </c>
      <c r="N253" s="4">
        <v>14697.5</v>
      </c>
      <c r="O253" s="4"/>
      <c r="P253" s="7">
        <f>grand[[#This Row],[total weight]]/grand[[#This Row],[received]]</f>
        <v>518.695652173913</v>
      </c>
      <c r="Q253" s="7">
        <f>grand[[#This Row],[receiving weight]]/grand[[#This Row],[received]]</f>
        <v>489.67391304347825</v>
      </c>
      <c r="R253" s="7">
        <f>grand[[#This Row],[transportation loss ]]/grand[[#This Row],[received]]</f>
        <v>29.021739130434781</v>
      </c>
      <c r="S253" s="7">
        <f>grand[[#This Row],[ carcass weight]]/grand[[#This Row],[received]]</f>
        <v>319.51086956521738</v>
      </c>
      <c r="T253" s="7">
        <f>grand[[#This Row],[ kidneys fat quantity]]/grand[[#This Row],[received]]</f>
        <v>0</v>
      </c>
      <c r="U253" s="4">
        <v>25</v>
      </c>
      <c r="V253" s="4">
        <v>0</v>
      </c>
      <c r="W253" s="4">
        <v>49.5</v>
      </c>
      <c r="X253" s="4">
        <v>10</v>
      </c>
      <c r="Y253" s="8">
        <v>8.5</v>
      </c>
      <c r="Z253" s="3">
        <f>grand[[#This Row],[av. Transportation loss]]/grand[[#This Row],[av.total weight]]</f>
        <v>5.5951383067896064E-2</v>
      </c>
      <c r="AA253" s="12">
        <f>AVERAGE((grand[[#This Row],[am]]/25),(grand[[#This Row],[pm]]/50))</f>
        <v>0.995</v>
      </c>
      <c r="AB253" s="3">
        <f>grand[[#This Row],[ carcass weight]]/grand[[#This Row],[total weight]]</f>
        <v>0.61598910310142496</v>
      </c>
      <c r="AC253" s="6">
        <f>SUM(grand[[#This Row],[am]:[meat transportation]])/100</f>
        <v>0.93</v>
      </c>
      <c r="AD253" s="4" t="s">
        <v>119</v>
      </c>
      <c r="AE253" s="4">
        <v>2</v>
      </c>
      <c r="AF253" s="4" t="s">
        <v>120</v>
      </c>
      <c r="AG253" s="4"/>
      <c r="AH253" s="4"/>
      <c r="AI253" s="4"/>
      <c r="AJ253" s="2"/>
      <c r="AK253" s="4"/>
    </row>
    <row r="254" spans="1:37" hidden="1" x14ac:dyDescent="0.2">
      <c r="A254" s="11">
        <v>43953</v>
      </c>
      <c r="B254" s="53" t="s">
        <v>2509</v>
      </c>
      <c r="C254" s="52" t="str">
        <f>IF(MID(B254,4,2)="09","Ramadan",IF(AND(MID(B254,4,2)="12",VALUE(LEFT(B254,2))&lt;=9),"Adha Season","Normal"))</f>
        <v>Ramadan</v>
      </c>
      <c r="D254" s="1" t="s">
        <v>45</v>
      </c>
      <c r="F254" s="4" t="s">
        <v>46</v>
      </c>
      <c r="G254" s="4">
        <v>25</v>
      </c>
      <c r="H254" s="4">
        <v>25</v>
      </c>
      <c r="I254" s="2">
        <f>grand[[#This Row],[number]]-grand[[#This Row],[received]]</f>
        <v>0</v>
      </c>
      <c r="J254" s="30"/>
      <c r="K254" s="4">
        <v>12860</v>
      </c>
      <c r="L254" s="4">
        <v>12110</v>
      </c>
      <c r="M254" s="2">
        <f>K254-L254</f>
        <v>750</v>
      </c>
      <c r="N254" s="4">
        <v>7912.3</v>
      </c>
      <c r="O254" s="4"/>
      <c r="P254" s="7">
        <f>grand[[#This Row],[total weight]]/grand[[#This Row],[received]]</f>
        <v>514.4</v>
      </c>
      <c r="Q254" s="7">
        <f>grand[[#This Row],[receiving weight]]/grand[[#This Row],[received]]</f>
        <v>484.4</v>
      </c>
      <c r="R254" s="7">
        <f>grand[[#This Row],[transportation loss ]]/grand[[#This Row],[received]]</f>
        <v>30</v>
      </c>
      <c r="S254" s="7">
        <f>grand[[#This Row],[ carcass weight]]/grand[[#This Row],[received]]</f>
        <v>316.49200000000002</v>
      </c>
      <c r="T254" s="7">
        <f>grand[[#This Row],[ kidneys fat quantity]]/grand[[#This Row],[received]]</f>
        <v>0</v>
      </c>
      <c r="U254" s="4">
        <v>25</v>
      </c>
      <c r="V254" s="4">
        <v>0</v>
      </c>
      <c r="W254" s="4">
        <v>49.4</v>
      </c>
      <c r="X254" s="4">
        <v>10</v>
      </c>
      <c r="Y254" s="8">
        <v>8.5</v>
      </c>
      <c r="Z254" s="3">
        <f>grand[[#This Row],[av. Transportation loss]]/grand[[#This Row],[av.total weight]]</f>
        <v>5.8320373250388802E-2</v>
      </c>
      <c r="AA254" s="12">
        <f>AVERAGE((grand[[#This Row],[am]]/25),(grand[[#This Row],[pm]]/50))</f>
        <v>0.99399999999999999</v>
      </c>
      <c r="AB254" s="3">
        <f>grand[[#This Row],[ carcass weight]]/grand[[#This Row],[total weight]]</f>
        <v>0.61526438569206843</v>
      </c>
      <c r="AC254" s="6">
        <f>SUM(grand[[#This Row],[am]:[meat transportation]])/100</f>
        <v>0.92900000000000005</v>
      </c>
      <c r="AD254" s="4"/>
      <c r="AE254" s="4">
        <v>3</v>
      </c>
      <c r="AF254" s="4" t="s">
        <v>121</v>
      </c>
      <c r="AG254" s="4"/>
      <c r="AH254" s="4"/>
      <c r="AI254" s="4"/>
      <c r="AJ254" s="2"/>
      <c r="AK254" s="4"/>
    </row>
    <row r="255" spans="1:37" hidden="1" x14ac:dyDescent="0.2">
      <c r="A255" s="11">
        <v>43953</v>
      </c>
      <c r="B255" s="53" t="s">
        <v>2509</v>
      </c>
      <c r="C255" s="52" t="str">
        <f>IF(MID(B255,4,2)="09","Ramadan",IF(AND(MID(B255,4,2)="12",VALUE(LEFT(B255,2))&lt;=9),"Adha Season","Normal"))</f>
        <v>Ramadan</v>
      </c>
      <c r="D255" s="2" t="s">
        <v>294</v>
      </c>
      <c r="E255" s="2"/>
      <c r="F255" s="4" t="s">
        <v>105</v>
      </c>
      <c r="G255" s="4">
        <v>30</v>
      </c>
      <c r="H255" s="4">
        <v>30</v>
      </c>
      <c r="I255" s="2">
        <f>grand[[#This Row],[number]]-grand[[#This Row],[received]]</f>
        <v>0</v>
      </c>
      <c r="J255" s="30"/>
      <c r="K255" s="4"/>
      <c r="L255" s="4"/>
      <c r="M255" s="2">
        <f>K255-L255</f>
        <v>0</v>
      </c>
      <c r="N255" s="4"/>
      <c r="O255" s="4"/>
      <c r="P255" s="7">
        <f>grand[[#This Row],[total weight]]/grand[[#This Row],[received]]</f>
        <v>0</v>
      </c>
      <c r="Q255" s="7">
        <f>grand[[#This Row],[receiving weight]]/grand[[#This Row],[received]]</f>
        <v>0</v>
      </c>
      <c r="R255" s="7">
        <f>grand[[#This Row],[transportation loss ]]/grand[[#This Row],[received]]</f>
        <v>0</v>
      </c>
      <c r="S255" s="7">
        <f>grand[[#This Row],[ carcass weight]]/grand[[#This Row],[received]]</f>
        <v>0</v>
      </c>
      <c r="T255" s="7">
        <f>grand[[#This Row],[ kidneys fat quantity]]/grand[[#This Row],[received]]</f>
        <v>0</v>
      </c>
      <c r="U255" s="4">
        <v>25</v>
      </c>
      <c r="V255" s="4">
        <v>0</v>
      </c>
      <c r="W255" s="4">
        <v>50</v>
      </c>
      <c r="X255" s="4">
        <v>10</v>
      </c>
      <c r="Y255" s="8">
        <v>8.5</v>
      </c>
      <c r="Z255" s="3"/>
      <c r="AA255" s="12">
        <f>AVERAGE((grand[[#This Row],[am]]/25),(grand[[#This Row],[pm]]/50))</f>
        <v>1</v>
      </c>
      <c r="AB255" s="3"/>
      <c r="AC255" s="6">
        <f>SUM(grand[[#This Row],[am]:[meat transportation]])/100</f>
        <v>0.93500000000000005</v>
      </c>
      <c r="AD255" s="4"/>
      <c r="AE255" s="4"/>
      <c r="AF255" s="4"/>
      <c r="AG255" s="4"/>
      <c r="AH255" s="4"/>
      <c r="AI255" s="4"/>
      <c r="AJ255" s="2"/>
      <c r="AK255" s="4"/>
    </row>
    <row r="256" spans="1:37" hidden="1" x14ac:dyDescent="0.2">
      <c r="A256" s="11">
        <v>43954</v>
      </c>
      <c r="B256" s="53" t="s">
        <v>1467</v>
      </c>
      <c r="C256" s="52" t="str">
        <f>IF(MID(B256,4,2)="09","Ramadan",IF(AND(MID(B256,4,2)="12",VALUE(LEFT(B256,2))&lt;=9),"Adha Season","Normal"))</f>
        <v>Ramadan</v>
      </c>
      <c r="D256" s="1" t="s">
        <v>45</v>
      </c>
      <c r="F256" s="4" t="s">
        <v>47</v>
      </c>
      <c r="G256" s="4">
        <v>35</v>
      </c>
      <c r="H256" s="4">
        <v>35</v>
      </c>
      <c r="I256" s="2">
        <f>grand[[#This Row],[number]]-grand[[#This Row],[received]]</f>
        <v>0</v>
      </c>
      <c r="J256" s="30"/>
      <c r="K256" s="4">
        <v>13600</v>
      </c>
      <c r="L256" s="4">
        <v>13115</v>
      </c>
      <c r="M256" s="2">
        <f>K256-L256</f>
        <v>485</v>
      </c>
      <c r="N256" s="4">
        <v>8205.6</v>
      </c>
      <c r="O256" s="4"/>
      <c r="P256" s="7">
        <f>grand[[#This Row],[total weight]]/grand[[#This Row],[received]]</f>
        <v>388.57142857142856</v>
      </c>
      <c r="Q256" s="7">
        <f>grand[[#This Row],[receiving weight]]/grand[[#This Row],[received]]</f>
        <v>374.71428571428572</v>
      </c>
      <c r="R256" s="7">
        <f>grand[[#This Row],[transportation loss ]]/grand[[#This Row],[received]]</f>
        <v>13.857142857142858</v>
      </c>
      <c r="S256" s="7">
        <f>grand[[#This Row],[ carcass weight]]/grand[[#This Row],[received]]</f>
        <v>234.4457142857143</v>
      </c>
      <c r="T256" s="7">
        <f>grand[[#This Row],[ kidneys fat quantity]]/grand[[#This Row],[received]]</f>
        <v>0</v>
      </c>
      <c r="U256" s="4">
        <v>25</v>
      </c>
      <c r="V256" s="4">
        <v>0</v>
      </c>
      <c r="W256" s="4">
        <v>49.9</v>
      </c>
      <c r="X256" s="4">
        <v>10</v>
      </c>
      <c r="Y256" s="8">
        <v>8.5</v>
      </c>
      <c r="Z256" s="3">
        <f>grand[[#This Row],[av. Transportation loss]]/grand[[#This Row],[av.total weight]]</f>
        <v>3.5661764705882358E-2</v>
      </c>
      <c r="AA256" s="12">
        <f>AVERAGE((grand[[#This Row],[am]]/25),(grand[[#This Row],[pm]]/50))</f>
        <v>0.999</v>
      </c>
      <c r="AB256" s="3">
        <f>grand[[#This Row],[ carcass weight]]/grand[[#This Row],[total weight]]</f>
        <v>0.60335294117647065</v>
      </c>
      <c r="AC256" s="6">
        <f>SUM(grand[[#This Row],[am]:[meat transportation]])/100</f>
        <v>0.93400000000000005</v>
      </c>
      <c r="AD256" s="4"/>
      <c r="AE256" s="4"/>
      <c r="AF256" s="4" t="s">
        <v>55</v>
      </c>
      <c r="AG256" s="4"/>
      <c r="AH256" s="4"/>
      <c r="AI256" s="4"/>
      <c r="AJ256" s="2"/>
      <c r="AK256" s="4"/>
    </row>
    <row r="257" spans="1:38" hidden="1" x14ac:dyDescent="0.2">
      <c r="A257" s="11">
        <v>43956</v>
      </c>
      <c r="B257" s="53" t="s">
        <v>2510</v>
      </c>
      <c r="C257" s="52" t="str">
        <f>IF(MID(B257,4,2)="09","Ramadan",IF(AND(MID(B257,4,2)="12",VALUE(LEFT(B257,2))&lt;=9),"Adha Season","Normal"))</f>
        <v>Ramadan</v>
      </c>
      <c r="D257" s="1" t="s">
        <v>45</v>
      </c>
      <c r="F257" s="4" t="s">
        <v>46</v>
      </c>
      <c r="G257" s="4">
        <v>27</v>
      </c>
      <c r="H257" s="4">
        <v>27</v>
      </c>
      <c r="I257" s="2">
        <f>grand[[#This Row],[number]]-grand[[#This Row],[received]]</f>
        <v>0</v>
      </c>
      <c r="J257" s="30"/>
      <c r="K257" s="4">
        <v>13880</v>
      </c>
      <c r="L257" s="4">
        <v>12960</v>
      </c>
      <c r="M257" s="2">
        <f>K257-L257</f>
        <v>920</v>
      </c>
      <c r="N257" s="4">
        <v>8435</v>
      </c>
      <c r="O257" s="4"/>
      <c r="P257" s="7">
        <f>grand[[#This Row],[total weight]]/grand[[#This Row],[received]]</f>
        <v>514.07407407407402</v>
      </c>
      <c r="Q257" s="7">
        <f>grand[[#This Row],[receiving weight]]/grand[[#This Row],[received]]</f>
        <v>480</v>
      </c>
      <c r="R257" s="7">
        <f>grand[[#This Row],[transportation loss ]]/grand[[#This Row],[received]]</f>
        <v>34.074074074074076</v>
      </c>
      <c r="S257" s="7">
        <f>grand[[#This Row],[ carcass weight]]/grand[[#This Row],[received]]</f>
        <v>312.40740740740739</v>
      </c>
      <c r="T257" s="7">
        <f>grand[[#This Row],[ kidneys fat quantity]]/grand[[#This Row],[received]]</f>
        <v>0</v>
      </c>
      <c r="U257" s="4">
        <v>25</v>
      </c>
      <c r="V257" s="4">
        <v>0</v>
      </c>
      <c r="W257" s="4">
        <v>49.2</v>
      </c>
      <c r="X257" s="4">
        <v>10</v>
      </c>
      <c r="Y257" s="8">
        <v>8.5</v>
      </c>
      <c r="Z257" s="3">
        <f>grand[[#This Row],[av. Transportation loss]]/grand[[#This Row],[av.total weight]]</f>
        <v>6.628242074927955E-2</v>
      </c>
      <c r="AA257" s="12">
        <f>AVERAGE((grand[[#This Row],[am]]/25),(grand[[#This Row],[pm]]/50))</f>
        <v>0.99199999999999999</v>
      </c>
      <c r="AB257" s="3">
        <f>grand[[#This Row],[ carcass weight]]/grand[[#This Row],[total weight]]</f>
        <v>0.60770893371757928</v>
      </c>
      <c r="AC257" s="6">
        <f>SUM(grand[[#This Row],[am]:[meat transportation]])/100</f>
        <v>0.92700000000000005</v>
      </c>
      <c r="AD257" s="4"/>
      <c r="AE257" s="4"/>
      <c r="AF257" s="4" t="s">
        <v>55</v>
      </c>
      <c r="AG257" s="4"/>
      <c r="AH257" s="4"/>
      <c r="AI257" s="4">
        <v>4</v>
      </c>
      <c r="AJ257" s="2"/>
      <c r="AK257" s="4"/>
    </row>
    <row r="258" spans="1:38" hidden="1" x14ac:dyDescent="0.2">
      <c r="A258" s="11">
        <v>43957</v>
      </c>
      <c r="B258" s="53" t="s">
        <v>1468</v>
      </c>
      <c r="C258" s="52" t="str">
        <f>IF(MID(B258,4,2)="09","Ramadan",IF(AND(MID(B258,4,2)="12",VALUE(LEFT(B258,2))&lt;=9),"Adha Season","Normal"))</f>
        <v>Ramadan</v>
      </c>
      <c r="D258" s="1" t="s">
        <v>45</v>
      </c>
      <c r="F258" s="4" t="s">
        <v>50</v>
      </c>
      <c r="G258" s="4">
        <v>24</v>
      </c>
      <c r="H258" s="4">
        <v>24</v>
      </c>
      <c r="I258" s="2">
        <f>grand[[#This Row],[number]]-grand[[#This Row],[received]]</f>
        <v>0</v>
      </c>
      <c r="J258" s="30"/>
      <c r="K258" s="4">
        <v>9939</v>
      </c>
      <c r="L258" s="4">
        <v>9450</v>
      </c>
      <c r="M258" s="2">
        <f>K258-L258</f>
        <v>489</v>
      </c>
      <c r="N258" s="4">
        <v>6280.7</v>
      </c>
      <c r="O258" s="4"/>
      <c r="P258" s="7">
        <f>grand[[#This Row],[total weight]]/grand[[#This Row],[received]]</f>
        <v>414.125</v>
      </c>
      <c r="Q258" s="7">
        <f>grand[[#This Row],[receiving weight]]/grand[[#This Row],[received]]</f>
        <v>393.75</v>
      </c>
      <c r="R258" s="7">
        <f>grand[[#This Row],[transportation loss ]]/grand[[#This Row],[received]]</f>
        <v>20.375</v>
      </c>
      <c r="S258" s="7">
        <f>grand[[#This Row],[ carcass weight]]/grand[[#This Row],[received]]</f>
        <v>261.69583333333333</v>
      </c>
      <c r="T258" s="7">
        <f>grand[[#This Row],[ kidneys fat quantity]]/grand[[#This Row],[received]]</f>
        <v>0</v>
      </c>
      <c r="U258" s="4">
        <v>25</v>
      </c>
      <c r="V258" s="4">
        <v>0</v>
      </c>
      <c r="W258" s="4">
        <v>49.7</v>
      </c>
      <c r="X258" s="4">
        <v>10</v>
      </c>
      <c r="Y258" s="8">
        <v>8.5</v>
      </c>
      <c r="Z258" s="3">
        <f>grand[[#This Row],[av. Transportation loss]]/grand[[#This Row],[av.total weight]]</f>
        <v>4.9200120736492603E-2</v>
      </c>
      <c r="AA258" s="12">
        <f>AVERAGE((grand[[#This Row],[am]]/25),(grand[[#This Row],[pm]]/50))</f>
        <v>0.99700000000000011</v>
      </c>
      <c r="AB258" s="3">
        <f>grand[[#This Row],[ carcass weight]]/grand[[#This Row],[total weight]]</f>
        <v>0.6319247409196096</v>
      </c>
      <c r="AC258" s="6">
        <f>SUM(grand[[#This Row],[am]:[meat transportation]])/100</f>
        <v>0.93200000000000005</v>
      </c>
      <c r="AD258" s="4" t="s">
        <v>81</v>
      </c>
      <c r="AE258" s="4"/>
      <c r="AF258" s="4"/>
      <c r="AG258" s="4"/>
      <c r="AH258" s="4"/>
      <c r="AI258" s="4"/>
      <c r="AJ258" s="2"/>
      <c r="AK258" s="4"/>
    </row>
    <row r="259" spans="1:38" hidden="1" x14ac:dyDescent="0.2">
      <c r="A259" s="11">
        <v>43957</v>
      </c>
      <c r="B259" s="53" t="s">
        <v>1468</v>
      </c>
      <c r="C259" s="52" t="str">
        <f>IF(MID(B259,4,2)="09","Ramadan",IF(AND(MID(B259,4,2)="12",VALUE(LEFT(B259,2))&lt;=9),"Adha Season","Normal"))</f>
        <v>Ramadan</v>
      </c>
      <c r="D259" s="2" t="s">
        <v>294</v>
      </c>
      <c r="E259" s="2"/>
      <c r="F259" s="4" t="s">
        <v>105</v>
      </c>
      <c r="G259" s="4">
        <v>25</v>
      </c>
      <c r="H259" s="4">
        <v>25</v>
      </c>
      <c r="I259" s="2">
        <f>grand[[#This Row],[number]]-grand[[#This Row],[received]]</f>
        <v>0</v>
      </c>
      <c r="J259" s="30"/>
      <c r="K259" s="4"/>
      <c r="L259" s="4"/>
      <c r="M259" s="2">
        <f>K259-L259</f>
        <v>0</v>
      </c>
      <c r="N259" s="4"/>
      <c r="O259" s="4"/>
      <c r="P259" s="7">
        <f>grand[[#This Row],[total weight]]/grand[[#This Row],[received]]</f>
        <v>0</v>
      </c>
      <c r="Q259" s="7">
        <f>grand[[#This Row],[receiving weight]]/grand[[#This Row],[received]]</f>
        <v>0</v>
      </c>
      <c r="R259" s="7">
        <f>grand[[#This Row],[transportation loss ]]/grand[[#This Row],[received]]</f>
        <v>0</v>
      </c>
      <c r="S259" s="7">
        <f>grand[[#This Row],[ carcass weight]]/grand[[#This Row],[received]]</f>
        <v>0</v>
      </c>
      <c r="T259" s="7">
        <f>grand[[#This Row],[ kidneys fat quantity]]/grand[[#This Row],[received]]</f>
        <v>0</v>
      </c>
      <c r="U259" s="4">
        <v>25</v>
      </c>
      <c r="V259" s="4">
        <v>0</v>
      </c>
      <c r="W259" s="4">
        <v>45.9</v>
      </c>
      <c r="X259" s="4">
        <v>10</v>
      </c>
      <c r="Y259" s="8">
        <v>8.5</v>
      </c>
      <c r="Z259" s="3"/>
      <c r="AA259" s="12">
        <f>AVERAGE((grand[[#This Row],[am]]/25),(grand[[#This Row],[pm]]/50))</f>
        <v>0.95899999999999996</v>
      </c>
      <c r="AB259" s="3"/>
      <c r="AC259" s="6">
        <f>SUM(grand[[#This Row],[am]:[meat transportation]])/100</f>
        <v>0.89400000000000002</v>
      </c>
      <c r="AD259" s="4" t="s">
        <v>122</v>
      </c>
      <c r="AE259" s="4"/>
      <c r="AF259" s="4"/>
      <c r="AG259" s="4"/>
      <c r="AH259" s="4"/>
      <c r="AI259" s="4"/>
      <c r="AJ259" s="2"/>
      <c r="AK259" s="4"/>
    </row>
    <row r="260" spans="1:38" hidden="1" x14ac:dyDescent="0.2">
      <c r="A260" s="11">
        <v>43958</v>
      </c>
      <c r="B260" s="53" t="s">
        <v>1469</v>
      </c>
      <c r="C260" s="52" t="str">
        <f>IF(MID(B260,4,2)="09","Ramadan",IF(AND(MID(B260,4,2)="12",VALUE(LEFT(B260,2))&lt;=9),"Adha Season","Normal"))</f>
        <v>Ramadan</v>
      </c>
      <c r="D260" s="1" t="s">
        <v>45</v>
      </c>
      <c r="F260" s="4" t="s">
        <v>50</v>
      </c>
      <c r="G260" s="4">
        <v>37</v>
      </c>
      <c r="H260" s="4">
        <v>37</v>
      </c>
      <c r="I260" s="2">
        <f>grand[[#This Row],[number]]-grand[[#This Row],[received]]</f>
        <v>0</v>
      </c>
      <c r="J260" s="30"/>
      <c r="K260" s="4">
        <v>15392</v>
      </c>
      <c r="L260" s="4">
        <v>14345</v>
      </c>
      <c r="M260" s="2">
        <f>K260-L260</f>
        <v>1047</v>
      </c>
      <c r="N260" s="4">
        <v>9326.2999999999993</v>
      </c>
      <c r="O260" s="4"/>
      <c r="P260" s="7">
        <f>grand[[#This Row],[total weight]]/grand[[#This Row],[received]]</f>
        <v>416</v>
      </c>
      <c r="Q260" s="7">
        <f>grand[[#This Row],[receiving weight]]/grand[[#This Row],[received]]</f>
        <v>387.70270270270271</v>
      </c>
      <c r="R260" s="7">
        <f>grand[[#This Row],[transportation loss ]]/grand[[#This Row],[received]]</f>
        <v>28.297297297297298</v>
      </c>
      <c r="S260" s="7">
        <f>grand[[#This Row],[ carcass weight]]/grand[[#This Row],[received]]</f>
        <v>252.06216216216214</v>
      </c>
      <c r="T260" s="7">
        <f>grand[[#This Row],[ kidneys fat quantity]]/grand[[#This Row],[received]]</f>
        <v>0</v>
      </c>
      <c r="U260" s="4">
        <v>25</v>
      </c>
      <c r="V260" s="4">
        <v>0</v>
      </c>
      <c r="W260" s="4">
        <v>49.8</v>
      </c>
      <c r="X260" s="4">
        <v>10</v>
      </c>
      <c r="Y260" s="8">
        <v>8.5</v>
      </c>
      <c r="Z260" s="3">
        <f>grand[[#This Row],[av. Transportation loss]]/grand[[#This Row],[av.total weight]]</f>
        <v>6.8022349272349278E-2</v>
      </c>
      <c r="AA260" s="12">
        <f>AVERAGE((grand[[#This Row],[am]]/25),(grand[[#This Row],[pm]]/50))</f>
        <v>0.998</v>
      </c>
      <c r="AB260" s="3">
        <f>grand[[#This Row],[ carcass weight]]/grand[[#This Row],[total weight]]</f>
        <v>0.60591865904365905</v>
      </c>
      <c r="AC260" s="6">
        <f>SUM(grand[[#This Row],[am]:[meat transportation]])/100</f>
        <v>0.93299999999999994</v>
      </c>
      <c r="AD260" s="4"/>
      <c r="AE260" s="4">
        <v>1</v>
      </c>
      <c r="AF260" s="4"/>
      <c r="AG260" s="4"/>
      <c r="AH260" s="4"/>
      <c r="AI260" s="4">
        <v>1</v>
      </c>
      <c r="AJ260" s="2"/>
      <c r="AK260" s="4"/>
    </row>
    <row r="261" spans="1:38" hidden="1" x14ac:dyDescent="0.2">
      <c r="A261" s="11">
        <v>43961</v>
      </c>
      <c r="B261" s="53" t="s">
        <v>1470</v>
      </c>
      <c r="C261" s="52" t="str">
        <f>IF(MID(B261,4,2)="09","Ramadan",IF(AND(MID(B261,4,2)="12",VALUE(LEFT(B261,2))&lt;=9),"Adha Season","Normal"))</f>
        <v>Ramadan</v>
      </c>
      <c r="D261" s="1" t="s">
        <v>45</v>
      </c>
      <c r="F261" s="4" t="s">
        <v>47</v>
      </c>
      <c r="G261" s="4">
        <v>32</v>
      </c>
      <c r="H261" s="4">
        <v>32</v>
      </c>
      <c r="I261" s="2">
        <f>grand[[#This Row],[number]]-grand[[#This Row],[received]]</f>
        <v>0</v>
      </c>
      <c r="J261" s="30"/>
      <c r="K261" s="4">
        <v>15575</v>
      </c>
      <c r="L261" s="4">
        <v>14940</v>
      </c>
      <c r="M261" s="2">
        <f>K261-L261</f>
        <v>635</v>
      </c>
      <c r="N261" s="4">
        <v>9432</v>
      </c>
      <c r="O261" s="4"/>
      <c r="P261" s="7">
        <f>grand[[#This Row],[total weight]]/grand[[#This Row],[received]]</f>
        <v>486.71875</v>
      </c>
      <c r="Q261" s="7">
        <f>grand[[#This Row],[receiving weight]]/grand[[#This Row],[received]]</f>
        <v>466.875</v>
      </c>
      <c r="R261" s="7">
        <f>grand[[#This Row],[transportation loss ]]/grand[[#This Row],[received]]</f>
        <v>19.84375</v>
      </c>
      <c r="S261" s="7">
        <f>grand[[#This Row],[ carcass weight]]/grand[[#This Row],[received]]</f>
        <v>294.75</v>
      </c>
      <c r="T261" s="7">
        <f>grand[[#This Row],[ kidneys fat quantity]]/grand[[#This Row],[received]]</f>
        <v>0</v>
      </c>
      <c r="U261" s="4">
        <v>25</v>
      </c>
      <c r="V261" s="4">
        <v>0</v>
      </c>
      <c r="W261" s="4">
        <v>49.2</v>
      </c>
      <c r="X261" s="4">
        <v>10</v>
      </c>
      <c r="Y261" s="8">
        <v>8.5</v>
      </c>
      <c r="Z261" s="3">
        <f>grand[[#This Row],[av. Transportation loss]]/grand[[#This Row],[av.total weight]]</f>
        <v>4.0770465489566615E-2</v>
      </c>
      <c r="AA261" s="12">
        <f>AVERAGE((grand[[#This Row],[am]]/25),(grand[[#This Row],[pm]]/50))</f>
        <v>0.99199999999999999</v>
      </c>
      <c r="AB261" s="3">
        <f>grand[[#This Row],[ carcass weight]]/grand[[#This Row],[total weight]]</f>
        <v>0.60558587479935799</v>
      </c>
      <c r="AC261" s="6">
        <f>SUM(grand[[#This Row],[am]:[meat transportation]])/100</f>
        <v>0.92700000000000005</v>
      </c>
      <c r="AD261" s="4" t="s">
        <v>81</v>
      </c>
      <c r="AE261" s="4">
        <v>1</v>
      </c>
      <c r="AF261" s="4" t="s">
        <v>55</v>
      </c>
      <c r="AG261" s="4"/>
      <c r="AH261" s="4"/>
      <c r="AI261" s="4">
        <v>3</v>
      </c>
      <c r="AJ261" s="2"/>
      <c r="AK261" s="4"/>
    </row>
    <row r="262" spans="1:38" hidden="1" x14ac:dyDescent="0.2">
      <c r="A262" s="11">
        <v>43965</v>
      </c>
      <c r="B262" s="53" t="s">
        <v>2512</v>
      </c>
      <c r="C262" s="52" t="str">
        <f>IF(MID(B262,4,2)="09","Ramadan",IF(AND(MID(B262,4,2)="12",VALUE(LEFT(B262,2))&lt;=9),"Adha Season","Normal"))</f>
        <v>Ramadan</v>
      </c>
      <c r="D262" s="1" t="s">
        <v>45</v>
      </c>
      <c r="F262" s="4" t="s">
        <v>50</v>
      </c>
      <c r="G262" s="4">
        <v>35</v>
      </c>
      <c r="H262" s="4">
        <v>35</v>
      </c>
      <c r="I262" s="2">
        <f>grand[[#This Row],[number]]-grand[[#This Row],[received]]</f>
        <v>0</v>
      </c>
      <c r="J262" s="30"/>
      <c r="K262" s="4">
        <v>14401</v>
      </c>
      <c r="L262" s="4">
        <v>13650</v>
      </c>
      <c r="M262" s="2">
        <f>K262-L262</f>
        <v>751</v>
      </c>
      <c r="N262" s="4">
        <v>8857.2999999999993</v>
      </c>
      <c r="O262" s="4"/>
      <c r="P262" s="7">
        <f>grand[[#This Row],[total weight]]/grand[[#This Row],[received]]</f>
        <v>411.45714285714286</v>
      </c>
      <c r="Q262" s="7">
        <f>grand[[#This Row],[receiving weight]]/grand[[#This Row],[received]]</f>
        <v>390</v>
      </c>
      <c r="R262" s="7">
        <f>grand[[#This Row],[transportation loss ]]/grand[[#This Row],[received]]</f>
        <v>21.457142857142856</v>
      </c>
      <c r="S262" s="7">
        <f>grand[[#This Row],[ carcass weight]]/grand[[#This Row],[received]]</f>
        <v>253.06571428571428</v>
      </c>
      <c r="T262" s="7">
        <f>grand[[#This Row],[ kidneys fat quantity]]/grand[[#This Row],[received]]</f>
        <v>0</v>
      </c>
      <c r="U262" s="4">
        <v>25</v>
      </c>
      <c r="V262" s="4">
        <v>0</v>
      </c>
      <c r="W262" s="4">
        <v>49.7</v>
      </c>
      <c r="X262" s="4">
        <v>10</v>
      </c>
      <c r="Y262" s="8">
        <v>8.5</v>
      </c>
      <c r="Z262" s="3">
        <f>grand[[#This Row],[av. Transportation loss]]/grand[[#This Row],[av.total weight]]</f>
        <v>5.2149156308589677E-2</v>
      </c>
      <c r="AA262" s="12">
        <f>AVERAGE((grand[[#This Row],[am]]/25),(grand[[#This Row],[pm]]/50))</f>
        <v>0.99700000000000011</v>
      </c>
      <c r="AB262" s="3">
        <f>grand[[#This Row],[ carcass weight]]/grand[[#This Row],[total weight]]</f>
        <v>0.61504756614124012</v>
      </c>
      <c r="AC262" s="6">
        <f>SUM(grand[[#This Row],[am]:[meat transportation]])/100</f>
        <v>0.93200000000000005</v>
      </c>
      <c r="AD262" s="4" t="s">
        <v>72</v>
      </c>
      <c r="AE262" s="4"/>
      <c r="AF262" s="4" t="s">
        <v>83</v>
      </c>
      <c r="AG262" s="4"/>
      <c r="AH262" s="4"/>
      <c r="AI262" s="4"/>
      <c r="AJ262" s="2"/>
      <c r="AK262" s="4"/>
    </row>
    <row r="263" spans="1:38" hidden="1" x14ac:dyDescent="0.2">
      <c r="A263" s="11">
        <v>43967</v>
      </c>
      <c r="B263" s="53" t="s">
        <v>2513</v>
      </c>
      <c r="C263" s="52" t="str">
        <f>IF(MID(B263,4,2)="09","Ramadan",IF(AND(MID(B263,4,2)="12",VALUE(LEFT(B263,2))&lt;=9),"Adha Season","Normal"))</f>
        <v>Ramadan</v>
      </c>
      <c r="D263" s="1" t="s">
        <v>45</v>
      </c>
      <c r="F263" s="4" t="s">
        <v>46</v>
      </c>
      <c r="G263" s="4">
        <v>35</v>
      </c>
      <c r="H263" s="4">
        <v>35</v>
      </c>
      <c r="I263" s="2">
        <f>grand[[#This Row],[number]]-grand[[#This Row],[received]]</f>
        <v>0</v>
      </c>
      <c r="J263" s="30"/>
      <c r="K263" s="4">
        <v>15393</v>
      </c>
      <c r="L263" s="4">
        <v>14320</v>
      </c>
      <c r="M263" s="2">
        <f>K263-L263</f>
        <v>1073</v>
      </c>
      <c r="N263" s="4">
        <v>9235.4</v>
      </c>
      <c r="O263" s="4"/>
      <c r="P263" s="7">
        <f>grand[[#This Row],[total weight]]/grand[[#This Row],[received]]</f>
        <v>439.8</v>
      </c>
      <c r="Q263" s="7">
        <f>grand[[#This Row],[receiving weight]]/grand[[#This Row],[received]]</f>
        <v>409.14285714285717</v>
      </c>
      <c r="R263" s="7">
        <f>grand[[#This Row],[transportation loss ]]/grand[[#This Row],[received]]</f>
        <v>30.657142857142858</v>
      </c>
      <c r="S263" s="7">
        <f>grand[[#This Row],[ carcass weight]]/grand[[#This Row],[received]]</f>
        <v>263.86857142857144</v>
      </c>
      <c r="T263" s="7">
        <f>grand[[#This Row],[ kidneys fat quantity]]/grand[[#This Row],[received]]</f>
        <v>0</v>
      </c>
      <c r="U263" s="4">
        <v>25</v>
      </c>
      <c r="V263" s="4">
        <v>0</v>
      </c>
      <c r="W263" s="4">
        <v>49.7</v>
      </c>
      <c r="X263" s="4">
        <v>10</v>
      </c>
      <c r="Y263" s="8">
        <v>8.5</v>
      </c>
      <c r="Z263" s="3">
        <f>grand[[#This Row],[av. Transportation loss]]/grand[[#This Row],[av.total weight]]</f>
        <v>6.9707009679724555E-2</v>
      </c>
      <c r="AA263" s="12">
        <f>AVERAGE((grand[[#This Row],[am]]/25),(grand[[#This Row],[pm]]/50))</f>
        <v>0.99700000000000011</v>
      </c>
      <c r="AB263" s="3">
        <f>grand[[#This Row],[ carcass weight]]/grand[[#This Row],[total weight]]</f>
        <v>0.59997401416228158</v>
      </c>
      <c r="AC263" s="6">
        <f>SUM(grand[[#This Row],[am]:[meat transportation]])/100</f>
        <v>0.93200000000000005</v>
      </c>
      <c r="AD263" s="4"/>
      <c r="AE263" s="4"/>
      <c r="AF263" s="4" t="s">
        <v>55</v>
      </c>
      <c r="AG263" s="4"/>
      <c r="AH263" s="4"/>
      <c r="AI263" s="4">
        <v>2</v>
      </c>
      <c r="AJ263" s="2"/>
      <c r="AK263" s="4"/>
    </row>
    <row r="264" spans="1:38" hidden="1" x14ac:dyDescent="0.2">
      <c r="A264" s="11">
        <v>43968</v>
      </c>
      <c r="B264" s="53" t="s">
        <v>1473</v>
      </c>
      <c r="C264" s="52" t="str">
        <f>IF(MID(B264,4,2)="09","Ramadan",IF(AND(MID(B264,4,2)="12",VALUE(LEFT(B264,2))&lt;=9),"Adha Season","Normal"))</f>
        <v>Ramadan</v>
      </c>
      <c r="D264" s="1" t="s">
        <v>45</v>
      </c>
      <c r="F264" s="4" t="s">
        <v>47</v>
      </c>
      <c r="G264" s="4">
        <v>34</v>
      </c>
      <c r="H264" s="4">
        <v>34</v>
      </c>
      <c r="I264" s="2">
        <f>grand[[#This Row],[number]]-grand[[#This Row],[received]]</f>
        <v>0</v>
      </c>
      <c r="J264" s="30"/>
      <c r="K264" s="4">
        <v>16405</v>
      </c>
      <c r="L264" s="4">
        <v>15475</v>
      </c>
      <c r="M264" s="2">
        <f>K264-L264</f>
        <v>930</v>
      </c>
      <c r="N264" s="4">
        <v>10022.799999999999</v>
      </c>
      <c r="O264" s="4"/>
      <c r="P264" s="7">
        <f>grand[[#This Row],[total weight]]/grand[[#This Row],[received]]</f>
        <v>482.5</v>
      </c>
      <c r="Q264" s="7">
        <f>grand[[#This Row],[receiving weight]]/grand[[#This Row],[received]]</f>
        <v>455.14705882352939</v>
      </c>
      <c r="R264" s="7">
        <f>grand[[#This Row],[transportation loss ]]/grand[[#This Row],[received]]</f>
        <v>27.352941176470587</v>
      </c>
      <c r="S264" s="7">
        <f>grand[[#This Row],[ carcass weight]]/grand[[#This Row],[received]]</f>
        <v>294.78823529411761</v>
      </c>
      <c r="T264" s="7">
        <f>grand[[#This Row],[ kidneys fat quantity]]/grand[[#This Row],[received]]</f>
        <v>0</v>
      </c>
      <c r="U264" s="4">
        <v>25</v>
      </c>
      <c r="V264" s="4">
        <v>0</v>
      </c>
      <c r="W264" s="4">
        <v>49.8</v>
      </c>
      <c r="X264" s="4">
        <v>10</v>
      </c>
      <c r="Y264" s="8">
        <v>8.5</v>
      </c>
      <c r="Z264" s="3">
        <f>grand[[#This Row],[av. Transportation loss]]/grand[[#This Row],[av.total weight]]</f>
        <v>5.6690033526363912E-2</v>
      </c>
      <c r="AA264" s="12">
        <f>AVERAGE((grand[[#This Row],[am]]/25),(grand[[#This Row],[pm]]/50))</f>
        <v>0.998</v>
      </c>
      <c r="AB264" s="3">
        <f>grand[[#This Row],[ carcass weight]]/grand[[#This Row],[total weight]]</f>
        <v>0.61096007314843026</v>
      </c>
      <c r="AC264" s="6">
        <f>SUM(grand[[#This Row],[am]:[meat transportation]])/100</f>
        <v>0.93299999999999994</v>
      </c>
      <c r="AD264" s="4"/>
      <c r="AE264" s="4">
        <v>1</v>
      </c>
      <c r="AF264" s="4" t="s">
        <v>126</v>
      </c>
      <c r="AG264" s="4"/>
      <c r="AH264" s="4"/>
      <c r="AI264" s="4"/>
      <c r="AJ264" s="2"/>
      <c r="AK264" s="4"/>
    </row>
    <row r="265" spans="1:38" hidden="1" x14ac:dyDescent="0.2">
      <c r="A265" s="11">
        <v>43969</v>
      </c>
      <c r="B265" s="53" t="s">
        <v>1474</v>
      </c>
      <c r="C265" s="52" t="str">
        <f>IF(MID(B265,4,2)="09","Ramadan",IF(AND(MID(B265,4,2)="12",VALUE(LEFT(B265,2))&lt;=9),"Adha Season","Normal"))</f>
        <v>Ramadan</v>
      </c>
      <c r="D265" s="2" t="s">
        <v>294</v>
      </c>
      <c r="E265" s="2"/>
      <c r="F265" s="4" t="s">
        <v>105</v>
      </c>
      <c r="G265" s="4">
        <v>22</v>
      </c>
      <c r="H265" s="4">
        <v>22</v>
      </c>
      <c r="I265" s="2">
        <f>grand[[#This Row],[number]]-grand[[#This Row],[received]]</f>
        <v>0</v>
      </c>
      <c r="J265" s="30"/>
      <c r="K265" s="4"/>
      <c r="L265" s="4"/>
      <c r="M265" s="2">
        <f>K265-L265</f>
        <v>0</v>
      </c>
      <c r="N265" s="4"/>
      <c r="O265" s="4"/>
      <c r="P265" s="7">
        <f>grand[[#This Row],[total weight]]/grand[[#This Row],[received]]</f>
        <v>0</v>
      </c>
      <c r="Q265" s="7">
        <f>grand[[#This Row],[receiving weight]]/grand[[#This Row],[received]]</f>
        <v>0</v>
      </c>
      <c r="R265" s="7">
        <f>grand[[#This Row],[transportation loss ]]/grand[[#This Row],[received]]</f>
        <v>0</v>
      </c>
      <c r="S265" s="7">
        <f>grand[[#This Row],[ carcass weight]]/grand[[#This Row],[received]]</f>
        <v>0</v>
      </c>
      <c r="T265" s="7">
        <f>grand[[#This Row],[ kidneys fat quantity]]/grand[[#This Row],[received]]</f>
        <v>0</v>
      </c>
      <c r="U265" s="4">
        <v>25</v>
      </c>
      <c r="V265" s="4">
        <v>0</v>
      </c>
      <c r="W265" s="4">
        <v>49.4</v>
      </c>
      <c r="X265" s="4">
        <v>10</v>
      </c>
      <c r="Y265" s="8">
        <v>8.5</v>
      </c>
      <c r="Z265" s="3"/>
      <c r="AA265" s="12">
        <f>AVERAGE((grand[[#This Row],[am]]/25),(grand[[#This Row],[pm]]/50))</f>
        <v>0.99399999999999999</v>
      </c>
      <c r="AB265" s="3"/>
      <c r="AC265" s="6">
        <f>SUM(grand[[#This Row],[am]:[meat transportation]])/100</f>
        <v>0.92900000000000005</v>
      </c>
      <c r="AD265" s="4" t="s">
        <v>81</v>
      </c>
      <c r="AE265" s="4"/>
      <c r="AF265" s="4" t="s">
        <v>69</v>
      </c>
      <c r="AG265" s="4"/>
      <c r="AH265" s="4"/>
      <c r="AI265" s="4"/>
      <c r="AJ265" s="2"/>
      <c r="AK265" s="4"/>
    </row>
    <row r="266" spans="1:38" hidden="1" x14ac:dyDescent="0.2">
      <c r="A266" s="11">
        <v>43970</v>
      </c>
      <c r="B266" s="53" t="s">
        <v>1475</v>
      </c>
      <c r="C266" s="52" t="str">
        <f>IF(MID(B266,4,2)="09","Ramadan",IF(AND(MID(B266,4,2)="12",VALUE(LEFT(B266,2))&lt;=9),"Adha Season","Normal"))</f>
        <v>Ramadan</v>
      </c>
      <c r="D266" s="1" t="s">
        <v>45</v>
      </c>
      <c r="F266" s="4" t="s">
        <v>50</v>
      </c>
      <c r="G266" s="4">
        <v>28</v>
      </c>
      <c r="H266" s="4">
        <v>28</v>
      </c>
      <c r="I266" s="2">
        <f>grand[[#This Row],[number]]-grand[[#This Row],[received]]</f>
        <v>0</v>
      </c>
      <c r="J266" s="30"/>
      <c r="K266" s="4">
        <v>11832</v>
      </c>
      <c r="L266" s="4">
        <v>10840</v>
      </c>
      <c r="M266" s="2">
        <f>K266-L266</f>
        <v>992</v>
      </c>
      <c r="N266" s="4">
        <v>7204.5</v>
      </c>
      <c r="O266" s="4"/>
      <c r="P266" s="7">
        <f>grand[[#This Row],[total weight]]/grand[[#This Row],[received]]</f>
        <v>422.57142857142856</v>
      </c>
      <c r="Q266" s="7">
        <f>grand[[#This Row],[receiving weight]]/grand[[#This Row],[received]]</f>
        <v>387.14285714285717</v>
      </c>
      <c r="R266" s="7">
        <f>grand[[#This Row],[transportation loss ]]/grand[[#This Row],[received]]</f>
        <v>35.428571428571431</v>
      </c>
      <c r="S266" s="7">
        <f>grand[[#This Row],[ carcass weight]]/grand[[#This Row],[received]]</f>
        <v>257.30357142857144</v>
      </c>
      <c r="T266" s="7">
        <f>grand[[#This Row],[ kidneys fat quantity]]/grand[[#This Row],[received]]</f>
        <v>0</v>
      </c>
      <c r="U266" s="4">
        <v>25</v>
      </c>
      <c r="V266" s="4">
        <v>0</v>
      </c>
      <c r="W266" s="4">
        <v>49.5</v>
      </c>
      <c r="X266" s="4">
        <v>9</v>
      </c>
      <c r="Y266" s="8">
        <v>8.5</v>
      </c>
      <c r="Z266" s="3">
        <f>grand[[#This Row],[av. Transportation loss]]/grand[[#This Row],[av.total weight]]</f>
        <v>8.3840432724814076E-2</v>
      </c>
      <c r="AA266" s="12">
        <f>AVERAGE((grand[[#This Row],[am]]/25),(grand[[#This Row],[pm]]/50))</f>
        <v>0.995</v>
      </c>
      <c r="AB266" s="3">
        <f>grand[[#This Row],[ carcass weight]]/grand[[#This Row],[total weight]]</f>
        <v>0.60889959432048679</v>
      </c>
      <c r="AC266" s="6">
        <f>SUM(grand[[#This Row],[am]:[meat transportation]])/100</f>
        <v>0.92</v>
      </c>
      <c r="AD266" s="4"/>
      <c r="AE266" s="4">
        <v>3</v>
      </c>
      <c r="AF266" s="4" t="s">
        <v>69</v>
      </c>
      <c r="AG266" s="4"/>
      <c r="AH266" s="4"/>
      <c r="AI266" s="4"/>
      <c r="AJ266" s="2"/>
      <c r="AK266" s="4"/>
    </row>
    <row r="267" spans="1:38" hidden="1" x14ac:dyDescent="0.2">
      <c r="A267" s="11">
        <v>43972</v>
      </c>
      <c r="B267" s="53" t="s">
        <v>1477</v>
      </c>
      <c r="C267" s="52" t="str">
        <f>IF(MID(B267,4,2)="09","Ramadan",IF(AND(MID(B267,4,2)="12",VALUE(LEFT(B267,2))&lt;=9),"Adha Season","Normal"))</f>
        <v>Ramadan</v>
      </c>
      <c r="D267" s="2" t="s">
        <v>294</v>
      </c>
      <c r="E267" s="2"/>
      <c r="F267" s="4" t="s">
        <v>129</v>
      </c>
      <c r="G267" s="4">
        <v>1</v>
      </c>
      <c r="H267" s="4">
        <v>1</v>
      </c>
      <c r="I267" s="2">
        <f>grand[[#This Row],[number]]-grand[[#This Row],[received]]</f>
        <v>0</v>
      </c>
      <c r="J267" s="30"/>
      <c r="K267" s="4"/>
      <c r="L267" s="4"/>
      <c r="M267" s="2">
        <f>K267-L267</f>
        <v>0</v>
      </c>
      <c r="N267" s="4"/>
      <c r="O267" s="4"/>
      <c r="P267" s="7">
        <f>grand[[#This Row],[total weight]]/grand[[#This Row],[received]]</f>
        <v>0</v>
      </c>
      <c r="Q267" s="7">
        <f>grand[[#This Row],[receiving weight]]/grand[[#This Row],[received]]</f>
        <v>0</v>
      </c>
      <c r="R267" s="7">
        <f>grand[[#This Row],[transportation loss ]]/grand[[#This Row],[received]]</f>
        <v>0</v>
      </c>
      <c r="S267" s="7">
        <f>grand[[#This Row],[ carcass weight]]/grand[[#This Row],[received]]</f>
        <v>0</v>
      </c>
      <c r="T267" s="7">
        <f>grand[[#This Row],[ kidneys fat quantity]]/grand[[#This Row],[received]]</f>
        <v>0</v>
      </c>
      <c r="U267" s="4">
        <v>25</v>
      </c>
      <c r="V267" s="4">
        <v>0</v>
      </c>
      <c r="W267" s="4">
        <v>50</v>
      </c>
      <c r="X267" s="4">
        <v>10</v>
      </c>
      <c r="Y267" s="8">
        <v>8.5</v>
      </c>
      <c r="Z267" s="3"/>
      <c r="AA267" s="12">
        <f>AVERAGE((grand[[#This Row],[am]]/25),(grand[[#This Row],[pm]]/50))</f>
        <v>1</v>
      </c>
      <c r="AB267" s="3"/>
      <c r="AC267" s="6">
        <f>SUM(grand[[#This Row],[am]:[meat transportation]])/100</f>
        <v>0.93500000000000005</v>
      </c>
      <c r="AD267" s="4"/>
      <c r="AE267" s="4"/>
      <c r="AF267" s="4"/>
      <c r="AG267" s="4"/>
      <c r="AH267" s="4"/>
      <c r="AI267" s="4"/>
      <c r="AJ267" s="2"/>
      <c r="AK267" s="4"/>
    </row>
    <row r="268" spans="1:38" hidden="1" x14ac:dyDescent="0.2">
      <c r="A268" s="11">
        <v>43979</v>
      </c>
      <c r="B268" s="53" t="s">
        <v>2515</v>
      </c>
      <c r="C268" s="52" t="str">
        <f>IF(MID(B268,4,2)="09","Ramadan",IF(AND(MID(B268,4,2)="12",VALUE(LEFT(B268,2))&lt;=9),"Adha Season","Normal"))</f>
        <v>Normal</v>
      </c>
      <c r="D268" s="1" t="s">
        <v>45</v>
      </c>
      <c r="F268" s="4" t="s">
        <v>46</v>
      </c>
      <c r="G268" s="4">
        <v>54</v>
      </c>
      <c r="H268" s="4">
        <v>54</v>
      </c>
      <c r="I268" s="2">
        <f>grand[[#This Row],[number]]-grand[[#This Row],[received]]</f>
        <v>0</v>
      </c>
      <c r="J268" s="30"/>
      <c r="K268" s="4">
        <v>26715</v>
      </c>
      <c r="L268" s="4">
        <v>26715</v>
      </c>
      <c r="M268" s="2">
        <f>K268-L268</f>
        <v>0</v>
      </c>
      <c r="N268" s="4">
        <v>16029.1</v>
      </c>
      <c r="O268" s="4"/>
      <c r="P268" s="7">
        <f>grand[[#This Row],[total weight]]/grand[[#This Row],[received]]</f>
        <v>494.72222222222223</v>
      </c>
      <c r="Q268" s="7">
        <f>grand[[#This Row],[receiving weight]]/grand[[#This Row],[received]]</f>
        <v>494.72222222222223</v>
      </c>
      <c r="R268" s="7">
        <f>grand[[#This Row],[transportation loss ]]/grand[[#This Row],[received]]</f>
        <v>0</v>
      </c>
      <c r="S268" s="7">
        <f>grand[[#This Row],[ carcass weight]]/grand[[#This Row],[received]]</f>
        <v>296.8351851851852</v>
      </c>
      <c r="T268" s="7">
        <f>grand[[#This Row],[ kidneys fat quantity]]/grand[[#This Row],[received]]</f>
        <v>0</v>
      </c>
      <c r="U268" s="4">
        <v>25</v>
      </c>
      <c r="V268" s="4">
        <v>0</v>
      </c>
      <c r="W268" s="4">
        <v>49.6</v>
      </c>
      <c r="X268" s="4">
        <v>10</v>
      </c>
      <c r="Y268" s="8">
        <v>8.5</v>
      </c>
      <c r="Z268" s="3">
        <f>grand[[#This Row],[av. Transportation loss]]/grand[[#This Row],[av.total weight]]</f>
        <v>0</v>
      </c>
      <c r="AA268" s="12">
        <f>AVERAGE((grand[[#This Row],[am]]/25),(grand[[#This Row],[pm]]/50))</f>
        <v>0.996</v>
      </c>
      <c r="AB268" s="3">
        <f>grand[[#This Row],[ carcass weight]]/grand[[#This Row],[total weight]]</f>
        <v>0.60000374321542205</v>
      </c>
      <c r="AC268" s="6">
        <f>SUM(grand[[#This Row],[am]:[meat transportation]])/100</f>
        <v>0.93099999999999994</v>
      </c>
      <c r="AD268" s="4" t="s">
        <v>133</v>
      </c>
      <c r="AE268" s="4"/>
      <c r="AF268" s="4" t="s">
        <v>134</v>
      </c>
      <c r="AG268" s="4"/>
      <c r="AH268" s="4"/>
      <c r="AI268" s="4"/>
      <c r="AJ268" s="2"/>
      <c r="AK268" s="4"/>
    </row>
    <row r="269" spans="1:38" hidden="1" x14ac:dyDescent="0.2">
      <c r="A269" s="11">
        <v>43983</v>
      </c>
      <c r="B269" s="53" t="s">
        <v>1479</v>
      </c>
      <c r="C269" s="52" t="str">
        <f>IF(MID(B269,4,2)="09","Ramadan",IF(AND(MID(B269,4,2)="12",VALUE(LEFT(B269,2))&lt;=9),"Adha Season","Normal"))</f>
        <v>Normal</v>
      </c>
      <c r="D269" s="1" t="s">
        <v>45</v>
      </c>
      <c r="F269" s="4" t="s">
        <v>47</v>
      </c>
      <c r="G269" s="4">
        <v>24</v>
      </c>
      <c r="H269" s="4">
        <v>24</v>
      </c>
      <c r="I269" s="2">
        <f>grand[[#This Row],[number]]-grand[[#This Row],[received]]</f>
        <v>0</v>
      </c>
      <c r="J269" s="30"/>
      <c r="K269" s="4">
        <v>10700</v>
      </c>
      <c r="L269" s="4">
        <v>10270</v>
      </c>
      <c r="M269" s="2">
        <f>K269-L269</f>
        <v>430</v>
      </c>
      <c r="N269" s="4">
        <v>6502.5</v>
      </c>
      <c r="O269" s="4"/>
      <c r="P269" s="7">
        <f>grand[[#This Row],[total weight]]/grand[[#This Row],[received]]</f>
        <v>445.83333333333331</v>
      </c>
      <c r="Q269" s="7">
        <f>grand[[#This Row],[receiving weight]]/grand[[#This Row],[received]]</f>
        <v>427.91666666666669</v>
      </c>
      <c r="R269" s="7">
        <f>grand[[#This Row],[transportation loss ]]/grand[[#This Row],[received]]</f>
        <v>17.916666666666668</v>
      </c>
      <c r="S269" s="7">
        <f>grand[[#This Row],[ carcass weight]]/grand[[#This Row],[received]]</f>
        <v>270.9375</v>
      </c>
      <c r="T269" s="7">
        <f>grand[[#This Row],[ kidneys fat quantity]]/grand[[#This Row],[received]]</f>
        <v>0</v>
      </c>
      <c r="U269" s="4">
        <v>25</v>
      </c>
      <c r="V269" s="4">
        <v>0</v>
      </c>
      <c r="W269" s="4">
        <v>49.1</v>
      </c>
      <c r="X269" s="4">
        <v>10</v>
      </c>
      <c r="Y269" s="8">
        <v>8.5</v>
      </c>
      <c r="Z269" s="3">
        <f>grand[[#This Row],[av. Transportation loss]]/grand[[#This Row],[av.total weight]]</f>
        <v>4.018691588785047E-2</v>
      </c>
      <c r="AA269" s="12">
        <f>AVERAGE((grand[[#This Row],[am]]/25),(grand[[#This Row],[pm]]/50))</f>
        <v>0.99099999999999999</v>
      </c>
      <c r="AB269" s="3">
        <f>grand[[#This Row],[ carcass weight]]/grand[[#This Row],[total weight]]</f>
        <v>0.60771028037383179</v>
      </c>
      <c r="AC269" s="6">
        <f>SUM(grand[[#This Row],[am]:[meat transportation]])/100</f>
        <v>0.92599999999999993</v>
      </c>
      <c r="AD269" s="4"/>
      <c r="AE269" s="4">
        <v>3</v>
      </c>
      <c r="AF269" s="4" t="s">
        <v>138</v>
      </c>
      <c r="AG269" s="4"/>
      <c r="AH269" s="4"/>
      <c r="AI269" s="4">
        <v>1</v>
      </c>
      <c r="AJ269" s="2"/>
      <c r="AK269" s="4"/>
      <c r="AL269" s="2">
        <v>0.5</v>
      </c>
    </row>
    <row r="270" spans="1:38" hidden="1" x14ac:dyDescent="0.2">
      <c r="A270" s="11">
        <v>43988</v>
      </c>
      <c r="B270" s="53" t="s">
        <v>2517</v>
      </c>
      <c r="C270" s="52" t="str">
        <f>IF(MID(B270,4,2)="09","Ramadan",IF(AND(MID(B270,4,2)="12",VALUE(LEFT(B270,2))&lt;=9),"Adha Season","Normal"))</f>
        <v>Normal</v>
      </c>
      <c r="D270" s="1" t="s">
        <v>45</v>
      </c>
      <c r="F270" s="4" t="s">
        <v>46</v>
      </c>
      <c r="G270" s="4">
        <v>25</v>
      </c>
      <c r="H270" s="4">
        <v>25</v>
      </c>
      <c r="I270" s="2">
        <f>grand[[#This Row],[number]]-grand[[#This Row],[received]]</f>
        <v>0</v>
      </c>
      <c r="J270" s="30"/>
      <c r="K270" s="4">
        <v>12300</v>
      </c>
      <c r="L270" s="4">
        <v>11685</v>
      </c>
      <c r="M270" s="2">
        <f>K270-L270</f>
        <v>615</v>
      </c>
      <c r="N270" s="4">
        <v>7510.2</v>
      </c>
      <c r="O270" s="4"/>
      <c r="P270" s="7">
        <f>grand[[#This Row],[total weight]]/grand[[#This Row],[received]]</f>
        <v>492</v>
      </c>
      <c r="Q270" s="7">
        <f>grand[[#This Row],[receiving weight]]/grand[[#This Row],[received]]</f>
        <v>467.4</v>
      </c>
      <c r="R270" s="7">
        <f>grand[[#This Row],[transportation loss ]]/grand[[#This Row],[received]]</f>
        <v>24.6</v>
      </c>
      <c r="S270" s="7">
        <f>grand[[#This Row],[ carcass weight]]/grand[[#This Row],[received]]</f>
        <v>300.40800000000002</v>
      </c>
      <c r="T270" s="7">
        <f>grand[[#This Row],[ kidneys fat quantity]]/grand[[#This Row],[received]]</f>
        <v>0</v>
      </c>
      <c r="U270" s="4">
        <v>25</v>
      </c>
      <c r="V270" s="4">
        <v>0</v>
      </c>
      <c r="W270" s="4">
        <v>49.5</v>
      </c>
      <c r="X270" s="4">
        <v>10</v>
      </c>
      <c r="Y270" s="8">
        <v>8.5</v>
      </c>
      <c r="Z270" s="3">
        <f>grand[[#This Row],[av. Transportation loss]]/grand[[#This Row],[av.total weight]]</f>
        <v>0.05</v>
      </c>
      <c r="AA270" s="12">
        <f>AVERAGE((grand[[#This Row],[am]]/25),(grand[[#This Row],[pm]]/50))</f>
        <v>0.995</v>
      </c>
      <c r="AB270" s="3">
        <f>grand[[#This Row],[ carcass weight]]/grand[[#This Row],[total weight]]</f>
        <v>0.61058536585365852</v>
      </c>
      <c r="AC270" s="6">
        <f>SUM(grand[[#This Row],[am]:[meat transportation]])/100</f>
        <v>0.93</v>
      </c>
      <c r="AD270" s="4"/>
      <c r="AE270" s="4">
        <v>4</v>
      </c>
      <c r="AF270" s="4"/>
      <c r="AG270" s="4"/>
      <c r="AH270" s="4"/>
      <c r="AI270" s="4"/>
      <c r="AJ270" s="2"/>
      <c r="AK270" s="4"/>
    </row>
    <row r="271" spans="1:38" hidden="1" x14ac:dyDescent="0.2">
      <c r="A271" s="11">
        <v>43993</v>
      </c>
      <c r="B271" s="53" t="s">
        <v>2519</v>
      </c>
      <c r="C271" s="52" t="str">
        <f>IF(MID(B271,4,2)="09","Ramadan",IF(AND(MID(B271,4,2)="12",VALUE(LEFT(B271,2))&lt;=9),"Adha Season","Normal"))</f>
        <v>Normal</v>
      </c>
      <c r="D271" s="1" t="s">
        <v>45</v>
      </c>
      <c r="F271" s="4" t="s">
        <v>47</v>
      </c>
      <c r="G271" s="4">
        <v>52</v>
      </c>
      <c r="H271" s="4">
        <v>52</v>
      </c>
      <c r="I271" s="2">
        <f>grand[[#This Row],[number]]-grand[[#This Row],[received]]</f>
        <v>0</v>
      </c>
      <c r="J271" s="30"/>
      <c r="K271" s="4">
        <v>23059</v>
      </c>
      <c r="L271" s="4">
        <v>21355</v>
      </c>
      <c r="M271" s="2">
        <f>K271-L271</f>
        <v>1704</v>
      </c>
      <c r="N271" s="4">
        <v>13836.7</v>
      </c>
      <c r="O271" s="4"/>
      <c r="P271" s="7">
        <f>grand[[#This Row],[total weight]]/grand[[#This Row],[received]]</f>
        <v>443.44230769230768</v>
      </c>
      <c r="Q271" s="7">
        <f>grand[[#This Row],[receiving weight]]/grand[[#This Row],[received]]</f>
        <v>410.67307692307691</v>
      </c>
      <c r="R271" s="7">
        <f>grand[[#This Row],[transportation loss ]]/grand[[#This Row],[received]]</f>
        <v>32.769230769230766</v>
      </c>
      <c r="S271" s="7">
        <f>grand[[#This Row],[ carcass weight]]/grand[[#This Row],[received]]</f>
        <v>266.09038461538461</v>
      </c>
      <c r="T271" s="7">
        <f>grand[[#This Row],[ kidneys fat quantity]]/grand[[#This Row],[received]]</f>
        <v>0</v>
      </c>
      <c r="U271" s="4">
        <v>25</v>
      </c>
      <c r="V271" s="4">
        <v>0</v>
      </c>
      <c r="W271" s="4">
        <v>49.7</v>
      </c>
      <c r="X271" s="4">
        <v>10</v>
      </c>
      <c r="Y271" s="8">
        <v>8.5</v>
      </c>
      <c r="Z271" s="3">
        <f>grand[[#This Row],[av. Transportation loss]]/grand[[#This Row],[av.total weight]]</f>
        <v>7.3897393642395587E-2</v>
      </c>
      <c r="AA271" s="12">
        <f>AVERAGE((grand[[#This Row],[am]]/25),(grand[[#This Row],[pm]]/50))</f>
        <v>0.99700000000000011</v>
      </c>
      <c r="AB271" s="3">
        <f>grand[[#This Row],[ carcass weight]]/grand[[#This Row],[total weight]]</f>
        <v>0.60005637711956294</v>
      </c>
      <c r="AC271" s="6">
        <f>SUM(grand[[#This Row],[am]:[meat transportation]])/100</f>
        <v>0.93200000000000005</v>
      </c>
      <c r="AD271" s="4"/>
      <c r="AE271" s="4"/>
      <c r="AF271" s="4" t="s">
        <v>143</v>
      </c>
      <c r="AG271" s="4"/>
      <c r="AH271" s="4"/>
      <c r="AI271" s="4"/>
      <c r="AJ271" s="2"/>
      <c r="AK271" s="4"/>
      <c r="AL271" s="2">
        <v>7.5</v>
      </c>
    </row>
    <row r="272" spans="1:38" hidden="1" x14ac:dyDescent="0.2">
      <c r="A272" s="11">
        <v>43993</v>
      </c>
      <c r="B272" s="53" t="s">
        <v>2519</v>
      </c>
      <c r="C272" s="52" t="str">
        <f>IF(MID(B272,4,2)="09","Ramadan",IF(AND(MID(B272,4,2)="12",VALUE(LEFT(B272,2))&lt;=9),"Adha Season","Normal"))</f>
        <v>Normal</v>
      </c>
      <c r="D272" s="2" t="s">
        <v>294</v>
      </c>
      <c r="E272" s="2"/>
      <c r="F272" s="4" t="s">
        <v>105</v>
      </c>
      <c r="G272" s="4">
        <v>25</v>
      </c>
      <c r="H272" s="4">
        <v>25</v>
      </c>
      <c r="I272" s="2">
        <f>grand[[#This Row],[number]]-grand[[#This Row],[received]]</f>
        <v>0</v>
      </c>
      <c r="J272" s="30"/>
      <c r="K272" s="4"/>
      <c r="L272" s="4"/>
      <c r="M272" s="2">
        <f>K272-L272</f>
        <v>0</v>
      </c>
      <c r="N272" s="4"/>
      <c r="O272" s="4"/>
      <c r="P272" s="7">
        <f>grand[[#This Row],[total weight]]/grand[[#This Row],[received]]</f>
        <v>0</v>
      </c>
      <c r="Q272" s="7">
        <f>grand[[#This Row],[receiving weight]]/grand[[#This Row],[received]]</f>
        <v>0</v>
      </c>
      <c r="R272" s="7">
        <f>grand[[#This Row],[transportation loss ]]/grand[[#This Row],[received]]</f>
        <v>0</v>
      </c>
      <c r="S272" s="7">
        <f>grand[[#This Row],[ carcass weight]]/grand[[#This Row],[received]]</f>
        <v>0</v>
      </c>
      <c r="T272" s="7">
        <f>grand[[#This Row],[ kidneys fat quantity]]/grand[[#This Row],[received]]</f>
        <v>0</v>
      </c>
      <c r="U272" s="4">
        <v>25</v>
      </c>
      <c r="V272" s="4">
        <v>0</v>
      </c>
      <c r="W272" s="4">
        <v>49.6</v>
      </c>
      <c r="X272" s="4">
        <v>10</v>
      </c>
      <c r="Y272" s="8">
        <v>8.5</v>
      </c>
      <c r="Z272" s="3"/>
      <c r="AA272" s="12">
        <f>AVERAGE((grand[[#This Row],[am]]/25),(grand[[#This Row],[pm]]/50))</f>
        <v>0.996</v>
      </c>
      <c r="AB272" s="3"/>
      <c r="AC272" s="6">
        <f>SUM(grand[[#This Row],[am]:[meat transportation]])/100</f>
        <v>0.93099999999999994</v>
      </c>
      <c r="AD272" s="4" t="s">
        <v>144</v>
      </c>
      <c r="AE272" s="4"/>
      <c r="AF272" s="4" t="s">
        <v>145</v>
      </c>
      <c r="AG272" s="4"/>
      <c r="AH272" s="4"/>
      <c r="AI272" s="4"/>
      <c r="AJ272" s="2"/>
      <c r="AK272" s="4"/>
      <c r="AL272" s="2">
        <v>1.5</v>
      </c>
    </row>
    <row r="273" spans="1:38" hidden="1" x14ac:dyDescent="0.2">
      <c r="A273" s="11">
        <v>43995</v>
      </c>
      <c r="B273" s="53" t="s">
        <v>2520</v>
      </c>
      <c r="C273" s="52" t="str">
        <f>IF(MID(B273,4,2)="09","Ramadan",IF(AND(MID(B273,4,2)="12",VALUE(LEFT(B273,2))&lt;=9),"Adha Season","Normal"))</f>
        <v>Normal</v>
      </c>
      <c r="D273" s="1" t="s">
        <v>45</v>
      </c>
      <c r="F273" s="4" t="s">
        <v>46</v>
      </c>
      <c r="G273" s="4">
        <v>38</v>
      </c>
      <c r="H273" s="4">
        <v>38</v>
      </c>
      <c r="I273" s="2">
        <f>grand[[#This Row],[number]]-grand[[#This Row],[received]]</f>
        <v>0</v>
      </c>
      <c r="J273" s="30"/>
      <c r="K273" s="4">
        <v>19010</v>
      </c>
      <c r="L273" s="4">
        <v>17710</v>
      </c>
      <c r="M273" s="2">
        <f>K273-L273</f>
        <v>1300</v>
      </c>
      <c r="N273" s="4">
        <v>11565.1</v>
      </c>
      <c r="O273" s="4"/>
      <c r="P273" s="7">
        <f>grand[[#This Row],[total weight]]/grand[[#This Row],[received]]</f>
        <v>500.26315789473682</v>
      </c>
      <c r="Q273" s="7">
        <f>grand[[#This Row],[receiving weight]]/grand[[#This Row],[received]]</f>
        <v>466.05263157894734</v>
      </c>
      <c r="R273" s="7">
        <f>grand[[#This Row],[transportation loss ]]/grand[[#This Row],[received]]</f>
        <v>34.210526315789473</v>
      </c>
      <c r="S273" s="7">
        <f>grand[[#This Row],[ carcass weight]]/grand[[#This Row],[received]]</f>
        <v>304.34473684210525</v>
      </c>
      <c r="T273" s="7">
        <f>grand[[#This Row],[ kidneys fat quantity]]/grand[[#This Row],[received]]</f>
        <v>0</v>
      </c>
      <c r="U273" s="4">
        <v>25</v>
      </c>
      <c r="V273" s="4">
        <v>0</v>
      </c>
      <c r="W273" s="4">
        <v>49.4</v>
      </c>
      <c r="X273" s="4">
        <v>10</v>
      </c>
      <c r="Y273" s="8">
        <v>8.5</v>
      </c>
      <c r="Z273" s="3">
        <f>grand[[#This Row],[av. Transportation loss]]/grand[[#This Row],[av.total weight]]</f>
        <v>6.8385060494476596E-2</v>
      </c>
      <c r="AA273" s="12">
        <f>AVERAGE((grand[[#This Row],[am]]/25),(grand[[#This Row],[pm]]/50))</f>
        <v>0.99399999999999999</v>
      </c>
      <c r="AB273" s="3">
        <f>grand[[#This Row],[ carcass weight]]/grand[[#This Row],[total weight]]</f>
        <v>0.60836927932667018</v>
      </c>
      <c r="AC273" s="6">
        <f>SUM(grand[[#This Row],[am]:[meat transportation]])/100</f>
        <v>0.92900000000000005</v>
      </c>
      <c r="AD273" s="4"/>
      <c r="AE273" s="4">
        <v>8</v>
      </c>
      <c r="AF273" s="4"/>
      <c r="AG273" s="4"/>
      <c r="AH273" s="4"/>
      <c r="AI273" s="4"/>
      <c r="AJ273" s="2"/>
      <c r="AK273" s="4"/>
    </row>
    <row r="274" spans="1:38" hidden="1" x14ac:dyDescent="0.2">
      <c r="A274" s="11">
        <v>43999</v>
      </c>
      <c r="B274" s="53" t="s">
        <v>1485</v>
      </c>
      <c r="C274" s="52" t="str">
        <f>IF(MID(B274,4,2)="09","Ramadan",IF(AND(MID(B274,4,2)="12",VALUE(LEFT(B274,2))&lt;=9),"Adha Season","Normal"))</f>
        <v>Normal</v>
      </c>
      <c r="D274" s="2" t="s">
        <v>294</v>
      </c>
      <c r="E274" s="2"/>
      <c r="F274" s="4" t="s">
        <v>105</v>
      </c>
      <c r="G274" s="4">
        <v>25</v>
      </c>
      <c r="H274" s="4">
        <v>25</v>
      </c>
      <c r="I274" s="2">
        <f>grand[[#This Row],[number]]-grand[[#This Row],[received]]</f>
        <v>0</v>
      </c>
      <c r="J274" s="30"/>
      <c r="K274" s="4"/>
      <c r="L274" s="4"/>
      <c r="M274" s="2">
        <f>K274-L274</f>
        <v>0</v>
      </c>
      <c r="N274" s="4"/>
      <c r="O274" s="4"/>
      <c r="P274" s="7">
        <f>grand[[#This Row],[total weight]]/grand[[#This Row],[received]]</f>
        <v>0</v>
      </c>
      <c r="Q274" s="7">
        <f>grand[[#This Row],[receiving weight]]/grand[[#This Row],[received]]</f>
        <v>0</v>
      </c>
      <c r="R274" s="7">
        <f>grand[[#This Row],[transportation loss ]]/grand[[#This Row],[received]]</f>
        <v>0</v>
      </c>
      <c r="S274" s="7">
        <f>grand[[#This Row],[ carcass weight]]/grand[[#This Row],[received]]</f>
        <v>0</v>
      </c>
      <c r="T274" s="7">
        <f>grand[[#This Row],[ kidneys fat quantity]]/grand[[#This Row],[received]]</f>
        <v>0</v>
      </c>
      <c r="U274" s="4">
        <v>25</v>
      </c>
      <c r="V274" s="4">
        <v>0</v>
      </c>
      <c r="W274" s="4">
        <v>49.1</v>
      </c>
      <c r="X274" s="4">
        <v>10</v>
      </c>
      <c r="Y274" s="8">
        <v>8.5</v>
      </c>
      <c r="Z274" s="3"/>
      <c r="AA274" s="12">
        <f>AVERAGE((grand[[#This Row],[am]]/25),(grand[[#This Row],[pm]]/50))</f>
        <v>0.99099999999999999</v>
      </c>
      <c r="AB274" s="3"/>
      <c r="AC274" s="6">
        <f>SUM(grand[[#This Row],[am]:[meat transportation]])/100</f>
        <v>0.92599999999999993</v>
      </c>
      <c r="AD274" s="4" t="s">
        <v>71</v>
      </c>
      <c r="AE274" s="4"/>
      <c r="AF274" s="4"/>
      <c r="AG274" s="4"/>
      <c r="AH274" s="4"/>
      <c r="AI274" s="4"/>
      <c r="AJ274" s="2"/>
      <c r="AK274" s="4"/>
      <c r="AL274" s="2">
        <v>7</v>
      </c>
    </row>
    <row r="275" spans="1:38" hidden="1" x14ac:dyDescent="0.2">
      <c r="A275" s="11">
        <v>44000</v>
      </c>
      <c r="B275" s="53" t="s">
        <v>1486</v>
      </c>
      <c r="C275" s="52" t="str">
        <f>IF(MID(B275,4,2)="09","Ramadan",IF(AND(MID(B275,4,2)="12",VALUE(LEFT(B275,2))&lt;=9),"Adha Season","Normal"))</f>
        <v>Normal</v>
      </c>
      <c r="D275" s="1" t="s">
        <v>45</v>
      </c>
      <c r="F275" s="4" t="s">
        <v>47</v>
      </c>
      <c r="G275" s="4">
        <v>42</v>
      </c>
      <c r="H275" s="4">
        <v>42</v>
      </c>
      <c r="I275" s="2">
        <f>grand[[#This Row],[number]]-grand[[#This Row],[received]]</f>
        <v>0</v>
      </c>
      <c r="J275" s="30"/>
      <c r="K275" s="4">
        <v>17563</v>
      </c>
      <c r="L275" s="4">
        <v>16330</v>
      </c>
      <c r="M275" s="2">
        <f>K275-L275</f>
        <v>1233</v>
      </c>
      <c r="N275" s="4">
        <v>10537.5</v>
      </c>
      <c r="O275" s="4"/>
      <c r="P275" s="7">
        <f>grand[[#This Row],[total weight]]/grand[[#This Row],[received]]</f>
        <v>418.16666666666669</v>
      </c>
      <c r="Q275" s="7">
        <f>grand[[#This Row],[receiving weight]]/grand[[#This Row],[received]]</f>
        <v>388.8095238095238</v>
      </c>
      <c r="R275" s="7">
        <f>grand[[#This Row],[transportation loss ]]/grand[[#This Row],[received]]</f>
        <v>29.357142857142858</v>
      </c>
      <c r="S275" s="7">
        <f>grand[[#This Row],[ carcass weight]]/grand[[#This Row],[received]]</f>
        <v>250.89285714285714</v>
      </c>
      <c r="T275" s="7">
        <f>grand[[#This Row],[ kidneys fat quantity]]/grand[[#This Row],[received]]</f>
        <v>0</v>
      </c>
      <c r="U275" s="4">
        <v>25</v>
      </c>
      <c r="V275" s="4">
        <v>0</v>
      </c>
      <c r="W275" s="4">
        <v>49.8</v>
      </c>
      <c r="X275" s="4">
        <v>10</v>
      </c>
      <c r="Y275" s="8">
        <v>8.5</v>
      </c>
      <c r="Z275" s="3">
        <f>grand[[#This Row],[av. Transportation loss]]/grand[[#This Row],[av.total weight]]</f>
        <v>7.0204406991971752E-2</v>
      </c>
      <c r="AA275" s="12">
        <f>AVERAGE((grand[[#This Row],[am]]/25),(grand[[#This Row],[pm]]/50))</f>
        <v>0.998</v>
      </c>
      <c r="AB275" s="3">
        <f>grand[[#This Row],[ carcass weight]]/grand[[#This Row],[total weight]]</f>
        <v>0.59998291863576836</v>
      </c>
      <c r="AC275" s="6">
        <f>SUM(grand[[#This Row],[am]:[meat transportation]])/100</f>
        <v>0.93299999999999994</v>
      </c>
      <c r="AD275" s="4" t="s">
        <v>147</v>
      </c>
      <c r="AE275" s="4"/>
      <c r="AF275" s="4"/>
      <c r="AG275" s="4"/>
      <c r="AH275" s="4"/>
      <c r="AI275" s="4"/>
      <c r="AJ275" s="2"/>
      <c r="AK275" s="4"/>
      <c r="AL275" s="2">
        <v>8</v>
      </c>
    </row>
    <row r="276" spans="1:38" hidden="1" x14ac:dyDescent="0.2">
      <c r="A276" s="11">
        <v>44005</v>
      </c>
      <c r="B276" s="53" t="s">
        <v>2523</v>
      </c>
      <c r="C276" s="52" t="str">
        <f>IF(MID(B276,4,2)="09","Ramadan",IF(AND(MID(B276,4,2)="12",VALUE(LEFT(B276,2))&lt;=9),"Adha Season","Normal"))</f>
        <v>Normal</v>
      </c>
      <c r="D276" s="1" t="s">
        <v>45</v>
      </c>
      <c r="F276" s="4" t="s">
        <v>50</v>
      </c>
      <c r="G276" s="4">
        <v>30</v>
      </c>
      <c r="H276" s="4">
        <v>30</v>
      </c>
      <c r="I276" s="2">
        <f>grand[[#This Row],[number]]-grand[[#This Row],[received]]</f>
        <v>0</v>
      </c>
      <c r="J276" s="30"/>
      <c r="K276" s="9">
        <v>12919</v>
      </c>
      <c r="L276" s="9">
        <v>12310</v>
      </c>
      <c r="M276" s="2">
        <f>K276-L276</f>
        <v>609</v>
      </c>
      <c r="N276" s="9">
        <v>8195.2999999999993</v>
      </c>
      <c r="O276" s="4"/>
      <c r="P276" s="7">
        <f>grand[[#This Row],[total weight]]/grand[[#This Row],[received]]</f>
        <v>430.63333333333333</v>
      </c>
      <c r="Q276" s="7">
        <f>grand[[#This Row],[receiving weight]]/grand[[#This Row],[received]]</f>
        <v>410.33333333333331</v>
      </c>
      <c r="R276" s="7">
        <f>grand[[#This Row],[transportation loss ]]/grand[[#This Row],[received]]</f>
        <v>20.3</v>
      </c>
      <c r="S276" s="7">
        <f>grand[[#This Row],[ carcass weight]]/grand[[#This Row],[received]]</f>
        <v>273.17666666666662</v>
      </c>
      <c r="T276" s="7">
        <f>grand[[#This Row],[ kidneys fat quantity]]/grand[[#This Row],[received]]</f>
        <v>0</v>
      </c>
      <c r="U276" s="4">
        <v>25</v>
      </c>
      <c r="V276" s="4">
        <v>0</v>
      </c>
      <c r="W276" s="4">
        <v>49.5</v>
      </c>
      <c r="X276" s="4">
        <v>10</v>
      </c>
      <c r="Y276" s="8">
        <v>8.5</v>
      </c>
      <c r="Z276" s="3">
        <f>grand[[#This Row],[av. Transportation loss]]/grand[[#This Row],[av.total weight]]</f>
        <v>4.7139871507082591E-2</v>
      </c>
      <c r="AA276" s="12">
        <f>AVERAGE((grand[[#This Row],[am]]/25),(grand[[#This Row],[pm]]/50))</f>
        <v>0.995</v>
      </c>
      <c r="AB276" s="3">
        <f>grand[[#This Row],[ carcass weight]]/grand[[#This Row],[total weight]]</f>
        <v>0.63436024460097529</v>
      </c>
      <c r="AC276" s="6">
        <f>SUM(grand[[#This Row],[am]:[meat transportation]])/100</f>
        <v>0.93</v>
      </c>
      <c r="AD276" s="4" t="s">
        <v>149</v>
      </c>
      <c r="AE276" s="4">
        <v>2</v>
      </c>
      <c r="AF276" s="4" t="s">
        <v>150</v>
      </c>
      <c r="AG276" s="4"/>
      <c r="AH276" s="4"/>
      <c r="AI276" s="4"/>
      <c r="AJ276" s="2"/>
      <c r="AK276" s="4"/>
      <c r="AL276" s="2">
        <v>1.25</v>
      </c>
    </row>
    <row r="277" spans="1:38" hidden="1" x14ac:dyDescent="0.2">
      <c r="A277" s="11">
        <v>44006</v>
      </c>
      <c r="B277" s="53" t="s">
        <v>1488</v>
      </c>
      <c r="C277" s="52" t="str">
        <f>IF(MID(B277,4,2)="09","Ramadan",IF(AND(MID(B277,4,2)="12",VALUE(LEFT(B277,2))&lt;=9),"Adha Season","Normal"))</f>
        <v>Normal</v>
      </c>
      <c r="D277" s="1" t="s">
        <v>45</v>
      </c>
      <c r="F277" s="4" t="s">
        <v>46</v>
      </c>
      <c r="G277" s="4">
        <v>24</v>
      </c>
      <c r="H277" s="4">
        <v>24</v>
      </c>
      <c r="I277" s="2">
        <f>grand[[#This Row],[number]]-grand[[#This Row],[received]]</f>
        <v>0</v>
      </c>
      <c r="J277" s="30"/>
      <c r="K277" s="4">
        <v>12360</v>
      </c>
      <c r="L277" s="4">
        <v>11655</v>
      </c>
      <c r="M277" s="2">
        <f>K277-L277</f>
        <v>705</v>
      </c>
      <c r="N277" s="4">
        <v>7622.5</v>
      </c>
      <c r="O277" s="4"/>
      <c r="P277" s="7">
        <f>grand[[#This Row],[total weight]]/grand[[#This Row],[received]]</f>
        <v>515</v>
      </c>
      <c r="Q277" s="7">
        <f>grand[[#This Row],[receiving weight]]/grand[[#This Row],[received]]</f>
        <v>485.625</v>
      </c>
      <c r="R277" s="7">
        <f>grand[[#This Row],[transportation loss ]]/grand[[#This Row],[received]]</f>
        <v>29.375</v>
      </c>
      <c r="S277" s="7">
        <f>grand[[#This Row],[ carcass weight]]/grand[[#This Row],[received]]</f>
        <v>317.60416666666669</v>
      </c>
      <c r="T277" s="7">
        <f>grand[[#This Row],[ kidneys fat quantity]]/grand[[#This Row],[received]]</f>
        <v>0</v>
      </c>
      <c r="U277" s="4">
        <v>25</v>
      </c>
      <c r="V277" s="4">
        <v>0</v>
      </c>
      <c r="W277" s="4">
        <v>49.5</v>
      </c>
      <c r="X277" s="4">
        <v>10</v>
      </c>
      <c r="Y277" s="8">
        <v>8.5</v>
      </c>
      <c r="Z277" s="3">
        <f>grand[[#This Row],[av. Transportation loss]]/grand[[#This Row],[av.total weight]]</f>
        <v>5.7038834951456313E-2</v>
      </c>
      <c r="AA277" s="12">
        <f>AVERAGE((grand[[#This Row],[am]]/25),(grand[[#This Row],[pm]]/50))</f>
        <v>0.995</v>
      </c>
      <c r="AB277" s="3">
        <f>grand[[#This Row],[ carcass weight]]/grand[[#This Row],[total weight]]</f>
        <v>0.61670711974110037</v>
      </c>
      <c r="AC277" s="6">
        <f>SUM(grand[[#This Row],[am]:[meat transportation]])/100</f>
        <v>0.93</v>
      </c>
      <c r="AD277" s="4" t="s">
        <v>151</v>
      </c>
      <c r="AE277" s="4">
        <v>2</v>
      </c>
      <c r="AF277" s="4" t="s">
        <v>152</v>
      </c>
      <c r="AG277" s="4"/>
      <c r="AH277" s="4"/>
      <c r="AI277" s="4"/>
      <c r="AJ277" s="2"/>
      <c r="AK277" s="4"/>
      <c r="AL277" s="2">
        <v>14.5</v>
      </c>
    </row>
    <row r="278" spans="1:38" hidden="1" x14ac:dyDescent="0.2">
      <c r="A278" s="11">
        <v>44007</v>
      </c>
      <c r="B278" s="53" t="s">
        <v>1489</v>
      </c>
      <c r="C278" s="52" t="str">
        <f>IF(MID(B278,4,2)="09","Ramadan",IF(AND(MID(B278,4,2)="12",VALUE(LEFT(B278,2))&lt;=9),"Adha Season","Normal"))</f>
        <v>Normal</v>
      </c>
      <c r="D278" s="1" t="s">
        <v>45</v>
      </c>
      <c r="F278" s="4" t="s">
        <v>47</v>
      </c>
      <c r="G278" s="4">
        <v>33</v>
      </c>
      <c r="H278" s="4">
        <v>33</v>
      </c>
      <c r="I278" s="2">
        <f>grand[[#This Row],[number]]-grand[[#This Row],[received]]</f>
        <v>0</v>
      </c>
      <c r="J278" s="30"/>
      <c r="K278" s="4">
        <v>15024</v>
      </c>
      <c r="L278" s="4">
        <v>14495</v>
      </c>
      <c r="M278" s="2">
        <f>K278-L278</f>
        <v>529</v>
      </c>
      <c r="N278" s="4">
        <v>9244.9</v>
      </c>
      <c r="O278" s="4"/>
      <c r="P278" s="7">
        <f>grand[[#This Row],[total weight]]/grand[[#This Row],[received]]</f>
        <v>455.27272727272725</v>
      </c>
      <c r="Q278" s="7">
        <f>grand[[#This Row],[receiving weight]]/grand[[#This Row],[received]]</f>
        <v>439.24242424242425</v>
      </c>
      <c r="R278" s="7">
        <f>grand[[#This Row],[transportation loss ]]/grand[[#This Row],[received]]</f>
        <v>16.030303030303031</v>
      </c>
      <c r="S278" s="7">
        <f>grand[[#This Row],[ carcass weight]]/grand[[#This Row],[received]]</f>
        <v>280.14848484848483</v>
      </c>
      <c r="T278" s="7">
        <f>grand[[#This Row],[ kidneys fat quantity]]/grand[[#This Row],[received]]</f>
        <v>0</v>
      </c>
      <c r="U278" s="4">
        <v>25</v>
      </c>
      <c r="V278" s="4">
        <v>0</v>
      </c>
      <c r="W278" s="4">
        <v>49.6</v>
      </c>
      <c r="X278" s="4">
        <v>10</v>
      </c>
      <c r="Y278" s="8">
        <v>8.5</v>
      </c>
      <c r="Z278" s="3">
        <f>grand[[#This Row],[av. Transportation loss]]/grand[[#This Row],[av.total weight]]</f>
        <v>3.5210330138445156E-2</v>
      </c>
      <c r="AA278" s="12">
        <f>AVERAGE((grand[[#This Row],[am]]/25),(grand[[#This Row],[pm]]/50))</f>
        <v>0.996</v>
      </c>
      <c r="AB278" s="3">
        <f>grand[[#This Row],[ carcass weight]]/grand[[#This Row],[total weight]]</f>
        <v>0.61534211927582527</v>
      </c>
      <c r="AC278" s="6">
        <f>SUM(grand[[#This Row],[am]:[meat transportation]])/100</f>
        <v>0.93099999999999994</v>
      </c>
      <c r="AD278" s="4"/>
      <c r="AE278" s="4">
        <v>4</v>
      </c>
      <c r="AF278" s="4"/>
      <c r="AG278" s="4"/>
      <c r="AH278" s="4"/>
      <c r="AI278" s="4"/>
      <c r="AJ278" s="2"/>
      <c r="AK278" s="4"/>
    </row>
    <row r="279" spans="1:38" hidden="1" x14ac:dyDescent="0.2">
      <c r="A279" s="11">
        <v>44009</v>
      </c>
      <c r="B279" s="53" t="s">
        <v>2524</v>
      </c>
      <c r="C279" s="52" t="str">
        <f>IF(MID(B279,4,2)="09","Ramadan",IF(AND(MID(B279,4,2)="12",VALUE(LEFT(B279,2))&lt;=9),"Adha Season","Normal"))</f>
        <v>Normal</v>
      </c>
      <c r="D279" s="1" t="s">
        <v>45</v>
      </c>
      <c r="F279" s="4" t="s">
        <v>46</v>
      </c>
      <c r="G279" s="4">
        <v>31</v>
      </c>
      <c r="H279" s="4">
        <v>31</v>
      </c>
      <c r="I279" s="2">
        <f>grand[[#This Row],[number]]-grand[[#This Row],[received]]</f>
        <v>0</v>
      </c>
      <c r="J279" s="30"/>
      <c r="K279" s="4">
        <v>15580</v>
      </c>
      <c r="L279" s="4">
        <v>14495</v>
      </c>
      <c r="M279" s="2">
        <f>K279-L279</f>
        <v>1085</v>
      </c>
      <c r="N279" s="4">
        <v>9592.7000000000007</v>
      </c>
      <c r="O279" s="4"/>
      <c r="P279" s="7">
        <f>grand[[#This Row],[total weight]]/grand[[#This Row],[received]]</f>
        <v>502.58064516129031</v>
      </c>
      <c r="Q279" s="7">
        <f>grand[[#This Row],[receiving weight]]/grand[[#This Row],[received]]</f>
        <v>467.58064516129031</v>
      </c>
      <c r="R279" s="7">
        <f>grand[[#This Row],[transportation loss ]]/grand[[#This Row],[received]]</f>
        <v>35</v>
      </c>
      <c r="S279" s="7">
        <f>grand[[#This Row],[ carcass weight]]/grand[[#This Row],[received]]</f>
        <v>309.44193548387096</v>
      </c>
      <c r="T279" s="7">
        <f>grand[[#This Row],[ kidneys fat quantity]]/grand[[#This Row],[received]]</f>
        <v>0</v>
      </c>
      <c r="U279" s="4">
        <v>25</v>
      </c>
      <c r="V279" s="4">
        <v>0</v>
      </c>
      <c r="W279" s="4">
        <v>49.7</v>
      </c>
      <c r="X279" s="4">
        <v>10</v>
      </c>
      <c r="Y279" s="8">
        <v>8.5</v>
      </c>
      <c r="Z279" s="3">
        <f>grand[[#This Row],[av. Transportation loss]]/grand[[#This Row],[av.total weight]]</f>
        <v>6.9640564826700904E-2</v>
      </c>
      <c r="AA279" s="12">
        <f>AVERAGE((grand[[#This Row],[am]]/25),(grand[[#This Row],[pm]]/50))</f>
        <v>0.99700000000000011</v>
      </c>
      <c r="AB279" s="3">
        <f>grand[[#This Row],[ carcass weight]]/grand[[#This Row],[total weight]]</f>
        <v>0.61570603337612329</v>
      </c>
      <c r="AC279" s="6">
        <f>SUM(grand[[#This Row],[am]:[meat transportation]])/100</f>
        <v>0.93200000000000005</v>
      </c>
      <c r="AD279" s="4"/>
      <c r="AE279" s="4">
        <v>2</v>
      </c>
      <c r="AF279" s="4" t="s">
        <v>153</v>
      </c>
      <c r="AG279" s="4"/>
      <c r="AH279" s="4"/>
      <c r="AI279" s="4"/>
      <c r="AJ279" s="2"/>
      <c r="AK279" s="4"/>
      <c r="AL279" s="2">
        <v>2.5</v>
      </c>
    </row>
    <row r="280" spans="1:38" hidden="1" x14ac:dyDescent="0.2">
      <c r="A280" s="11">
        <v>44010</v>
      </c>
      <c r="B280" s="53" t="s">
        <v>1490</v>
      </c>
      <c r="C280" s="52" t="str">
        <f>IF(MID(B280,4,2)="09","Ramadan",IF(AND(MID(B280,4,2)="12",VALUE(LEFT(B280,2))&lt;=9),"Adha Season","Normal"))</f>
        <v>Normal</v>
      </c>
      <c r="D280" s="1" t="s">
        <v>45</v>
      </c>
      <c r="F280" s="4" t="s">
        <v>50</v>
      </c>
      <c r="G280" s="4">
        <v>48</v>
      </c>
      <c r="H280" s="4">
        <v>48</v>
      </c>
      <c r="I280" s="2">
        <f>grand[[#This Row],[number]]-grand[[#This Row],[received]]</f>
        <v>0</v>
      </c>
      <c r="J280" s="30"/>
      <c r="K280" s="4">
        <v>20010</v>
      </c>
      <c r="L280" s="4">
        <v>18610</v>
      </c>
      <c r="M280" s="2">
        <f>K280-L280</f>
        <v>1400</v>
      </c>
      <c r="N280" s="4">
        <v>12265.2</v>
      </c>
      <c r="O280" s="4"/>
      <c r="P280" s="7">
        <f>grand[[#This Row],[total weight]]/grand[[#This Row],[received]]</f>
        <v>416.875</v>
      </c>
      <c r="Q280" s="7">
        <f>grand[[#This Row],[receiving weight]]/grand[[#This Row],[received]]</f>
        <v>387.70833333333331</v>
      </c>
      <c r="R280" s="7">
        <f>grand[[#This Row],[transportation loss ]]/grand[[#This Row],[received]]</f>
        <v>29.166666666666668</v>
      </c>
      <c r="S280" s="7">
        <f>grand[[#This Row],[ carcass weight]]/grand[[#This Row],[received]]</f>
        <v>255.52500000000001</v>
      </c>
      <c r="T280" s="7">
        <f>grand[[#This Row],[ kidneys fat quantity]]/grand[[#This Row],[received]]</f>
        <v>0</v>
      </c>
      <c r="U280" s="4">
        <v>25</v>
      </c>
      <c r="V280" s="4">
        <v>0</v>
      </c>
      <c r="W280" s="4">
        <v>49.5</v>
      </c>
      <c r="X280" s="4">
        <v>10</v>
      </c>
      <c r="Y280" s="8">
        <v>8.5</v>
      </c>
      <c r="Z280" s="3">
        <f>grand[[#This Row],[av. Transportation loss]]/grand[[#This Row],[av.total weight]]</f>
        <v>6.9965017491254375E-2</v>
      </c>
      <c r="AA280" s="12">
        <f>AVERAGE((grand[[#This Row],[am]]/25),(grand[[#This Row],[pm]]/50))</f>
        <v>0.995</v>
      </c>
      <c r="AB280" s="3">
        <f>grand[[#This Row],[ carcass weight]]/grand[[#This Row],[total weight]]</f>
        <v>0.61295352323838082</v>
      </c>
      <c r="AC280" s="6">
        <f>SUM(grand[[#This Row],[am]:[meat transportation]])/100</f>
        <v>0.93</v>
      </c>
      <c r="AD280" s="9" t="s">
        <v>154</v>
      </c>
      <c r="AE280" s="4">
        <v>2</v>
      </c>
      <c r="AF280" s="4"/>
      <c r="AG280" s="4"/>
      <c r="AH280" s="4"/>
      <c r="AI280" s="4"/>
      <c r="AJ280" s="2"/>
      <c r="AK280" s="4"/>
    </row>
    <row r="281" spans="1:38" hidden="1" x14ac:dyDescent="0.2">
      <c r="A281" s="11">
        <v>44013</v>
      </c>
      <c r="B281" s="53" t="s">
        <v>1491</v>
      </c>
      <c r="C281" s="52" t="str">
        <f>IF(MID(B281,4,2)="09","Ramadan",IF(AND(MID(B281,4,2)="12",VALUE(LEFT(B281,2))&lt;=9),"Adha Season","Normal"))</f>
        <v>Normal</v>
      </c>
      <c r="D281" s="1" t="s">
        <v>45</v>
      </c>
      <c r="F281" s="4" t="s">
        <v>46</v>
      </c>
      <c r="G281" s="4">
        <v>25</v>
      </c>
      <c r="H281" s="4">
        <v>25</v>
      </c>
      <c r="I281" s="2">
        <f>grand[[#This Row],[number]]-grand[[#This Row],[received]]</f>
        <v>0</v>
      </c>
      <c r="J281" s="30"/>
      <c r="K281" s="9">
        <v>12610</v>
      </c>
      <c r="L281" s="9">
        <v>11775</v>
      </c>
      <c r="M281" s="2">
        <f>K281-L281</f>
        <v>835</v>
      </c>
      <c r="N281" s="9">
        <v>7617.2</v>
      </c>
      <c r="O281" s="4"/>
      <c r="P281" s="7">
        <f>grand[[#This Row],[total weight]]/grand[[#This Row],[received]]</f>
        <v>504.4</v>
      </c>
      <c r="Q281" s="7">
        <f>grand[[#This Row],[receiving weight]]/grand[[#This Row],[received]]</f>
        <v>471</v>
      </c>
      <c r="R281" s="7">
        <f>grand[[#This Row],[transportation loss ]]/grand[[#This Row],[received]]</f>
        <v>33.4</v>
      </c>
      <c r="S281" s="7">
        <f>grand[[#This Row],[ carcass weight]]/grand[[#This Row],[received]]</f>
        <v>304.68799999999999</v>
      </c>
      <c r="T281" s="7">
        <f>grand[[#This Row],[ kidneys fat quantity]]/grand[[#This Row],[received]]</f>
        <v>0</v>
      </c>
      <c r="U281" s="4">
        <v>25</v>
      </c>
      <c r="V281" s="4">
        <v>0</v>
      </c>
      <c r="W281" s="4">
        <v>49.6</v>
      </c>
      <c r="X281" s="4">
        <v>10</v>
      </c>
      <c r="Y281" s="8">
        <v>8.5</v>
      </c>
      <c r="Z281" s="3">
        <f>grand[[#This Row],[av. Transportation loss]]/grand[[#This Row],[av.total weight]]</f>
        <v>6.6217287866772404E-2</v>
      </c>
      <c r="AA281" s="12">
        <f>AVERAGE((grand[[#This Row],[am]]/25),(grand[[#This Row],[pm]]/50))</f>
        <v>0.996</v>
      </c>
      <c r="AB281" s="3">
        <f>grand[[#This Row],[ carcass weight]]/grand[[#This Row],[total weight]]</f>
        <v>0.60406026962727988</v>
      </c>
      <c r="AC281" s="6">
        <f>SUM(grand[[#This Row],[am]:[meat transportation]])/100</f>
        <v>0.93099999999999994</v>
      </c>
      <c r="AD281" s="9"/>
      <c r="AE281" s="4"/>
      <c r="AF281" s="4" t="s">
        <v>156</v>
      </c>
      <c r="AG281" s="4"/>
      <c r="AH281" s="4"/>
      <c r="AI281" s="4"/>
      <c r="AJ281" s="2"/>
      <c r="AK281" s="4"/>
      <c r="AL281" s="2">
        <v>3</v>
      </c>
    </row>
    <row r="282" spans="1:38" hidden="1" x14ac:dyDescent="0.2">
      <c r="A282" s="11">
        <v>44013</v>
      </c>
      <c r="B282" s="53" t="s">
        <v>1491</v>
      </c>
      <c r="C282" s="52" t="str">
        <f>IF(MID(B282,4,2)="09","Ramadan",IF(AND(MID(B282,4,2)="12",VALUE(LEFT(B282,2))&lt;=9),"Adha Season","Normal"))</f>
        <v>Normal</v>
      </c>
      <c r="D282" s="2" t="s">
        <v>294</v>
      </c>
      <c r="E282" s="2"/>
      <c r="F282" s="4" t="s">
        <v>105</v>
      </c>
      <c r="G282" s="4">
        <v>25</v>
      </c>
      <c r="H282" s="4">
        <v>25</v>
      </c>
      <c r="I282" s="2">
        <f>grand[[#This Row],[number]]-grand[[#This Row],[received]]</f>
        <v>0</v>
      </c>
      <c r="J282" s="30"/>
      <c r="K282" s="4"/>
      <c r="L282" s="4"/>
      <c r="M282" s="2">
        <f>K282-L282</f>
        <v>0</v>
      </c>
      <c r="N282" s="4"/>
      <c r="O282" s="4"/>
      <c r="P282" s="7">
        <f>grand[[#This Row],[total weight]]/grand[[#This Row],[received]]</f>
        <v>0</v>
      </c>
      <c r="Q282" s="7">
        <f>grand[[#This Row],[receiving weight]]/grand[[#This Row],[received]]</f>
        <v>0</v>
      </c>
      <c r="R282" s="7">
        <f>grand[[#This Row],[transportation loss ]]/grand[[#This Row],[received]]</f>
        <v>0</v>
      </c>
      <c r="S282" s="7">
        <f>grand[[#This Row],[ carcass weight]]/grand[[#This Row],[received]]</f>
        <v>0</v>
      </c>
      <c r="T282" s="7">
        <f>grand[[#This Row],[ kidneys fat quantity]]/grand[[#This Row],[received]]</f>
        <v>0</v>
      </c>
      <c r="U282" s="4">
        <v>25</v>
      </c>
      <c r="V282" s="4">
        <v>0</v>
      </c>
      <c r="W282" s="4">
        <v>49.5</v>
      </c>
      <c r="X282" s="4">
        <v>10</v>
      </c>
      <c r="Y282" s="8">
        <v>8.5</v>
      </c>
      <c r="Z282" s="3"/>
      <c r="AA282" s="12">
        <f>AVERAGE((grand[[#This Row],[am]]/25),(grand[[#This Row],[pm]]/50))</f>
        <v>0.995</v>
      </c>
      <c r="AB282" s="3"/>
      <c r="AC282" s="6">
        <f>SUM(grand[[#This Row],[am]:[meat transportation]])/100</f>
        <v>0.93</v>
      </c>
      <c r="AD282" s="9" t="s">
        <v>81</v>
      </c>
      <c r="AE282" s="4"/>
      <c r="AF282" s="4" t="s">
        <v>70</v>
      </c>
      <c r="AG282" s="4"/>
      <c r="AH282" s="4"/>
      <c r="AI282" s="4"/>
      <c r="AJ282" s="2"/>
      <c r="AK282" s="4"/>
      <c r="AL282" s="2">
        <v>3</v>
      </c>
    </row>
    <row r="283" spans="1:38" hidden="1" x14ac:dyDescent="0.2">
      <c r="A283" s="11">
        <v>44014</v>
      </c>
      <c r="B283" s="53" t="s">
        <v>1492</v>
      </c>
      <c r="C283" s="52" t="str">
        <f>IF(MID(B283,4,2)="09","Ramadan",IF(AND(MID(B283,4,2)="12",VALUE(LEFT(B283,2))&lt;=9),"Adha Season","Normal"))</f>
        <v>Normal</v>
      </c>
      <c r="D283" s="1" t="s">
        <v>45</v>
      </c>
      <c r="F283" s="4" t="s">
        <v>47</v>
      </c>
      <c r="G283" s="4">
        <v>51</v>
      </c>
      <c r="H283" s="4">
        <v>51</v>
      </c>
      <c r="I283" s="2">
        <f>grand[[#This Row],[number]]-grand[[#This Row],[received]]</f>
        <v>0</v>
      </c>
      <c r="J283" s="30"/>
      <c r="K283" s="9">
        <v>25100</v>
      </c>
      <c r="L283" s="9">
        <v>24050</v>
      </c>
      <c r="M283" s="2">
        <f>K283-L283</f>
        <v>1050</v>
      </c>
      <c r="N283" s="9">
        <v>15522.6</v>
      </c>
      <c r="O283" s="4"/>
      <c r="P283" s="7">
        <f>grand[[#This Row],[total weight]]/grand[[#This Row],[received]]</f>
        <v>492.15686274509807</v>
      </c>
      <c r="Q283" s="7">
        <f>grand[[#This Row],[receiving weight]]/grand[[#This Row],[received]]</f>
        <v>471.56862745098039</v>
      </c>
      <c r="R283" s="7">
        <f>grand[[#This Row],[transportation loss ]]/grand[[#This Row],[received]]</f>
        <v>20.588235294117649</v>
      </c>
      <c r="S283" s="7">
        <f>grand[[#This Row],[ carcass weight]]/grand[[#This Row],[received]]</f>
        <v>304.36470588235295</v>
      </c>
      <c r="T283" s="7">
        <f>grand[[#This Row],[ kidneys fat quantity]]/grand[[#This Row],[received]]</f>
        <v>0</v>
      </c>
      <c r="U283" s="4">
        <v>25</v>
      </c>
      <c r="V283" s="4">
        <v>0</v>
      </c>
      <c r="W283" s="4">
        <v>49.4</v>
      </c>
      <c r="X283" s="4">
        <v>10</v>
      </c>
      <c r="Y283" s="8">
        <v>8.5</v>
      </c>
      <c r="Z283" s="3">
        <f>grand[[#This Row],[av. Transportation loss]]/grand[[#This Row],[av.total weight]]</f>
        <v>4.1832669322709161E-2</v>
      </c>
      <c r="AA283" s="12">
        <f>AVERAGE((grand[[#This Row],[am]]/25),(grand[[#This Row],[pm]]/50))</f>
        <v>0.99399999999999999</v>
      </c>
      <c r="AB283" s="3">
        <f>grand[[#This Row],[ carcass weight]]/grand[[#This Row],[total weight]]</f>
        <v>0.61843027888446211</v>
      </c>
      <c r="AC283" s="6">
        <f>SUM(grand[[#This Row],[am]:[meat transportation]])/100</f>
        <v>0.92900000000000005</v>
      </c>
      <c r="AD283" s="9"/>
      <c r="AE283" s="4">
        <v>5</v>
      </c>
      <c r="AF283" s="4" t="s">
        <v>157</v>
      </c>
      <c r="AG283" s="4"/>
      <c r="AH283" s="4"/>
      <c r="AI283" s="4"/>
      <c r="AJ283" s="2"/>
      <c r="AK283" s="4"/>
      <c r="AL283" s="2">
        <v>12</v>
      </c>
    </row>
    <row r="284" spans="1:38" hidden="1" x14ac:dyDescent="0.2">
      <c r="A284" s="11">
        <v>44016</v>
      </c>
      <c r="B284" s="53" t="s">
        <v>2526</v>
      </c>
      <c r="C284" s="52" t="str">
        <f>IF(MID(B284,4,2)="09","Ramadan",IF(AND(MID(B284,4,2)="12",VALUE(LEFT(B284,2))&lt;=9),"Adha Season","Normal"))</f>
        <v>Normal</v>
      </c>
      <c r="D284" s="1" t="s">
        <v>45</v>
      </c>
      <c r="F284" s="4" t="s">
        <v>46</v>
      </c>
      <c r="G284" s="4">
        <v>30</v>
      </c>
      <c r="H284" s="4">
        <v>30</v>
      </c>
      <c r="I284" s="2">
        <f>grand[[#This Row],[number]]-grand[[#This Row],[received]]</f>
        <v>0</v>
      </c>
      <c r="J284" s="30"/>
      <c r="K284" s="9">
        <v>14095</v>
      </c>
      <c r="L284" s="9">
        <v>13305</v>
      </c>
      <c r="M284" s="2">
        <f>K284-L284</f>
        <v>790</v>
      </c>
      <c r="N284" s="9">
        <v>8456.5</v>
      </c>
      <c r="O284" s="4"/>
      <c r="P284" s="7">
        <f>grand[[#This Row],[total weight]]/grand[[#This Row],[received]]</f>
        <v>469.83333333333331</v>
      </c>
      <c r="Q284" s="7">
        <f>grand[[#This Row],[receiving weight]]/grand[[#This Row],[received]]</f>
        <v>443.5</v>
      </c>
      <c r="R284" s="7">
        <f>grand[[#This Row],[transportation loss ]]/grand[[#This Row],[received]]</f>
        <v>26.333333333333332</v>
      </c>
      <c r="S284" s="7">
        <f>grand[[#This Row],[ carcass weight]]/grand[[#This Row],[received]]</f>
        <v>281.88333333333333</v>
      </c>
      <c r="T284" s="7">
        <f>grand[[#This Row],[ kidneys fat quantity]]/grand[[#This Row],[received]]</f>
        <v>0</v>
      </c>
      <c r="U284" s="4">
        <v>25</v>
      </c>
      <c r="V284" s="4">
        <v>0</v>
      </c>
      <c r="W284" s="4">
        <v>49.6</v>
      </c>
      <c r="X284" s="4">
        <v>10</v>
      </c>
      <c r="Y284" s="8">
        <v>8.5</v>
      </c>
      <c r="Z284" s="3">
        <f>grand[[#This Row],[av. Transportation loss]]/grand[[#This Row],[av.total weight]]</f>
        <v>5.6048244058176655E-2</v>
      </c>
      <c r="AA284" s="12">
        <f>AVERAGE((grand[[#This Row],[am]]/25),(grand[[#This Row],[pm]]/50))</f>
        <v>0.996</v>
      </c>
      <c r="AB284" s="3">
        <f>grand[[#This Row],[ carcass weight]]/grand[[#This Row],[total weight]]</f>
        <v>0.59996452642781128</v>
      </c>
      <c r="AC284" s="6">
        <f>SUM(grand[[#This Row],[am]:[meat transportation]])/100</f>
        <v>0.93099999999999994</v>
      </c>
      <c r="AD284" s="9"/>
      <c r="AE284" s="4">
        <v>3</v>
      </c>
      <c r="AF284" s="4" t="s">
        <v>88</v>
      </c>
      <c r="AG284" s="4"/>
      <c r="AH284" s="4"/>
      <c r="AI284" s="4"/>
      <c r="AJ284" s="2"/>
      <c r="AK284" s="4"/>
      <c r="AL284" s="2">
        <v>2.5</v>
      </c>
    </row>
    <row r="285" spans="1:38" hidden="1" x14ac:dyDescent="0.2">
      <c r="A285" s="11">
        <v>44019</v>
      </c>
      <c r="B285" s="53" t="s">
        <v>2527</v>
      </c>
      <c r="C285" s="52" t="str">
        <f>IF(MID(B285,4,2)="09","Ramadan",IF(AND(MID(B285,4,2)="12",VALUE(LEFT(B285,2))&lt;=9),"Adha Season","Normal"))</f>
        <v>Normal</v>
      </c>
      <c r="D285" s="2" t="s">
        <v>294</v>
      </c>
      <c r="E285" s="2"/>
      <c r="F285" s="4" t="s">
        <v>105</v>
      </c>
      <c r="G285" s="4">
        <v>26</v>
      </c>
      <c r="H285" s="4">
        <v>26</v>
      </c>
      <c r="I285" s="2">
        <f>grand[[#This Row],[number]]-grand[[#This Row],[received]]</f>
        <v>0</v>
      </c>
      <c r="J285" s="30"/>
      <c r="K285" s="4"/>
      <c r="L285" s="4"/>
      <c r="M285" s="2">
        <f>K285-L285</f>
        <v>0</v>
      </c>
      <c r="N285" s="4"/>
      <c r="O285" s="4"/>
      <c r="P285" s="7">
        <f>grand[[#This Row],[total weight]]/grand[[#This Row],[received]]</f>
        <v>0</v>
      </c>
      <c r="Q285" s="7">
        <f>grand[[#This Row],[receiving weight]]/grand[[#This Row],[received]]</f>
        <v>0</v>
      </c>
      <c r="R285" s="7">
        <f>grand[[#This Row],[transportation loss ]]/grand[[#This Row],[received]]</f>
        <v>0</v>
      </c>
      <c r="S285" s="7">
        <f>grand[[#This Row],[ carcass weight]]/grand[[#This Row],[received]]</f>
        <v>0</v>
      </c>
      <c r="T285" s="7">
        <f>grand[[#This Row],[ kidneys fat quantity]]/grand[[#This Row],[received]]</f>
        <v>0</v>
      </c>
      <c r="U285" s="4">
        <v>25</v>
      </c>
      <c r="V285" s="4">
        <v>0</v>
      </c>
      <c r="W285" s="4">
        <v>49.7</v>
      </c>
      <c r="X285" s="4">
        <v>10</v>
      </c>
      <c r="Y285" s="8">
        <v>8.5</v>
      </c>
      <c r="Z285" s="3"/>
      <c r="AA285" s="12">
        <f>AVERAGE((grand[[#This Row],[am]]/25),(grand[[#This Row],[pm]]/50))</f>
        <v>0.99700000000000011</v>
      </c>
      <c r="AB285" s="3"/>
      <c r="AC285" s="6">
        <f>SUM(grand[[#This Row],[am]:[meat transportation]])/100</f>
        <v>0.93200000000000005</v>
      </c>
      <c r="AD285" s="9"/>
      <c r="AE285" s="4"/>
      <c r="AF285" s="4" t="s">
        <v>159</v>
      </c>
      <c r="AG285" s="4"/>
      <c r="AH285" s="4"/>
      <c r="AI285" s="4"/>
      <c r="AJ285" s="2"/>
      <c r="AK285" s="4"/>
      <c r="AL285" s="2">
        <v>1</v>
      </c>
    </row>
    <row r="286" spans="1:38" hidden="1" x14ac:dyDescent="0.2">
      <c r="A286" s="11">
        <v>44021</v>
      </c>
      <c r="B286" s="53" t="s">
        <v>1495</v>
      </c>
      <c r="C286" s="52" t="str">
        <f>IF(MID(B286,4,2)="09","Ramadan",IF(AND(MID(B286,4,2)="12",VALUE(LEFT(B286,2))&lt;=9),"Adha Season","Normal"))</f>
        <v>Normal</v>
      </c>
      <c r="D286" s="1" t="s">
        <v>45</v>
      </c>
      <c r="F286" s="4" t="s">
        <v>47</v>
      </c>
      <c r="G286" s="4">
        <v>44</v>
      </c>
      <c r="H286" s="4">
        <v>44</v>
      </c>
      <c r="I286" s="2">
        <f>grand[[#This Row],[number]]-grand[[#This Row],[received]]</f>
        <v>0</v>
      </c>
      <c r="J286" s="30"/>
      <c r="K286" s="4">
        <v>20330</v>
      </c>
      <c r="L286" s="4">
        <v>19485</v>
      </c>
      <c r="M286" s="2">
        <f>K286-L286</f>
        <v>845</v>
      </c>
      <c r="N286" s="4">
        <v>12302.7</v>
      </c>
      <c r="O286" s="4"/>
      <c r="P286" s="7">
        <f>grand[[#This Row],[total weight]]/grand[[#This Row],[received]]</f>
        <v>462.04545454545456</v>
      </c>
      <c r="Q286" s="7">
        <f>grand[[#This Row],[receiving weight]]/grand[[#This Row],[received]]</f>
        <v>442.84090909090907</v>
      </c>
      <c r="R286" s="7">
        <f>grand[[#This Row],[transportation loss ]]/grand[[#This Row],[received]]</f>
        <v>19.204545454545453</v>
      </c>
      <c r="S286" s="7">
        <f>grand[[#This Row],[ carcass weight]]/grand[[#This Row],[received]]</f>
        <v>279.6068181818182</v>
      </c>
      <c r="T286" s="7">
        <f>grand[[#This Row],[ kidneys fat quantity]]/grand[[#This Row],[received]]</f>
        <v>0</v>
      </c>
      <c r="U286" s="4">
        <v>25</v>
      </c>
      <c r="V286" s="4">
        <v>0</v>
      </c>
      <c r="W286" s="4">
        <v>48.8</v>
      </c>
      <c r="X286" s="4">
        <v>10</v>
      </c>
      <c r="Y286" s="8">
        <v>8.5</v>
      </c>
      <c r="Z286" s="3">
        <f>grand[[#This Row],[av. Transportation loss]]/grand[[#This Row],[av.total weight]]</f>
        <v>4.1564190850959172E-2</v>
      </c>
      <c r="AA286" s="12">
        <f>AVERAGE((grand[[#This Row],[am]]/25),(grand[[#This Row],[pm]]/50))</f>
        <v>0.98799999999999999</v>
      </c>
      <c r="AB286" s="3">
        <f>grand[[#This Row],[ carcass weight]]/grand[[#This Row],[total weight]]</f>
        <v>0.60515002459419576</v>
      </c>
      <c r="AC286" s="6">
        <f>SUM(grand[[#This Row],[am]:[meat transportation]])/100</f>
        <v>0.92299999999999993</v>
      </c>
      <c r="AD286" s="9" t="s">
        <v>160</v>
      </c>
      <c r="AE286" s="4"/>
      <c r="AF286" s="4" t="s">
        <v>121</v>
      </c>
      <c r="AG286" s="4"/>
      <c r="AH286" s="4"/>
      <c r="AI286" s="4"/>
      <c r="AJ286" s="2"/>
      <c r="AK286" s="4"/>
      <c r="AL286" s="2">
        <v>22</v>
      </c>
    </row>
    <row r="287" spans="1:38" hidden="1" x14ac:dyDescent="0.2">
      <c r="A287" s="11">
        <v>44027</v>
      </c>
      <c r="B287" s="53" t="s">
        <v>1497</v>
      </c>
      <c r="C287" s="52" t="str">
        <f>IF(MID(B287,4,2)="09","Ramadan",IF(AND(MID(B287,4,2)="12",VALUE(LEFT(B287,2))&lt;=9),"Adha Season","Normal"))</f>
        <v>Normal</v>
      </c>
      <c r="D287" s="1" t="s">
        <v>45</v>
      </c>
      <c r="F287" s="4" t="s">
        <v>50</v>
      </c>
      <c r="G287" s="4">
        <v>26</v>
      </c>
      <c r="H287" s="4">
        <v>26</v>
      </c>
      <c r="I287" s="2">
        <f>grand[[#This Row],[number]]-grand[[#This Row],[received]]</f>
        <v>0</v>
      </c>
      <c r="J287" s="30"/>
      <c r="K287" s="4">
        <v>11006</v>
      </c>
      <c r="L287" s="4">
        <v>9995</v>
      </c>
      <c r="M287" s="2">
        <f>K287-L287</f>
        <v>1011</v>
      </c>
      <c r="N287" s="4">
        <v>6730.3</v>
      </c>
      <c r="O287" s="4"/>
      <c r="P287" s="7">
        <f>grand[[#This Row],[total weight]]/grand[[#This Row],[received]]</f>
        <v>423.30769230769232</v>
      </c>
      <c r="Q287" s="7">
        <f>grand[[#This Row],[receiving weight]]/grand[[#This Row],[received]]</f>
        <v>384.42307692307691</v>
      </c>
      <c r="R287" s="7">
        <f>grand[[#This Row],[transportation loss ]]/grand[[#This Row],[received]]</f>
        <v>38.884615384615387</v>
      </c>
      <c r="S287" s="7">
        <f>grand[[#This Row],[ carcass weight]]/grand[[#This Row],[received]]</f>
        <v>258.85769230769233</v>
      </c>
      <c r="T287" s="7">
        <f>grand[[#This Row],[ kidneys fat quantity]]/grand[[#This Row],[received]]</f>
        <v>0</v>
      </c>
      <c r="U287" s="4">
        <v>25</v>
      </c>
      <c r="V287" s="4">
        <v>0</v>
      </c>
      <c r="W287" s="4">
        <v>49</v>
      </c>
      <c r="X287" s="4">
        <v>10</v>
      </c>
      <c r="Y287" s="8">
        <v>8.5</v>
      </c>
      <c r="Z287" s="3">
        <f>grand[[#This Row],[av. Transportation loss]]/grand[[#This Row],[av.total weight]]</f>
        <v>9.1858986007632204E-2</v>
      </c>
      <c r="AA287" s="12">
        <f>AVERAGE((grand[[#This Row],[am]]/25),(grand[[#This Row],[pm]]/50))</f>
        <v>0.99</v>
      </c>
      <c r="AB287" s="3">
        <f>grand[[#This Row],[ carcass weight]]/grand[[#This Row],[total weight]]</f>
        <v>0.61151190259858257</v>
      </c>
      <c r="AC287" s="6">
        <f>SUM(grand[[#This Row],[am]:[meat transportation]])/100</f>
        <v>0.92500000000000004</v>
      </c>
      <c r="AD287" s="9" t="s">
        <v>71</v>
      </c>
      <c r="AE287" s="4">
        <v>3</v>
      </c>
      <c r="AF287" s="4" t="s">
        <v>55</v>
      </c>
      <c r="AG287" s="4"/>
      <c r="AH287" s="4"/>
      <c r="AI287" s="4"/>
      <c r="AJ287" s="2"/>
      <c r="AK287" s="4"/>
      <c r="AL287" s="2">
        <v>14</v>
      </c>
    </row>
    <row r="288" spans="1:38" hidden="1" x14ac:dyDescent="0.2">
      <c r="A288" s="11">
        <v>44027</v>
      </c>
      <c r="B288" s="53" t="s">
        <v>1497</v>
      </c>
      <c r="C288" s="52" t="str">
        <f>IF(MID(B288,4,2)="09","Ramadan",IF(AND(MID(B288,4,2)="12",VALUE(LEFT(B288,2))&lt;=9),"Adha Season","Normal"))</f>
        <v>Normal</v>
      </c>
      <c r="D288" s="2" t="s">
        <v>294</v>
      </c>
      <c r="E288" s="2"/>
      <c r="F288" s="4" t="s">
        <v>105</v>
      </c>
      <c r="G288" s="4">
        <v>25</v>
      </c>
      <c r="H288" s="4">
        <v>25</v>
      </c>
      <c r="I288" s="2">
        <f>grand[[#This Row],[number]]-grand[[#This Row],[received]]</f>
        <v>0</v>
      </c>
      <c r="J288" s="30"/>
      <c r="K288" s="4"/>
      <c r="L288" s="4"/>
      <c r="M288" s="2">
        <f>K288-L288</f>
        <v>0</v>
      </c>
      <c r="N288" s="4"/>
      <c r="O288" s="4"/>
      <c r="P288" s="7">
        <f>grand[[#This Row],[total weight]]/grand[[#This Row],[received]]</f>
        <v>0</v>
      </c>
      <c r="Q288" s="7">
        <f>grand[[#This Row],[receiving weight]]/grand[[#This Row],[received]]</f>
        <v>0</v>
      </c>
      <c r="R288" s="7">
        <f>grand[[#This Row],[transportation loss ]]/grand[[#This Row],[received]]</f>
        <v>0</v>
      </c>
      <c r="S288" s="7">
        <f>grand[[#This Row],[ carcass weight]]/grand[[#This Row],[received]]</f>
        <v>0</v>
      </c>
      <c r="T288" s="7">
        <f>grand[[#This Row],[ kidneys fat quantity]]/grand[[#This Row],[received]]</f>
        <v>0</v>
      </c>
      <c r="U288" s="4">
        <v>25</v>
      </c>
      <c r="V288" s="4">
        <v>0</v>
      </c>
      <c r="W288" s="4">
        <v>49.8</v>
      </c>
      <c r="X288" s="4">
        <v>10</v>
      </c>
      <c r="Y288" s="8">
        <v>8.5</v>
      </c>
      <c r="Z288" s="3"/>
      <c r="AA288" s="12">
        <f>AVERAGE((grand[[#This Row],[am]]/25),(grand[[#This Row],[pm]]/50))</f>
        <v>0.998</v>
      </c>
      <c r="AB288" s="3"/>
      <c r="AC288" s="6">
        <f>SUM(grand[[#This Row],[am]:[meat transportation]])/100</f>
        <v>0.93299999999999994</v>
      </c>
      <c r="AD288" s="9"/>
      <c r="AE288" s="4"/>
      <c r="AF288" s="4" t="s">
        <v>69</v>
      </c>
      <c r="AG288" s="4"/>
      <c r="AH288" s="4"/>
      <c r="AI288" s="4"/>
      <c r="AJ288" s="2"/>
      <c r="AK288" s="4"/>
      <c r="AL288" s="2">
        <v>1</v>
      </c>
    </row>
    <row r="289" spans="1:38" hidden="1" x14ac:dyDescent="0.2">
      <c r="A289" s="11">
        <v>44028</v>
      </c>
      <c r="B289" s="53" t="s">
        <v>1498</v>
      </c>
      <c r="C289" s="52" t="str">
        <f>IF(MID(B289,4,2)="09","Ramadan",IF(AND(MID(B289,4,2)="12",VALUE(LEFT(B289,2))&lt;=9),"Adha Season","Normal"))</f>
        <v>Normal</v>
      </c>
      <c r="D289" s="1" t="s">
        <v>45</v>
      </c>
      <c r="F289" s="4" t="s">
        <v>46</v>
      </c>
      <c r="G289" s="4">
        <v>45</v>
      </c>
      <c r="H289" s="4">
        <v>45</v>
      </c>
      <c r="I289" s="2">
        <f>grand[[#This Row],[number]]-grand[[#This Row],[received]]</f>
        <v>0</v>
      </c>
      <c r="J289" s="30"/>
      <c r="K289" s="4">
        <v>20100</v>
      </c>
      <c r="L289" s="4">
        <v>18910</v>
      </c>
      <c r="M289" s="2">
        <f>K289-L289</f>
        <v>1190</v>
      </c>
      <c r="N289" s="4">
        <v>12060.8</v>
      </c>
      <c r="O289" s="4"/>
      <c r="P289" s="7">
        <f>grand[[#This Row],[total weight]]/grand[[#This Row],[received]]</f>
        <v>446.66666666666669</v>
      </c>
      <c r="Q289" s="7">
        <f>grand[[#This Row],[receiving weight]]/grand[[#This Row],[received]]</f>
        <v>420.22222222222223</v>
      </c>
      <c r="R289" s="7">
        <f>grand[[#This Row],[transportation loss ]]/grand[[#This Row],[received]]</f>
        <v>26.444444444444443</v>
      </c>
      <c r="S289" s="7">
        <f>grand[[#This Row],[ carcass weight]]/grand[[#This Row],[received]]</f>
        <v>268.01777777777778</v>
      </c>
      <c r="T289" s="7">
        <f>grand[[#This Row],[ kidneys fat quantity]]/grand[[#This Row],[received]]</f>
        <v>0</v>
      </c>
      <c r="U289" s="4">
        <v>17</v>
      </c>
      <c r="V289" s="4">
        <v>0</v>
      </c>
      <c r="W289" s="4">
        <v>49.8</v>
      </c>
      <c r="X289" s="4">
        <v>10</v>
      </c>
      <c r="Y289" s="8">
        <v>8.5</v>
      </c>
      <c r="Z289" s="3">
        <f>grand[[#This Row],[av. Transportation loss]]/grand[[#This Row],[av.total weight]]</f>
        <v>5.9203980099502479E-2</v>
      </c>
      <c r="AA289" s="12">
        <f>AVERAGE((grand[[#This Row],[am]]/25),(grand[[#This Row],[pm]]/50))</f>
        <v>0.83800000000000008</v>
      </c>
      <c r="AB289" s="3">
        <f>grand[[#This Row],[ carcass weight]]/grand[[#This Row],[total weight]]</f>
        <v>0.60003980099502485</v>
      </c>
      <c r="AC289" s="6">
        <f>SUM(grand[[#This Row],[am]:[meat transportation]])/100</f>
        <v>0.85299999999999998</v>
      </c>
      <c r="AD289" s="9"/>
      <c r="AE289" s="4">
        <v>3</v>
      </c>
      <c r="AF289" s="4" t="s">
        <v>164</v>
      </c>
      <c r="AG289" s="4"/>
      <c r="AH289" s="4"/>
      <c r="AI289" s="4"/>
      <c r="AJ289" s="2"/>
      <c r="AK289" s="4"/>
      <c r="AL289" s="2">
        <v>7</v>
      </c>
    </row>
    <row r="290" spans="1:38" hidden="1" x14ac:dyDescent="0.2">
      <c r="A290" s="11">
        <v>44030</v>
      </c>
      <c r="B290" s="53" t="s">
        <v>2530</v>
      </c>
      <c r="C290" s="52" t="str">
        <f>IF(MID(B290,4,2)="09","Ramadan",IF(AND(MID(B290,4,2)="12",VALUE(LEFT(B290,2))&lt;=9),"Adha Season","Normal"))</f>
        <v>Normal</v>
      </c>
      <c r="D290" s="1" t="s">
        <v>45</v>
      </c>
      <c r="F290" s="4" t="s">
        <v>165</v>
      </c>
      <c r="G290" s="4">
        <v>24</v>
      </c>
      <c r="H290" s="4">
        <v>24</v>
      </c>
      <c r="I290" s="2">
        <f>grand[[#This Row],[number]]-grand[[#This Row],[received]]</f>
        <v>0</v>
      </c>
      <c r="J290" s="30"/>
      <c r="K290" s="4">
        <v>10627</v>
      </c>
      <c r="L290" s="4">
        <v>10090</v>
      </c>
      <c r="M290" s="2">
        <f>K290-L290</f>
        <v>537</v>
      </c>
      <c r="N290" s="4">
        <v>6466.9</v>
      </c>
      <c r="O290" s="4"/>
      <c r="P290" s="7">
        <f>grand[[#This Row],[total weight]]/grand[[#This Row],[received]]</f>
        <v>442.79166666666669</v>
      </c>
      <c r="Q290" s="7">
        <f>grand[[#This Row],[receiving weight]]/grand[[#This Row],[received]]</f>
        <v>420.41666666666669</v>
      </c>
      <c r="R290" s="7">
        <f>grand[[#This Row],[transportation loss ]]/grand[[#This Row],[received]]</f>
        <v>22.375</v>
      </c>
      <c r="S290" s="7">
        <f>grand[[#This Row],[ carcass weight]]/grand[[#This Row],[received]]</f>
        <v>269.45416666666665</v>
      </c>
      <c r="T290" s="7">
        <f>grand[[#This Row],[ kidneys fat quantity]]/grand[[#This Row],[received]]</f>
        <v>0</v>
      </c>
      <c r="U290" s="4">
        <v>25</v>
      </c>
      <c r="V290" s="4">
        <v>0</v>
      </c>
      <c r="W290" s="4">
        <v>49.8</v>
      </c>
      <c r="X290" s="4">
        <v>10</v>
      </c>
      <c r="Y290" s="8">
        <v>8.5</v>
      </c>
      <c r="Z290" s="3">
        <f>grand[[#This Row],[av. Transportation loss]]/grand[[#This Row],[av.total weight]]</f>
        <v>5.053166462783476E-2</v>
      </c>
      <c r="AA290" s="12">
        <f>AVERAGE((grand[[#This Row],[am]]/25),(grand[[#This Row],[pm]]/50))</f>
        <v>0.998</v>
      </c>
      <c r="AB290" s="3">
        <f>grand[[#This Row],[ carcass weight]]/grand[[#This Row],[total weight]]</f>
        <v>0.6085348640255952</v>
      </c>
      <c r="AC290" s="6">
        <f>SUM(grand[[#This Row],[am]:[meat transportation]])/100</f>
        <v>0.93299999999999994</v>
      </c>
      <c r="AD290" s="9" t="s">
        <v>117</v>
      </c>
      <c r="AE290" s="4">
        <v>1</v>
      </c>
      <c r="AF290" s="4"/>
      <c r="AG290" s="4"/>
      <c r="AH290" s="4"/>
      <c r="AI290" s="4"/>
      <c r="AJ290" s="2"/>
      <c r="AK290" s="4"/>
    </row>
    <row r="291" spans="1:38" hidden="1" x14ac:dyDescent="0.2">
      <c r="A291" s="11">
        <v>44030</v>
      </c>
      <c r="B291" s="53" t="s">
        <v>2530</v>
      </c>
      <c r="C291" s="52" t="str">
        <f>IF(MID(B291,4,2)="09","Ramadan",IF(AND(MID(B291,4,2)="12",VALUE(LEFT(B291,2))&lt;=9),"Adha Season","Normal"))</f>
        <v>Normal</v>
      </c>
      <c r="D291" s="2" t="s">
        <v>294</v>
      </c>
      <c r="E291" s="2"/>
      <c r="F291" s="4" t="s">
        <v>105</v>
      </c>
      <c r="G291" s="4">
        <v>30</v>
      </c>
      <c r="H291" s="4">
        <v>30</v>
      </c>
      <c r="I291" s="2">
        <f>grand[[#This Row],[number]]-grand[[#This Row],[received]]</f>
        <v>0</v>
      </c>
      <c r="J291" s="30"/>
      <c r="K291" s="4"/>
      <c r="L291" s="4"/>
      <c r="M291" s="2">
        <f>K291-L291</f>
        <v>0</v>
      </c>
      <c r="N291" s="4"/>
      <c r="O291" s="4"/>
      <c r="P291" s="7">
        <f>grand[[#This Row],[total weight]]/grand[[#This Row],[received]]</f>
        <v>0</v>
      </c>
      <c r="Q291" s="7">
        <f>grand[[#This Row],[receiving weight]]/grand[[#This Row],[received]]</f>
        <v>0</v>
      </c>
      <c r="R291" s="7">
        <f>grand[[#This Row],[transportation loss ]]/grand[[#This Row],[received]]</f>
        <v>0</v>
      </c>
      <c r="S291" s="7">
        <f>grand[[#This Row],[ carcass weight]]/grand[[#This Row],[received]]</f>
        <v>0</v>
      </c>
      <c r="T291" s="7">
        <f>grand[[#This Row],[ kidneys fat quantity]]/grand[[#This Row],[received]]</f>
        <v>0</v>
      </c>
      <c r="U291" s="4">
        <v>25</v>
      </c>
      <c r="V291" s="4">
        <v>0</v>
      </c>
      <c r="W291" s="4">
        <v>49.1</v>
      </c>
      <c r="X291" s="4">
        <v>10</v>
      </c>
      <c r="Y291" s="8">
        <v>8.5</v>
      </c>
      <c r="Z291" s="3"/>
      <c r="AA291" s="12">
        <f>AVERAGE((grand[[#This Row],[am]]/25),(grand[[#This Row],[pm]]/50))</f>
        <v>0.99099999999999999</v>
      </c>
      <c r="AB291" s="3"/>
      <c r="AC291" s="6">
        <f>SUM(grand[[#This Row],[am]:[meat transportation]])/100</f>
        <v>0.92599999999999993</v>
      </c>
      <c r="AD291" s="9" t="s">
        <v>166</v>
      </c>
      <c r="AE291" s="4"/>
      <c r="AF291" s="4" t="s">
        <v>70</v>
      </c>
      <c r="AG291" s="4"/>
      <c r="AH291" s="4"/>
      <c r="AI291" s="4"/>
      <c r="AJ291" s="2"/>
      <c r="AK291" s="4"/>
      <c r="AL291" s="2">
        <v>3</v>
      </c>
    </row>
    <row r="292" spans="1:38" hidden="1" x14ac:dyDescent="0.2">
      <c r="A292" s="11">
        <v>44033</v>
      </c>
      <c r="B292" s="53" t="s">
        <v>2531</v>
      </c>
      <c r="C292" s="52" t="str">
        <f>IF(MID(B292,4,2)="09","Ramadan",IF(AND(MID(B292,4,2)="12",VALUE(LEFT(B292,2))&lt;=9),"Adha Season","Normal"))</f>
        <v>Normal</v>
      </c>
      <c r="D292" s="1" t="s">
        <v>45</v>
      </c>
      <c r="F292" s="4" t="s">
        <v>50</v>
      </c>
      <c r="G292" s="4">
        <v>31</v>
      </c>
      <c r="H292" s="4">
        <v>31</v>
      </c>
      <c r="I292" s="2">
        <f>grand[[#This Row],[number]]-grand[[#This Row],[received]]</f>
        <v>0</v>
      </c>
      <c r="J292" s="30"/>
      <c r="K292" s="4">
        <v>13335</v>
      </c>
      <c r="L292" s="4">
        <v>12500</v>
      </c>
      <c r="M292" s="2">
        <f>K292-L292</f>
        <v>835</v>
      </c>
      <c r="N292" s="4">
        <v>8266.2000000000007</v>
      </c>
      <c r="O292" s="4"/>
      <c r="P292" s="7">
        <f>grand[[#This Row],[total weight]]/grand[[#This Row],[received]]</f>
        <v>430.16129032258067</v>
      </c>
      <c r="Q292" s="7">
        <f>grand[[#This Row],[receiving weight]]/grand[[#This Row],[received]]</f>
        <v>403.22580645161293</v>
      </c>
      <c r="R292" s="7">
        <f>grand[[#This Row],[transportation loss ]]/grand[[#This Row],[received]]</f>
        <v>26.93548387096774</v>
      </c>
      <c r="S292" s="7">
        <f>grand[[#This Row],[ carcass weight]]/grand[[#This Row],[received]]</f>
        <v>266.65161290322584</v>
      </c>
      <c r="T292" s="7">
        <f>grand[[#This Row],[ kidneys fat quantity]]/grand[[#This Row],[received]]</f>
        <v>0</v>
      </c>
      <c r="U292" s="4">
        <v>25</v>
      </c>
      <c r="V292" s="4">
        <v>0</v>
      </c>
      <c r="W292" s="4">
        <v>49.2</v>
      </c>
      <c r="X292" s="4">
        <v>10</v>
      </c>
      <c r="Y292" s="8">
        <v>8.5</v>
      </c>
      <c r="Z292" s="3">
        <f>grand[[#This Row],[av. Transportation loss]]/grand[[#This Row],[av.total weight]]</f>
        <v>6.2617172853393313E-2</v>
      </c>
      <c r="AA292" s="12">
        <f>AVERAGE((grand[[#This Row],[am]]/25),(grand[[#This Row],[pm]]/50))</f>
        <v>0.99199999999999999</v>
      </c>
      <c r="AB292" s="3">
        <f>grand[[#This Row],[ carcass weight]]/grand[[#This Row],[total weight]]</f>
        <v>0.61988751406074249</v>
      </c>
      <c r="AC292" s="6">
        <f>SUM(grand[[#This Row],[am]:[meat transportation]])/100</f>
        <v>0.92700000000000005</v>
      </c>
      <c r="AD292" s="9" t="s">
        <v>167</v>
      </c>
      <c r="AE292" s="4">
        <v>2</v>
      </c>
      <c r="AF292" s="4" t="s">
        <v>55</v>
      </c>
      <c r="AG292" s="4"/>
      <c r="AH292" s="4"/>
      <c r="AI292" s="4"/>
      <c r="AJ292" s="2"/>
      <c r="AK292" s="4"/>
      <c r="AL292" s="2">
        <v>10</v>
      </c>
    </row>
    <row r="293" spans="1:38" hidden="1" x14ac:dyDescent="0.2">
      <c r="A293" s="11">
        <v>44033</v>
      </c>
      <c r="B293" s="53" t="s">
        <v>2531</v>
      </c>
      <c r="C293" s="52" t="str">
        <f>IF(MID(B293,4,2)="09","Ramadan",IF(AND(MID(B293,4,2)="12",VALUE(LEFT(B293,2))&lt;=9),"Adha Season","Normal"))</f>
        <v>Normal</v>
      </c>
      <c r="D293" s="2" t="s">
        <v>294</v>
      </c>
      <c r="E293" s="2"/>
      <c r="F293" s="4" t="s">
        <v>105</v>
      </c>
      <c r="G293" s="4">
        <v>30</v>
      </c>
      <c r="H293" s="4">
        <v>30</v>
      </c>
      <c r="I293" s="2">
        <f>grand[[#This Row],[number]]-grand[[#This Row],[received]]</f>
        <v>0</v>
      </c>
      <c r="J293" s="30"/>
      <c r="K293" s="4"/>
      <c r="L293" s="4"/>
      <c r="M293" s="2">
        <f>K293-L293</f>
        <v>0</v>
      </c>
      <c r="N293" s="4"/>
      <c r="O293" s="4"/>
      <c r="P293" s="7">
        <f>grand[[#This Row],[total weight]]/grand[[#This Row],[received]]</f>
        <v>0</v>
      </c>
      <c r="Q293" s="7">
        <f>grand[[#This Row],[receiving weight]]/grand[[#This Row],[received]]</f>
        <v>0</v>
      </c>
      <c r="R293" s="7">
        <f>grand[[#This Row],[transportation loss ]]/grand[[#This Row],[received]]</f>
        <v>0</v>
      </c>
      <c r="S293" s="7">
        <f>grand[[#This Row],[ carcass weight]]/grand[[#This Row],[received]]</f>
        <v>0</v>
      </c>
      <c r="T293" s="7">
        <f>grand[[#This Row],[ kidneys fat quantity]]/grand[[#This Row],[received]]</f>
        <v>0</v>
      </c>
      <c r="U293" s="4">
        <v>25</v>
      </c>
      <c r="V293" s="4">
        <v>0</v>
      </c>
      <c r="W293" s="4">
        <v>49.5</v>
      </c>
      <c r="X293" s="4">
        <v>10</v>
      </c>
      <c r="Y293" s="8">
        <v>8.5</v>
      </c>
      <c r="Z293" s="3"/>
      <c r="AA293" s="12">
        <f>AVERAGE((grand[[#This Row],[am]]/25),(grand[[#This Row],[pm]]/50))</f>
        <v>0.995</v>
      </c>
      <c r="AB293" s="3"/>
      <c r="AC293" s="6">
        <f>SUM(grand[[#This Row],[am]:[meat transportation]])/100</f>
        <v>0.93</v>
      </c>
      <c r="AD293" s="9" t="s">
        <v>168</v>
      </c>
      <c r="AE293" s="4"/>
      <c r="AF293" s="4" t="s">
        <v>69</v>
      </c>
      <c r="AG293" s="4"/>
      <c r="AH293" s="4"/>
      <c r="AI293" s="4"/>
      <c r="AJ293" s="2"/>
      <c r="AK293" s="4"/>
      <c r="AL293" s="2">
        <v>1</v>
      </c>
    </row>
    <row r="294" spans="1:38" hidden="1" x14ac:dyDescent="0.2">
      <c r="A294" s="11">
        <v>44034</v>
      </c>
      <c r="B294" s="53" t="s">
        <v>1500</v>
      </c>
      <c r="C294" s="52" t="str">
        <f>IF(MID(B294,4,2)="09","Ramadan",IF(AND(MID(B294,4,2)="12",VALUE(LEFT(B294,2))&lt;=9),"Adha Season","Normal"))</f>
        <v>Adha Season</v>
      </c>
      <c r="D294" s="2" t="s">
        <v>294</v>
      </c>
      <c r="E294" s="2"/>
      <c r="F294" s="4" t="s">
        <v>105</v>
      </c>
      <c r="G294" s="4">
        <v>36</v>
      </c>
      <c r="H294" s="4">
        <v>36</v>
      </c>
      <c r="I294" s="2">
        <f>grand[[#This Row],[number]]-grand[[#This Row],[received]]</f>
        <v>0</v>
      </c>
      <c r="J294" s="30"/>
      <c r="K294" s="4"/>
      <c r="L294" s="4"/>
      <c r="M294" s="2">
        <f>K294-L294</f>
        <v>0</v>
      </c>
      <c r="N294" s="4"/>
      <c r="O294" s="4"/>
      <c r="P294" s="7">
        <f>grand[[#This Row],[total weight]]/grand[[#This Row],[received]]</f>
        <v>0</v>
      </c>
      <c r="Q294" s="7">
        <f>grand[[#This Row],[receiving weight]]/grand[[#This Row],[received]]</f>
        <v>0</v>
      </c>
      <c r="R294" s="7">
        <f>grand[[#This Row],[transportation loss ]]/grand[[#This Row],[received]]</f>
        <v>0</v>
      </c>
      <c r="S294" s="7">
        <f>grand[[#This Row],[ carcass weight]]/grand[[#This Row],[received]]</f>
        <v>0</v>
      </c>
      <c r="T294" s="7">
        <f>grand[[#This Row],[ kidneys fat quantity]]/grand[[#This Row],[received]]</f>
        <v>0</v>
      </c>
      <c r="U294" s="4">
        <v>25</v>
      </c>
      <c r="V294" s="4">
        <v>0</v>
      </c>
      <c r="W294" s="4">
        <v>49.3</v>
      </c>
      <c r="X294" s="4">
        <v>10</v>
      </c>
      <c r="Y294" s="8">
        <v>8.5</v>
      </c>
      <c r="Z294" s="3"/>
      <c r="AA294" s="12">
        <f>AVERAGE((grand[[#This Row],[am]]/25),(grand[[#This Row],[pm]]/50))</f>
        <v>0.99299999999999999</v>
      </c>
      <c r="AB294" s="3"/>
      <c r="AC294" s="6">
        <f>SUM(grand[[#This Row],[am]:[meat transportation]])/100</f>
        <v>0.92799999999999994</v>
      </c>
      <c r="AD294" s="9" t="s">
        <v>100</v>
      </c>
      <c r="AE294" s="4"/>
      <c r="AF294" s="4" t="s">
        <v>169</v>
      </c>
      <c r="AG294" s="4"/>
      <c r="AH294" s="4"/>
      <c r="AI294" s="4"/>
      <c r="AJ294" s="2"/>
      <c r="AK294" s="4"/>
      <c r="AL294" s="2">
        <v>2</v>
      </c>
    </row>
    <row r="295" spans="1:38" hidden="1" x14ac:dyDescent="0.2">
      <c r="A295" s="11">
        <v>44035</v>
      </c>
      <c r="B295" s="53" t="s">
        <v>1501</v>
      </c>
      <c r="C295" s="52" t="str">
        <f>IF(MID(B295,4,2)="09","Ramadan",IF(AND(MID(B295,4,2)="12",VALUE(LEFT(B295,2))&lt;=9),"Adha Season","Normal"))</f>
        <v>Adha Season</v>
      </c>
      <c r="D295" s="1" t="s">
        <v>45</v>
      </c>
      <c r="F295" s="4" t="s">
        <v>46</v>
      </c>
      <c r="G295" s="4">
        <v>40</v>
      </c>
      <c r="H295" s="4">
        <v>40</v>
      </c>
      <c r="I295" s="2">
        <f>grand[[#This Row],[number]]-grand[[#This Row],[received]]</f>
        <v>0</v>
      </c>
      <c r="J295" s="30"/>
      <c r="K295" s="4">
        <v>20070</v>
      </c>
      <c r="L295" s="4">
        <v>18855</v>
      </c>
      <c r="M295" s="2">
        <f>K295-L295</f>
        <v>1215</v>
      </c>
      <c r="N295" s="4">
        <v>12303.8</v>
      </c>
      <c r="O295" s="4"/>
      <c r="P295" s="7">
        <f>grand[[#This Row],[total weight]]/grand[[#This Row],[received]]</f>
        <v>501.75</v>
      </c>
      <c r="Q295" s="7">
        <f>grand[[#This Row],[receiving weight]]/grand[[#This Row],[received]]</f>
        <v>471.375</v>
      </c>
      <c r="R295" s="7">
        <f>grand[[#This Row],[transportation loss ]]/grand[[#This Row],[received]]</f>
        <v>30.375</v>
      </c>
      <c r="S295" s="7">
        <f>grand[[#This Row],[ carcass weight]]/grand[[#This Row],[received]]</f>
        <v>307.59499999999997</v>
      </c>
      <c r="T295" s="7">
        <f>grand[[#This Row],[ kidneys fat quantity]]/grand[[#This Row],[received]]</f>
        <v>0</v>
      </c>
      <c r="U295" s="4">
        <v>22</v>
      </c>
      <c r="V295" s="4">
        <v>0</v>
      </c>
      <c r="W295" s="4">
        <v>48.7</v>
      </c>
      <c r="X295" s="4">
        <v>10</v>
      </c>
      <c r="Y295" s="8">
        <v>8.5</v>
      </c>
      <c r="Z295" s="3">
        <f>grand[[#This Row],[av. Transportation loss]]/grand[[#This Row],[av.total weight]]</f>
        <v>6.0538116591928252E-2</v>
      </c>
      <c r="AA295" s="12">
        <f>AVERAGE((grand[[#This Row],[am]]/25),(grand[[#This Row],[pm]]/50))</f>
        <v>0.92700000000000005</v>
      </c>
      <c r="AB295" s="3">
        <f>grand[[#This Row],[ carcass weight]]/grand[[#This Row],[total weight]]</f>
        <v>0.61304434479322367</v>
      </c>
      <c r="AC295" s="6">
        <f>SUM(grand[[#This Row],[am]:[meat transportation]])/100</f>
        <v>0.89200000000000002</v>
      </c>
      <c r="AD295" s="9" t="s">
        <v>71</v>
      </c>
      <c r="AE295" s="4">
        <v>9</v>
      </c>
      <c r="AF295" s="4" t="s">
        <v>162</v>
      </c>
      <c r="AG295" s="4"/>
      <c r="AH295" s="4"/>
      <c r="AI295" s="4"/>
      <c r="AJ295" s="2"/>
      <c r="AK295" s="4"/>
      <c r="AL295" s="2">
        <v>14</v>
      </c>
    </row>
    <row r="296" spans="1:38" hidden="1" x14ac:dyDescent="0.2">
      <c r="A296" s="11">
        <v>44035</v>
      </c>
      <c r="B296" s="53" t="s">
        <v>1501</v>
      </c>
      <c r="C296" s="52" t="str">
        <f>IF(MID(B296,4,2)="09","Ramadan",IF(AND(MID(B296,4,2)="12",VALUE(LEFT(B296,2))&lt;=9),"Adha Season","Normal"))</f>
        <v>Adha Season</v>
      </c>
      <c r="D296" s="2" t="s">
        <v>294</v>
      </c>
      <c r="E296" s="2"/>
      <c r="F296" s="4" t="s">
        <v>105</v>
      </c>
      <c r="G296" s="4">
        <v>30</v>
      </c>
      <c r="H296" s="4">
        <v>30</v>
      </c>
      <c r="I296" s="2">
        <f>grand[[#This Row],[number]]-grand[[#This Row],[received]]</f>
        <v>0</v>
      </c>
      <c r="J296" s="30"/>
      <c r="K296" s="4"/>
      <c r="L296" s="4"/>
      <c r="M296" s="2">
        <f>K296-L296</f>
        <v>0</v>
      </c>
      <c r="N296" s="4"/>
      <c r="O296" s="4"/>
      <c r="P296" s="7">
        <f>grand[[#This Row],[total weight]]/grand[[#This Row],[received]]</f>
        <v>0</v>
      </c>
      <c r="Q296" s="7">
        <f>grand[[#This Row],[receiving weight]]/grand[[#This Row],[received]]</f>
        <v>0</v>
      </c>
      <c r="R296" s="7">
        <f>grand[[#This Row],[transportation loss ]]/grand[[#This Row],[received]]</f>
        <v>0</v>
      </c>
      <c r="S296" s="7">
        <f>grand[[#This Row],[ carcass weight]]/grand[[#This Row],[received]]</f>
        <v>0</v>
      </c>
      <c r="T296" s="7">
        <f>grand[[#This Row],[ kidneys fat quantity]]/grand[[#This Row],[received]]</f>
        <v>0</v>
      </c>
      <c r="U296" s="4">
        <v>25</v>
      </c>
      <c r="V296" s="4">
        <v>0</v>
      </c>
      <c r="W296" s="4">
        <v>49.4</v>
      </c>
      <c r="X296" s="4">
        <v>10</v>
      </c>
      <c r="Y296" s="8">
        <v>8.5</v>
      </c>
      <c r="Z296" s="3"/>
      <c r="AA296" s="12">
        <f>AVERAGE((grand[[#This Row],[am]]/25),(grand[[#This Row],[pm]]/50))</f>
        <v>0.99399999999999999</v>
      </c>
      <c r="AB296" s="3"/>
      <c r="AC296" s="6">
        <f>SUM(grand[[#This Row],[am]:[meat transportation]])/100</f>
        <v>0.92900000000000005</v>
      </c>
      <c r="AD296" s="9" t="s">
        <v>113</v>
      </c>
      <c r="AE296" s="4"/>
      <c r="AF296" s="4" t="s">
        <v>143</v>
      </c>
      <c r="AG296" s="4"/>
      <c r="AH296" s="4"/>
      <c r="AI296" s="4"/>
      <c r="AJ296" s="2"/>
      <c r="AK296" s="4"/>
      <c r="AL296" s="2">
        <v>1</v>
      </c>
    </row>
    <row r="297" spans="1:38" hidden="1" x14ac:dyDescent="0.2">
      <c r="A297" s="11">
        <v>44037</v>
      </c>
      <c r="B297" s="53" t="s">
        <v>2532</v>
      </c>
      <c r="C297" s="52" t="str">
        <f>IF(MID(B297,4,2)="09","Ramadan",IF(AND(MID(B297,4,2)="12",VALUE(LEFT(B297,2))&lt;=9),"Adha Season","Normal"))</f>
        <v>Adha Season</v>
      </c>
      <c r="D297" s="1" t="s">
        <v>45</v>
      </c>
      <c r="F297" s="4" t="s">
        <v>165</v>
      </c>
      <c r="G297" s="4">
        <v>45</v>
      </c>
      <c r="H297" s="4">
        <v>45</v>
      </c>
      <c r="I297" s="2">
        <f>grand[[#This Row],[number]]-grand[[#This Row],[received]]</f>
        <v>0</v>
      </c>
      <c r="J297" s="30"/>
      <c r="K297" s="4">
        <v>21406</v>
      </c>
      <c r="L297" s="4">
        <v>21406</v>
      </c>
      <c r="M297" s="2">
        <f>K297-L297</f>
        <v>0</v>
      </c>
      <c r="N297" s="4">
        <v>13026.5</v>
      </c>
      <c r="O297" s="4"/>
      <c r="P297" s="7">
        <f>grand[[#This Row],[total weight]]/grand[[#This Row],[received]]</f>
        <v>475.68888888888887</v>
      </c>
      <c r="Q297" s="7">
        <f>grand[[#This Row],[receiving weight]]/grand[[#This Row],[received]]</f>
        <v>475.68888888888887</v>
      </c>
      <c r="R297" s="7">
        <f>grand[[#This Row],[transportation loss ]]/grand[[#This Row],[received]]</f>
        <v>0</v>
      </c>
      <c r="S297" s="7">
        <f>grand[[#This Row],[ carcass weight]]/grand[[#This Row],[received]]</f>
        <v>289.47777777777776</v>
      </c>
      <c r="T297" s="7">
        <f>grand[[#This Row],[ kidneys fat quantity]]/grand[[#This Row],[received]]</f>
        <v>0</v>
      </c>
      <c r="U297" s="4">
        <v>24</v>
      </c>
      <c r="V297" s="4">
        <v>0</v>
      </c>
      <c r="W297" s="4">
        <v>49.8</v>
      </c>
      <c r="X297" s="4">
        <v>10</v>
      </c>
      <c r="Y297" s="8">
        <v>8.5</v>
      </c>
      <c r="Z297" s="3">
        <f>grand[[#This Row],[av. Transportation loss]]/grand[[#This Row],[av.total weight]]</f>
        <v>0</v>
      </c>
      <c r="AA297" s="12">
        <f>AVERAGE((grand[[#This Row],[am]]/25),(grand[[#This Row],[pm]]/50))</f>
        <v>0.97799999999999998</v>
      </c>
      <c r="AB297" s="3">
        <f>grand[[#This Row],[ carcass weight]]/grand[[#This Row],[total weight]]</f>
        <v>0.60854433336447722</v>
      </c>
      <c r="AC297" s="6">
        <f>SUM(grand[[#This Row],[am]:[meat transportation]])/100</f>
        <v>0.92299999999999993</v>
      </c>
      <c r="AD297" s="9" t="s">
        <v>113</v>
      </c>
      <c r="AE297" s="4">
        <v>8</v>
      </c>
      <c r="AF297" s="4"/>
      <c r="AG297" s="4"/>
      <c r="AH297" s="4"/>
      <c r="AI297" s="4"/>
      <c r="AJ297" s="2"/>
      <c r="AK297" s="4"/>
      <c r="AL297" s="2">
        <v>2</v>
      </c>
    </row>
    <row r="298" spans="1:38" hidden="1" x14ac:dyDescent="0.2">
      <c r="A298" s="11">
        <v>44037</v>
      </c>
      <c r="B298" s="53" t="s">
        <v>2532</v>
      </c>
      <c r="C298" s="52" t="str">
        <f>IF(MID(B298,4,2)="09","Ramadan",IF(AND(MID(B298,4,2)="12",VALUE(LEFT(B298,2))&lt;=9),"Adha Season","Normal"))</f>
        <v>Adha Season</v>
      </c>
      <c r="D298" s="2" t="s">
        <v>294</v>
      </c>
      <c r="E298" s="2"/>
      <c r="F298" s="4" t="s">
        <v>105</v>
      </c>
      <c r="G298" s="4">
        <v>60</v>
      </c>
      <c r="H298" s="4">
        <v>60</v>
      </c>
      <c r="I298" s="2">
        <f>grand[[#This Row],[number]]-grand[[#This Row],[received]]</f>
        <v>0</v>
      </c>
      <c r="J298" s="30"/>
      <c r="K298" s="4"/>
      <c r="L298" s="4"/>
      <c r="M298" s="2">
        <f>K298-L298</f>
        <v>0</v>
      </c>
      <c r="N298" s="4"/>
      <c r="O298" s="4"/>
      <c r="P298" s="7">
        <f>grand[[#This Row],[total weight]]/grand[[#This Row],[received]]</f>
        <v>0</v>
      </c>
      <c r="Q298" s="7">
        <f>grand[[#This Row],[receiving weight]]/grand[[#This Row],[received]]</f>
        <v>0</v>
      </c>
      <c r="R298" s="7">
        <f>grand[[#This Row],[transportation loss ]]/grand[[#This Row],[received]]</f>
        <v>0</v>
      </c>
      <c r="S298" s="7">
        <f>grand[[#This Row],[ carcass weight]]/grand[[#This Row],[received]]</f>
        <v>0</v>
      </c>
      <c r="T298" s="7">
        <f>grand[[#This Row],[ kidneys fat quantity]]/grand[[#This Row],[received]]</f>
        <v>0</v>
      </c>
      <c r="U298" s="4">
        <v>24</v>
      </c>
      <c r="V298" s="4">
        <v>0</v>
      </c>
      <c r="W298" s="4">
        <v>49.4</v>
      </c>
      <c r="X298" s="4">
        <v>10</v>
      </c>
      <c r="Y298" s="8">
        <v>8.5</v>
      </c>
      <c r="Z298" s="3"/>
      <c r="AA298" s="12">
        <f>AVERAGE((grand[[#This Row],[am]]/25),(grand[[#This Row],[pm]]/50))</f>
        <v>0.97399999999999998</v>
      </c>
      <c r="AB298" s="3"/>
      <c r="AC298" s="6">
        <f>SUM(grand[[#This Row],[am]:[meat transportation]])/100</f>
        <v>0.91900000000000004</v>
      </c>
      <c r="AD298" s="9" t="s">
        <v>170</v>
      </c>
      <c r="AE298" s="4"/>
      <c r="AF298" s="4" t="s">
        <v>143</v>
      </c>
      <c r="AG298" s="4"/>
      <c r="AH298" s="4"/>
      <c r="AI298" s="4"/>
      <c r="AJ298" s="2"/>
      <c r="AK298" s="4"/>
      <c r="AL298" s="2">
        <v>3.5</v>
      </c>
    </row>
    <row r="299" spans="1:38" hidden="1" x14ac:dyDescent="0.2">
      <c r="A299" s="11">
        <v>44038</v>
      </c>
      <c r="B299" s="53" t="s">
        <v>1502</v>
      </c>
      <c r="C299" s="52" t="str">
        <f>IF(MID(B299,4,2)="09","Ramadan",IF(AND(MID(B299,4,2)="12",VALUE(LEFT(B299,2))&lt;=9),"Adha Season","Normal"))</f>
        <v>Adha Season</v>
      </c>
      <c r="D299" s="1" t="s">
        <v>45</v>
      </c>
      <c r="F299" s="4" t="s">
        <v>46</v>
      </c>
      <c r="G299" s="4">
        <v>38</v>
      </c>
      <c r="H299" s="4">
        <v>38</v>
      </c>
      <c r="I299" s="2">
        <f>grand[[#This Row],[number]]-grand[[#This Row],[received]]</f>
        <v>0</v>
      </c>
      <c r="J299" s="30"/>
      <c r="K299" s="4">
        <v>17350</v>
      </c>
      <c r="L299" s="4">
        <v>17350</v>
      </c>
      <c r="M299" s="2">
        <f>K299-L299</f>
        <v>0</v>
      </c>
      <c r="N299" s="4">
        <v>10833.2</v>
      </c>
      <c r="O299" s="4"/>
      <c r="P299" s="7">
        <f>grand[[#This Row],[total weight]]/grand[[#This Row],[received]]</f>
        <v>456.57894736842104</v>
      </c>
      <c r="Q299" s="7">
        <f>grand[[#This Row],[receiving weight]]/grand[[#This Row],[received]]</f>
        <v>456.57894736842104</v>
      </c>
      <c r="R299" s="7">
        <f>grand[[#This Row],[transportation loss ]]/grand[[#This Row],[received]]</f>
        <v>0</v>
      </c>
      <c r="S299" s="7">
        <f>grand[[#This Row],[ carcass weight]]/grand[[#This Row],[received]]</f>
        <v>285.08421052631581</v>
      </c>
      <c r="T299" s="7">
        <f>grand[[#This Row],[ kidneys fat quantity]]/grand[[#This Row],[received]]</f>
        <v>0</v>
      </c>
      <c r="U299" s="4">
        <v>25</v>
      </c>
      <c r="V299" s="4">
        <v>0</v>
      </c>
      <c r="W299" s="4">
        <v>49.2</v>
      </c>
      <c r="X299" s="4">
        <v>10</v>
      </c>
      <c r="Y299" s="8">
        <v>8.5</v>
      </c>
      <c r="Z299" s="3">
        <f>grand[[#This Row],[av. Transportation loss]]/grand[[#This Row],[av.total weight]]</f>
        <v>0</v>
      </c>
      <c r="AA299" s="12">
        <f>AVERAGE((grand[[#This Row],[am]]/25),(grand[[#This Row],[pm]]/50))</f>
        <v>0.99199999999999999</v>
      </c>
      <c r="AB299" s="3">
        <f>grand[[#This Row],[ carcass weight]]/grand[[#This Row],[total weight]]</f>
        <v>0.62439193083573497</v>
      </c>
      <c r="AC299" s="6">
        <f>SUM(grand[[#This Row],[am]:[meat transportation]])/100</f>
        <v>0.92700000000000005</v>
      </c>
      <c r="AD299" s="9" t="s">
        <v>171</v>
      </c>
      <c r="AE299" s="4">
        <v>6</v>
      </c>
      <c r="AF299" s="4"/>
      <c r="AG299" s="4"/>
      <c r="AH299" s="4"/>
      <c r="AI299" s="4"/>
      <c r="AJ299" s="2"/>
      <c r="AK299" s="4"/>
      <c r="AL299" s="2">
        <v>14</v>
      </c>
    </row>
    <row r="300" spans="1:38" hidden="1" x14ac:dyDescent="0.2">
      <c r="A300" s="11">
        <v>44038</v>
      </c>
      <c r="B300" s="53" t="s">
        <v>1502</v>
      </c>
      <c r="C300" s="52" t="str">
        <f>IF(MID(B300,4,2)="09","Ramadan",IF(AND(MID(B300,4,2)="12",VALUE(LEFT(B300,2))&lt;=9),"Adha Season","Normal"))</f>
        <v>Adha Season</v>
      </c>
      <c r="D300" s="2" t="s">
        <v>294</v>
      </c>
      <c r="E300" s="2"/>
      <c r="F300" s="4" t="s">
        <v>105</v>
      </c>
      <c r="G300" s="4">
        <v>60</v>
      </c>
      <c r="H300" s="4">
        <v>60</v>
      </c>
      <c r="I300" s="2">
        <f>grand[[#This Row],[number]]-grand[[#This Row],[received]]</f>
        <v>0</v>
      </c>
      <c r="J300" s="30"/>
      <c r="K300" s="4"/>
      <c r="L300" s="4"/>
      <c r="M300" s="2">
        <f>K300-L300</f>
        <v>0</v>
      </c>
      <c r="N300" s="4"/>
      <c r="O300" s="4"/>
      <c r="P300" s="7">
        <f>grand[[#This Row],[total weight]]/grand[[#This Row],[received]]</f>
        <v>0</v>
      </c>
      <c r="Q300" s="7">
        <f>grand[[#This Row],[receiving weight]]/grand[[#This Row],[received]]</f>
        <v>0</v>
      </c>
      <c r="R300" s="7">
        <f>grand[[#This Row],[transportation loss ]]/grand[[#This Row],[received]]</f>
        <v>0</v>
      </c>
      <c r="S300" s="7">
        <f>grand[[#This Row],[ carcass weight]]/grand[[#This Row],[received]]</f>
        <v>0</v>
      </c>
      <c r="T300" s="7">
        <f>grand[[#This Row],[ kidneys fat quantity]]/grand[[#This Row],[received]]</f>
        <v>0</v>
      </c>
      <c r="U300" s="4">
        <v>25</v>
      </c>
      <c r="V300" s="4">
        <v>0</v>
      </c>
      <c r="W300" s="4">
        <v>49.3</v>
      </c>
      <c r="X300" s="4">
        <v>10</v>
      </c>
      <c r="Y300" s="8">
        <v>8.5</v>
      </c>
      <c r="Z300" s="3"/>
      <c r="AA300" s="12">
        <f>AVERAGE((grand[[#This Row],[am]]/25),(grand[[#This Row],[pm]]/50))</f>
        <v>0.99299999999999999</v>
      </c>
      <c r="AB300" s="3"/>
      <c r="AC300" s="6">
        <f>SUM(grand[[#This Row],[am]:[meat transportation]])/100</f>
        <v>0.92799999999999994</v>
      </c>
      <c r="AD300" s="9" t="s">
        <v>172</v>
      </c>
      <c r="AE300" s="4"/>
      <c r="AF300" s="4" t="s">
        <v>169</v>
      </c>
      <c r="AG300" s="4"/>
      <c r="AH300" s="4"/>
      <c r="AI300" s="4"/>
      <c r="AJ300" s="2"/>
      <c r="AK300" s="4"/>
      <c r="AL300" s="2">
        <v>3.5</v>
      </c>
    </row>
    <row r="301" spans="1:38" hidden="1" x14ac:dyDescent="0.2">
      <c r="A301" s="11">
        <v>44039</v>
      </c>
      <c r="B301" s="53" t="s">
        <v>1503</v>
      </c>
      <c r="C301" s="52" t="str">
        <f>IF(MID(B301,4,2)="09","Ramadan",IF(AND(MID(B301,4,2)="12",VALUE(LEFT(B301,2))&lt;=9),"Adha Season","Normal"))</f>
        <v>Adha Season</v>
      </c>
      <c r="D301" s="1" t="s">
        <v>45</v>
      </c>
      <c r="F301" s="4" t="s">
        <v>165</v>
      </c>
      <c r="G301" s="4">
        <v>38</v>
      </c>
      <c r="H301" s="4">
        <v>38</v>
      </c>
      <c r="I301" s="2">
        <f>grand[[#This Row],[number]]-grand[[#This Row],[received]]</f>
        <v>0</v>
      </c>
      <c r="J301" s="30"/>
      <c r="K301" s="4">
        <v>17179</v>
      </c>
      <c r="L301" s="4">
        <v>17179</v>
      </c>
      <c r="M301" s="2">
        <f>K301-L301</f>
        <v>0</v>
      </c>
      <c r="N301" s="4">
        <v>10477.200000000001</v>
      </c>
      <c r="O301" s="4"/>
      <c r="P301" s="7">
        <f>grand[[#This Row],[total weight]]/grand[[#This Row],[received]]</f>
        <v>452.07894736842104</v>
      </c>
      <c r="Q301" s="7">
        <f>grand[[#This Row],[receiving weight]]/grand[[#This Row],[received]]</f>
        <v>452.07894736842104</v>
      </c>
      <c r="R301" s="7">
        <f>grand[[#This Row],[transportation loss ]]/grand[[#This Row],[received]]</f>
        <v>0</v>
      </c>
      <c r="S301" s="7">
        <f>grand[[#This Row],[ carcass weight]]/grand[[#This Row],[received]]</f>
        <v>275.71578947368425</v>
      </c>
      <c r="T301" s="7">
        <f>grand[[#This Row],[ kidneys fat quantity]]/grand[[#This Row],[received]]</f>
        <v>0</v>
      </c>
      <c r="U301" s="4">
        <v>25</v>
      </c>
      <c r="V301" s="4">
        <v>0</v>
      </c>
      <c r="W301" s="4">
        <v>49.6</v>
      </c>
      <c r="X301" s="4">
        <v>10</v>
      </c>
      <c r="Y301" s="8">
        <v>8.5</v>
      </c>
      <c r="Z301" s="3">
        <f>grand[[#This Row],[av. Transportation loss]]/grand[[#This Row],[av.total weight]]</f>
        <v>0</v>
      </c>
      <c r="AA301" s="12">
        <f>AVERAGE((grand[[#This Row],[am]]/25),(grand[[#This Row],[pm]]/50))</f>
        <v>0.996</v>
      </c>
      <c r="AB301" s="3">
        <f>grand[[#This Row],[ carcass weight]]/grand[[#This Row],[total weight]]</f>
        <v>0.6098841608941149</v>
      </c>
      <c r="AC301" s="6">
        <f>SUM(grand[[#This Row],[am]:[meat transportation]])/100</f>
        <v>0.93099999999999994</v>
      </c>
      <c r="AD301" s="9"/>
      <c r="AE301" s="4">
        <v>4</v>
      </c>
      <c r="AF301" s="4" t="s">
        <v>173</v>
      </c>
      <c r="AG301" s="4"/>
      <c r="AH301" s="4"/>
      <c r="AI301" s="4"/>
      <c r="AJ301" s="2"/>
      <c r="AK301" s="4"/>
    </row>
    <row r="302" spans="1:38" hidden="1" x14ac:dyDescent="0.2">
      <c r="A302" s="11">
        <v>44039</v>
      </c>
      <c r="B302" s="53" t="s">
        <v>1503</v>
      </c>
      <c r="C302" s="52" t="str">
        <f>IF(MID(B302,4,2)="09","Ramadan",IF(AND(MID(B302,4,2)="12",VALUE(LEFT(B302,2))&lt;=9),"Adha Season","Normal"))</f>
        <v>Adha Season</v>
      </c>
      <c r="D302" s="2" t="s">
        <v>294</v>
      </c>
      <c r="E302" s="2"/>
      <c r="F302" s="4" t="s">
        <v>105</v>
      </c>
      <c r="G302" s="4">
        <v>72</v>
      </c>
      <c r="H302" s="4">
        <v>72</v>
      </c>
      <c r="I302" s="2">
        <f>grand[[#This Row],[number]]-grand[[#This Row],[received]]</f>
        <v>0</v>
      </c>
      <c r="J302" s="30"/>
      <c r="K302" s="4"/>
      <c r="L302" s="4"/>
      <c r="M302" s="2">
        <f>K302-L302</f>
        <v>0</v>
      </c>
      <c r="N302" s="4"/>
      <c r="O302" s="4"/>
      <c r="P302" s="7">
        <f>grand[[#This Row],[total weight]]/grand[[#This Row],[received]]</f>
        <v>0</v>
      </c>
      <c r="Q302" s="7">
        <f>grand[[#This Row],[receiving weight]]/grand[[#This Row],[received]]</f>
        <v>0</v>
      </c>
      <c r="R302" s="7">
        <f>grand[[#This Row],[transportation loss ]]/grand[[#This Row],[received]]</f>
        <v>0</v>
      </c>
      <c r="S302" s="7">
        <f>grand[[#This Row],[ carcass weight]]/grand[[#This Row],[received]]</f>
        <v>0</v>
      </c>
      <c r="T302" s="7">
        <f>grand[[#This Row],[ kidneys fat quantity]]/grand[[#This Row],[received]]</f>
        <v>0</v>
      </c>
      <c r="U302" s="4">
        <v>25</v>
      </c>
      <c r="V302" s="4">
        <v>0</v>
      </c>
      <c r="W302" s="4">
        <v>49.4</v>
      </c>
      <c r="X302" s="4">
        <v>10</v>
      </c>
      <c r="Y302" s="8">
        <v>8.5</v>
      </c>
      <c r="Z302" s="3"/>
      <c r="AA302" s="12">
        <f>AVERAGE((grand[[#This Row],[am]]/25),(grand[[#This Row],[pm]]/50))</f>
        <v>0.99399999999999999</v>
      </c>
      <c r="AB302" s="3"/>
      <c r="AC302" s="6">
        <f>SUM(grand[[#This Row],[am]:[meat transportation]])/100</f>
        <v>0.92900000000000005</v>
      </c>
      <c r="AD302" s="9" t="s">
        <v>174</v>
      </c>
      <c r="AE302" s="4"/>
      <c r="AF302" s="4" t="s">
        <v>175</v>
      </c>
      <c r="AG302" s="4"/>
      <c r="AH302" s="4"/>
      <c r="AI302" s="4"/>
      <c r="AJ302" s="2"/>
      <c r="AK302" s="4"/>
      <c r="AL302" s="2">
        <v>5</v>
      </c>
    </row>
    <row r="303" spans="1:38" hidden="1" x14ac:dyDescent="0.2">
      <c r="A303" s="11">
        <v>44040</v>
      </c>
      <c r="B303" s="53" t="s">
        <v>1504</v>
      </c>
      <c r="C303" s="52" t="str">
        <f>IF(MID(B303,4,2)="09","Ramadan",IF(AND(MID(B303,4,2)="12",VALUE(LEFT(B303,2))&lt;=9),"Adha Season","Normal"))</f>
        <v>Adha Season</v>
      </c>
      <c r="D303" s="1" t="s">
        <v>45</v>
      </c>
      <c r="F303" s="4" t="s">
        <v>50</v>
      </c>
      <c r="G303" s="4">
        <v>42</v>
      </c>
      <c r="H303" s="4">
        <v>42</v>
      </c>
      <c r="I303" s="2">
        <f>grand[[#This Row],[number]]-grand[[#This Row],[received]]</f>
        <v>0</v>
      </c>
      <c r="J303" s="30"/>
      <c r="K303" s="4">
        <v>18337</v>
      </c>
      <c r="L303" s="4">
        <v>18337</v>
      </c>
      <c r="M303" s="2">
        <f>K303-L303</f>
        <v>0</v>
      </c>
      <c r="N303" s="4">
        <v>11379.6</v>
      </c>
      <c r="O303" s="4"/>
      <c r="P303" s="7">
        <f>grand[[#This Row],[total weight]]/grand[[#This Row],[received]]</f>
        <v>436.59523809523807</v>
      </c>
      <c r="Q303" s="7">
        <f>grand[[#This Row],[receiving weight]]/grand[[#This Row],[received]]</f>
        <v>436.59523809523807</v>
      </c>
      <c r="R303" s="7">
        <f>grand[[#This Row],[transportation loss ]]/grand[[#This Row],[received]]</f>
        <v>0</v>
      </c>
      <c r="S303" s="7">
        <f>grand[[#This Row],[ carcass weight]]/grand[[#This Row],[received]]</f>
        <v>270.94285714285718</v>
      </c>
      <c r="T303" s="7">
        <f>grand[[#This Row],[ kidneys fat quantity]]/grand[[#This Row],[received]]</f>
        <v>0</v>
      </c>
      <c r="U303" s="4">
        <v>25</v>
      </c>
      <c r="V303" s="4">
        <v>0</v>
      </c>
      <c r="W303" s="4">
        <v>49.3</v>
      </c>
      <c r="X303" s="4">
        <v>9</v>
      </c>
      <c r="Y303" s="8">
        <v>8.5</v>
      </c>
      <c r="Z303" s="3">
        <f>grand[[#This Row],[av. Transportation loss]]/grand[[#This Row],[av.total weight]]</f>
        <v>0</v>
      </c>
      <c r="AA303" s="12">
        <f>AVERAGE((grand[[#This Row],[am]]/25),(grand[[#This Row],[pm]]/50))</f>
        <v>0.99299999999999999</v>
      </c>
      <c r="AB303" s="3">
        <f>grand[[#This Row],[ carcass weight]]/grand[[#This Row],[total weight]]</f>
        <v>0.62058133827779904</v>
      </c>
      <c r="AC303" s="6">
        <f>SUM(grand[[#This Row],[am]:[meat transportation]])/100</f>
        <v>0.91799999999999993</v>
      </c>
      <c r="AD303" s="9" t="s">
        <v>81</v>
      </c>
      <c r="AE303" s="4">
        <v>5</v>
      </c>
      <c r="AF303" s="4" t="s">
        <v>69</v>
      </c>
      <c r="AG303" s="4"/>
      <c r="AH303" s="4"/>
      <c r="AI303" s="4"/>
      <c r="AJ303" s="2"/>
      <c r="AK303" s="4"/>
      <c r="AL303" s="2">
        <v>12</v>
      </c>
    </row>
    <row r="304" spans="1:38" hidden="1" x14ac:dyDescent="0.2">
      <c r="A304" s="11">
        <v>44040</v>
      </c>
      <c r="B304" s="53" t="s">
        <v>1504</v>
      </c>
      <c r="C304" s="52" t="str">
        <f>IF(MID(B304,4,2)="09","Ramadan",IF(AND(MID(B304,4,2)="12",VALUE(LEFT(B304,2))&lt;=9),"Adha Season","Normal"))</f>
        <v>Adha Season</v>
      </c>
      <c r="D304" s="2" t="s">
        <v>294</v>
      </c>
      <c r="E304" s="2"/>
      <c r="F304" s="4" t="s">
        <v>105</v>
      </c>
      <c r="G304" s="4">
        <v>57</v>
      </c>
      <c r="H304" s="4">
        <v>57</v>
      </c>
      <c r="I304" s="2">
        <f>grand[[#This Row],[number]]-grand[[#This Row],[received]]</f>
        <v>0</v>
      </c>
      <c r="J304" s="30"/>
      <c r="K304" s="4"/>
      <c r="L304" s="4"/>
      <c r="M304" s="2">
        <f>K304-L304</f>
        <v>0</v>
      </c>
      <c r="N304" s="4"/>
      <c r="O304" s="4"/>
      <c r="P304" s="7">
        <f>grand[[#This Row],[total weight]]/grand[[#This Row],[received]]</f>
        <v>0</v>
      </c>
      <c r="Q304" s="7">
        <f>grand[[#This Row],[receiving weight]]/grand[[#This Row],[received]]</f>
        <v>0</v>
      </c>
      <c r="R304" s="7">
        <f>grand[[#This Row],[transportation loss ]]/grand[[#This Row],[received]]</f>
        <v>0</v>
      </c>
      <c r="S304" s="7">
        <f>grand[[#This Row],[ carcass weight]]/grand[[#This Row],[received]]</f>
        <v>0</v>
      </c>
      <c r="T304" s="7">
        <f>grand[[#This Row],[ kidneys fat quantity]]/grand[[#This Row],[received]]</f>
        <v>0</v>
      </c>
      <c r="U304" s="4">
        <v>25</v>
      </c>
      <c r="V304" s="4">
        <v>0</v>
      </c>
      <c r="W304" s="4">
        <v>49.3</v>
      </c>
      <c r="X304" s="4">
        <v>10</v>
      </c>
      <c r="Y304" s="8">
        <v>8.5</v>
      </c>
      <c r="Z304" s="3"/>
      <c r="AA304" s="12">
        <f>AVERAGE((grand[[#This Row],[am]]/25),(grand[[#This Row],[pm]]/50))</f>
        <v>0.99299999999999999</v>
      </c>
      <c r="AB304" s="3"/>
      <c r="AC304" s="6">
        <f>SUM(grand[[#This Row],[am]:[meat transportation]])/100</f>
        <v>0.92799999999999994</v>
      </c>
      <c r="AD304" s="9" t="s">
        <v>172</v>
      </c>
      <c r="AE304" s="4"/>
      <c r="AF304" s="4" t="s">
        <v>118</v>
      </c>
      <c r="AG304" s="4"/>
      <c r="AH304" s="4"/>
      <c r="AI304" s="4"/>
      <c r="AJ304" s="2"/>
      <c r="AK304" s="4"/>
      <c r="AL304" s="2">
        <v>4</v>
      </c>
    </row>
    <row r="305" spans="1:38" hidden="1" x14ac:dyDescent="0.2">
      <c r="A305" s="11">
        <v>44041</v>
      </c>
      <c r="B305" s="53" t="s">
        <v>1505</v>
      </c>
      <c r="C305" s="52" t="str">
        <f>IF(MID(B305,4,2)="09","Ramadan",IF(AND(MID(B305,4,2)="12",VALUE(LEFT(B305,2))&lt;=9),"Adha Season","Normal"))</f>
        <v>Adha Season</v>
      </c>
      <c r="D305" s="1" t="s">
        <v>45</v>
      </c>
      <c r="F305" s="4" t="s">
        <v>46</v>
      </c>
      <c r="G305" s="4">
        <v>43</v>
      </c>
      <c r="H305" s="4">
        <v>43</v>
      </c>
      <c r="I305" s="2">
        <f>grand[[#This Row],[number]]-grand[[#This Row],[received]]</f>
        <v>0</v>
      </c>
      <c r="J305" s="30"/>
      <c r="K305" s="4">
        <v>19233</v>
      </c>
      <c r="L305" s="4">
        <v>19233</v>
      </c>
      <c r="M305" s="2">
        <f>K305-L305</f>
        <v>0</v>
      </c>
      <c r="N305" s="4">
        <v>11539.4</v>
      </c>
      <c r="O305" s="4"/>
      <c r="P305" s="7">
        <f>grand[[#This Row],[total weight]]/grand[[#This Row],[received]]</f>
        <v>447.27906976744185</v>
      </c>
      <c r="Q305" s="7">
        <f>grand[[#This Row],[receiving weight]]/grand[[#This Row],[received]]</f>
        <v>447.27906976744185</v>
      </c>
      <c r="R305" s="7">
        <f>grand[[#This Row],[transportation loss ]]/grand[[#This Row],[received]]</f>
        <v>0</v>
      </c>
      <c r="S305" s="7">
        <f>grand[[#This Row],[ carcass weight]]/grand[[#This Row],[received]]</f>
        <v>268.35813953488372</v>
      </c>
      <c r="T305" s="7">
        <f>grand[[#This Row],[ kidneys fat quantity]]/grand[[#This Row],[received]]</f>
        <v>0</v>
      </c>
      <c r="U305" s="4">
        <v>24</v>
      </c>
      <c r="V305" s="4">
        <v>0</v>
      </c>
      <c r="W305" s="4">
        <v>49</v>
      </c>
      <c r="X305" s="4">
        <v>10</v>
      </c>
      <c r="Y305" s="8">
        <v>8.5</v>
      </c>
      <c r="Z305" s="3">
        <f>grand[[#This Row],[av. Transportation loss]]/grand[[#This Row],[av.total weight]]</f>
        <v>0</v>
      </c>
      <c r="AA305" s="12">
        <f>AVERAGE((grand[[#This Row],[am]]/25),(grand[[#This Row],[pm]]/50))</f>
        <v>0.97</v>
      </c>
      <c r="AB305" s="3">
        <f>grand[[#This Row],[ carcass weight]]/grand[[#This Row],[total weight]]</f>
        <v>0.59997920241252012</v>
      </c>
      <c r="AC305" s="6">
        <f>SUM(grand[[#This Row],[am]:[meat transportation]])/100</f>
        <v>0.91500000000000004</v>
      </c>
      <c r="AD305" s="9" t="s">
        <v>176</v>
      </c>
      <c r="AE305" s="4">
        <v>8</v>
      </c>
      <c r="AF305" s="4" t="s">
        <v>69</v>
      </c>
      <c r="AG305" s="4"/>
      <c r="AH305" s="4"/>
      <c r="AI305" s="4"/>
      <c r="AJ305" s="2"/>
      <c r="AK305" s="4"/>
      <c r="AL305" s="2">
        <v>17</v>
      </c>
    </row>
    <row r="306" spans="1:38" hidden="1" x14ac:dyDescent="0.2">
      <c r="A306" s="11">
        <v>44041</v>
      </c>
      <c r="B306" s="53" t="s">
        <v>1505</v>
      </c>
      <c r="C306" s="52" t="str">
        <f>IF(MID(B306,4,2)="09","Ramadan",IF(AND(MID(B306,4,2)="12",VALUE(LEFT(B306,2))&lt;=9),"Adha Season","Normal"))</f>
        <v>Adha Season</v>
      </c>
      <c r="D306" s="2" t="s">
        <v>294</v>
      </c>
      <c r="E306" s="2"/>
      <c r="F306" s="4" t="s">
        <v>105</v>
      </c>
      <c r="G306" s="4">
        <v>74</v>
      </c>
      <c r="H306" s="4">
        <v>74</v>
      </c>
      <c r="I306" s="2">
        <f>grand[[#This Row],[number]]-grand[[#This Row],[received]]</f>
        <v>0</v>
      </c>
      <c r="J306" s="30"/>
      <c r="K306" s="4"/>
      <c r="L306" s="4"/>
      <c r="M306" s="2">
        <f>K306-L306</f>
        <v>0</v>
      </c>
      <c r="N306" s="4"/>
      <c r="O306" s="4"/>
      <c r="P306" s="7">
        <f>grand[[#This Row],[total weight]]/grand[[#This Row],[received]]</f>
        <v>0</v>
      </c>
      <c r="Q306" s="7">
        <f>grand[[#This Row],[receiving weight]]/grand[[#This Row],[received]]</f>
        <v>0</v>
      </c>
      <c r="R306" s="7">
        <f>grand[[#This Row],[transportation loss ]]/grand[[#This Row],[received]]</f>
        <v>0</v>
      </c>
      <c r="S306" s="7">
        <f>grand[[#This Row],[ carcass weight]]/grand[[#This Row],[received]]</f>
        <v>0</v>
      </c>
      <c r="T306" s="7">
        <f>grand[[#This Row],[ kidneys fat quantity]]/grand[[#This Row],[received]]</f>
        <v>0</v>
      </c>
      <c r="U306" s="4">
        <v>25</v>
      </c>
      <c r="V306" s="4">
        <v>0</v>
      </c>
      <c r="W306" s="4">
        <v>49.2</v>
      </c>
      <c r="X306" s="4">
        <v>10</v>
      </c>
      <c r="Y306" s="8">
        <v>8.5</v>
      </c>
      <c r="Z306" s="3"/>
      <c r="AA306" s="12">
        <f>AVERAGE((grand[[#This Row],[am]]/25),(grand[[#This Row],[pm]]/50))</f>
        <v>0.99199999999999999</v>
      </c>
      <c r="AB306" s="3"/>
      <c r="AC306" s="6">
        <f>SUM(grand[[#This Row],[am]:[meat transportation]])/100</f>
        <v>0.92700000000000005</v>
      </c>
      <c r="AD306" s="9" t="s">
        <v>177</v>
      </c>
      <c r="AE306" s="4"/>
      <c r="AF306" s="4" t="s">
        <v>118</v>
      </c>
      <c r="AG306" s="4"/>
      <c r="AH306" s="4"/>
      <c r="AI306" s="4"/>
      <c r="AJ306" s="2"/>
      <c r="AK306" s="4"/>
      <c r="AL306" s="2">
        <v>7</v>
      </c>
    </row>
    <row r="307" spans="1:38" hidden="1" x14ac:dyDescent="0.2">
      <c r="A307" s="11">
        <v>44042</v>
      </c>
      <c r="B307" s="53" t="s">
        <v>1506</v>
      </c>
      <c r="C307" s="52" t="str">
        <f>IF(MID(B307,4,2)="09","Ramadan",IF(AND(MID(B307,4,2)="12",VALUE(LEFT(B307,2))&lt;=9),"Adha Season","Normal"))</f>
        <v>Adha Season</v>
      </c>
      <c r="D307" s="1" t="s">
        <v>45</v>
      </c>
      <c r="F307" s="4" t="s">
        <v>46</v>
      </c>
      <c r="G307" s="4">
        <v>50</v>
      </c>
      <c r="H307" s="4">
        <v>50</v>
      </c>
      <c r="I307" s="2">
        <f>grand[[#This Row],[number]]-grand[[#This Row],[received]]</f>
        <v>0</v>
      </c>
      <c r="J307" s="30"/>
      <c r="K307" s="4">
        <v>23325</v>
      </c>
      <c r="L307" s="4">
        <v>23325</v>
      </c>
      <c r="M307" s="2">
        <f>K307-L307</f>
        <v>0</v>
      </c>
      <c r="N307" s="4">
        <v>13993.9</v>
      </c>
      <c r="O307" s="4"/>
      <c r="P307" s="7">
        <f>grand[[#This Row],[total weight]]/grand[[#This Row],[received]]</f>
        <v>466.5</v>
      </c>
      <c r="Q307" s="7">
        <f>grand[[#This Row],[receiving weight]]/grand[[#This Row],[received]]</f>
        <v>466.5</v>
      </c>
      <c r="R307" s="7">
        <f>grand[[#This Row],[transportation loss ]]/grand[[#This Row],[received]]</f>
        <v>0</v>
      </c>
      <c r="S307" s="7">
        <f>grand[[#This Row],[ carcass weight]]/grand[[#This Row],[received]]</f>
        <v>279.87799999999999</v>
      </c>
      <c r="T307" s="7">
        <f>grand[[#This Row],[ kidneys fat quantity]]/grand[[#This Row],[received]]</f>
        <v>0</v>
      </c>
      <c r="U307" s="4">
        <v>24</v>
      </c>
      <c r="V307" s="4">
        <v>0</v>
      </c>
      <c r="W307" s="4">
        <v>49.2</v>
      </c>
      <c r="X307" s="4">
        <v>10</v>
      </c>
      <c r="Y307" s="8">
        <v>8.5</v>
      </c>
      <c r="Z307" s="3">
        <f>grand[[#This Row],[av. Transportation loss]]/grand[[#This Row],[av.total weight]]</f>
        <v>0</v>
      </c>
      <c r="AA307" s="12">
        <f>AVERAGE((grand[[#This Row],[am]]/25),(grand[[#This Row],[pm]]/50))</f>
        <v>0.97199999999999998</v>
      </c>
      <c r="AB307" s="3">
        <f>grand[[#This Row],[ carcass weight]]/grand[[#This Row],[total weight]]</f>
        <v>0.5999528403001072</v>
      </c>
      <c r="AC307" s="6">
        <f>SUM(grand[[#This Row],[am]:[meat transportation]])/100</f>
        <v>0.91700000000000004</v>
      </c>
      <c r="AD307" s="9" t="s">
        <v>117</v>
      </c>
      <c r="AE307" s="4">
        <v>12</v>
      </c>
      <c r="AF307" s="4"/>
      <c r="AG307" s="4"/>
      <c r="AH307" s="4"/>
      <c r="AI307" s="4"/>
      <c r="AJ307" s="2"/>
      <c r="AK307" s="4"/>
    </row>
    <row r="308" spans="1:38" hidden="1" x14ac:dyDescent="0.2">
      <c r="A308" s="11">
        <v>44042</v>
      </c>
      <c r="B308" s="53" t="s">
        <v>1506</v>
      </c>
      <c r="C308" s="52" t="str">
        <f>IF(MID(B308,4,2)="09","Ramadan",IF(AND(MID(B308,4,2)="12",VALUE(LEFT(B308,2))&lt;=9),"Adha Season","Normal"))</f>
        <v>Adha Season</v>
      </c>
      <c r="D308" s="2" t="s">
        <v>294</v>
      </c>
      <c r="E308" s="2"/>
      <c r="F308" s="4" t="s">
        <v>105</v>
      </c>
      <c r="G308" s="4">
        <v>35</v>
      </c>
      <c r="H308" s="4">
        <v>35</v>
      </c>
      <c r="I308" s="2">
        <f>grand[[#This Row],[number]]-grand[[#This Row],[received]]</f>
        <v>0</v>
      </c>
      <c r="J308" s="30"/>
      <c r="K308" s="4"/>
      <c r="L308" s="4"/>
      <c r="M308" s="2">
        <f>K308-L308</f>
        <v>0</v>
      </c>
      <c r="N308" s="4"/>
      <c r="O308" s="4"/>
      <c r="P308" s="7">
        <f>grand[[#This Row],[total weight]]/grand[[#This Row],[received]]</f>
        <v>0</v>
      </c>
      <c r="Q308" s="7">
        <f>grand[[#This Row],[receiving weight]]/grand[[#This Row],[received]]</f>
        <v>0</v>
      </c>
      <c r="R308" s="7">
        <f>grand[[#This Row],[transportation loss ]]/grand[[#This Row],[received]]</f>
        <v>0</v>
      </c>
      <c r="S308" s="7">
        <f>grand[[#This Row],[ carcass weight]]/grand[[#This Row],[received]]</f>
        <v>0</v>
      </c>
      <c r="T308" s="7">
        <f>grand[[#This Row],[ kidneys fat quantity]]/grand[[#This Row],[received]]</f>
        <v>0</v>
      </c>
      <c r="U308" s="4">
        <v>25</v>
      </c>
      <c r="V308" s="4">
        <v>0</v>
      </c>
      <c r="W308" s="4">
        <v>49.4</v>
      </c>
      <c r="X308" s="4">
        <v>10</v>
      </c>
      <c r="Y308" s="8">
        <v>8.5</v>
      </c>
      <c r="Z308" s="3"/>
      <c r="AA308" s="12">
        <f>AVERAGE((grand[[#This Row],[am]]/25),(grand[[#This Row],[pm]]/50))</f>
        <v>0.99399999999999999</v>
      </c>
      <c r="AB308" s="3"/>
      <c r="AC308" s="6">
        <f>SUM(grand[[#This Row],[am]:[meat transportation]])/100</f>
        <v>0.92900000000000005</v>
      </c>
      <c r="AD308" s="9" t="s">
        <v>100</v>
      </c>
      <c r="AE308" s="4"/>
      <c r="AF308" s="4" t="s">
        <v>69</v>
      </c>
      <c r="AG308" s="4"/>
      <c r="AH308" s="4"/>
      <c r="AI308" s="4"/>
      <c r="AJ308" s="2"/>
      <c r="AK308" s="4"/>
      <c r="AL308" s="2">
        <v>2.5</v>
      </c>
    </row>
    <row r="309" spans="1:38" hidden="1" x14ac:dyDescent="0.2">
      <c r="A309" s="11">
        <v>44049</v>
      </c>
      <c r="B309" s="53" t="s">
        <v>2534</v>
      </c>
      <c r="C309" s="52" t="str">
        <f>IF(MID(B309,4,2)="09","Ramadan",IF(AND(MID(B309,4,2)="12",VALUE(LEFT(B309,2))&lt;=9),"Adha Season","Normal"))</f>
        <v>Normal</v>
      </c>
      <c r="D309" s="1" t="s">
        <v>45</v>
      </c>
      <c r="F309" s="4" t="s">
        <v>46</v>
      </c>
      <c r="G309" s="4">
        <v>48</v>
      </c>
      <c r="H309" s="4">
        <v>48</v>
      </c>
      <c r="I309" s="2">
        <f>grand[[#This Row],[number]]-grand[[#This Row],[received]]</f>
        <v>0</v>
      </c>
      <c r="J309" s="30"/>
      <c r="K309" s="4">
        <v>21379</v>
      </c>
      <c r="L309" s="4">
        <v>20115</v>
      </c>
      <c r="M309" s="2">
        <f>K309-L309</f>
        <v>1264</v>
      </c>
      <c r="N309" s="4">
        <v>12826.6</v>
      </c>
      <c r="O309" s="4"/>
      <c r="P309" s="7">
        <f>grand[[#This Row],[total weight]]/grand[[#This Row],[received]]</f>
        <v>445.39583333333331</v>
      </c>
      <c r="Q309" s="7">
        <f>grand[[#This Row],[receiving weight]]/grand[[#This Row],[received]]</f>
        <v>419.0625</v>
      </c>
      <c r="R309" s="7">
        <f>grand[[#This Row],[transportation loss ]]/grand[[#This Row],[received]]</f>
        <v>26.333333333333332</v>
      </c>
      <c r="S309" s="7">
        <f>grand[[#This Row],[ carcass weight]]/grand[[#This Row],[received]]</f>
        <v>267.22083333333336</v>
      </c>
      <c r="T309" s="7">
        <f>grand[[#This Row],[ kidneys fat quantity]]/grand[[#This Row],[received]]</f>
        <v>0</v>
      </c>
      <c r="U309" s="4">
        <v>25</v>
      </c>
      <c r="V309" s="4">
        <v>0</v>
      </c>
      <c r="W309" s="4">
        <v>49.6</v>
      </c>
      <c r="X309" s="4">
        <v>10</v>
      </c>
      <c r="Y309" s="8">
        <v>8.5</v>
      </c>
      <c r="Z309" s="3">
        <f>grand[[#This Row],[av. Transportation loss]]/grand[[#This Row],[av.total weight]]</f>
        <v>5.9123438888629025E-2</v>
      </c>
      <c r="AA309" s="12">
        <f>AVERAGE((grand[[#This Row],[am]]/25),(grand[[#This Row],[pm]]/50))</f>
        <v>0.996</v>
      </c>
      <c r="AB309" s="3">
        <f>grand[[#This Row],[ carcass weight]]/grand[[#This Row],[total weight]]</f>
        <v>0.59996258010196923</v>
      </c>
      <c r="AC309" s="6">
        <f>SUM(grand[[#This Row],[am]:[meat transportation]])/100</f>
        <v>0.93099999999999994</v>
      </c>
      <c r="AD309" s="9"/>
      <c r="AE309" s="4">
        <v>4</v>
      </c>
      <c r="AF309" s="4" t="s">
        <v>55</v>
      </c>
      <c r="AG309" s="4"/>
      <c r="AH309" s="4"/>
      <c r="AI309" s="4"/>
      <c r="AJ309" s="2"/>
      <c r="AK309" s="4"/>
    </row>
    <row r="310" spans="1:38" hidden="1" x14ac:dyDescent="0.2">
      <c r="A310" s="11">
        <v>44054</v>
      </c>
      <c r="B310" s="53" t="s">
        <v>2536</v>
      </c>
      <c r="C310" s="52" t="str">
        <f>IF(MID(B310,4,2)="09","Ramadan",IF(AND(MID(B310,4,2)="12",VALUE(LEFT(B310,2))&lt;=9),"Adha Season","Normal"))</f>
        <v>Normal</v>
      </c>
      <c r="D310" s="1" t="s">
        <v>45</v>
      </c>
      <c r="F310" s="4" t="s">
        <v>165</v>
      </c>
      <c r="G310" s="4">
        <v>33</v>
      </c>
      <c r="H310" s="4">
        <v>33</v>
      </c>
      <c r="I310" s="2">
        <f>grand[[#This Row],[number]]-grand[[#This Row],[received]]</f>
        <v>0</v>
      </c>
      <c r="J310" s="30"/>
      <c r="K310" s="4">
        <v>14425</v>
      </c>
      <c r="L310" s="4">
        <v>13590</v>
      </c>
      <c r="M310" s="2">
        <f>K310-L310</f>
        <v>835</v>
      </c>
      <c r="N310" s="4">
        <v>8928.9</v>
      </c>
      <c r="O310" s="4"/>
      <c r="P310" s="7">
        <f>grand[[#This Row],[total weight]]/grand[[#This Row],[received]]</f>
        <v>437.12121212121212</v>
      </c>
      <c r="Q310" s="7">
        <f>grand[[#This Row],[receiving weight]]/grand[[#This Row],[received]]</f>
        <v>411.81818181818181</v>
      </c>
      <c r="R310" s="7">
        <f>grand[[#This Row],[transportation loss ]]/grand[[#This Row],[received]]</f>
        <v>25.303030303030305</v>
      </c>
      <c r="S310" s="7">
        <f>grand[[#This Row],[ carcass weight]]/grand[[#This Row],[received]]</f>
        <v>270.57272727272726</v>
      </c>
      <c r="T310" s="7">
        <f>grand[[#This Row],[ kidneys fat quantity]]/grand[[#This Row],[received]]</f>
        <v>0</v>
      </c>
      <c r="U310" s="4">
        <v>25</v>
      </c>
      <c r="V310" s="4">
        <v>0</v>
      </c>
      <c r="W310" s="4">
        <v>48.8</v>
      </c>
      <c r="X310" s="4">
        <v>10</v>
      </c>
      <c r="Y310" s="8">
        <v>8.5</v>
      </c>
      <c r="Z310" s="3">
        <f>grand[[#This Row],[av. Transportation loss]]/grand[[#This Row],[av.total weight]]</f>
        <v>5.788561525129983E-2</v>
      </c>
      <c r="AA310" s="12">
        <f>AVERAGE((grand[[#This Row],[am]]/25),(grand[[#This Row],[pm]]/50))</f>
        <v>0.98799999999999999</v>
      </c>
      <c r="AB310" s="3">
        <f>grand[[#This Row],[ carcass weight]]/grand[[#This Row],[total weight]]</f>
        <v>0.61898786828422869</v>
      </c>
      <c r="AC310" s="6">
        <f>SUM(grand[[#This Row],[am]:[meat transportation]])/100</f>
        <v>0.92299999999999993</v>
      </c>
      <c r="AD310" s="9"/>
      <c r="AE310" s="4">
        <v>1</v>
      </c>
      <c r="AF310" s="4" t="s">
        <v>180</v>
      </c>
      <c r="AG310" s="4"/>
      <c r="AH310" s="4"/>
      <c r="AI310" s="4"/>
      <c r="AJ310" s="2"/>
      <c r="AK310" s="4"/>
      <c r="AL310" s="2">
        <v>10</v>
      </c>
    </row>
    <row r="311" spans="1:38" hidden="1" x14ac:dyDescent="0.2">
      <c r="A311" s="11">
        <v>44056</v>
      </c>
      <c r="B311" s="53" t="s">
        <v>2537</v>
      </c>
      <c r="C311" s="52" t="str">
        <f>IF(MID(B311,4,2)="09","Ramadan",IF(AND(MID(B311,4,2)="12",VALUE(LEFT(B311,2))&lt;=9),"Adha Season","Normal"))</f>
        <v>Normal</v>
      </c>
      <c r="D311" s="1" t="s">
        <v>45</v>
      </c>
      <c r="F311" s="4" t="s">
        <v>46</v>
      </c>
      <c r="G311" s="4">
        <v>36</v>
      </c>
      <c r="H311" s="4">
        <v>36</v>
      </c>
      <c r="I311" s="2">
        <f>grand[[#This Row],[number]]-grand[[#This Row],[received]]</f>
        <v>0</v>
      </c>
      <c r="J311" s="30"/>
      <c r="K311" s="4">
        <v>15590</v>
      </c>
      <c r="L311" s="4">
        <v>14740</v>
      </c>
      <c r="M311" s="2">
        <f>K311-L311</f>
        <v>850</v>
      </c>
      <c r="N311" s="4">
        <v>9354.2999999999993</v>
      </c>
      <c r="O311" s="4"/>
      <c r="P311" s="7">
        <f>grand[[#This Row],[total weight]]/grand[[#This Row],[received]]</f>
        <v>433.05555555555554</v>
      </c>
      <c r="Q311" s="7">
        <f>grand[[#This Row],[receiving weight]]/grand[[#This Row],[received]]</f>
        <v>409.44444444444446</v>
      </c>
      <c r="R311" s="7">
        <f>grand[[#This Row],[transportation loss ]]/grand[[#This Row],[received]]</f>
        <v>23.611111111111111</v>
      </c>
      <c r="S311" s="7">
        <f>grand[[#This Row],[ carcass weight]]/grand[[#This Row],[received]]</f>
        <v>259.84166666666664</v>
      </c>
      <c r="T311" s="7">
        <f>grand[[#This Row],[ kidneys fat quantity]]/grand[[#This Row],[received]]</f>
        <v>0</v>
      </c>
      <c r="U311" s="4">
        <v>25</v>
      </c>
      <c r="V311" s="4">
        <v>0</v>
      </c>
      <c r="W311" s="4">
        <v>49.2</v>
      </c>
      <c r="X311" s="4">
        <v>10</v>
      </c>
      <c r="Y311" s="8">
        <v>8.5</v>
      </c>
      <c r="Z311" s="3">
        <f>grand[[#This Row],[av. Transportation loss]]/grand[[#This Row],[av.total weight]]</f>
        <v>5.4522129570237332E-2</v>
      </c>
      <c r="AA311" s="12">
        <f>AVERAGE((grand[[#This Row],[am]]/25),(grand[[#This Row],[pm]]/50))</f>
        <v>0.99199999999999999</v>
      </c>
      <c r="AB311" s="3">
        <f>grand[[#This Row],[ carcass weight]]/grand[[#This Row],[total weight]]</f>
        <v>0.60001924310455412</v>
      </c>
      <c r="AC311" s="6">
        <f>SUM(grand[[#This Row],[am]:[meat transportation]])/100</f>
        <v>0.92700000000000005</v>
      </c>
      <c r="AD311" s="9" t="s">
        <v>181</v>
      </c>
      <c r="AE311" s="4">
        <v>3</v>
      </c>
      <c r="AF311" s="4" t="s">
        <v>69</v>
      </c>
      <c r="AG311" s="4"/>
      <c r="AH311" s="4"/>
      <c r="AI311" s="4"/>
      <c r="AJ311" s="2"/>
      <c r="AK311" s="4"/>
      <c r="AL311" s="2">
        <f>63.75+3</f>
        <v>66.75</v>
      </c>
    </row>
    <row r="312" spans="1:38" hidden="1" x14ac:dyDescent="0.2">
      <c r="A312" s="11">
        <v>44059</v>
      </c>
      <c r="B312" s="53" t="s">
        <v>1508</v>
      </c>
      <c r="C312" s="52" t="str">
        <f>IF(MID(B312,4,2)="09","Ramadan",IF(AND(MID(B312,4,2)="12",VALUE(LEFT(B312,2))&lt;=9),"Adha Season","Normal"))</f>
        <v>Normal</v>
      </c>
      <c r="D312" s="1" t="s">
        <v>45</v>
      </c>
      <c r="F312" s="4" t="s">
        <v>50</v>
      </c>
      <c r="G312" s="4">
        <v>28</v>
      </c>
      <c r="H312" s="4">
        <v>28</v>
      </c>
      <c r="I312" s="2">
        <f>grand[[#This Row],[number]]-grand[[#This Row],[received]]</f>
        <v>0</v>
      </c>
      <c r="J312" s="30"/>
      <c r="K312" s="4">
        <v>12015</v>
      </c>
      <c r="L312" s="4">
        <v>11285</v>
      </c>
      <c r="M312" s="2">
        <f>K312-L312</f>
        <v>730</v>
      </c>
      <c r="N312" s="4">
        <v>7446</v>
      </c>
      <c r="O312" s="4"/>
      <c r="P312" s="7">
        <f>grand[[#This Row],[total weight]]/grand[[#This Row],[received]]</f>
        <v>429.10714285714283</v>
      </c>
      <c r="Q312" s="7">
        <f>grand[[#This Row],[receiving weight]]/grand[[#This Row],[received]]</f>
        <v>403.03571428571428</v>
      </c>
      <c r="R312" s="7">
        <f>grand[[#This Row],[transportation loss ]]/grand[[#This Row],[received]]</f>
        <v>26.071428571428573</v>
      </c>
      <c r="S312" s="7">
        <f>grand[[#This Row],[ carcass weight]]/grand[[#This Row],[received]]</f>
        <v>265.92857142857144</v>
      </c>
      <c r="T312" s="7">
        <f>grand[[#This Row],[ kidneys fat quantity]]/grand[[#This Row],[received]]</f>
        <v>0</v>
      </c>
      <c r="U312" s="4">
        <v>25</v>
      </c>
      <c r="V312" s="4">
        <v>0</v>
      </c>
      <c r="W312" s="4">
        <v>49.5</v>
      </c>
      <c r="X312" s="4">
        <v>10</v>
      </c>
      <c r="Y312" s="8">
        <v>8.5</v>
      </c>
      <c r="Z312" s="3">
        <f>grand[[#This Row],[av. Transportation loss]]/grand[[#This Row],[av.total weight]]</f>
        <v>6.0757386600083237E-2</v>
      </c>
      <c r="AA312" s="12">
        <f>AVERAGE((grand[[#This Row],[am]]/25),(grand[[#This Row],[pm]]/50))</f>
        <v>0.995</v>
      </c>
      <c r="AB312" s="3">
        <f>grand[[#This Row],[ carcass weight]]/grand[[#This Row],[total weight]]</f>
        <v>0.61972534332084894</v>
      </c>
      <c r="AC312" s="6">
        <f>SUM(grand[[#This Row],[am]:[meat transportation]])/100</f>
        <v>0.93</v>
      </c>
      <c r="AD312" s="9" t="s">
        <v>183</v>
      </c>
      <c r="AE312" s="4">
        <v>1</v>
      </c>
      <c r="AF312" s="4" t="s">
        <v>55</v>
      </c>
      <c r="AG312" s="4"/>
      <c r="AH312" s="4"/>
      <c r="AI312" s="4"/>
      <c r="AJ312" s="2"/>
      <c r="AK312" s="4"/>
      <c r="AL312" s="2">
        <v>0.5</v>
      </c>
    </row>
    <row r="313" spans="1:38" hidden="1" x14ac:dyDescent="0.2">
      <c r="A313" s="11">
        <v>44063</v>
      </c>
      <c r="B313" s="53" t="s">
        <v>2540</v>
      </c>
      <c r="C313" s="52" t="str">
        <f>IF(MID(B313,4,2)="09","Ramadan",IF(AND(MID(B313,4,2)="12",VALUE(LEFT(B313,2))&lt;=9),"Adha Season","Normal"))</f>
        <v>Normal</v>
      </c>
      <c r="D313" s="1" t="s">
        <v>45</v>
      </c>
      <c r="F313" s="4" t="s">
        <v>46</v>
      </c>
      <c r="G313" s="4">
        <v>40</v>
      </c>
      <c r="H313" s="4">
        <v>40</v>
      </c>
      <c r="I313" s="2">
        <f>grand[[#This Row],[number]]-grand[[#This Row],[received]]</f>
        <v>0</v>
      </c>
      <c r="J313" s="30"/>
      <c r="K313" s="4">
        <v>17800</v>
      </c>
      <c r="L313" s="4">
        <v>16925</v>
      </c>
      <c r="M313" s="2">
        <f>K313-L313</f>
        <v>875</v>
      </c>
      <c r="N313" s="4">
        <v>11028</v>
      </c>
      <c r="O313" s="4"/>
      <c r="P313" s="7">
        <f>grand[[#This Row],[total weight]]/grand[[#This Row],[received]]</f>
        <v>445</v>
      </c>
      <c r="Q313" s="7">
        <f>grand[[#This Row],[receiving weight]]/grand[[#This Row],[received]]</f>
        <v>423.125</v>
      </c>
      <c r="R313" s="7">
        <f>grand[[#This Row],[transportation loss ]]/grand[[#This Row],[received]]</f>
        <v>21.875</v>
      </c>
      <c r="S313" s="7">
        <f>grand[[#This Row],[ carcass weight]]/grand[[#This Row],[received]]</f>
        <v>275.7</v>
      </c>
      <c r="T313" s="7">
        <f>grand[[#This Row],[ kidneys fat quantity]]/grand[[#This Row],[received]]</f>
        <v>0</v>
      </c>
      <c r="U313" s="4">
        <v>25</v>
      </c>
      <c r="V313" s="4">
        <v>0</v>
      </c>
      <c r="W313" s="4">
        <v>49.5</v>
      </c>
      <c r="X313" s="4">
        <v>10</v>
      </c>
      <c r="Y313" s="8">
        <v>8.5</v>
      </c>
      <c r="Z313" s="3">
        <f>grand[[#This Row],[av. Transportation loss]]/grand[[#This Row],[av.total weight]]</f>
        <v>4.9157303370786519E-2</v>
      </c>
      <c r="AA313" s="12">
        <f>AVERAGE((grand[[#This Row],[am]]/25),(grand[[#This Row],[pm]]/50))</f>
        <v>0.995</v>
      </c>
      <c r="AB313" s="3">
        <f>grand[[#This Row],[ carcass weight]]/grand[[#This Row],[total weight]]</f>
        <v>0.61955056179775281</v>
      </c>
      <c r="AC313" s="6">
        <f>SUM(grand[[#This Row],[am]:[meat transportation]])/100</f>
        <v>0.93</v>
      </c>
      <c r="AD313" s="9" t="s">
        <v>81</v>
      </c>
      <c r="AE313" s="4">
        <v>3</v>
      </c>
      <c r="AF313" s="4" t="s">
        <v>185</v>
      </c>
      <c r="AG313" s="4"/>
      <c r="AH313" s="4"/>
      <c r="AI313" s="4"/>
      <c r="AJ313" s="2"/>
      <c r="AK313" s="4"/>
      <c r="AL313" s="2">
        <v>10</v>
      </c>
    </row>
    <row r="314" spans="1:38" hidden="1" x14ac:dyDescent="0.2">
      <c r="A314" s="11">
        <v>44065</v>
      </c>
      <c r="B314" s="53" t="s">
        <v>2541</v>
      </c>
      <c r="C314" s="52" t="str">
        <f>IF(MID(B314,4,2)="09","Ramadan",IF(AND(MID(B314,4,2)="12",VALUE(LEFT(B314,2))&lt;=9),"Adha Season","Normal"))</f>
        <v>Normal</v>
      </c>
      <c r="D314" s="1" t="s">
        <v>45</v>
      </c>
      <c r="F314" s="4" t="s">
        <v>44</v>
      </c>
      <c r="G314" s="4">
        <v>23</v>
      </c>
      <c r="H314" s="4">
        <v>23</v>
      </c>
      <c r="I314" s="2">
        <f>grand[[#This Row],[number]]-grand[[#This Row],[received]]</f>
        <v>0</v>
      </c>
      <c r="J314" s="30"/>
      <c r="K314" s="4">
        <v>12082</v>
      </c>
      <c r="L314" s="4">
        <v>11540</v>
      </c>
      <c r="M314" s="2">
        <f>K314-L314</f>
        <v>542</v>
      </c>
      <c r="N314" s="4">
        <v>7655.4</v>
      </c>
      <c r="O314" s="4"/>
      <c r="P314" s="7">
        <f>grand[[#This Row],[total weight]]/grand[[#This Row],[received]]</f>
        <v>525.304347826087</v>
      </c>
      <c r="Q314" s="7">
        <f>grand[[#This Row],[receiving weight]]/grand[[#This Row],[received]]</f>
        <v>501.73913043478262</v>
      </c>
      <c r="R314" s="7">
        <f>grand[[#This Row],[transportation loss ]]/grand[[#This Row],[received]]</f>
        <v>23.565217391304348</v>
      </c>
      <c r="S314" s="7">
        <f>grand[[#This Row],[ carcass weight]]/grand[[#This Row],[received]]</f>
        <v>332.84347826086957</v>
      </c>
      <c r="T314" s="7">
        <f>grand[[#This Row],[ kidneys fat quantity]]/grand[[#This Row],[received]]</f>
        <v>0</v>
      </c>
      <c r="U314" s="4">
        <v>25</v>
      </c>
      <c r="V314" s="4">
        <v>0</v>
      </c>
      <c r="W314" s="4">
        <v>49.3</v>
      </c>
      <c r="X314" s="4">
        <v>10</v>
      </c>
      <c r="Y314" s="8">
        <v>8.5</v>
      </c>
      <c r="Z314" s="3">
        <f>grand[[#This Row],[av. Transportation loss]]/grand[[#This Row],[av.total weight]]</f>
        <v>4.4860122496275447E-2</v>
      </c>
      <c r="AA314" s="12">
        <f>AVERAGE((grand[[#This Row],[am]]/25),(grand[[#This Row],[pm]]/50))</f>
        <v>0.99299999999999999</v>
      </c>
      <c r="AB314" s="3">
        <f>grand[[#This Row],[ carcass weight]]/grand[[#This Row],[total weight]]</f>
        <v>0.63362026154610163</v>
      </c>
      <c r="AC314" s="6">
        <f>SUM(grand[[#This Row],[am]:[meat transportation]])/100</f>
        <v>0.92799999999999994</v>
      </c>
      <c r="AD314" s="9" t="s">
        <v>186</v>
      </c>
      <c r="AE314" s="4">
        <v>1</v>
      </c>
      <c r="AF314" s="4"/>
      <c r="AG314" s="4"/>
      <c r="AH314" s="4"/>
      <c r="AI314" s="4"/>
      <c r="AJ314" s="2"/>
      <c r="AK314" s="4"/>
      <c r="AL314" s="2">
        <v>5</v>
      </c>
    </row>
    <row r="315" spans="1:38" hidden="1" x14ac:dyDescent="0.2">
      <c r="A315" s="11">
        <v>44068</v>
      </c>
      <c r="B315" s="53" t="s">
        <v>2542</v>
      </c>
      <c r="C315" s="52" t="str">
        <f>IF(MID(B315,4,2)="09","Ramadan",IF(AND(MID(B315,4,2)="12",VALUE(LEFT(B315,2))&lt;=9),"Adha Season","Normal"))</f>
        <v>Normal</v>
      </c>
      <c r="D315" s="1" t="s">
        <v>45</v>
      </c>
      <c r="F315" s="4" t="s">
        <v>50</v>
      </c>
      <c r="G315" s="4">
        <v>34</v>
      </c>
      <c r="H315" s="4">
        <v>34</v>
      </c>
      <c r="I315" s="2">
        <f>grand[[#This Row],[number]]-grand[[#This Row],[received]]</f>
        <v>0</v>
      </c>
      <c r="J315" s="30"/>
      <c r="K315" s="4">
        <v>14711</v>
      </c>
      <c r="L315" s="4">
        <v>13805</v>
      </c>
      <c r="M315" s="2">
        <f>K315-L315</f>
        <v>906</v>
      </c>
      <c r="N315" s="4">
        <v>9138.2000000000007</v>
      </c>
      <c r="O315" s="4"/>
      <c r="P315" s="7">
        <f>grand[[#This Row],[total weight]]/grand[[#This Row],[received]]</f>
        <v>432.6764705882353</v>
      </c>
      <c r="Q315" s="7">
        <f>grand[[#This Row],[receiving weight]]/grand[[#This Row],[received]]</f>
        <v>406.02941176470586</v>
      </c>
      <c r="R315" s="7">
        <f>grand[[#This Row],[transportation loss ]]/grand[[#This Row],[received]]</f>
        <v>26.647058823529413</v>
      </c>
      <c r="S315" s="7">
        <f>grand[[#This Row],[ carcass weight]]/grand[[#This Row],[received]]</f>
        <v>268.77058823529416</v>
      </c>
      <c r="T315" s="7">
        <f>grand[[#This Row],[ kidneys fat quantity]]/grand[[#This Row],[received]]</f>
        <v>0</v>
      </c>
      <c r="U315" s="4">
        <v>25</v>
      </c>
      <c r="V315" s="4">
        <v>0</v>
      </c>
      <c r="W315" s="4">
        <v>49.6</v>
      </c>
      <c r="X315" s="4">
        <v>10</v>
      </c>
      <c r="Y315" s="8">
        <v>8.5</v>
      </c>
      <c r="Z315" s="3">
        <f>grand[[#This Row],[av. Transportation loss]]/grand[[#This Row],[av.total weight]]</f>
        <v>6.1586567874379716E-2</v>
      </c>
      <c r="AA315" s="12">
        <f>AVERAGE((grand[[#This Row],[am]]/25),(grand[[#This Row],[pm]]/50))</f>
        <v>0.996</v>
      </c>
      <c r="AB315" s="3">
        <f>grand[[#This Row],[ carcass weight]]/grand[[#This Row],[total weight]]</f>
        <v>0.62118142886275585</v>
      </c>
      <c r="AC315" s="6">
        <f>SUM(grand[[#This Row],[am]:[meat transportation]])/100</f>
        <v>0.93099999999999994</v>
      </c>
      <c r="AD315" s="9"/>
      <c r="AE315" s="4">
        <v>1</v>
      </c>
      <c r="AF315" s="4" t="s">
        <v>109</v>
      </c>
      <c r="AG315" s="4"/>
      <c r="AH315" s="4"/>
      <c r="AI315" s="4"/>
      <c r="AJ315" s="2"/>
      <c r="AK315" s="4"/>
      <c r="AL315" s="2">
        <v>2</v>
      </c>
    </row>
    <row r="316" spans="1:38" hidden="1" x14ac:dyDescent="0.2">
      <c r="A316" s="11">
        <v>44070</v>
      </c>
      <c r="B316" s="53" t="s">
        <v>2543</v>
      </c>
      <c r="C316" s="52" t="str">
        <f>IF(MID(B316,4,2)="09","Ramadan",IF(AND(MID(B316,4,2)="12",VALUE(LEFT(B316,2))&lt;=9),"Adha Season","Normal"))</f>
        <v>Normal</v>
      </c>
      <c r="D316" s="1" t="s">
        <v>45</v>
      </c>
      <c r="F316" s="4" t="s">
        <v>46</v>
      </c>
      <c r="G316" s="4">
        <v>40</v>
      </c>
      <c r="H316" s="4">
        <v>40</v>
      </c>
      <c r="I316" s="2">
        <f>grand[[#This Row],[number]]-grand[[#This Row],[received]]</f>
        <v>0</v>
      </c>
      <c r="J316" s="30"/>
      <c r="K316" s="4">
        <v>17560</v>
      </c>
      <c r="L316" s="4">
        <v>16605</v>
      </c>
      <c r="M316" s="2">
        <f>K316-L316</f>
        <v>955</v>
      </c>
      <c r="N316" s="4">
        <v>10535.8</v>
      </c>
      <c r="O316" s="4"/>
      <c r="P316" s="7">
        <f>grand[[#This Row],[total weight]]/grand[[#This Row],[received]]</f>
        <v>439</v>
      </c>
      <c r="Q316" s="7">
        <f>grand[[#This Row],[receiving weight]]/grand[[#This Row],[received]]</f>
        <v>415.125</v>
      </c>
      <c r="R316" s="7">
        <f>grand[[#This Row],[transportation loss ]]/grand[[#This Row],[received]]</f>
        <v>23.875</v>
      </c>
      <c r="S316" s="7">
        <f>grand[[#This Row],[ carcass weight]]/grand[[#This Row],[received]]</f>
        <v>263.39499999999998</v>
      </c>
      <c r="T316" s="7">
        <f>grand[[#This Row],[ kidneys fat quantity]]/grand[[#This Row],[received]]</f>
        <v>0</v>
      </c>
      <c r="U316" s="4">
        <v>25</v>
      </c>
      <c r="V316" s="4">
        <v>0</v>
      </c>
      <c r="W316" s="4">
        <v>49.8</v>
      </c>
      <c r="X316" s="4">
        <v>10</v>
      </c>
      <c r="Y316" s="8">
        <v>8.5</v>
      </c>
      <c r="Z316" s="3">
        <f>grand[[#This Row],[av. Transportation loss]]/grand[[#This Row],[av.total weight]]</f>
        <v>5.4384965831435081E-2</v>
      </c>
      <c r="AA316" s="12">
        <f>AVERAGE((grand[[#This Row],[am]]/25),(grand[[#This Row],[pm]]/50))</f>
        <v>0.998</v>
      </c>
      <c r="AB316" s="3">
        <f>grand[[#This Row],[ carcass weight]]/grand[[#This Row],[total weight]]</f>
        <v>0.59998861047835983</v>
      </c>
      <c r="AC316" s="6">
        <f>SUM(grand[[#This Row],[am]:[meat transportation]])/100</f>
        <v>0.93299999999999994</v>
      </c>
      <c r="AD316" s="9" t="s">
        <v>188</v>
      </c>
      <c r="AE316" s="4">
        <v>1</v>
      </c>
      <c r="AF316" s="4"/>
      <c r="AG316" s="4"/>
      <c r="AH316" s="4"/>
      <c r="AI316" s="4"/>
      <c r="AJ316" s="2"/>
      <c r="AK316" s="4"/>
      <c r="AL316" s="2">
        <v>2</v>
      </c>
    </row>
    <row r="317" spans="1:38" hidden="1" x14ac:dyDescent="0.2">
      <c r="A317" s="11">
        <v>44072</v>
      </c>
      <c r="B317" s="53" t="s">
        <v>2544</v>
      </c>
      <c r="C317" s="52" t="str">
        <f>IF(MID(B317,4,2)="09","Ramadan",IF(AND(MID(B317,4,2)="12",VALUE(LEFT(B317,2))&lt;=9),"Adha Season","Normal"))</f>
        <v>Normal</v>
      </c>
      <c r="D317" s="1" t="s">
        <v>45</v>
      </c>
      <c r="F317" s="4" t="s">
        <v>50</v>
      </c>
      <c r="G317" s="4">
        <v>24</v>
      </c>
      <c r="H317" s="4">
        <v>24</v>
      </c>
      <c r="I317" s="2">
        <f>grand[[#This Row],[number]]-grand[[#This Row],[received]]</f>
        <v>0</v>
      </c>
      <c r="J317" s="30"/>
      <c r="K317" s="4">
        <v>10335</v>
      </c>
      <c r="L317" s="4">
        <v>9735</v>
      </c>
      <c r="M317" s="2">
        <f>K317-L317</f>
        <v>600</v>
      </c>
      <c r="N317" s="4">
        <v>6432.6</v>
      </c>
      <c r="O317" s="4"/>
      <c r="P317" s="7">
        <f>grand[[#This Row],[total weight]]/grand[[#This Row],[received]]</f>
        <v>430.625</v>
      </c>
      <c r="Q317" s="7">
        <f>grand[[#This Row],[receiving weight]]/grand[[#This Row],[received]]</f>
        <v>405.625</v>
      </c>
      <c r="R317" s="7">
        <f>grand[[#This Row],[transportation loss ]]/grand[[#This Row],[received]]</f>
        <v>25</v>
      </c>
      <c r="S317" s="7">
        <f>grand[[#This Row],[ carcass weight]]/grand[[#This Row],[received]]</f>
        <v>268.02500000000003</v>
      </c>
      <c r="T317" s="7">
        <f>grand[[#This Row],[ kidneys fat quantity]]/grand[[#This Row],[received]]</f>
        <v>0</v>
      </c>
      <c r="U317" s="4">
        <v>25</v>
      </c>
      <c r="V317" s="4">
        <v>0</v>
      </c>
      <c r="W317" s="4">
        <v>48.5</v>
      </c>
      <c r="X317" s="4">
        <v>10</v>
      </c>
      <c r="Y317" s="8">
        <v>8.5</v>
      </c>
      <c r="Z317" s="3">
        <f>grand[[#This Row],[av. Transportation loss]]/grand[[#This Row],[av.total weight]]</f>
        <v>5.8055152394775038E-2</v>
      </c>
      <c r="AA317" s="12">
        <f>AVERAGE((grand[[#This Row],[am]]/25),(grand[[#This Row],[pm]]/50))</f>
        <v>0.98499999999999999</v>
      </c>
      <c r="AB317" s="3">
        <f>grand[[#This Row],[ carcass weight]]/grand[[#This Row],[total weight]]</f>
        <v>0.62240928882438318</v>
      </c>
      <c r="AC317" s="6">
        <f>SUM(grand[[#This Row],[am]:[meat transportation]])/100</f>
        <v>0.92</v>
      </c>
      <c r="AD317" s="9" t="s">
        <v>189</v>
      </c>
      <c r="AE317" s="4">
        <v>1</v>
      </c>
      <c r="AF317" s="4" t="s">
        <v>137</v>
      </c>
      <c r="AG317" s="4"/>
      <c r="AH317" s="4"/>
      <c r="AI317" s="4"/>
      <c r="AJ317" s="2"/>
      <c r="AK317" s="4"/>
      <c r="AL317" s="2">
        <v>13</v>
      </c>
    </row>
    <row r="318" spans="1:38" hidden="1" x14ac:dyDescent="0.2">
      <c r="A318" s="11">
        <v>44089</v>
      </c>
      <c r="B318" s="53" t="s">
        <v>1514</v>
      </c>
      <c r="C318" s="52" t="str">
        <f>IF(MID(B318,4,2)="09","Ramadan",IF(AND(MID(B318,4,2)="12",VALUE(LEFT(B318,2))&lt;=9),"Adha Season","Normal"))</f>
        <v>Normal</v>
      </c>
      <c r="D318" s="1" t="s">
        <v>45</v>
      </c>
      <c r="F318" s="4" t="s">
        <v>44</v>
      </c>
      <c r="G318" s="4">
        <v>37</v>
      </c>
      <c r="H318" s="4">
        <v>37</v>
      </c>
      <c r="I318" s="2">
        <f>grand[[#This Row],[number]]-grand[[#This Row],[received]]</f>
        <v>0</v>
      </c>
      <c r="J318" s="30"/>
      <c r="K318" s="4">
        <v>19071</v>
      </c>
      <c r="L318" s="4">
        <v>17905</v>
      </c>
      <c r="M318" s="2">
        <f>K318-L318</f>
        <v>1166</v>
      </c>
      <c r="N318" s="4">
        <v>11820</v>
      </c>
      <c r="O318" s="4"/>
      <c r="P318" s="7">
        <f>grand[[#This Row],[total weight]]/grand[[#This Row],[received]]</f>
        <v>515.43243243243239</v>
      </c>
      <c r="Q318" s="7">
        <f>grand[[#This Row],[receiving weight]]/grand[[#This Row],[received]]</f>
        <v>483.91891891891891</v>
      </c>
      <c r="R318" s="7">
        <f>grand[[#This Row],[transportation loss ]]/grand[[#This Row],[received]]</f>
        <v>31.513513513513512</v>
      </c>
      <c r="S318" s="7">
        <f>grand[[#This Row],[ carcass weight]]/grand[[#This Row],[received]]</f>
        <v>319.45945945945948</v>
      </c>
      <c r="T318" s="7">
        <f>grand[[#This Row],[ kidneys fat quantity]]/grand[[#This Row],[received]]</f>
        <v>0</v>
      </c>
      <c r="U318" s="4">
        <v>25</v>
      </c>
      <c r="V318" s="4">
        <v>0</v>
      </c>
      <c r="W318" s="4">
        <v>49.6</v>
      </c>
      <c r="X318" s="4">
        <v>10</v>
      </c>
      <c r="Y318" s="8">
        <v>8.5</v>
      </c>
      <c r="Z318" s="3">
        <f>grand[[#This Row],[av. Transportation loss]]/grand[[#This Row],[av.total weight]]</f>
        <v>6.1139950710502863E-2</v>
      </c>
      <c r="AA318" s="12">
        <f>AVERAGE((grand[[#This Row],[am]]/25),(grand[[#This Row],[pm]]/50))</f>
        <v>0.996</v>
      </c>
      <c r="AB318" s="3">
        <f>grand[[#This Row],[ carcass weight]]/grand[[#This Row],[total weight]]</f>
        <v>0.61978920874626398</v>
      </c>
      <c r="AC318" s="6">
        <f>SUM(grand[[#This Row],[am]:[meat transportation]])/100</f>
        <v>0.93099999999999994</v>
      </c>
      <c r="AD318" s="9" t="s">
        <v>203</v>
      </c>
      <c r="AE318" s="4"/>
      <c r="AF318" s="4"/>
      <c r="AG318" s="4"/>
      <c r="AH318" s="4"/>
      <c r="AI318" s="4"/>
      <c r="AJ318" s="2"/>
      <c r="AK318" s="4"/>
      <c r="AL318" s="2">
        <v>15</v>
      </c>
    </row>
    <row r="319" spans="1:38" hidden="1" x14ac:dyDescent="0.2">
      <c r="A319" s="11">
        <v>44089</v>
      </c>
      <c r="B319" s="53" t="s">
        <v>1514</v>
      </c>
      <c r="C319" s="52" t="str">
        <f>IF(MID(B319,4,2)="09","Ramadan",IF(AND(MID(B319,4,2)="12",VALUE(LEFT(B319,2))&lt;=9),"Adha Season","Normal"))</f>
        <v>Normal</v>
      </c>
      <c r="D319" s="2" t="s">
        <v>294</v>
      </c>
      <c r="E319" s="2"/>
      <c r="F319" s="4" t="s">
        <v>105</v>
      </c>
      <c r="G319" s="4">
        <v>25</v>
      </c>
      <c r="H319" s="4">
        <v>25</v>
      </c>
      <c r="I319" s="2">
        <f>grand[[#This Row],[number]]-grand[[#This Row],[received]]</f>
        <v>0</v>
      </c>
      <c r="J319" s="30"/>
      <c r="K319" s="2"/>
      <c r="L319" s="2"/>
      <c r="M319" s="2">
        <f>K319-L319</f>
        <v>0</v>
      </c>
      <c r="N319" s="2"/>
      <c r="O319" s="2"/>
      <c r="P319" s="7">
        <f>grand[[#This Row],[total weight]]/grand[[#This Row],[received]]</f>
        <v>0</v>
      </c>
      <c r="Q319" s="7">
        <f>grand[[#This Row],[receiving weight]]/grand[[#This Row],[received]]</f>
        <v>0</v>
      </c>
      <c r="R319" s="7">
        <f>grand[[#This Row],[transportation loss ]]/grand[[#This Row],[received]]</f>
        <v>0</v>
      </c>
      <c r="S319" s="7">
        <f>grand[[#This Row],[ carcass weight]]/grand[[#This Row],[received]]</f>
        <v>0</v>
      </c>
      <c r="T319" s="7">
        <f>grand[[#This Row],[ kidneys fat quantity]]/grand[[#This Row],[received]]</f>
        <v>0</v>
      </c>
      <c r="U319" s="4">
        <v>25</v>
      </c>
      <c r="V319" s="4">
        <v>0</v>
      </c>
      <c r="W319" s="4">
        <v>49.3</v>
      </c>
      <c r="X319" s="4">
        <v>10</v>
      </c>
      <c r="Y319" s="8">
        <v>8.5</v>
      </c>
      <c r="Z319" s="3"/>
      <c r="AA319" s="12">
        <f>AVERAGE((grand[[#This Row],[am]]/25),(grand[[#This Row],[pm]]/50))</f>
        <v>0.99299999999999999</v>
      </c>
      <c r="AB319" s="3"/>
      <c r="AC319" s="6">
        <f>SUM(grand[[#This Row],[am]:[meat transportation]])/100</f>
        <v>0.92799999999999994</v>
      </c>
      <c r="AD319" s="2" t="s">
        <v>168</v>
      </c>
      <c r="AE319" s="2"/>
      <c r="AF319" s="2" t="s">
        <v>88</v>
      </c>
      <c r="AG319" s="2"/>
      <c r="AH319" s="2"/>
      <c r="AI319" s="2"/>
      <c r="AJ319" s="2"/>
      <c r="AL319" s="2">
        <v>1</v>
      </c>
    </row>
    <row r="320" spans="1:38" hidden="1" x14ac:dyDescent="0.2">
      <c r="A320" s="11">
        <v>44093</v>
      </c>
      <c r="B320" s="53" t="s">
        <v>2552</v>
      </c>
      <c r="C320" s="52" t="str">
        <f>IF(MID(B320,4,2)="09","Ramadan",IF(AND(MID(B320,4,2)="12",VALUE(LEFT(B320,2))&lt;=9),"Adha Season","Normal"))</f>
        <v>Normal</v>
      </c>
      <c r="D320" s="1" t="s">
        <v>45</v>
      </c>
      <c r="F320" s="4" t="s">
        <v>165</v>
      </c>
      <c r="G320" s="4">
        <v>22</v>
      </c>
      <c r="H320" s="4">
        <v>22</v>
      </c>
      <c r="I320" s="2">
        <f>grand[[#This Row],[number]]-grand[[#This Row],[received]]</f>
        <v>0</v>
      </c>
      <c r="J320" s="30"/>
      <c r="K320" s="4">
        <v>10456</v>
      </c>
      <c r="L320" s="4">
        <v>9970</v>
      </c>
      <c r="M320" s="2">
        <f>K320-L320</f>
        <v>486</v>
      </c>
      <c r="N320" s="4">
        <v>6410</v>
      </c>
      <c r="O320" s="4"/>
      <c r="P320" s="7">
        <f>grand[[#This Row],[total weight]]/grand[[#This Row],[received]]</f>
        <v>475.27272727272725</v>
      </c>
      <c r="Q320" s="7">
        <f>grand[[#This Row],[receiving weight]]/grand[[#This Row],[received]]</f>
        <v>453.18181818181819</v>
      </c>
      <c r="R320" s="7">
        <f>grand[[#This Row],[transportation loss ]]/grand[[#This Row],[received]]</f>
        <v>22.09090909090909</v>
      </c>
      <c r="S320" s="7">
        <f>grand[[#This Row],[ carcass weight]]/grand[[#This Row],[received]]</f>
        <v>291.36363636363637</v>
      </c>
      <c r="T320" s="7">
        <f>grand[[#This Row],[ kidneys fat quantity]]/grand[[#This Row],[received]]</f>
        <v>0</v>
      </c>
      <c r="U320" s="4">
        <v>25</v>
      </c>
      <c r="V320" s="4">
        <v>0</v>
      </c>
      <c r="W320" s="4">
        <v>49</v>
      </c>
      <c r="X320" s="4">
        <v>10</v>
      </c>
      <c r="Y320" s="8">
        <v>8.5</v>
      </c>
      <c r="Z320" s="3">
        <f>grand[[#This Row],[av. Transportation loss]]/grand[[#This Row],[av.total weight]]</f>
        <v>4.6480489671002295E-2</v>
      </c>
      <c r="AA320" s="12">
        <f>AVERAGE((grand[[#This Row],[am]]/25),(grand[[#This Row],[pm]]/50))</f>
        <v>0.99</v>
      </c>
      <c r="AB320" s="3">
        <f>grand[[#This Row],[ carcass weight]]/grand[[#This Row],[total weight]]</f>
        <v>0.61304514154552414</v>
      </c>
      <c r="AC320" s="6">
        <f>SUM(grand[[#This Row],[am]:[meat transportation]])/100</f>
        <v>0.92500000000000004</v>
      </c>
      <c r="AD320" s="9" t="s">
        <v>176</v>
      </c>
      <c r="AE320" s="4">
        <v>3</v>
      </c>
      <c r="AF320" s="4"/>
      <c r="AG320" s="4"/>
      <c r="AH320" s="4"/>
      <c r="AI320" s="4"/>
      <c r="AJ320" s="2"/>
      <c r="AK320" s="4"/>
      <c r="AL320" s="2">
        <v>10</v>
      </c>
    </row>
    <row r="321" spans="1:38" hidden="1" x14ac:dyDescent="0.2">
      <c r="A321" s="11">
        <v>44096</v>
      </c>
      <c r="B321" s="53" t="s">
        <v>2553</v>
      </c>
      <c r="C321" s="52" t="str">
        <f>IF(MID(B321,4,2)="09","Ramadan",IF(AND(MID(B321,4,2)="12",VALUE(LEFT(B321,2))&lt;=9),"Adha Season","Normal"))</f>
        <v>Normal</v>
      </c>
      <c r="D321" s="1" t="s">
        <v>45</v>
      </c>
      <c r="F321" s="4" t="s">
        <v>50</v>
      </c>
      <c r="G321" s="4">
        <v>32</v>
      </c>
      <c r="H321" s="4">
        <v>32</v>
      </c>
      <c r="I321" s="2">
        <f>grand[[#This Row],[number]]-grand[[#This Row],[received]]</f>
        <v>0</v>
      </c>
      <c r="J321" s="30"/>
      <c r="K321" s="4">
        <v>13944</v>
      </c>
      <c r="L321" s="4">
        <v>13170</v>
      </c>
      <c r="M321" s="2">
        <f>K321-L321</f>
        <v>774</v>
      </c>
      <c r="N321" s="4">
        <v>8637.2000000000007</v>
      </c>
      <c r="O321" s="4"/>
      <c r="P321" s="7">
        <f>grand[[#This Row],[total weight]]/grand[[#This Row],[received]]</f>
        <v>435.75</v>
      </c>
      <c r="Q321" s="7">
        <f>grand[[#This Row],[receiving weight]]/grand[[#This Row],[received]]</f>
        <v>411.5625</v>
      </c>
      <c r="R321" s="7">
        <f>grand[[#This Row],[transportation loss ]]/grand[[#This Row],[received]]</f>
        <v>24.1875</v>
      </c>
      <c r="S321" s="7">
        <f>grand[[#This Row],[ carcass weight]]/grand[[#This Row],[received]]</f>
        <v>269.91250000000002</v>
      </c>
      <c r="T321" s="7">
        <f>grand[[#This Row],[ kidneys fat quantity]]/grand[[#This Row],[received]]</f>
        <v>0</v>
      </c>
      <c r="U321" s="4">
        <v>25</v>
      </c>
      <c r="V321" s="4">
        <v>0</v>
      </c>
      <c r="W321" s="4">
        <v>49.6</v>
      </c>
      <c r="X321" s="4">
        <v>10</v>
      </c>
      <c r="Y321" s="8">
        <v>8.5</v>
      </c>
      <c r="Z321" s="3">
        <f>grand[[#This Row],[av. Transportation loss]]/grand[[#This Row],[av.total weight]]</f>
        <v>5.5507745266781414E-2</v>
      </c>
      <c r="AA321" s="12">
        <f>AVERAGE((grand[[#This Row],[am]]/25),(grand[[#This Row],[pm]]/50))</f>
        <v>0.996</v>
      </c>
      <c r="AB321" s="3">
        <f>grand[[#This Row],[ carcass weight]]/grand[[#This Row],[total weight]]</f>
        <v>0.61942053930005747</v>
      </c>
      <c r="AC321" s="6">
        <f>SUM(grand[[#This Row],[am]:[meat transportation]])/100</f>
        <v>0.93099999999999994</v>
      </c>
      <c r="AD321" s="9" t="s">
        <v>81</v>
      </c>
      <c r="AE321" s="4"/>
      <c r="AF321" s="4" t="s">
        <v>88</v>
      </c>
      <c r="AG321" s="4"/>
      <c r="AH321" s="4"/>
      <c r="AI321" s="4"/>
      <c r="AJ321" s="2"/>
      <c r="AK321" s="4"/>
      <c r="AL321" s="2">
        <v>10</v>
      </c>
    </row>
    <row r="322" spans="1:38" hidden="1" x14ac:dyDescent="0.2">
      <c r="A322" s="11">
        <v>44098</v>
      </c>
      <c r="B322" s="53" t="s">
        <v>2554</v>
      </c>
      <c r="C322" s="52" t="str">
        <f>IF(MID(B322,4,2)="09","Ramadan",IF(AND(MID(B322,4,2)="12",VALUE(LEFT(B322,2))&lt;=9),"Adha Season","Normal"))</f>
        <v>Normal</v>
      </c>
      <c r="D322" s="1" t="s">
        <v>45</v>
      </c>
      <c r="F322" s="4" t="s">
        <v>46</v>
      </c>
      <c r="G322" s="4">
        <v>37</v>
      </c>
      <c r="H322" s="4">
        <v>37</v>
      </c>
      <c r="I322" s="2">
        <f>grand[[#This Row],[number]]-grand[[#This Row],[received]]</f>
        <v>0</v>
      </c>
      <c r="J322" s="30"/>
      <c r="K322" s="4">
        <v>18450</v>
      </c>
      <c r="L322" s="4">
        <v>17725</v>
      </c>
      <c r="M322" s="2">
        <f>K322-L322</f>
        <v>725</v>
      </c>
      <c r="N322" s="4">
        <v>11348.4</v>
      </c>
      <c r="O322" s="4"/>
      <c r="P322" s="7">
        <f>grand[[#This Row],[total weight]]/grand[[#This Row],[received]]</f>
        <v>498.64864864864865</v>
      </c>
      <c r="Q322" s="7">
        <f>grand[[#This Row],[receiving weight]]/grand[[#This Row],[received]]</f>
        <v>479.05405405405406</v>
      </c>
      <c r="R322" s="7">
        <f>grand[[#This Row],[transportation loss ]]/grand[[#This Row],[received]]</f>
        <v>19.594594594594593</v>
      </c>
      <c r="S322" s="7">
        <f>grand[[#This Row],[ carcass weight]]/grand[[#This Row],[received]]</f>
        <v>306.71351351351348</v>
      </c>
      <c r="T322" s="7">
        <f>grand[[#This Row],[ kidneys fat quantity]]/grand[[#This Row],[received]]</f>
        <v>0</v>
      </c>
      <c r="U322" s="4">
        <v>25</v>
      </c>
      <c r="V322" s="4">
        <v>0</v>
      </c>
      <c r="W322" s="4">
        <v>49.8</v>
      </c>
      <c r="X322" s="4">
        <v>10</v>
      </c>
      <c r="Y322" s="8">
        <v>8.5</v>
      </c>
      <c r="Z322" s="3">
        <f>grand[[#This Row],[av. Transportation loss]]/grand[[#This Row],[av.total weight]]</f>
        <v>3.9295392953929538E-2</v>
      </c>
      <c r="AA322" s="12">
        <f>AVERAGE((grand[[#This Row],[am]]/25),(grand[[#This Row],[pm]]/50))</f>
        <v>0.998</v>
      </c>
      <c r="AB322" s="3">
        <f>grand[[#This Row],[ carcass weight]]/grand[[#This Row],[total weight]]</f>
        <v>0.6150894308943089</v>
      </c>
      <c r="AC322" s="6">
        <f>SUM(grand[[#This Row],[am]:[meat transportation]])/100</f>
        <v>0.93299999999999994</v>
      </c>
      <c r="AD322" s="9" t="s">
        <v>188</v>
      </c>
      <c r="AE322" s="4"/>
      <c r="AF322" s="4" t="s">
        <v>55</v>
      </c>
      <c r="AG322" s="4"/>
      <c r="AH322" s="4"/>
      <c r="AI322" s="4"/>
      <c r="AJ322" s="2"/>
      <c r="AK322" s="4"/>
      <c r="AL322" s="2">
        <v>6</v>
      </c>
    </row>
    <row r="323" spans="1:38" hidden="1" x14ac:dyDescent="0.2">
      <c r="A323" s="11">
        <v>44100</v>
      </c>
      <c r="B323" s="53" t="s">
        <v>2555</v>
      </c>
      <c r="C323" s="52" t="str">
        <f>IF(MID(B323,4,2)="09","Ramadan",IF(AND(MID(B323,4,2)="12",VALUE(LEFT(B323,2))&lt;=9),"Adha Season","Normal"))</f>
        <v>Normal</v>
      </c>
      <c r="D323" s="1" t="s">
        <v>45</v>
      </c>
      <c r="F323" s="4" t="s">
        <v>165</v>
      </c>
      <c r="G323" s="4">
        <v>24</v>
      </c>
      <c r="H323" s="4">
        <v>24</v>
      </c>
      <c r="I323" s="2">
        <f>grand[[#This Row],[number]]-grand[[#This Row],[received]]</f>
        <v>0</v>
      </c>
      <c r="J323" s="30"/>
      <c r="K323" s="4">
        <v>11328</v>
      </c>
      <c r="L323" s="4">
        <v>10815</v>
      </c>
      <c r="M323" s="2">
        <f>K323-L323</f>
        <v>513</v>
      </c>
      <c r="N323" s="4">
        <v>7004</v>
      </c>
      <c r="O323" s="4"/>
      <c r="P323" s="7">
        <f>grand[[#This Row],[total weight]]/grand[[#This Row],[received]]</f>
        <v>472</v>
      </c>
      <c r="Q323" s="7">
        <f>grand[[#This Row],[receiving weight]]/grand[[#This Row],[received]]</f>
        <v>450.625</v>
      </c>
      <c r="R323" s="7">
        <f>grand[[#This Row],[transportation loss ]]/grand[[#This Row],[received]]</f>
        <v>21.375</v>
      </c>
      <c r="S323" s="7">
        <f>grand[[#This Row],[ carcass weight]]/grand[[#This Row],[received]]</f>
        <v>291.83333333333331</v>
      </c>
      <c r="T323" s="7">
        <f>grand[[#This Row],[ kidneys fat quantity]]/grand[[#This Row],[received]]</f>
        <v>0</v>
      </c>
      <c r="U323" s="4">
        <v>25</v>
      </c>
      <c r="V323" s="4">
        <v>0</v>
      </c>
      <c r="W323" s="4">
        <v>49.3</v>
      </c>
      <c r="X323" s="4">
        <v>10</v>
      </c>
      <c r="Y323" s="8">
        <v>8.5</v>
      </c>
      <c r="Z323" s="3">
        <f>grand[[#This Row],[av. Transportation loss]]/grand[[#This Row],[av.total weight]]</f>
        <v>4.528601694915254E-2</v>
      </c>
      <c r="AA323" s="12">
        <f>AVERAGE((grand[[#This Row],[am]]/25),(grand[[#This Row],[pm]]/50))</f>
        <v>0.99299999999999999</v>
      </c>
      <c r="AB323" s="3">
        <f>grand[[#This Row],[ carcass weight]]/grand[[#This Row],[total weight]]</f>
        <v>0.6182909604519774</v>
      </c>
      <c r="AC323" s="6">
        <f>SUM(grand[[#This Row],[am]:[meat transportation]])/100</f>
        <v>0.92799999999999994</v>
      </c>
      <c r="AD323" s="9" t="s">
        <v>117</v>
      </c>
      <c r="AE323" s="4">
        <v>2</v>
      </c>
      <c r="AF323" s="4" t="s">
        <v>206</v>
      </c>
      <c r="AG323" s="4"/>
      <c r="AH323" s="4"/>
      <c r="AI323" s="4"/>
      <c r="AJ323" s="2"/>
      <c r="AK323" s="4"/>
      <c r="AL323" s="2">
        <v>0</v>
      </c>
    </row>
    <row r="324" spans="1:38" hidden="1" x14ac:dyDescent="0.2">
      <c r="A324" s="11">
        <v>44112</v>
      </c>
      <c r="B324" s="53" t="s">
        <v>2560</v>
      </c>
      <c r="C324" s="52" t="str">
        <f>IF(MID(B324,4,2)="09","Ramadan",IF(AND(MID(B324,4,2)="12",VALUE(LEFT(B324,2))&lt;=9),"Adha Season","Normal"))</f>
        <v>Normal</v>
      </c>
      <c r="D324" s="1" t="s">
        <v>45</v>
      </c>
      <c r="F324" s="4" t="s">
        <v>46</v>
      </c>
      <c r="G324" s="4">
        <v>33</v>
      </c>
      <c r="H324" s="4">
        <v>33</v>
      </c>
      <c r="I324" s="2">
        <f>grand[[#This Row],[number]]-grand[[#This Row],[received]]</f>
        <v>0</v>
      </c>
      <c r="J324" s="30"/>
      <c r="K324" s="4">
        <v>15750</v>
      </c>
      <c r="L324" s="4">
        <v>14800</v>
      </c>
      <c r="M324" s="2">
        <f>K324-L324</f>
        <v>950</v>
      </c>
      <c r="N324" s="4">
        <v>9510.1</v>
      </c>
      <c r="O324" s="4"/>
      <c r="P324" s="7">
        <f>grand[[#This Row],[total weight]]/grand[[#This Row],[received]]</f>
        <v>477.27272727272725</v>
      </c>
      <c r="Q324" s="7">
        <f>grand[[#This Row],[receiving weight]]/grand[[#This Row],[received]]</f>
        <v>448.4848484848485</v>
      </c>
      <c r="R324" s="7">
        <f>grand[[#This Row],[transportation loss ]]/grand[[#This Row],[received]]</f>
        <v>28.787878787878789</v>
      </c>
      <c r="S324" s="7">
        <f>grand[[#This Row],[ carcass weight]]/grand[[#This Row],[received]]</f>
        <v>288.18484848484849</v>
      </c>
      <c r="T324" s="7">
        <f>grand[[#This Row],[ kidneys fat quantity]]/grand[[#This Row],[received]]</f>
        <v>0</v>
      </c>
      <c r="U324" s="4">
        <v>24.6</v>
      </c>
      <c r="V324" s="4">
        <v>0</v>
      </c>
      <c r="W324" s="4">
        <v>49.9</v>
      </c>
      <c r="X324" s="4">
        <v>10</v>
      </c>
      <c r="Y324" s="8">
        <v>8.5</v>
      </c>
      <c r="Z324" s="3">
        <f>grand[[#This Row],[av. Transportation loss]]/grand[[#This Row],[av.total weight]]</f>
        <v>6.0317460317460325E-2</v>
      </c>
      <c r="AA324" s="12">
        <f>AVERAGE((grand[[#This Row],[am]]/25),(grand[[#This Row],[pm]]/50))</f>
        <v>0.9910000000000001</v>
      </c>
      <c r="AB324" s="3">
        <f>grand[[#This Row],[ carcass weight]]/grand[[#This Row],[total weight]]</f>
        <v>0.60381587301587303</v>
      </c>
      <c r="AC324" s="6">
        <f>SUM(grand[[#This Row],[am]:[meat transportation]])/100</f>
        <v>0.93</v>
      </c>
      <c r="AD324" s="9"/>
      <c r="AE324" s="4"/>
      <c r="AF324" s="4" t="s">
        <v>55</v>
      </c>
      <c r="AG324" s="4">
        <v>7</v>
      </c>
      <c r="AH324" s="4"/>
      <c r="AI324" s="4"/>
      <c r="AJ324" s="2">
        <v>6</v>
      </c>
      <c r="AK324" s="4"/>
      <c r="AL324" s="2">
        <v>4</v>
      </c>
    </row>
    <row r="325" spans="1:38" hidden="1" x14ac:dyDescent="0.2">
      <c r="A325" s="11">
        <v>44114</v>
      </c>
      <c r="B325" s="53" t="s">
        <v>2561</v>
      </c>
      <c r="C325" s="52" t="str">
        <f>IF(MID(B325,4,2)="09","Ramadan",IF(AND(MID(B325,4,2)="12",VALUE(LEFT(B325,2))&lt;=9),"Adha Season","Normal"))</f>
        <v>Normal</v>
      </c>
      <c r="D325" s="1" t="s">
        <v>45</v>
      </c>
      <c r="F325" s="4" t="s">
        <v>165</v>
      </c>
      <c r="G325" s="4">
        <v>33</v>
      </c>
      <c r="H325" s="4">
        <v>33</v>
      </c>
      <c r="I325" s="2">
        <f>grand[[#This Row],[number]]-grand[[#This Row],[received]]</f>
        <v>0</v>
      </c>
      <c r="J325" s="30"/>
      <c r="K325" s="4">
        <v>14333</v>
      </c>
      <c r="L325" s="4">
        <v>13645</v>
      </c>
      <c r="M325" s="2">
        <f>K325-L325</f>
        <v>688</v>
      </c>
      <c r="N325" s="4">
        <v>8599.6</v>
      </c>
      <c r="O325" s="4"/>
      <c r="P325" s="7">
        <f>grand[[#This Row],[total weight]]/grand[[#This Row],[received]]</f>
        <v>434.33333333333331</v>
      </c>
      <c r="Q325" s="7">
        <f>grand[[#This Row],[receiving weight]]/grand[[#This Row],[received]]</f>
        <v>413.4848484848485</v>
      </c>
      <c r="R325" s="7">
        <f>grand[[#This Row],[transportation loss ]]/grand[[#This Row],[received]]</f>
        <v>20.848484848484848</v>
      </c>
      <c r="S325" s="7">
        <f>grand[[#This Row],[ carcass weight]]/grand[[#This Row],[received]]</f>
        <v>260.59393939393942</v>
      </c>
      <c r="T325" s="7">
        <f>grand[[#This Row],[ kidneys fat quantity]]/grand[[#This Row],[received]]</f>
        <v>0</v>
      </c>
      <c r="U325" s="4">
        <v>25</v>
      </c>
      <c r="V325" s="4">
        <v>0</v>
      </c>
      <c r="W325" s="4">
        <v>49.2</v>
      </c>
      <c r="X325" s="4">
        <v>10</v>
      </c>
      <c r="Y325" s="8">
        <v>8.5</v>
      </c>
      <c r="Z325" s="3">
        <f>grand[[#This Row],[av. Transportation loss]]/grand[[#This Row],[av.total weight]]</f>
        <v>4.8001116305030352E-2</v>
      </c>
      <c r="AA325" s="12">
        <f>AVERAGE((grand[[#This Row],[am]]/25),(grand[[#This Row],[pm]]/50))</f>
        <v>0.99199999999999999</v>
      </c>
      <c r="AB325" s="3">
        <f>grand[[#This Row],[ carcass weight]]/grand[[#This Row],[total weight]]</f>
        <v>0.5999860461871207</v>
      </c>
      <c r="AC325" s="6">
        <f>SUM(grand[[#This Row],[am]:[meat transportation]])/100</f>
        <v>0.92700000000000005</v>
      </c>
      <c r="AD325" s="4" t="s">
        <v>214</v>
      </c>
      <c r="AE325" s="4">
        <v>3</v>
      </c>
      <c r="AF325" s="4" t="s">
        <v>81</v>
      </c>
      <c r="AG325" s="4"/>
      <c r="AH325" s="4"/>
      <c r="AI325" s="4"/>
      <c r="AJ325" s="2"/>
      <c r="AK325" s="4"/>
      <c r="AL325" s="2">
        <v>5.5</v>
      </c>
    </row>
    <row r="326" spans="1:38" hidden="1" x14ac:dyDescent="0.2">
      <c r="A326" s="11">
        <v>44119</v>
      </c>
      <c r="B326" s="53" t="s">
        <v>2563</v>
      </c>
      <c r="C326" s="52" t="str">
        <f>IF(MID(B326,4,2)="09","Ramadan",IF(AND(MID(B326,4,2)="12",VALUE(LEFT(B326,2))&lt;=9),"Adha Season","Normal"))</f>
        <v>Normal</v>
      </c>
      <c r="D326" s="1" t="s">
        <v>45</v>
      </c>
      <c r="F326" s="4" t="s">
        <v>220</v>
      </c>
      <c r="G326" s="4">
        <v>6</v>
      </c>
      <c r="H326" s="4">
        <v>6</v>
      </c>
      <c r="I326" s="2">
        <f>grand[[#This Row],[number]]-grand[[#This Row],[received]]</f>
        <v>0</v>
      </c>
      <c r="J326" s="30"/>
      <c r="K326" s="4">
        <v>2380</v>
      </c>
      <c r="L326" s="4">
        <v>2380</v>
      </c>
      <c r="M326" s="2">
        <f>K326-L326</f>
        <v>0</v>
      </c>
      <c r="N326" s="4">
        <v>1462.9</v>
      </c>
      <c r="O326" s="4"/>
      <c r="P326" s="7">
        <f>grand[[#This Row],[total weight]]/grand[[#This Row],[received]]</f>
        <v>396.66666666666669</v>
      </c>
      <c r="Q326" s="7">
        <f>grand[[#This Row],[receiving weight]]/grand[[#This Row],[received]]</f>
        <v>396.66666666666669</v>
      </c>
      <c r="R326" s="7">
        <f>grand[[#This Row],[transportation loss ]]/grand[[#This Row],[received]]</f>
        <v>0</v>
      </c>
      <c r="S326" s="7">
        <f>grand[[#This Row],[ carcass weight]]/grand[[#This Row],[received]]</f>
        <v>243.81666666666669</v>
      </c>
      <c r="T326" s="7">
        <f>grand[[#This Row],[ kidneys fat quantity]]/grand[[#This Row],[received]]</f>
        <v>0</v>
      </c>
      <c r="U326" s="4">
        <v>25</v>
      </c>
      <c r="V326" s="4">
        <v>0</v>
      </c>
      <c r="W326" s="4">
        <v>48.8</v>
      </c>
      <c r="X326" s="4">
        <v>10</v>
      </c>
      <c r="Y326" s="8">
        <v>8.5</v>
      </c>
      <c r="Z326" s="3">
        <f>grand[[#This Row],[av. Transportation loss]]/grand[[#This Row],[av.total weight]]</f>
        <v>0</v>
      </c>
      <c r="AA326" s="12">
        <f>AVERAGE((grand[[#This Row],[am]]/25),(grand[[#This Row],[pm]]/50))</f>
        <v>0.98799999999999999</v>
      </c>
      <c r="AB326" s="3">
        <f>grand[[#This Row],[ carcass weight]]/grand[[#This Row],[total weight]]</f>
        <v>0.61466386554621855</v>
      </c>
      <c r="AC326" s="6">
        <f>SUM(grand[[#This Row],[am]:[meat transportation]])/100</f>
        <v>0.92299999999999993</v>
      </c>
      <c r="AD326" s="9" t="s">
        <v>81</v>
      </c>
      <c r="AE326" s="4"/>
      <c r="AF326" s="4"/>
      <c r="AG326" s="4"/>
      <c r="AH326" s="4"/>
      <c r="AI326" s="4"/>
      <c r="AJ326" s="2"/>
      <c r="AK326" s="4"/>
      <c r="AL326" s="2">
        <v>8</v>
      </c>
    </row>
    <row r="327" spans="1:38" hidden="1" x14ac:dyDescent="0.2">
      <c r="A327" s="11">
        <v>44121</v>
      </c>
      <c r="B327" s="53" t="s">
        <v>2564</v>
      </c>
      <c r="C327" s="52" t="str">
        <f>IF(MID(B327,4,2)="09","Ramadan",IF(AND(MID(B327,4,2)="12",VALUE(LEFT(B327,2))&lt;=9),"Adha Season","Normal"))</f>
        <v>Normal</v>
      </c>
      <c r="D327" s="1" t="s">
        <v>45</v>
      </c>
      <c r="F327" s="4" t="s">
        <v>165</v>
      </c>
      <c r="G327" s="4">
        <v>24</v>
      </c>
      <c r="H327" s="4">
        <v>24</v>
      </c>
      <c r="I327" s="2">
        <f>grand[[#This Row],[number]]-grand[[#This Row],[received]]</f>
        <v>0</v>
      </c>
      <c r="J327" s="30"/>
      <c r="K327" s="4">
        <v>11218</v>
      </c>
      <c r="L327" s="4">
        <v>10730</v>
      </c>
      <c r="M327" s="2">
        <f>K327-L327</f>
        <v>488</v>
      </c>
      <c r="N327" s="4">
        <v>6730.7</v>
      </c>
      <c r="O327" s="4"/>
      <c r="P327" s="7">
        <f>grand[[#This Row],[total weight]]/grand[[#This Row],[received]]</f>
        <v>467.41666666666669</v>
      </c>
      <c r="Q327" s="7">
        <f>grand[[#This Row],[receiving weight]]/grand[[#This Row],[received]]</f>
        <v>447.08333333333331</v>
      </c>
      <c r="R327" s="7">
        <f>grand[[#This Row],[transportation loss ]]/grand[[#This Row],[received]]</f>
        <v>20.333333333333332</v>
      </c>
      <c r="S327" s="7">
        <f>grand[[#This Row],[ carcass weight]]/grand[[#This Row],[received]]</f>
        <v>280.44583333333333</v>
      </c>
      <c r="T327" s="7">
        <f>grand[[#This Row],[ kidneys fat quantity]]/grand[[#This Row],[received]]</f>
        <v>0</v>
      </c>
      <c r="U327" s="4">
        <v>25</v>
      </c>
      <c r="V327" s="4">
        <v>0</v>
      </c>
      <c r="W327" s="4">
        <v>50</v>
      </c>
      <c r="X327" s="4">
        <v>10</v>
      </c>
      <c r="Y327" s="8">
        <v>8.5</v>
      </c>
      <c r="Z327" s="3">
        <f>grand[[#This Row],[av. Transportation loss]]/grand[[#This Row],[av.total weight]]</f>
        <v>4.350151542164378E-2</v>
      </c>
      <c r="AA327" s="12">
        <f>AVERAGE((grand[[#This Row],[am]]/25),(grand[[#This Row],[pm]]/50))</f>
        <v>1</v>
      </c>
      <c r="AB327" s="3">
        <f>grand[[#This Row],[ carcass weight]]/grand[[#This Row],[total weight]]</f>
        <v>0.59999108575503657</v>
      </c>
      <c r="AC327" s="6">
        <f>SUM(grand[[#This Row],[am]:[meat transportation]])/100</f>
        <v>0.93500000000000005</v>
      </c>
      <c r="AD327" s="9"/>
      <c r="AE327" s="4"/>
      <c r="AF327" s="4"/>
      <c r="AG327" s="4"/>
      <c r="AH327" s="4"/>
      <c r="AI327" s="4"/>
      <c r="AJ327" s="2"/>
      <c r="AK327" s="4"/>
    </row>
    <row r="328" spans="1:38" hidden="1" x14ac:dyDescent="0.2">
      <c r="A328" s="11">
        <v>44124</v>
      </c>
      <c r="B328" s="53" t="s">
        <v>2565</v>
      </c>
      <c r="C328" s="52" t="str">
        <f>IF(MID(B328,4,2)="09","Ramadan",IF(AND(MID(B328,4,2)="12",VALUE(LEFT(B328,2))&lt;=9),"Adha Season","Normal"))</f>
        <v>Normal</v>
      </c>
      <c r="D328" s="1" t="s">
        <v>45</v>
      </c>
      <c r="F328" s="4" t="s">
        <v>50</v>
      </c>
      <c r="G328" s="4">
        <v>32</v>
      </c>
      <c r="H328" s="4">
        <v>32</v>
      </c>
      <c r="I328" s="2">
        <f>grand[[#This Row],[number]]-grand[[#This Row],[received]]</f>
        <v>0</v>
      </c>
      <c r="J328" s="30"/>
      <c r="K328" s="4">
        <v>13906</v>
      </c>
      <c r="L328" s="4">
        <v>13320</v>
      </c>
      <c r="M328" s="2">
        <f>K328-L328</f>
        <v>586</v>
      </c>
      <c r="N328" s="4">
        <v>8520.1</v>
      </c>
      <c r="O328" s="4"/>
      <c r="P328" s="7">
        <f>grand[[#This Row],[total weight]]/grand[[#This Row],[received]]</f>
        <v>434.5625</v>
      </c>
      <c r="Q328" s="7">
        <f>grand[[#This Row],[receiving weight]]/grand[[#This Row],[received]]</f>
        <v>416.25</v>
      </c>
      <c r="R328" s="7">
        <f>grand[[#This Row],[transportation loss ]]/grand[[#This Row],[received]]</f>
        <v>18.3125</v>
      </c>
      <c r="S328" s="7">
        <f>grand[[#This Row],[ carcass weight]]/grand[[#This Row],[received]]</f>
        <v>266.25312500000001</v>
      </c>
      <c r="T328" s="7">
        <f>grand[[#This Row],[ kidneys fat quantity]]/grand[[#This Row],[received]]</f>
        <v>0</v>
      </c>
      <c r="U328" s="4">
        <v>25</v>
      </c>
      <c r="V328" s="4">
        <v>0</v>
      </c>
      <c r="W328" s="4">
        <v>49.7</v>
      </c>
      <c r="X328" s="4">
        <v>9.9</v>
      </c>
      <c r="Y328" s="8">
        <v>8.5</v>
      </c>
      <c r="Z328" s="3">
        <f>grand[[#This Row],[av. Transportation loss]]/grand[[#This Row],[av.total weight]]</f>
        <v>4.2140083417229975E-2</v>
      </c>
      <c r="AA328" s="12">
        <f>AVERAGE((grand[[#This Row],[am]]/25),(grand[[#This Row],[pm]]/50))</f>
        <v>0.99700000000000011</v>
      </c>
      <c r="AB328" s="3">
        <f>grand[[#This Row],[ carcass weight]]/grand[[#This Row],[total weight]]</f>
        <v>0.61269236300877317</v>
      </c>
      <c r="AC328" s="6">
        <f>SUM(grand[[#This Row],[am]:[meat transportation]])/100</f>
        <v>0.93100000000000005</v>
      </c>
      <c r="AD328" s="9"/>
      <c r="AE328" s="4">
        <v>2</v>
      </c>
      <c r="AF328" s="4" t="s">
        <v>221</v>
      </c>
      <c r="AG328" s="4"/>
      <c r="AH328" s="4"/>
      <c r="AI328" s="4"/>
      <c r="AJ328" s="2"/>
      <c r="AK328" s="4"/>
      <c r="AL328" s="2">
        <f>10</f>
        <v>10</v>
      </c>
    </row>
    <row r="329" spans="1:38" hidden="1" x14ac:dyDescent="0.2">
      <c r="A329" s="11">
        <v>44128</v>
      </c>
      <c r="B329" s="53" t="s">
        <v>2567</v>
      </c>
      <c r="C329" s="52" t="str">
        <f>IF(MID(B329,4,2)="09","Ramadan",IF(AND(MID(B329,4,2)="12",VALUE(LEFT(B329,2))&lt;=9),"Adha Season","Normal"))</f>
        <v>Normal</v>
      </c>
      <c r="D329" s="2" t="s">
        <v>294</v>
      </c>
      <c r="E329" s="2"/>
      <c r="F329" s="4" t="s">
        <v>105</v>
      </c>
      <c r="G329" s="4">
        <v>30</v>
      </c>
      <c r="H329" s="4">
        <v>30</v>
      </c>
      <c r="I329" s="2">
        <f>grand[[#This Row],[number]]-grand[[#This Row],[received]]</f>
        <v>0</v>
      </c>
      <c r="J329" s="30"/>
      <c r="K329" s="4">
        <v>1404</v>
      </c>
      <c r="L329" s="4">
        <v>1370</v>
      </c>
      <c r="M329" s="2">
        <f>K329-L329</f>
        <v>34</v>
      </c>
      <c r="N329" s="4">
        <v>818.3</v>
      </c>
      <c r="O329" s="4"/>
      <c r="P329" s="7">
        <f>grand[[#This Row],[total weight]]/grand[[#This Row],[received]]</f>
        <v>46.8</v>
      </c>
      <c r="Q329" s="7">
        <f>grand[[#This Row],[receiving weight]]/grand[[#This Row],[received]]</f>
        <v>45.666666666666664</v>
      </c>
      <c r="R329" s="7">
        <f>grand[[#This Row],[transportation loss ]]/grand[[#This Row],[received]]</f>
        <v>1.1333333333333333</v>
      </c>
      <c r="S329" s="7">
        <f>grand[[#This Row],[ carcass weight]]/grand[[#This Row],[received]]</f>
        <v>27.276666666666664</v>
      </c>
      <c r="T329" s="7">
        <f>grand[[#This Row],[ kidneys fat quantity]]/grand[[#This Row],[received]]</f>
        <v>0</v>
      </c>
      <c r="U329" s="4">
        <v>25</v>
      </c>
      <c r="V329" s="4">
        <v>0</v>
      </c>
      <c r="W329" s="4">
        <v>49.9</v>
      </c>
      <c r="X329" s="4">
        <v>10</v>
      </c>
      <c r="Y329" s="8">
        <v>8.5</v>
      </c>
      <c r="Z329" s="3">
        <f>grand[[#This Row],[av. Transportation loss]]/grand[[#This Row],[av.total weight]]</f>
        <v>2.4216524216524218E-2</v>
      </c>
      <c r="AA329" s="12">
        <f>AVERAGE((grand[[#This Row],[am]]/25),(grand[[#This Row],[pm]]/50))</f>
        <v>0.999</v>
      </c>
      <c r="AB329" s="3">
        <f>grand[[#This Row],[ carcass weight]]/grand[[#This Row],[total weight]]</f>
        <v>0.5828347578347578</v>
      </c>
      <c r="AC329" s="6">
        <f>SUM(grand[[#This Row],[am]:[meat transportation]])/100</f>
        <v>0.93400000000000005</v>
      </c>
      <c r="AD329" s="9" t="s">
        <v>168</v>
      </c>
      <c r="AE329" s="4"/>
      <c r="AF329" s="4" t="s">
        <v>221</v>
      </c>
      <c r="AG329" s="4"/>
      <c r="AH329" s="4"/>
      <c r="AI329" s="4"/>
      <c r="AJ329" s="2"/>
      <c r="AK329" s="4"/>
    </row>
    <row r="330" spans="1:38" hidden="1" x14ac:dyDescent="0.2">
      <c r="A330" s="11">
        <v>44128</v>
      </c>
      <c r="B330" s="53" t="s">
        <v>2567</v>
      </c>
      <c r="C330" s="52" t="str">
        <f>IF(MID(B330,4,2)="09","Ramadan",IF(AND(MID(B330,4,2)="12",VALUE(LEFT(B330,2))&lt;=9),"Adha Season","Normal"))</f>
        <v>Normal</v>
      </c>
      <c r="D330" s="1" t="s">
        <v>45</v>
      </c>
      <c r="F330" s="4" t="s">
        <v>165</v>
      </c>
      <c r="G330" s="4">
        <v>32</v>
      </c>
      <c r="H330" s="4">
        <v>32</v>
      </c>
      <c r="I330" s="2">
        <f>grand[[#This Row],[number]]-grand[[#This Row],[received]]</f>
        <v>0</v>
      </c>
      <c r="J330" s="30"/>
      <c r="K330" s="4">
        <v>15503</v>
      </c>
      <c r="L330" s="4">
        <v>14885</v>
      </c>
      <c r="M330" s="2">
        <f>K330-L330</f>
        <v>618</v>
      </c>
      <c r="N330" s="4">
        <v>9406.1</v>
      </c>
      <c r="O330" s="4"/>
      <c r="P330" s="7">
        <f>grand[[#This Row],[total weight]]/grand[[#This Row],[received]]</f>
        <v>484.46875</v>
      </c>
      <c r="Q330" s="7">
        <f>grand[[#This Row],[receiving weight]]/grand[[#This Row],[received]]</f>
        <v>465.15625</v>
      </c>
      <c r="R330" s="7">
        <f>grand[[#This Row],[transportation loss ]]/grand[[#This Row],[received]]</f>
        <v>19.3125</v>
      </c>
      <c r="S330" s="7">
        <f>grand[[#This Row],[ carcass weight]]/grand[[#This Row],[received]]</f>
        <v>293.94062500000001</v>
      </c>
      <c r="T330" s="7">
        <f>grand[[#This Row],[ kidneys fat quantity]]/grand[[#This Row],[received]]</f>
        <v>0</v>
      </c>
      <c r="U330" s="4">
        <v>25</v>
      </c>
      <c r="V330" s="4">
        <v>0</v>
      </c>
      <c r="W330" s="4">
        <v>50</v>
      </c>
      <c r="X330" s="4">
        <v>10</v>
      </c>
      <c r="Y330" s="8">
        <v>8.5</v>
      </c>
      <c r="Z330" s="3">
        <f>grand[[#This Row],[av. Transportation loss]]/grand[[#This Row],[av.total weight]]</f>
        <v>3.9863252273753466E-2</v>
      </c>
      <c r="AA330" s="12">
        <f>AVERAGE((grand[[#This Row],[am]]/25),(grand[[#This Row],[pm]]/50))</f>
        <v>1</v>
      </c>
      <c r="AB330" s="3">
        <f>grand[[#This Row],[ carcass weight]]/grand[[#This Row],[total weight]]</f>
        <v>0.60672773011675163</v>
      </c>
      <c r="AC330" s="6">
        <f>SUM(grand[[#This Row],[am]:[meat transportation]])/100</f>
        <v>0.93500000000000005</v>
      </c>
      <c r="AD330" s="9"/>
      <c r="AE330" s="4"/>
      <c r="AF330" s="4"/>
      <c r="AG330" s="4"/>
      <c r="AH330" s="4"/>
      <c r="AI330" s="4"/>
      <c r="AJ330" s="2"/>
      <c r="AK330" s="4"/>
    </row>
    <row r="331" spans="1:38" hidden="1" x14ac:dyDescent="0.2">
      <c r="A331" s="11">
        <v>44131</v>
      </c>
      <c r="B331" s="53" t="s">
        <v>2568</v>
      </c>
      <c r="C331" s="52" t="str">
        <f>IF(MID(B331,4,2)="09","Ramadan",IF(AND(MID(B331,4,2)="12",VALUE(LEFT(B331,2))&lt;=9),"Adha Season","Normal"))</f>
        <v>Normal</v>
      </c>
      <c r="D331" s="1" t="s">
        <v>45</v>
      </c>
      <c r="F331" s="4" t="s">
        <v>46</v>
      </c>
      <c r="G331" s="4">
        <v>8</v>
      </c>
      <c r="H331" s="4">
        <v>8</v>
      </c>
      <c r="I331" s="2">
        <f>grand[[#This Row],[number]]-grand[[#This Row],[received]]</f>
        <v>0</v>
      </c>
      <c r="J331" s="30"/>
      <c r="K331" s="4">
        <v>3818</v>
      </c>
      <c r="L331" s="4">
        <v>3515</v>
      </c>
      <c r="M331" s="2">
        <f>K331-L331</f>
        <v>303</v>
      </c>
      <c r="N331" s="4">
        <v>2290.6999999999998</v>
      </c>
      <c r="O331" s="4"/>
      <c r="P331" s="7">
        <f>grand[[#This Row],[total weight]]/grand[[#This Row],[received]]</f>
        <v>477.25</v>
      </c>
      <c r="Q331" s="7">
        <f>grand[[#This Row],[receiving weight]]/grand[[#This Row],[received]]</f>
        <v>439.375</v>
      </c>
      <c r="R331" s="7">
        <f>grand[[#This Row],[transportation loss ]]/grand[[#This Row],[received]]</f>
        <v>37.875</v>
      </c>
      <c r="S331" s="7">
        <f>grand[[#This Row],[ carcass weight]]/grand[[#This Row],[received]]</f>
        <v>286.33749999999998</v>
      </c>
      <c r="T331" s="7">
        <f>grand[[#This Row],[ kidneys fat quantity]]/grand[[#This Row],[received]]</f>
        <v>0</v>
      </c>
      <c r="U331" s="4">
        <v>25</v>
      </c>
      <c r="V331" s="4">
        <v>0</v>
      </c>
      <c r="W331" s="4">
        <v>49.9</v>
      </c>
      <c r="X331" s="4">
        <v>10</v>
      </c>
      <c r="Y331" s="8">
        <v>8.5</v>
      </c>
      <c r="Z331" s="3">
        <f>grand[[#This Row],[av. Transportation loss]]/grand[[#This Row],[av.total weight]]</f>
        <v>7.9360921948664218E-2</v>
      </c>
      <c r="AA331" s="12">
        <f>AVERAGE((grand[[#This Row],[am]]/25),(grand[[#This Row],[pm]]/50))</f>
        <v>0.999</v>
      </c>
      <c r="AB331" s="3">
        <f>grand[[#This Row],[ carcass weight]]/grand[[#This Row],[total weight]]</f>
        <v>0.59997380827658453</v>
      </c>
      <c r="AC331" s="6">
        <f>SUM(grand[[#This Row],[am]:[meat transportation]])/100</f>
        <v>0.93400000000000005</v>
      </c>
      <c r="AD331" s="9"/>
      <c r="AE331" s="4"/>
      <c r="AF331" s="4"/>
      <c r="AG331" s="4"/>
      <c r="AH331" s="4"/>
      <c r="AI331" s="4"/>
      <c r="AJ331" s="2"/>
      <c r="AK331" s="4"/>
    </row>
    <row r="332" spans="1:38" hidden="1" x14ac:dyDescent="0.2">
      <c r="A332" s="11">
        <v>44133</v>
      </c>
      <c r="B332" s="53" t="s">
        <v>2569</v>
      </c>
      <c r="C332" s="52" t="str">
        <f>IF(MID(B332,4,2)="09","Ramadan",IF(AND(MID(B332,4,2)="12",VALUE(LEFT(B332,2))&lt;=9),"Adha Season","Normal"))</f>
        <v>Normal</v>
      </c>
      <c r="D332" s="1" t="s">
        <v>45</v>
      </c>
      <c r="F332" s="4" t="s">
        <v>46</v>
      </c>
      <c r="G332" s="4">
        <v>43</v>
      </c>
      <c r="H332" s="4">
        <v>43</v>
      </c>
      <c r="I332" s="2">
        <f>grand[[#This Row],[number]]-grand[[#This Row],[received]]</f>
        <v>0</v>
      </c>
      <c r="J332" s="30"/>
      <c r="K332" s="4">
        <v>20399</v>
      </c>
      <c r="L332" s="4">
        <v>19265</v>
      </c>
      <c r="M332" s="2">
        <f>K332-L332</f>
        <v>1134</v>
      </c>
      <c r="N332" s="4">
        <v>12238.9</v>
      </c>
      <c r="O332" s="4"/>
      <c r="P332" s="7">
        <f>grand[[#This Row],[total weight]]/grand[[#This Row],[received]]</f>
        <v>474.39534883720933</v>
      </c>
      <c r="Q332" s="7">
        <f>grand[[#This Row],[receiving weight]]/grand[[#This Row],[received]]</f>
        <v>448.02325581395348</v>
      </c>
      <c r="R332" s="7">
        <f>grand[[#This Row],[transportation loss ]]/grand[[#This Row],[received]]</f>
        <v>26.372093023255815</v>
      </c>
      <c r="S332" s="7">
        <f>grand[[#This Row],[ carcass weight]]/grand[[#This Row],[received]]</f>
        <v>284.62558139534883</v>
      </c>
      <c r="T332" s="7">
        <f>grand[[#This Row],[ kidneys fat quantity]]/grand[[#This Row],[received]]</f>
        <v>0</v>
      </c>
      <c r="U332" s="4">
        <v>25</v>
      </c>
      <c r="V332" s="4">
        <v>0</v>
      </c>
      <c r="W332" s="4">
        <v>49.7</v>
      </c>
      <c r="X332" s="4">
        <v>10</v>
      </c>
      <c r="Y332" s="8">
        <v>8.5</v>
      </c>
      <c r="Z332" s="3">
        <f>grand[[#This Row],[av. Transportation loss]]/grand[[#This Row],[av.total weight]]</f>
        <v>5.5590960341193194E-2</v>
      </c>
      <c r="AA332" s="12">
        <f>AVERAGE((grand[[#This Row],[am]]/25),(grand[[#This Row],[pm]]/50))</f>
        <v>0.99700000000000011</v>
      </c>
      <c r="AB332" s="3">
        <f>grand[[#This Row],[ carcass weight]]/grand[[#This Row],[total weight]]</f>
        <v>0.59997548899455855</v>
      </c>
      <c r="AC332" s="6">
        <f>SUM(grand[[#This Row],[am]:[meat transportation]])/100</f>
        <v>0.93200000000000005</v>
      </c>
      <c r="AD332" s="9" t="s">
        <v>81</v>
      </c>
      <c r="AE332" s="4">
        <v>1</v>
      </c>
      <c r="AF332" s="4" t="s">
        <v>88</v>
      </c>
      <c r="AG332" s="4"/>
      <c r="AH332" s="4"/>
      <c r="AI332" s="4"/>
      <c r="AJ332" s="2"/>
      <c r="AK332" s="4"/>
      <c r="AL332" s="2">
        <v>11</v>
      </c>
    </row>
    <row r="333" spans="1:38" hidden="1" x14ac:dyDescent="0.2">
      <c r="A333" s="11">
        <v>44135</v>
      </c>
      <c r="B333" s="53" t="s">
        <v>2570</v>
      </c>
      <c r="C333" s="52" t="str">
        <f>IF(MID(B333,4,2)="09","Ramadan",IF(AND(MID(B333,4,2)="12",VALUE(LEFT(B333,2))&lt;=9),"Adha Season","Normal"))</f>
        <v>Normal</v>
      </c>
      <c r="D333" s="2" t="s">
        <v>294</v>
      </c>
      <c r="E333" s="2"/>
      <c r="F333" s="4" t="s">
        <v>105</v>
      </c>
      <c r="G333" s="4">
        <v>29</v>
      </c>
      <c r="H333" s="4">
        <v>29</v>
      </c>
      <c r="I333" s="2">
        <f>grand[[#This Row],[number]]-grand[[#This Row],[received]]</f>
        <v>0</v>
      </c>
      <c r="J333" s="30"/>
      <c r="K333" s="4">
        <v>1480</v>
      </c>
      <c r="L333" s="4">
        <v>1450</v>
      </c>
      <c r="M333" s="2">
        <f>K333-L333</f>
        <v>30</v>
      </c>
      <c r="N333" s="4">
        <v>887.5</v>
      </c>
      <c r="O333" s="4"/>
      <c r="P333" s="7">
        <f>grand[[#This Row],[total weight]]/grand[[#This Row],[received]]</f>
        <v>51.03448275862069</v>
      </c>
      <c r="Q333" s="7">
        <f>grand[[#This Row],[receiving weight]]/grand[[#This Row],[received]]</f>
        <v>50</v>
      </c>
      <c r="R333" s="7">
        <f>grand[[#This Row],[transportation loss ]]/grand[[#This Row],[received]]</f>
        <v>1.0344827586206897</v>
      </c>
      <c r="S333" s="7">
        <f>grand[[#This Row],[ carcass weight]]/grand[[#This Row],[received]]</f>
        <v>30.603448275862068</v>
      </c>
      <c r="T333" s="7">
        <f>grand[[#This Row],[ kidneys fat quantity]]/grand[[#This Row],[received]]</f>
        <v>0</v>
      </c>
      <c r="U333" s="4">
        <v>25</v>
      </c>
      <c r="V333" s="4">
        <v>0</v>
      </c>
      <c r="W333" s="4">
        <v>49.5</v>
      </c>
      <c r="X333" s="4">
        <v>10</v>
      </c>
      <c r="Y333" s="8">
        <v>8.5</v>
      </c>
      <c r="Z333" s="3">
        <f>grand[[#This Row],[av. Transportation loss]]/grand[[#This Row],[av.total weight]]</f>
        <v>2.0270270270270271E-2</v>
      </c>
      <c r="AA333" s="12">
        <f>AVERAGE((grand[[#This Row],[am]]/25),(grand[[#This Row],[pm]]/50))</f>
        <v>0.995</v>
      </c>
      <c r="AB333" s="3">
        <f>grand[[#This Row],[ carcass weight]]/grand[[#This Row],[total weight]]</f>
        <v>0.59966216216216217</v>
      </c>
      <c r="AC333" s="6">
        <f>SUM(grand[[#This Row],[am]:[meat transportation]])/100</f>
        <v>0.93</v>
      </c>
      <c r="AD333" s="9" t="s">
        <v>113</v>
      </c>
      <c r="AE333" s="4"/>
      <c r="AF333" s="4" t="s">
        <v>104</v>
      </c>
      <c r="AG333" s="4"/>
      <c r="AH333" s="4"/>
      <c r="AI333" s="4"/>
      <c r="AJ333" s="2"/>
      <c r="AK333" s="4"/>
    </row>
    <row r="334" spans="1:38" hidden="1" x14ac:dyDescent="0.2">
      <c r="A334" s="11">
        <v>44140</v>
      </c>
      <c r="B334" s="53" t="s">
        <v>2572</v>
      </c>
      <c r="C334" s="52" t="str">
        <f>IF(MID(B334,4,2)="09","Ramadan",IF(AND(MID(B334,4,2)="12",VALUE(LEFT(B334,2))&lt;=9),"Adha Season","Normal"))</f>
        <v>Normal</v>
      </c>
      <c r="D334" s="1" t="s">
        <v>45</v>
      </c>
      <c r="F334" s="4" t="s">
        <v>46</v>
      </c>
      <c r="G334" s="4">
        <v>48</v>
      </c>
      <c r="H334" s="4">
        <v>48</v>
      </c>
      <c r="I334" s="2">
        <f>grand[[#This Row],[number]]-grand[[#This Row],[received]]</f>
        <v>0</v>
      </c>
      <c r="J334" s="30"/>
      <c r="K334" s="4">
        <v>22546</v>
      </c>
      <c r="L334" s="4">
        <v>21250</v>
      </c>
      <c r="M334" s="2">
        <f>K334-L334</f>
        <v>1296</v>
      </c>
      <c r="N334" s="4">
        <v>13567.1</v>
      </c>
      <c r="O334" s="4"/>
      <c r="P334" s="7">
        <f>grand[[#This Row],[total weight]]/grand[[#This Row],[received]]</f>
        <v>469.70833333333331</v>
      </c>
      <c r="Q334" s="7">
        <f>grand[[#This Row],[receiving weight]]/grand[[#This Row],[received]]</f>
        <v>442.70833333333331</v>
      </c>
      <c r="R334" s="7">
        <f>grand[[#This Row],[transportation loss ]]/grand[[#This Row],[received]]</f>
        <v>27</v>
      </c>
      <c r="S334" s="7">
        <f>grand[[#This Row],[ carcass weight]]/grand[[#This Row],[received]]</f>
        <v>282.64791666666667</v>
      </c>
      <c r="T334" s="7">
        <f>grand[[#This Row],[ kidneys fat quantity]]/grand[[#This Row],[received]]</f>
        <v>0</v>
      </c>
      <c r="U334" s="4">
        <v>25</v>
      </c>
      <c r="V334" s="4">
        <v>0</v>
      </c>
      <c r="W334" s="4">
        <v>49.5</v>
      </c>
      <c r="X334" s="4">
        <v>10</v>
      </c>
      <c r="Y334" s="8">
        <v>8.5</v>
      </c>
      <c r="Z334" s="3">
        <f>grand[[#This Row],[av. Transportation loss]]/grand[[#This Row],[av.total weight]]</f>
        <v>5.7482480262574298E-2</v>
      </c>
      <c r="AA334" s="12">
        <f>AVERAGE((grand[[#This Row],[am]]/25),(grand[[#This Row],[pm]]/50))</f>
        <v>0.995</v>
      </c>
      <c r="AB334" s="3">
        <f>grand[[#This Row],[ carcass weight]]/grand[[#This Row],[total weight]]</f>
        <v>0.60175197374257072</v>
      </c>
      <c r="AC334" s="6">
        <f>SUM(grand[[#This Row],[am]:[meat transportation]])/100</f>
        <v>0.93</v>
      </c>
      <c r="AD334" s="9" t="s">
        <v>89</v>
      </c>
      <c r="AE334" s="4">
        <v>4</v>
      </c>
      <c r="AF334" s="4" t="s">
        <v>88</v>
      </c>
      <c r="AG334" s="4"/>
      <c r="AH334" s="4"/>
      <c r="AI334" s="4"/>
      <c r="AJ334" s="2"/>
      <c r="AK334" s="4"/>
      <c r="AL334" s="2">
        <v>4</v>
      </c>
    </row>
    <row r="335" spans="1:38" hidden="1" x14ac:dyDescent="0.2">
      <c r="A335" s="11">
        <v>44142</v>
      </c>
      <c r="B335" s="53" t="s">
        <v>2573</v>
      </c>
      <c r="C335" s="52" t="str">
        <f>IF(MID(B335,4,2)="09","Ramadan",IF(AND(MID(B335,4,2)="12",VALUE(LEFT(B335,2))&lt;=9),"Adha Season","Normal"))</f>
        <v>Normal</v>
      </c>
      <c r="D335" s="2" t="s">
        <v>294</v>
      </c>
      <c r="E335" s="2"/>
      <c r="F335" s="4" t="s">
        <v>105</v>
      </c>
      <c r="G335" s="4">
        <v>26</v>
      </c>
      <c r="H335" s="4">
        <v>26</v>
      </c>
      <c r="I335" s="2">
        <f>grand[[#This Row],[number]]-grand[[#This Row],[received]]</f>
        <v>0</v>
      </c>
      <c r="J335" s="30"/>
      <c r="K335" s="4">
        <v>1414</v>
      </c>
      <c r="L335" s="4">
        <v>1410</v>
      </c>
      <c r="M335" s="2">
        <f>K335-L335</f>
        <v>4</v>
      </c>
      <c r="N335" s="4">
        <v>858.9</v>
      </c>
      <c r="O335" s="4"/>
      <c r="P335" s="7">
        <f>grand[[#This Row],[total weight]]/grand[[#This Row],[received]]</f>
        <v>54.384615384615387</v>
      </c>
      <c r="Q335" s="7">
        <f>grand[[#This Row],[receiving weight]]/grand[[#This Row],[received]]</f>
        <v>54.230769230769234</v>
      </c>
      <c r="R335" s="7">
        <f>grand[[#This Row],[transportation loss ]]/grand[[#This Row],[received]]</f>
        <v>0.15384615384615385</v>
      </c>
      <c r="S335" s="7">
        <f>grand[[#This Row],[ carcass weight]]/grand[[#This Row],[received]]</f>
        <v>33.034615384615385</v>
      </c>
      <c r="T335" s="7">
        <f>grand[[#This Row],[ kidneys fat quantity]]/grand[[#This Row],[received]]</f>
        <v>0</v>
      </c>
      <c r="U335" s="4">
        <v>25</v>
      </c>
      <c r="V335" s="4">
        <v>0</v>
      </c>
      <c r="W335" s="4">
        <v>50</v>
      </c>
      <c r="X335" s="4">
        <v>10</v>
      </c>
      <c r="Y335" s="8">
        <v>8.5</v>
      </c>
      <c r="Z335" s="3">
        <f>grand[[#This Row],[av. Transportation loss]]/grand[[#This Row],[av.total weight]]</f>
        <v>2.828854314002829E-3</v>
      </c>
      <c r="AA335" s="12">
        <f>AVERAGE((grand[[#This Row],[am]]/25),(grand[[#This Row],[pm]]/50))</f>
        <v>1</v>
      </c>
      <c r="AB335" s="3">
        <f>grand[[#This Row],[ carcass weight]]/grand[[#This Row],[total weight]]</f>
        <v>0.60742574257425741</v>
      </c>
      <c r="AC335" s="6">
        <f>SUM(grand[[#This Row],[am]:[meat transportation]])/100</f>
        <v>0.93500000000000005</v>
      </c>
      <c r="AD335" s="9"/>
      <c r="AE335" s="4"/>
      <c r="AF335" s="4"/>
      <c r="AG335" s="4"/>
      <c r="AH335" s="4"/>
      <c r="AI335" s="4"/>
      <c r="AJ335" s="2"/>
      <c r="AK335" s="4"/>
    </row>
    <row r="336" spans="1:38" hidden="1" x14ac:dyDescent="0.2">
      <c r="A336" s="11">
        <v>44142</v>
      </c>
      <c r="B336" s="53" t="s">
        <v>2573</v>
      </c>
      <c r="C336" s="52" t="str">
        <f>IF(MID(B336,4,2)="09","Ramadan",IF(AND(MID(B336,4,2)="12",VALUE(LEFT(B336,2))&lt;=9),"Adha Season","Normal"))</f>
        <v>Normal</v>
      </c>
      <c r="D336" s="1" t="s">
        <v>45</v>
      </c>
      <c r="F336" s="4" t="s">
        <v>165</v>
      </c>
      <c r="G336" s="4">
        <v>30</v>
      </c>
      <c r="H336" s="4">
        <v>30</v>
      </c>
      <c r="I336" s="2">
        <f>grand[[#This Row],[number]]-grand[[#This Row],[received]]</f>
        <v>0</v>
      </c>
      <c r="J336" s="30"/>
      <c r="K336" s="4">
        <v>14763</v>
      </c>
      <c r="L336" s="4">
        <v>14525</v>
      </c>
      <c r="M336" s="2">
        <f>K336-L336</f>
        <v>238</v>
      </c>
      <c r="N336" s="4">
        <v>9223.2999999999993</v>
      </c>
      <c r="O336" s="4"/>
      <c r="P336" s="7">
        <f>grand[[#This Row],[total weight]]/grand[[#This Row],[received]]</f>
        <v>492.1</v>
      </c>
      <c r="Q336" s="7">
        <f>grand[[#This Row],[receiving weight]]/grand[[#This Row],[received]]</f>
        <v>484.16666666666669</v>
      </c>
      <c r="R336" s="7">
        <f>grand[[#This Row],[transportation loss ]]/grand[[#This Row],[received]]</f>
        <v>7.9333333333333336</v>
      </c>
      <c r="S336" s="7">
        <f>grand[[#This Row],[ carcass weight]]/grand[[#This Row],[received]]</f>
        <v>307.44333333333333</v>
      </c>
      <c r="T336" s="7">
        <f>grand[[#This Row],[ kidneys fat quantity]]/grand[[#This Row],[received]]</f>
        <v>0</v>
      </c>
      <c r="U336" s="4">
        <v>25</v>
      </c>
      <c r="V336" s="4">
        <v>0</v>
      </c>
      <c r="W336" s="4">
        <v>50</v>
      </c>
      <c r="X336" s="4">
        <v>10</v>
      </c>
      <c r="Y336" s="8">
        <v>8.5</v>
      </c>
      <c r="Z336" s="3">
        <f>grand[[#This Row],[av. Transportation loss]]/grand[[#This Row],[av.total weight]]</f>
        <v>1.6121384542437174E-2</v>
      </c>
      <c r="AA336" s="12">
        <f>AVERAGE((grand[[#This Row],[am]]/25),(grand[[#This Row],[pm]]/50))</f>
        <v>1</v>
      </c>
      <c r="AB336" s="3">
        <f>grand[[#This Row],[ carcass weight]]/grand[[#This Row],[total weight]]</f>
        <v>0.6247578405473142</v>
      </c>
      <c r="AC336" s="6">
        <f>SUM(grand[[#This Row],[am]:[meat transportation]])/100</f>
        <v>0.93500000000000005</v>
      </c>
      <c r="AD336" s="9"/>
      <c r="AE336" s="4"/>
      <c r="AF336" s="4"/>
      <c r="AG336" s="4"/>
      <c r="AH336" s="4"/>
      <c r="AI336" s="4"/>
      <c r="AJ336" s="2"/>
      <c r="AK336" s="4"/>
    </row>
    <row r="337" spans="1:38" hidden="1" x14ac:dyDescent="0.2">
      <c r="A337" s="11">
        <v>44145</v>
      </c>
      <c r="B337" s="53" t="s">
        <v>2574</v>
      </c>
      <c r="C337" s="52" t="str">
        <f>IF(MID(B337,4,2)="09","Ramadan",IF(AND(MID(B337,4,2)="12",VALUE(LEFT(B337,2))&lt;=9),"Adha Season","Normal"))</f>
        <v>Normal</v>
      </c>
      <c r="D337" s="1" t="s">
        <v>45</v>
      </c>
      <c r="F337" s="4" t="s">
        <v>165</v>
      </c>
      <c r="G337" s="4">
        <v>36</v>
      </c>
      <c r="H337" s="4">
        <v>36</v>
      </c>
      <c r="I337" s="2">
        <f>grand[[#This Row],[number]]-grand[[#This Row],[received]]</f>
        <v>0</v>
      </c>
      <c r="J337" s="30"/>
      <c r="K337" s="4">
        <v>17615</v>
      </c>
      <c r="L337" s="4">
        <v>17160</v>
      </c>
      <c r="M337" s="2">
        <f>K337-L337</f>
        <v>455</v>
      </c>
      <c r="N337" s="4">
        <v>10858.2</v>
      </c>
      <c r="O337" s="4"/>
      <c r="P337" s="7">
        <f>grand[[#This Row],[total weight]]/grand[[#This Row],[received]]</f>
        <v>489.30555555555554</v>
      </c>
      <c r="Q337" s="7">
        <f>grand[[#This Row],[receiving weight]]/grand[[#This Row],[received]]</f>
        <v>476.66666666666669</v>
      </c>
      <c r="R337" s="7">
        <f>grand[[#This Row],[transportation loss ]]/grand[[#This Row],[received]]</f>
        <v>12.638888888888889</v>
      </c>
      <c r="S337" s="7">
        <f>grand[[#This Row],[ carcass weight]]/grand[[#This Row],[received]]</f>
        <v>301.61666666666667</v>
      </c>
      <c r="T337" s="7">
        <f>grand[[#This Row],[ kidneys fat quantity]]/grand[[#This Row],[received]]</f>
        <v>0</v>
      </c>
      <c r="U337" s="4">
        <v>25</v>
      </c>
      <c r="V337" s="4">
        <v>0</v>
      </c>
      <c r="W337" s="4">
        <v>49.92</v>
      </c>
      <c r="X337" s="4">
        <v>10</v>
      </c>
      <c r="Y337" s="8">
        <v>8.5</v>
      </c>
      <c r="Z337" s="3">
        <f>grand[[#This Row],[av. Transportation loss]]/grand[[#This Row],[av.total weight]]</f>
        <v>2.5830258302583026E-2</v>
      </c>
      <c r="AA337" s="12">
        <f>AVERAGE((grand[[#This Row],[am]]/25),(grand[[#This Row],[pm]]/50))</f>
        <v>0.99920000000000009</v>
      </c>
      <c r="AB337" s="3">
        <f>grand[[#This Row],[ carcass weight]]/grand[[#This Row],[total weight]]</f>
        <v>0.61641782571671877</v>
      </c>
      <c r="AC337" s="6">
        <f>SUM(grand[[#This Row],[am]:[meat transportation]])/100</f>
        <v>0.93420000000000003</v>
      </c>
      <c r="AD337" s="9"/>
      <c r="AE337" s="4">
        <v>1</v>
      </c>
      <c r="AF337" s="4" t="s">
        <v>227</v>
      </c>
      <c r="AG337" s="4"/>
      <c r="AH337" s="4"/>
      <c r="AI337" s="4"/>
      <c r="AJ337" s="2"/>
      <c r="AK337" s="4"/>
    </row>
    <row r="338" spans="1:38" hidden="1" x14ac:dyDescent="0.2">
      <c r="A338" s="11">
        <v>44149</v>
      </c>
      <c r="B338" s="53" t="s">
        <v>2576</v>
      </c>
      <c r="C338" s="52" t="str">
        <f>IF(MID(B338,4,2)="09","Ramadan",IF(AND(MID(B338,4,2)="12",VALUE(LEFT(B338,2))&lt;=9),"Adha Season","Normal"))</f>
        <v>Normal</v>
      </c>
      <c r="D338" s="2" t="s">
        <v>294</v>
      </c>
      <c r="E338" s="2"/>
      <c r="F338" s="4" t="s">
        <v>105</v>
      </c>
      <c r="G338" s="4">
        <v>25</v>
      </c>
      <c r="H338" s="4">
        <v>25</v>
      </c>
      <c r="I338" s="2">
        <f>grand[[#This Row],[number]]-grand[[#This Row],[received]]</f>
        <v>0</v>
      </c>
      <c r="J338" s="30"/>
      <c r="K338" s="4">
        <v>1178</v>
      </c>
      <c r="L338" s="4">
        <v>1155</v>
      </c>
      <c r="M338" s="2">
        <f>K338-L338</f>
        <v>23</v>
      </c>
      <c r="N338" s="4">
        <v>696.1</v>
      </c>
      <c r="O338" s="4"/>
      <c r="P338" s="7">
        <f>grand[[#This Row],[total weight]]/grand[[#This Row],[received]]</f>
        <v>47.12</v>
      </c>
      <c r="Q338" s="7">
        <f>grand[[#This Row],[receiving weight]]/grand[[#This Row],[received]]</f>
        <v>46.2</v>
      </c>
      <c r="R338" s="7">
        <f>grand[[#This Row],[transportation loss ]]/grand[[#This Row],[received]]</f>
        <v>0.92</v>
      </c>
      <c r="S338" s="7">
        <f>grand[[#This Row],[ carcass weight]]/grand[[#This Row],[received]]</f>
        <v>27.844000000000001</v>
      </c>
      <c r="T338" s="7">
        <f>grand[[#This Row],[ kidneys fat quantity]]/grand[[#This Row],[received]]</f>
        <v>0</v>
      </c>
      <c r="U338" s="4">
        <v>25</v>
      </c>
      <c r="V338" s="4">
        <v>0</v>
      </c>
      <c r="W338" s="4">
        <v>49.44</v>
      </c>
      <c r="X338" s="4">
        <v>10</v>
      </c>
      <c r="Y338" s="8">
        <v>8.5</v>
      </c>
      <c r="Z338" s="3">
        <f>grand[[#This Row],[av. Transportation loss]]/grand[[#This Row],[av.total weight]]</f>
        <v>1.9524617996604415E-2</v>
      </c>
      <c r="AA338" s="12">
        <f>AVERAGE((grand[[#This Row],[am]]/25),(grand[[#This Row],[pm]]/50))</f>
        <v>0.99439999999999995</v>
      </c>
      <c r="AB338" s="3">
        <f>grand[[#This Row],[ carcass weight]]/grand[[#This Row],[total weight]]</f>
        <v>0.59091680814940584</v>
      </c>
      <c r="AC338" s="6">
        <f>SUM(grand[[#This Row],[am]:[meat transportation]])/100</f>
        <v>0.9294</v>
      </c>
      <c r="AD338" s="9" t="s">
        <v>71</v>
      </c>
      <c r="AE338" s="4"/>
      <c r="AF338" s="4"/>
      <c r="AG338" s="4"/>
      <c r="AH338" s="4"/>
      <c r="AI338" s="4"/>
      <c r="AJ338" s="2"/>
      <c r="AK338" s="4"/>
      <c r="AL338" s="2">
        <v>3</v>
      </c>
    </row>
    <row r="339" spans="1:38" hidden="1" x14ac:dyDescent="0.2">
      <c r="A339" s="11">
        <v>44156</v>
      </c>
      <c r="B339" s="53" t="s">
        <v>2579</v>
      </c>
      <c r="C339" s="52" t="str">
        <f>IF(MID(B339,4,2)="09","Ramadan",IF(AND(MID(B339,4,2)="12",VALUE(LEFT(B339,2))&lt;=9),"Adha Season","Normal"))</f>
        <v>Normal</v>
      </c>
      <c r="D339" s="2" t="s">
        <v>294</v>
      </c>
      <c r="E339" s="2"/>
      <c r="F339" s="4" t="s">
        <v>105</v>
      </c>
      <c r="G339" s="4">
        <v>26</v>
      </c>
      <c r="H339" s="4">
        <v>26</v>
      </c>
      <c r="I339" s="2">
        <f>grand[[#This Row],[number]]-grand[[#This Row],[received]]</f>
        <v>0</v>
      </c>
      <c r="J339" s="30"/>
      <c r="K339" s="4">
        <v>1235</v>
      </c>
      <c r="L339" s="4">
        <v>1225</v>
      </c>
      <c r="M339" s="2">
        <f>K339-L339</f>
        <v>10</v>
      </c>
      <c r="N339" s="4">
        <v>747.2</v>
      </c>
      <c r="O339" s="4"/>
      <c r="P339" s="7">
        <f>grand[[#This Row],[total weight]]/grand[[#This Row],[received]]</f>
        <v>47.5</v>
      </c>
      <c r="Q339" s="7">
        <f>grand[[#This Row],[receiving weight]]/grand[[#This Row],[received]]</f>
        <v>47.115384615384613</v>
      </c>
      <c r="R339" s="7">
        <f>grand[[#This Row],[transportation loss ]]/grand[[#This Row],[received]]</f>
        <v>0.38461538461538464</v>
      </c>
      <c r="S339" s="7">
        <f>grand[[#This Row],[ carcass weight]]/grand[[#This Row],[received]]</f>
        <v>28.738461538461539</v>
      </c>
      <c r="T339" s="7">
        <f>grand[[#This Row],[ kidneys fat quantity]]/grand[[#This Row],[received]]</f>
        <v>0</v>
      </c>
      <c r="U339" s="4">
        <v>25</v>
      </c>
      <c r="V339" s="4">
        <v>0</v>
      </c>
      <c r="W339" s="4">
        <v>50</v>
      </c>
      <c r="X339" s="4">
        <v>10</v>
      </c>
      <c r="Y339" s="8">
        <v>8.1999999999999993</v>
      </c>
      <c r="Z339" s="3">
        <f>grand[[#This Row],[av. Transportation loss]]/grand[[#This Row],[av.total weight]]</f>
        <v>8.0971659919028341E-3</v>
      </c>
      <c r="AA339" s="12">
        <f>AVERAGE((grand[[#This Row],[am]]/25),(grand[[#This Row],[pm]]/50))</f>
        <v>1</v>
      </c>
      <c r="AB339" s="3">
        <f>grand[[#This Row],[ carcass weight]]/grand[[#This Row],[total weight]]</f>
        <v>0.6050202429149798</v>
      </c>
      <c r="AC339" s="6">
        <f>SUM(grand[[#This Row],[am]:[meat transportation]])/100</f>
        <v>0.93200000000000005</v>
      </c>
      <c r="AD339" s="9"/>
      <c r="AE339" s="4"/>
      <c r="AF339" s="4" t="s">
        <v>69</v>
      </c>
      <c r="AG339" s="4"/>
      <c r="AH339" s="4"/>
      <c r="AI339" s="4"/>
      <c r="AJ339" s="2"/>
      <c r="AK339" s="4"/>
    </row>
    <row r="340" spans="1:38" hidden="1" x14ac:dyDescent="0.2">
      <c r="A340" s="11">
        <v>44163</v>
      </c>
      <c r="B340" s="53" t="s">
        <v>2582</v>
      </c>
      <c r="C340" s="52" t="str">
        <f>IF(MID(B340,4,2)="09","Ramadan",IF(AND(MID(B340,4,2)="12",VALUE(LEFT(B340,2))&lt;=9),"Adha Season","Normal"))</f>
        <v>Normal</v>
      </c>
      <c r="D340" s="2" t="s">
        <v>294</v>
      </c>
      <c r="E340" s="2"/>
      <c r="F340" s="4" t="s">
        <v>105</v>
      </c>
      <c r="G340" s="4">
        <v>25</v>
      </c>
      <c r="H340" s="4">
        <v>25</v>
      </c>
      <c r="I340" s="2">
        <f>grand[[#This Row],[number]]-grand[[#This Row],[received]]</f>
        <v>0</v>
      </c>
      <c r="J340" s="30"/>
      <c r="K340" s="4">
        <v>1220</v>
      </c>
      <c r="L340" s="4">
        <v>1185</v>
      </c>
      <c r="M340" s="2">
        <f>K340-L340</f>
        <v>35</v>
      </c>
      <c r="N340" s="4">
        <v>713.5</v>
      </c>
      <c r="O340" s="4"/>
      <c r="P340" s="7">
        <f>grand[[#This Row],[total weight]]/grand[[#This Row],[received]]</f>
        <v>48.8</v>
      </c>
      <c r="Q340" s="7">
        <f>grand[[#This Row],[receiving weight]]/grand[[#This Row],[received]]</f>
        <v>47.4</v>
      </c>
      <c r="R340" s="7">
        <f>grand[[#This Row],[transportation loss ]]/grand[[#This Row],[received]]</f>
        <v>1.4</v>
      </c>
      <c r="S340" s="7">
        <f>grand[[#This Row],[ carcass weight]]/grand[[#This Row],[received]]</f>
        <v>28.54</v>
      </c>
      <c r="T340" s="7">
        <f>grand[[#This Row],[ kidneys fat quantity]]/grand[[#This Row],[received]]</f>
        <v>0</v>
      </c>
      <c r="U340" s="4">
        <v>25</v>
      </c>
      <c r="V340" s="4">
        <v>0</v>
      </c>
      <c r="W340" s="4">
        <v>49</v>
      </c>
      <c r="X340" s="4">
        <v>10</v>
      </c>
      <c r="Y340" s="8">
        <v>8.5</v>
      </c>
      <c r="Z340" s="3">
        <f>grand[[#This Row],[av. Transportation loss]]/grand[[#This Row],[av.total weight]]</f>
        <v>2.8688524590163935E-2</v>
      </c>
      <c r="AA340" s="12">
        <f>AVERAGE((grand[[#This Row],[am]]/25),(grand[[#This Row],[pm]]/50))</f>
        <v>0.99</v>
      </c>
      <c r="AB340" s="3">
        <f>grand[[#This Row],[ carcass weight]]/grand[[#This Row],[total weight]]</f>
        <v>0.58483606557377055</v>
      </c>
      <c r="AC340" s="6">
        <f>SUM(grand[[#This Row],[am]:[meat transportation]])/100</f>
        <v>0.92500000000000004</v>
      </c>
      <c r="AD340" s="9" t="s">
        <v>236</v>
      </c>
      <c r="AE340" s="4"/>
      <c r="AF340" s="4" t="s">
        <v>88</v>
      </c>
      <c r="AG340" s="4"/>
      <c r="AH340" s="4"/>
      <c r="AI340" s="4"/>
      <c r="AJ340" s="2"/>
      <c r="AK340" s="4"/>
      <c r="AL340" s="2">
        <v>2</v>
      </c>
    </row>
    <row r="341" spans="1:38" hidden="1" x14ac:dyDescent="0.2">
      <c r="A341" s="11">
        <v>44163</v>
      </c>
      <c r="B341" s="53" t="s">
        <v>2582</v>
      </c>
      <c r="C341" s="52" t="str">
        <f>IF(MID(B341,4,2)="09","Ramadan",IF(AND(MID(B341,4,2)="12",VALUE(LEFT(B341,2))&lt;=9),"Adha Season","Normal"))</f>
        <v>Normal</v>
      </c>
      <c r="D341" s="1" t="s">
        <v>45</v>
      </c>
      <c r="F341" s="4" t="s">
        <v>165</v>
      </c>
      <c r="G341" s="4">
        <v>30</v>
      </c>
      <c r="H341" s="4">
        <v>30</v>
      </c>
      <c r="I341" s="2">
        <f>grand[[#This Row],[number]]-grand[[#This Row],[received]]</f>
        <v>0</v>
      </c>
      <c r="J341" s="30"/>
      <c r="K341" s="4">
        <v>14610</v>
      </c>
      <c r="L341" s="4">
        <v>14390</v>
      </c>
      <c r="M341" s="2">
        <f>K341-L341</f>
        <v>220</v>
      </c>
      <c r="N341" s="4">
        <v>9000.5</v>
      </c>
      <c r="O341" s="4"/>
      <c r="P341" s="7">
        <f>grand[[#This Row],[total weight]]/grand[[#This Row],[received]]</f>
        <v>487</v>
      </c>
      <c r="Q341" s="7">
        <f>grand[[#This Row],[receiving weight]]/grand[[#This Row],[received]]</f>
        <v>479.66666666666669</v>
      </c>
      <c r="R341" s="7">
        <f>grand[[#This Row],[transportation loss ]]/grand[[#This Row],[received]]</f>
        <v>7.333333333333333</v>
      </c>
      <c r="S341" s="7">
        <f>grand[[#This Row],[ carcass weight]]/grand[[#This Row],[received]]</f>
        <v>300.01666666666665</v>
      </c>
      <c r="T341" s="7">
        <f>grand[[#This Row],[ kidneys fat quantity]]/grand[[#This Row],[received]]</f>
        <v>0</v>
      </c>
      <c r="U341" s="4">
        <v>25</v>
      </c>
      <c r="V341" s="4">
        <v>0</v>
      </c>
      <c r="W341" s="4">
        <v>49.61</v>
      </c>
      <c r="X341" s="4">
        <v>9.8000000000000007</v>
      </c>
      <c r="Y341" s="8">
        <v>8.5</v>
      </c>
      <c r="Z341" s="3">
        <f>grand[[#This Row],[av. Transportation loss]]/grand[[#This Row],[av.total weight]]</f>
        <v>1.5058179329226557E-2</v>
      </c>
      <c r="AA341" s="12">
        <f>AVERAGE((grand[[#This Row],[am]]/25),(grand[[#This Row],[pm]]/50))</f>
        <v>0.99609999999999999</v>
      </c>
      <c r="AB341" s="3">
        <f>grand[[#This Row],[ carcass weight]]/grand[[#This Row],[total weight]]</f>
        <v>0.61605065023956196</v>
      </c>
      <c r="AC341" s="6">
        <f>SUM(grand[[#This Row],[am]:[meat transportation]])/100</f>
        <v>0.92909999999999993</v>
      </c>
      <c r="AD341" s="9" t="s">
        <v>81</v>
      </c>
      <c r="AE341" s="4">
        <v>2</v>
      </c>
      <c r="AF341" s="4" t="s">
        <v>235</v>
      </c>
      <c r="AG341" s="4"/>
      <c r="AH341" s="4"/>
      <c r="AI341" s="4"/>
      <c r="AJ341" s="2"/>
      <c r="AK341" s="4"/>
      <c r="AL341" s="2">
        <v>2</v>
      </c>
    </row>
    <row r="342" spans="1:38" hidden="1" x14ac:dyDescent="0.2">
      <c r="A342" s="11">
        <v>44170</v>
      </c>
      <c r="B342" s="53" t="s">
        <v>2585</v>
      </c>
      <c r="C342" s="52" t="str">
        <f>IF(MID(B342,4,2)="09","Ramadan",IF(AND(MID(B342,4,2)="12",VALUE(LEFT(B342,2))&lt;=9),"Adha Season","Normal"))</f>
        <v>Normal</v>
      </c>
      <c r="D342" s="2" t="s">
        <v>294</v>
      </c>
      <c r="E342" s="2"/>
      <c r="F342" s="4" t="s">
        <v>105</v>
      </c>
      <c r="G342" s="4">
        <v>25</v>
      </c>
      <c r="H342" s="4">
        <v>25</v>
      </c>
      <c r="I342" s="2">
        <f>grand[[#This Row],[number]]-grand[[#This Row],[received]]</f>
        <v>0</v>
      </c>
      <c r="J342" s="30"/>
      <c r="K342" s="4">
        <v>1190</v>
      </c>
      <c r="L342" s="4">
        <v>1170</v>
      </c>
      <c r="M342" s="2">
        <f>K342-L342</f>
        <v>20</v>
      </c>
      <c r="N342" s="4">
        <v>700</v>
      </c>
      <c r="O342" s="4"/>
      <c r="P342" s="7">
        <f>grand[[#This Row],[total weight]]/grand[[#This Row],[received]]</f>
        <v>47.6</v>
      </c>
      <c r="Q342" s="7">
        <f>grand[[#This Row],[receiving weight]]/grand[[#This Row],[received]]</f>
        <v>46.8</v>
      </c>
      <c r="R342" s="7">
        <f>grand[[#This Row],[transportation loss ]]/grand[[#This Row],[received]]</f>
        <v>0.8</v>
      </c>
      <c r="S342" s="7">
        <f>grand[[#This Row],[ carcass weight]]/grand[[#This Row],[received]]</f>
        <v>28</v>
      </c>
      <c r="T342" s="7">
        <f>grand[[#This Row],[ kidneys fat quantity]]/grand[[#This Row],[received]]</f>
        <v>0</v>
      </c>
      <c r="U342" s="4">
        <v>25</v>
      </c>
      <c r="V342" s="4">
        <v>0</v>
      </c>
      <c r="W342" s="4">
        <v>49.44</v>
      </c>
      <c r="X342" s="4">
        <v>10</v>
      </c>
      <c r="Y342" s="8">
        <v>8.5</v>
      </c>
      <c r="Z342" s="3">
        <f>grand[[#This Row],[av. Transportation loss]]/grand[[#This Row],[av.total weight]]</f>
        <v>1.680672268907563E-2</v>
      </c>
      <c r="AA342" s="12">
        <f>AVERAGE((grand[[#This Row],[am]]/25),(grand[[#This Row],[pm]]/50))</f>
        <v>0.99439999999999995</v>
      </c>
      <c r="AB342" s="3">
        <f>grand[[#This Row],[ carcass weight]]/grand[[#This Row],[total weight]]</f>
        <v>0.58823529411764708</v>
      </c>
      <c r="AC342" s="6">
        <f>SUM(grand[[#This Row],[am]:[meat transportation]])/100</f>
        <v>0.9294</v>
      </c>
      <c r="AD342" s="9" t="s">
        <v>225</v>
      </c>
      <c r="AE342" s="4"/>
      <c r="AF342" s="4"/>
      <c r="AG342" s="4"/>
      <c r="AH342" s="4"/>
      <c r="AI342" s="4"/>
      <c r="AJ342" s="2"/>
      <c r="AK342" s="4"/>
      <c r="AL342" s="2">
        <v>1</v>
      </c>
    </row>
    <row r="343" spans="1:38" hidden="1" x14ac:dyDescent="0.2">
      <c r="A343" s="11">
        <v>44170</v>
      </c>
      <c r="B343" s="53" t="s">
        <v>2585</v>
      </c>
      <c r="C343" s="52" t="str">
        <f>IF(MID(B343,4,2)="09","Ramadan",IF(AND(MID(B343,4,2)="12",VALUE(LEFT(B343,2))&lt;=9),"Adha Season","Normal"))</f>
        <v>Normal</v>
      </c>
      <c r="D343" s="1" t="s">
        <v>45</v>
      </c>
      <c r="F343" s="4" t="s">
        <v>165</v>
      </c>
      <c r="G343" s="4">
        <v>36</v>
      </c>
      <c r="H343" s="4">
        <v>36</v>
      </c>
      <c r="I343" s="2">
        <f>grand[[#This Row],[number]]-grand[[#This Row],[received]]</f>
        <v>0</v>
      </c>
      <c r="J343" s="30"/>
      <c r="K343" s="4">
        <v>16570</v>
      </c>
      <c r="L343" s="4">
        <v>15945</v>
      </c>
      <c r="M343" s="2">
        <f>K343-L343</f>
        <v>625</v>
      </c>
      <c r="N343" s="4">
        <v>9968.5</v>
      </c>
      <c r="O343" s="4"/>
      <c r="P343" s="7">
        <f>grand[[#This Row],[total weight]]/grand[[#This Row],[received]]</f>
        <v>460.27777777777777</v>
      </c>
      <c r="Q343" s="7">
        <f>grand[[#This Row],[receiving weight]]/grand[[#This Row],[received]]</f>
        <v>442.91666666666669</v>
      </c>
      <c r="R343" s="7">
        <f>grand[[#This Row],[transportation loss ]]/grand[[#This Row],[received]]</f>
        <v>17.361111111111111</v>
      </c>
      <c r="S343" s="7">
        <f>grand[[#This Row],[ carcass weight]]/grand[[#This Row],[received]]</f>
        <v>276.90277777777777</v>
      </c>
      <c r="T343" s="7">
        <f>grand[[#This Row],[ kidneys fat quantity]]/grand[[#This Row],[received]]</f>
        <v>0</v>
      </c>
      <c r="U343" s="4">
        <v>25</v>
      </c>
      <c r="V343" s="4">
        <v>0</v>
      </c>
      <c r="W343" s="4">
        <v>49.81</v>
      </c>
      <c r="X343" s="4">
        <v>10</v>
      </c>
      <c r="Y343" s="8">
        <v>8.5</v>
      </c>
      <c r="Z343" s="3">
        <f>grand[[#This Row],[av. Transportation loss]]/grand[[#This Row],[av.total weight]]</f>
        <v>3.7718768859384431E-2</v>
      </c>
      <c r="AA343" s="12">
        <f>AVERAGE((grand[[#This Row],[am]]/25),(grand[[#This Row],[pm]]/50))</f>
        <v>0.99809999999999999</v>
      </c>
      <c r="AB343" s="3">
        <f>grand[[#This Row],[ carcass weight]]/grand[[#This Row],[total weight]]</f>
        <v>0.6015992757996379</v>
      </c>
      <c r="AC343" s="6">
        <f>SUM(grand[[#This Row],[am]:[meat transportation]])/100</f>
        <v>0.93310000000000004</v>
      </c>
      <c r="AD343" s="9" t="s">
        <v>113</v>
      </c>
      <c r="AE343" s="4"/>
      <c r="AF343" s="4"/>
      <c r="AG343" s="4"/>
      <c r="AH343" s="4"/>
      <c r="AI343" s="4"/>
      <c r="AJ343" s="2"/>
      <c r="AK343" s="4"/>
      <c r="AL343" s="2">
        <v>2</v>
      </c>
    </row>
    <row r="344" spans="1:38" hidden="1" x14ac:dyDescent="0.2">
      <c r="A344" s="11">
        <v>44182</v>
      </c>
      <c r="B344" s="53" t="s">
        <v>2590</v>
      </c>
      <c r="C344" s="52" t="str">
        <f>IF(MID(B344,4,2)="09","Ramadan",IF(AND(MID(B344,4,2)="12",VALUE(LEFT(B344,2))&lt;=9),"Adha Season","Normal"))</f>
        <v>Normal</v>
      </c>
      <c r="D344" s="1" t="s">
        <v>45</v>
      </c>
      <c r="F344" s="4" t="s">
        <v>46</v>
      </c>
      <c r="G344" s="4">
        <v>38</v>
      </c>
      <c r="H344" s="4">
        <v>38</v>
      </c>
      <c r="I344" s="2">
        <f>grand[[#This Row],[number]]-grand[[#This Row],[received]]</f>
        <v>0</v>
      </c>
      <c r="J344" s="30"/>
      <c r="K344" s="4">
        <v>17331</v>
      </c>
      <c r="L344" s="4">
        <v>16055</v>
      </c>
      <c r="M344" s="2">
        <f>K344-L344</f>
        <v>1276</v>
      </c>
      <c r="N344" s="4">
        <v>10429.6</v>
      </c>
      <c r="O344" s="4"/>
      <c r="P344" s="7">
        <f>grand[[#This Row],[total weight]]/grand[[#This Row],[received]]</f>
        <v>456.07894736842104</v>
      </c>
      <c r="Q344" s="7">
        <f>grand[[#This Row],[receiving weight]]/grand[[#This Row],[received]]</f>
        <v>422.5</v>
      </c>
      <c r="R344" s="7">
        <f>grand[[#This Row],[transportation loss ]]/grand[[#This Row],[received]]</f>
        <v>33.578947368421055</v>
      </c>
      <c r="S344" s="7">
        <f>grand[[#This Row],[ carcass weight]]/grand[[#This Row],[received]]</f>
        <v>274.46315789473687</v>
      </c>
      <c r="T344" s="7">
        <f>grand[[#This Row],[ kidneys fat quantity]]/grand[[#This Row],[received]]</f>
        <v>0</v>
      </c>
      <c r="U344" s="4">
        <v>25</v>
      </c>
      <c r="V344" s="4">
        <v>0</v>
      </c>
      <c r="W344" s="4">
        <v>49.87</v>
      </c>
      <c r="X344" s="4">
        <v>10</v>
      </c>
      <c r="Y344" s="8">
        <v>8.5</v>
      </c>
      <c r="Z344" s="3">
        <f>grand[[#This Row],[av. Transportation loss]]/grand[[#This Row],[av.total weight]]</f>
        <v>7.3625295712884439E-2</v>
      </c>
      <c r="AA344" s="12">
        <f>AVERAGE((grand[[#This Row],[am]]/25),(grand[[#This Row],[pm]]/50))</f>
        <v>0.99869999999999992</v>
      </c>
      <c r="AB344" s="3">
        <f>grand[[#This Row],[ carcass weight]]/grand[[#This Row],[total weight]]</f>
        <v>0.60178870232531301</v>
      </c>
      <c r="AC344" s="6">
        <f>SUM(grand[[#This Row],[am]:[meat transportation]])/100</f>
        <v>0.93370000000000009</v>
      </c>
      <c r="AD344" s="9"/>
      <c r="AE344" s="4">
        <v>1</v>
      </c>
      <c r="AF344" s="4" t="s">
        <v>244</v>
      </c>
      <c r="AG344" s="4"/>
      <c r="AH344" s="4"/>
      <c r="AI344" s="4"/>
      <c r="AJ344" s="2">
        <v>8</v>
      </c>
      <c r="AK344" s="12">
        <f>grand[[#This Row],[accepted as exception]]/grand[[#This Row],[number]]</f>
        <v>0.21052631578947367</v>
      </c>
    </row>
    <row r="345" spans="1:38" hidden="1" x14ac:dyDescent="0.2">
      <c r="A345" s="11">
        <v>44184</v>
      </c>
      <c r="B345" s="53" t="s">
        <v>2591</v>
      </c>
      <c r="C345" s="52" t="str">
        <f>IF(MID(B345,4,2)="09","Ramadan",IF(AND(MID(B345,4,2)="12",VALUE(LEFT(B345,2))&lt;=9),"Adha Season","Normal"))</f>
        <v>Normal</v>
      </c>
      <c r="D345" s="2" t="s">
        <v>294</v>
      </c>
      <c r="E345" s="2"/>
      <c r="F345" s="4" t="s">
        <v>105</v>
      </c>
      <c r="G345" s="4">
        <v>25</v>
      </c>
      <c r="H345" s="4">
        <v>25</v>
      </c>
      <c r="I345" s="2">
        <f>grand[[#This Row],[number]]-grand[[#This Row],[received]]</f>
        <v>0</v>
      </c>
      <c r="J345" s="30"/>
      <c r="K345" s="4">
        <v>1155</v>
      </c>
      <c r="L345" s="4">
        <v>1145</v>
      </c>
      <c r="M345" s="2">
        <f>K345-L345</f>
        <v>10</v>
      </c>
      <c r="N345" s="4">
        <v>692.1</v>
      </c>
      <c r="O345" s="4"/>
      <c r="P345" s="7">
        <f>grand[[#This Row],[total weight]]/grand[[#This Row],[received]]</f>
        <v>46.2</v>
      </c>
      <c r="Q345" s="7">
        <f>grand[[#This Row],[receiving weight]]/grand[[#This Row],[received]]</f>
        <v>45.8</v>
      </c>
      <c r="R345" s="7">
        <f>grand[[#This Row],[transportation loss ]]/grand[[#This Row],[received]]</f>
        <v>0.4</v>
      </c>
      <c r="S345" s="7">
        <f>grand[[#This Row],[ carcass weight]]/grand[[#This Row],[received]]</f>
        <v>27.684000000000001</v>
      </c>
      <c r="T345" s="7">
        <f>grand[[#This Row],[ kidneys fat quantity]]/grand[[#This Row],[received]]</f>
        <v>0</v>
      </c>
      <c r="U345" s="4">
        <v>25</v>
      </c>
      <c r="V345" s="4">
        <v>0</v>
      </c>
      <c r="W345" s="4">
        <v>49.12</v>
      </c>
      <c r="X345" s="4">
        <v>10</v>
      </c>
      <c r="Y345" s="8">
        <v>8.5</v>
      </c>
      <c r="Z345" s="3">
        <f>grand[[#This Row],[av. Transportation loss]]/grand[[#This Row],[av.total weight]]</f>
        <v>8.658008658008658E-3</v>
      </c>
      <c r="AA345" s="12">
        <f>AVERAGE((grand[[#This Row],[am]]/25),(grand[[#This Row],[pm]]/50))</f>
        <v>0.99119999999999997</v>
      </c>
      <c r="AB345" s="3">
        <f>grand[[#This Row],[ carcass weight]]/grand[[#This Row],[total weight]]</f>
        <v>0.59922077922077921</v>
      </c>
      <c r="AC345" s="6">
        <f>SUM(grand[[#This Row],[am]:[meat transportation]])/100</f>
        <v>0.92620000000000002</v>
      </c>
      <c r="AD345" s="9" t="s">
        <v>247</v>
      </c>
      <c r="AE345" s="4"/>
      <c r="AF345" s="4" t="s">
        <v>104</v>
      </c>
      <c r="AG345" s="4"/>
      <c r="AH345" s="4"/>
      <c r="AI345" s="4"/>
      <c r="AJ345" s="2"/>
      <c r="AK345" s="12">
        <f>grand[[#This Row],[accepted as exception]]/grand[[#This Row],[number]]</f>
        <v>0</v>
      </c>
      <c r="AL345" s="2">
        <v>4</v>
      </c>
    </row>
    <row r="346" spans="1:38" hidden="1" x14ac:dyDescent="0.2">
      <c r="A346" s="11">
        <v>44187</v>
      </c>
      <c r="B346" s="53" t="s">
        <v>2592</v>
      </c>
      <c r="C346" s="52" t="str">
        <f>IF(MID(B346,4,2)="09","Ramadan",IF(AND(MID(B346,4,2)="12",VALUE(LEFT(B346,2))&lt;=9),"Adha Season","Normal"))</f>
        <v>Normal</v>
      </c>
      <c r="D346" s="1" t="s">
        <v>45</v>
      </c>
      <c r="F346" s="4" t="s">
        <v>165</v>
      </c>
      <c r="G346" s="4">
        <v>32</v>
      </c>
      <c r="H346" s="4">
        <v>32</v>
      </c>
      <c r="I346" s="2">
        <f>grand[[#This Row],[number]]-grand[[#This Row],[received]]</f>
        <v>0</v>
      </c>
      <c r="J346" s="30"/>
      <c r="K346" s="4">
        <v>14020</v>
      </c>
      <c r="L346" s="4">
        <v>13455</v>
      </c>
      <c r="M346" s="2">
        <f>K346-L346</f>
        <v>565</v>
      </c>
      <c r="N346" s="4">
        <v>8423.6</v>
      </c>
      <c r="O346" s="4"/>
      <c r="P346" s="7">
        <f>grand[[#This Row],[total weight]]/grand[[#This Row],[received]]</f>
        <v>438.125</v>
      </c>
      <c r="Q346" s="7">
        <f>grand[[#This Row],[receiving weight]]/grand[[#This Row],[received]]</f>
        <v>420.46875</v>
      </c>
      <c r="R346" s="7">
        <f>grand[[#This Row],[transportation loss ]]/grand[[#This Row],[received]]</f>
        <v>17.65625</v>
      </c>
      <c r="S346" s="7">
        <f>grand[[#This Row],[ carcass weight]]/grand[[#This Row],[received]]</f>
        <v>263.23750000000001</v>
      </c>
      <c r="T346" s="7">
        <f>grand[[#This Row],[ kidneys fat quantity]]/grand[[#This Row],[received]]</f>
        <v>0</v>
      </c>
      <c r="U346" s="4">
        <v>25</v>
      </c>
      <c r="V346" s="4">
        <v>0</v>
      </c>
      <c r="W346" s="4">
        <v>49.78</v>
      </c>
      <c r="X346" s="4">
        <v>10</v>
      </c>
      <c r="Y346" s="8">
        <v>8.5</v>
      </c>
      <c r="Z346" s="3">
        <f>grand[[#This Row],[av. Transportation loss]]/grand[[#This Row],[av.total weight]]</f>
        <v>4.0299572039942937E-2</v>
      </c>
      <c r="AA346" s="12">
        <f>AVERAGE((grand[[#This Row],[am]]/25),(grand[[#This Row],[pm]]/50))</f>
        <v>0.99780000000000002</v>
      </c>
      <c r="AB346" s="3">
        <f>grand[[#This Row],[ carcass weight]]/grand[[#This Row],[total weight]]</f>
        <v>0.60082738944365199</v>
      </c>
      <c r="AC346" s="6">
        <f>SUM(grand[[#This Row],[am]:[meat transportation]])/100</f>
        <v>0.93279999999999996</v>
      </c>
      <c r="AD346" s="9"/>
      <c r="AE346" s="4"/>
      <c r="AF346" s="4" t="s">
        <v>250</v>
      </c>
      <c r="AG346" s="4"/>
      <c r="AH346" s="4"/>
      <c r="AI346" s="4"/>
      <c r="AJ346" s="2">
        <v>4</v>
      </c>
      <c r="AK346" s="12">
        <f>grand[[#This Row],[accepted as exception]]/grand[[#This Row],[number]]</f>
        <v>0.125</v>
      </c>
      <c r="AL346" s="2">
        <v>2</v>
      </c>
    </row>
    <row r="347" spans="1:38" hidden="1" x14ac:dyDescent="0.2">
      <c r="A347" s="11">
        <v>44189</v>
      </c>
      <c r="B347" s="53" t="s">
        <v>2593</v>
      </c>
      <c r="C347" s="52" t="str">
        <f>IF(MID(B347,4,2)="09","Ramadan",IF(AND(MID(B347,4,2)="12",VALUE(LEFT(B347,2))&lt;=9),"Adha Season","Normal"))</f>
        <v>Normal</v>
      </c>
      <c r="D347" s="2" t="s">
        <v>294</v>
      </c>
      <c r="E347" s="2"/>
      <c r="F347" s="4" t="s">
        <v>46</v>
      </c>
      <c r="G347" s="4">
        <v>2</v>
      </c>
      <c r="H347" s="4">
        <v>2</v>
      </c>
      <c r="I347" s="2">
        <f>grand[[#This Row],[number]]-grand[[#This Row],[received]]</f>
        <v>0</v>
      </c>
      <c r="J347" s="30"/>
      <c r="K347" s="4">
        <v>84</v>
      </c>
      <c r="L347" s="4">
        <v>83</v>
      </c>
      <c r="M347" s="2">
        <f>K347-L347</f>
        <v>1</v>
      </c>
      <c r="N347" s="4">
        <v>48</v>
      </c>
      <c r="O347" s="4"/>
      <c r="P347" s="7">
        <f>grand[[#This Row],[total weight]]/grand[[#This Row],[received]]</f>
        <v>42</v>
      </c>
      <c r="Q347" s="7">
        <f>grand[[#This Row],[receiving weight]]/grand[[#This Row],[received]]</f>
        <v>41.5</v>
      </c>
      <c r="R347" s="7">
        <f>grand[[#This Row],[transportation loss ]]/grand[[#This Row],[received]]</f>
        <v>0.5</v>
      </c>
      <c r="S347" s="7">
        <f>grand[[#This Row],[ carcass weight]]/grand[[#This Row],[received]]</f>
        <v>24</v>
      </c>
      <c r="T347" s="7">
        <f>grand[[#This Row],[ kidneys fat quantity]]/grand[[#This Row],[received]]</f>
        <v>0</v>
      </c>
      <c r="U347" s="4">
        <v>25</v>
      </c>
      <c r="V347" s="4">
        <v>0</v>
      </c>
      <c r="W347" s="4">
        <v>50</v>
      </c>
      <c r="X347" s="4">
        <v>10</v>
      </c>
      <c r="Y347" s="8">
        <v>8.5</v>
      </c>
      <c r="Z347" s="3">
        <f>grand[[#This Row],[av. Transportation loss]]/grand[[#This Row],[av.total weight]]</f>
        <v>1.1904761904761904E-2</v>
      </c>
      <c r="AA347" s="12">
        <f>AVERAGE((grand[[#This Row],[am]]/25),(grand[[#This Row],[pm]]/50))</f>
        <v>1</v>
      </c>
      <c r="AB347" s="3">
        <f>grand[[#This Row],[ carcass weight]]/grand[[#This Row],[total weight]]</f>
        <v>0.5714285714285714</v>
      </c>
      <c r="AC347" s="6">
        <f>SUM(grand[[#This Row],[am]:[meat transportation]])/100</f>
        <v>0.93500000000000005</v>
      </c>
      <c r="AD347" s="9"/>
      <c r="AE347" s="4"/>
      <c r="AF347" s="4" t="s">
        <v>252</v>
      </c>
      <c r="AG347" s="4"/>
      <c r="AH347" s="4"/>
      <c r="AI347" s="4"/>
      <c r="AJ347" s="2"/>
      <c r="AK347" s="12">
        <f>grand[[#This Row],[accepted as exception]]/grand[[#This Row],[number]]</f>
        <v>0</v>
      </c>
    </row>
    <row r="348" spans="1:38" hidden="1" x14ac:dyDescent="0.2">
      <c r="A348" s="11">
        <v>44191</v>
      </c>
      <c r="B348" s="53" t="s">
        <v>2594</v>
      </c>
      <c r="C348" s="52" t="str">
        <f>IF(MID(B348,4,2)="09","Ramadan",IF(AND(MID(B348,4,2)="12",VALUE(LEFT(B348,2))&lt;=9),"Adha Season","Normal"))</f>
        <v>Normal</v>
      </c>
      <c r="D348" s="2" t="s">
        <v>294</v>
      </c>
      <c r="E348" s="2"/>
      <c r="F348" s="4" t="s">
        <v>105</v>
      </c>
      <c r="G348" s="4">
        <v>25</v>
      </c>
      <c r="H348" s="4">
        <v>25</v>
      </c>
      <c r="I348" s="2">
        <f>grand[[#This Row],[number]]-grand[[#This Row],[received]]</f>
        <v>0</v>
      </c>
      <c r="J348" s="30"/>
      <c r="K348" s="4">
        <v>1057</v>
      </c>
      <c r="L348" s="4">
        <v>1045</v>
      </c>
      <c r="M348" s="2">
        <f>K348-L348</f>
        <v>12</v>
      </c>
      <c r="N348" s="4">
        <v>611.9</v>
      </c>
      <c r="O348" s="4"/>
      <c r="P348" s="7">
        <f>grand[[#This Row],[total weight]]/grand[[#This Row],[received]]</f>
        <v>42.28</v>
      </c>
      <c r="Q348" s="7">
        <f>grand[[#This Row],[receiving weight]]/grand[[#This Row],[received]]</f>
        <v>41.8</v>
      </c>
      <c r="R348" s="7">
        <f>grand[[#This Row],[transportation loss ]]/grand[[#This Row],[received]]</f>
        <v>0.48</v>
      </c>
      <c r="S348" s="7">
        <f>grand[[#This Row],[ carcass weight]]/grand[[#This Row],[received]]</f>
        <v>24.475999999999999</v>
      </c>
      <c r="T348" s="7">
        <f>grand[[#This Row],[ kidneys fat quantity]]/grand[[#This Row],[received]]</f>
        <v>0</v>
      </c>
      <c r="U348" s="4">
        <v>25</v>
      </c>
      <c r="V348" s="4">
        <v>0</v>
      </c>
      <c r="W348" s="4">
        <v>49.44</v>
      </c>
      <c r="X348" s="4">
        <v>10</v>
      </c>
      <c r="Y348" s="8">
        <v>8.5</v>
      </c>
      <c r="Z348" s="3">
        <f>grand[[#This Row],[av. Transportation loss]]/grand[[#This Row],[av.total weight]]</f>
        <v>1.1352885525070956E-2</v>
      </c>
      <c r="AA348" s="12">
        <f>AVERAGE((grand[[#This Row],[am]]/25),(grand[[#This Row],[pm]]/50))</f>
        <v>0.99439999999999995</v>
      </c>
      <c r="AB348" s="3">
        <f>grand[[#This Row],[ carcass weight]]/grand[[#This Row],[total weight]]</f>
        <v>0.5789025543992431</v>
      </c>
      <c r="AC348" s="6">
        <f>SUM(grand[[#This Row],[am]:[meat transportation]])/100</f>
        <v>0.9294</v>
      </c>
      <c r="AD348" s="9" t="s">
        <v>71</v>
      </c>
      <c r="AE348" s="4"/>
      <c r="AF348" s="4"/>
      <c r="AG348" s="4"/>
      <c r="AH348" s="4"/>
      <c r="AI348" s="4"/>
      <c r="AJ348" s="2"/>
      <c r="AK348" s="12">
        <f>grand[[#This Row],[accepted as exception]]/grand[[#This Row],[number]]</f>
        <v>0</v>
      </c>
      <c r="AL348" s="2">
        <v>2</v>
      </c>
    </row>
    <row r="349" spans="1:38" hidden="1" x14ac:dyDescent="0.2">
      <c r="A349" s="11">
        <v>44196</v>
      </c>
      <c r="B349" s="53" t="s">
        <v>2596</v>
      </c>
      <c r="C349" s="52" t="str">
        <f>IF(MID(B349,4,2)="09","Ramadan",IF(AND(MID(B349,4,2)="12",VALUE(LEFT(B349,2))&lt;=9),"Adha Season","Normal"))</f>
        <v>Normal</v>
      </c>
      <c r="D349" s="1" t="s">
        <v>45</v>
      </c>
      <c r="F349" s="4" t="s">
        <v>41</v>
      </c>
      <c r="G349" s="4">
        <v>7</v>
      </c>
      <c r="H349" s="4">
        <v>7</v>
      </c>
      <c r="I349" s="2">
        <f>grand[[#This Row],[number]]-grand[[#This Row],[received]]</f>
        <v>0</v>
      </c>
      <c r="J349" s="30"/>
      <c r="K349" s="4">
        <v>3060</v>
      </c>
      <c r="L349" s="4">
        <v>2875</v>
      </c>
      <c r="M349" s="2">
        <f>K349-L349</f>
        <v>185</v>
      </c>
      <c r="N349" s="4">
        <v>1909.2</v>
      </c>
      <c r="O349" s="4"/>
      <c r="P349" s="7">
        <f>grand[[#This Row],[total weight]]/grand[[#This Row],[received]]</f>
        <v>437.14285714285717</v>
      </c>
      <c r="Q349" s="7">
        <f>grand[[#This Row],[receiving weight]]/grand[[#This Row],[received]]</f>
        <v>410.71428571428572</v>
      </c>
      <c r="R349" s="7">
        <f>grand[[#This Row],[transportation loss ]]/grand[[#This Row],[received]]</f>
        <v>26.428571428571427</v>
      </c>
      <c r="S349" s="7">
        <f>grand[[#This Row],[ carcass weight]]/grand[[#This Row],[received]]</f>
        <v>272.74285714285713</v>
      </c>
      <c r="T349" s="7">
        <f>grand[[#This Row],[ kidneys fat quantity]]/grand[[#This Row],[received]]</f>
        <v>0</v>
      </c>
      <c r="U349" s="4">
        <v>25</v>
      </c>
      <c r="V349" s="4">
        <v>0</v>
      </c>
      <c r="W349" s="4">
        <v>50</v>
      </c>
      <c r="X349" s="4">
        <v>10</v>
      </c>
      <c r="Y349" s="8">
        <v>8.5</v>
      </c>
      <c r="Z349" s="3">
        <f>grand[[#This Row],[av. Transportation loss]]/grand[[#This Row],[av.total weight]]</f>
        <v>6.0457516339869274E-2</v>
      </c>
      <c r="AA349" s="12">
        <f>AVERAGE((grand[[#This Row],[am]]/25),(grand[[#This Row],[pm]]/50))</f>
        <v>1</v>
      </c>
      <c r="AB349" s="3">
        <f>grand[[#This Row],[ carcass weight]]/grand[[#This Row],[total weight]]</f>
        <v>0.62392156862745096</v>
      </c>
      <c r="AC349" s="6">
        <f>SUM(grand[[#This Row],[am]:[meat transportation]])/100</f>
        <v>0.93500000000000005</v>
      </c>
      <c r="AD349" s="9"/>
      <c r="AE349" s="4"/>
      <c r="AF349" s="4"/>
      <c r="AG349" s="4"/>
      <c r="AH349" s="4"/>
      <c r="AI349" s="4"/>
      <c r="AJ349" s="2"/>
      <c r="AK349" s="12">
        <f>grand[[#This Row],[accepted as exception]]/grand[[#This Row],[number]]</f>
        <v>0</v>
      </c>
      <c r="AL349" s="2">
        <v>0</v>
      </c>
    </row>
    <row r="350" spans="1:38" hidden="1" x14ac:dyDescent="0.2">
      <c r="A350" s="11">
        <v>44198</v>
      </c>
      <c r="B350" s="53" t="s">
        <v>2597</v>
      </c>
      <c r="C350" s="52" t="str">
        <f>IF(MID(B350,4,2)="09","Ramadan",IF(AND(MID(B350,4,2)="12",VALUE(LEFT(B350,2))&lt;=9),"Adha Season","Normal"))</f>
        <v>Normal</v>
      </c>
      <c r="D350" s="2" t="s">
        <v>294</v>
      </c>
      <c r="E350" s="2"/>
      <c r="F350" s="4" t="s">
        <v>105</v>
      </c>
      <c r="G350" s="4">
        <v>27</v>
      </c>
      <c r="H350" s="4">
        <v>27</v>
      </c>
      <c r="I350" s="2">
        <f>grand[[#This Row],[number]]-grand[[#This Row],[received]]</f>
        <v>0</v>
      </c>
      <c r="J350" s="30"/>
      <c r="K350" s="4">
        <v>1348</v>
      </c>
      <c r="L350" s="4">
        <v>1310</v>
      </c>
      <c r="M350" s="2">
        <f>K350-L350</f>
        <v>38</v>
      </c>
      <c r="N350" s="4">
        <v>777.3</v>
      </c>
      <c r="O350" s="4"/>
      <c r="P350" s="7">
        <f>grand[[#This Row],[total weight]]/grand[[#This Row],[received]]</f>
        <v>49.925925925925924</v>
      </c>
      <c r="Q350" s="7">
        <f>grand[[#This Row],[receiving weight]]/grand[[#This Row],[received]]</f>
        <v>48.518518518518519</v>
      </c>
      <c r="R350" s="7">
        <f>grand[[#This Row],[transportation loss ]]/grand[[#This Row],[received]]</f>
        <v>1.4074074074074074</v>
      </c>
      <c r="S350" s="7">
        <f>grand[[#This Row],[ carcass weight]]/grand[[#This Row],[received]]</f>
        <v>28.788888888888888</v>
      </c>
      <c r="T350" s="7">
        <f>grand[[#This Row],[ kidneys fat quantity]]/grand[[#This Row],[received]]</f>
        <v>0</v>
      </c>
      <c r="U350" s="4">
        <v>25</v>
      </c>
      <c r="V350" s="4">
        <v>0</v>
      </c>
      <c r="W350" s="4">
        <v>49.74</v>
      </c>
      <c r="X350" s="4">
        <v>10</v>
      </c>
      <c r="Y350" s="8">
        <v>8.5</v>
      </c>
      <c r="Z350" s="3">
        <f>grand[[#This Row],[av. Transportation loss]]/grand[[#This Row],[av.total weight]]</f>
        <v>2.8189910979228489E-2</v>
      </c>
      <c r="AA350" s="12">
        <f>AVERAGE((grand[[#This Row],[am]]/25),(grand[[#This Row],[pm]]/50))</f>
        <v>0.99740000000000006</v>
      </c>
      <c r="AB350" s="3">
        <f>grand[[#This Row],[ carcass weight]]/grand[[#This Row],[total weight]]</f>
        <v>0.57663204747774477</v>
      </c>
      <c r="AC350" s="6">
        <f>SUM(grand[[#This Row],[am]:[meat transportation]])/100</f>
        <v>0.93240000000000012</v>
      </c>
      <c r="AD350" s="9" t="s">
        <v>113</v>
      </c>
      <c r="AE350" s="4"/>
      <c r="AF350" s="4" t="s">
        <v>69</v>
      </c>
      <c r="AG350" s="4"/>
      <c r="AH350" s="4"/>
      <c r="AI350" s="4"/>
      <c r="AJ350" s="2"/>
      <c r="AK350" s="12">
        <f>grand[[#This Row],[accepted as exception]]/grand[[#This Row],[number]]</f>
        <v>0</v>
      </c>
      <c r="AL350" s="2">
        <v>1</v>
      </c>
    </row>
    <row r="351" spans="1:38" hidden="1" x14ac:dyDescent="0.2">
      <c r="A351" s="11">
        <v>44201</v>
      </c>
      <c r="B351" s="53" t="s">
        <v>2598</v>
      </c>
      <c r="C351" s="52" t="str">
        <f>IF(MID(B351,4,2)="09","Ramadan",IF(AND(MID(B351,4,2)="12",VALUE(LEFT(B351,2))&lt;=9),"Adha Season","Normal"))</f>
        <v>Normal</v>
      </c>
      <c r="D351" s="1" t="s">
        <v>45</v>
      </c>
      <c r="F351" s="4" t="s">
        <v>46</v>
      </c>
      <c r="G351" s="4">
        <v>48</v>
      </c>
      <c r="H351" s="4">
        <v>48</v>
      </c>
      <c r="I351" s="2">
        <f>grand[[#This Row],[number]]-grand[[#This Row],[received]]</f>
        <v>0</v>
      </c>
      <c r="J351" s="30"/>
      <c r="K351" s="4">
        <v>22754</v>
      </c>
      <c r="L351" s="4">
        <v>21200</v>
      </c>
      <c r="M351" s="2">
        <f>K351-L351</f>
        <v>1554</v>
      </c>
      <c r="N351" s="4">
        <v>13651.7</v>
      </c>
      <c r="O351" s="4"/>
      <c r="P351" s="7">
        <f>grand[[#This Row],[total weight]]/grand[[#This Row],[received]]</f>
        <v>474.04166666666669</v>
      </c>
      <c r="Q351" s="7">
        <f>grand[[#This Row],[receiving weight]]/grand[[#This Row],[received]]</f>
        <v>441.66666666666669</v>
      </c>
      <c r="R351" s="7">
        <f>grand[[#This Row],[transportation loss ]]/grand[[#This Row],[received]]</f>
        <v>32.375</v>
      </c>
      <c r="S351" s="7">
        <f>grand[[#This Row],[ carcass weight]]/grand[[#This Row],[received]]</f>
        <v>284.41041666666666</v>
      </c>
      <c r="T351" s="7">
        <f>grand[[#This Row],[ kidneys fat quantity]]/grand[[#This Row],[received]]</f>
        <v>0</v>
      </c>
      <c r="U351" s="4">
        <v>25</v>
      </c>
      <c r="V351" s="4">
        <v>0</v>
      </c>
      <c r="W351" s="4">
        <v>49.81</v>
      </c>
      <c r="X351" s="4">
        <v>10</v>
      </c>
      <c r="Y351" s="8">
        <v>8.5</v>
      </c>
      <c r="Z351" s="3">
        <f>grand[[#This Row],[av. Transportation loss]]/grand[[#This Row],[av.total weight]]</f>
        <v>6.8295684275292257E-2</v>
      </c>
      <c r="AA351" s="12">
        <f>AVERAGE((grand[[#This Row],[am]]/25),(grand[[#This Row],[pm]]/50))</f>
        <v>0.99809999999999999</v>
      </c>
      <c r="AB351" s="3">
        <f>grand[[#This Row],[ carcass weight]]/grand[[#This Row],[total weight]]</f>
        <v>0.59996923617825437</v>
      </c>
      <c r="AC351" s="6">
        <f>SUM(grand[[#This Row],[am]:[meat transportation]])/100</f>
        <v>0.93310000000000004</v>
      </c>
      <c r="AD351" s="9" t="s">
        <v>81</v>
      </c>
      <c r="AE351" s="4"/>
      <c r="AF351" s="4" t="s">
        <v>82</v>
      </c>
      <c r="AG351" s="4"/>
      <c r="AH351" s="4"/>
      <c r="AI351" s="4"/>
      <c r="AJ351" s="2">
        <v>12</v>
      </c>
      <c r="AK351" s="12">
        <f>grand[[#This Row],[accepted as exception]]/grand[[#This Row],[number]]</f>
        <v>0.25</v>
      </c>
      <c r="AL351" s="2">
        <f>10</f>
        <v>10</v>
      </c>
    </row>
    <row r="352" spans="1:38" hidden="1" x14ac:dyDescent="0.2">
      <c r="A352" s="11">
        <v>44203</v>
      </c>
      <c r="B352" s="53" t="s">
        <v>2599</v>
      </c>
      <c r="C352" s="52" t="str">
        <f>IF(MID(B352,4,2)="09","Ramadan",IF(AND(MID(B352,4,2)="12",VALUE(LEFT(B352,2))&lt;=9),"Adha Season","Normal"))</f>
        <v>Normal</v>
      </c>
      <c r="D352" s="1" t="s">
        <v>45</v>
      </c>
      <c r="F352" s="4" t="s">
        <v>46</v>
      </c>
      <c r="G352" s="4">
        <v>48</v>
      </c>
      <c r="H352" s="4">
        <v>48</v>
      </c>
      <c r="I352" s="2">
        <f>grand[[#This Row],[number]]-grand[[#This Row],[received]]</f>
        <v>0</v>
      </c>
      <c r="J352" s="30"/>
      <c r="K352" s="4">
        <v>22068</v>
      </c>
      <c r="L352" s="4">
        <v>20630</v>
      </c>
      <c r="M352" s="2">
        <f>K352-L352</f>
        <v>1438</v>
      </c>
      <c r="N352" s="4">
        <v>13433.7</v>
      </c>
      <c r="O352" s="4"/>
      <c r="P352" s="7">
        <f>grand[[#This Row],[total weight]]/grand[[#This Row],[received]]</f>
        <v>459.75</v>
      </c>
      <c r="Q352" s="7">
        <f>grand[[#This Row],[receiving weight]]/grand[[#This Row],[received]]</f>
        <v>429.79166666666669</v>
      </c>
      <c r="R352" s="7">
        <f>grand[[#This Row],[transportation loss ]]/grand[[#This Row],[received]]</f>
        <v>29.958333333333332</v>
      </c>
      <c r="S352" s="7">
        <f>grand[[#This Row],[ carcass weight]]/grand[[#This Row],[received]]</f>
        <v>279.86875000000003</v>
      </c>
      <c r="T352" s="7">
        <f>grand[[#This Row],[ kidneys fat quantity]]/grand[[#This Row],[received]]</f>
        <v>0</v>
      </c>
      <c r="U352" s="4">
        <v>25</v>
      </c>
      <c r="V352" s="4">
        <v>0</v>
      </c>
      <c r="W352" s="4">
        <v>49.73</v>
      </c>
      <c r="X352" s="4">
        <v>10</v>
      </c>
      <c r="Y352" s="8">
        <v>8.5</v>
      </c>
      <c r="Z352" s="3">
        <f>grand[[#This Row],[av. Transportation loss]]/grand[[#This Row],[av.total weight]]</f>
        <v>6.5162225847380822E-2</v>
      </c>
      <c r="AA352" s="12">
        <f>AVERAGE((grand[[#This Row],[am]]/25),(grand[[#This Row],[pm]]/50))</f>
        <v>0.99729999999999996</v>
      </c>
      <c r="AB352" s="3">
        <f>grand[[#This Row],[ carcass weight]]/grand[[#This Row],[total weight]]</f>
        <v>0.6087411636759108</v>
      </c>
      <c r="AC352" s="6">
        <f>SUM(grand[[#This Row],[am]:[meat transportation]])/100</f>
        <v>0.93229999999999991</v>
      </c>
      <c r="AD352" s="9" t="s">
        <v>81</v>
      </c>
      <c r="AE352" s="4"/>
      <c r="AF352" s="4" t="s">
        <v>257</v>
      </c>
      <c r="AG352" s="4"/>
      <c r="AH352" s="4"/>
      <c r="AI352" s="4"/>
      <c r="AJ352" s="2">
        <v>6</v>
      </c>
      <c r="AK352" s="12">
        <f>grand[[#This Row],[accepted as exception]]/grand[[#This Row],[number]]</f>
        <v>0.125</v>
      </c>
      <c r="AL352" s="2">
        <v>11</v>
      </c>
    </row>
    <row r="353" spans="1:38" hidden="1" x14ac:dyDescent="0.2">
      <c r="A353" s="11">
        <v>44205</v>
      </c>
      <c r="B353" s="53" t="s">
        <v>2600</v>
      </c>
      <c r="C353" s="52" t="str">
        <f>IF(MID(B353,4,2)="09","Ramadan",IF(AND(MID(B353,4,2)="12",VALUE(LEFT(B353,2))&lt;=9),"Adha Season","Normal"))</f>
        <v>Normal</v>
      </c>
      <c r="D353" s="2" t="s">
        <v>294</v>
      </c>
      <c r="E353" s="2"/>
      <c r="F353" s="4" t="s">
        <v>105</v>
      </c>
      <c r="G353" s="4">
        <v>27</v>
      </c>
      <c r="H353" s="4">
        <v>27</v>
      </c>
      <c r="I353" s="2">
        <f>grand[[#This Row],[number]]-grand[[#This Row],[received]]</f>
        <v>0</v>
      </c>
      <c r="J353" s="30"/>
      <c r="K353" s="4">
        <v>1294</v>
      </c>
      <c r="L353" s="4">
        <v>1260</v>
      </c>
      <c r="M353" s="2">
        <f>K353-L353</f>
        <v>34</v>
      </c>
      <c r="N353" s="4">
        <v>749.7</v>
      </c>
      <c r="O353" s="4"/>
      <c r="P353" s="7">
        <f>grand[[#This Row],[total weight]]/grand[[#This Row],[received]]</f>
        <v>47.925925925925924</v>
      </c>
      <c r="Q353" s="7">
        <f>grand[[#This Row],[receiving weight]]/grand[[#This Row],[received]]</f>
        <v>46.666666666666664</v>
      </c>
      <c r="R353" s="7">
        <f>grand[[#This Row],[transportation loss ]]/grand[[#This Row],[received]]</f>
        <v>1.2592592592592593</v>
      </c>
      <c r="S353" s="7">
        <f>grand[[#This Row],[ carcass weight]]/grand[[#This Row],[received]]</f>
        <v>27.766666666666669</v>
      </c>
      <c r="T353" s="7">
        <f>grand[[#This Row],[ kidneys fat quantity]]/grand[[#This Row],[received]]</f>
        <v>0</v>
      </c>
      <c r="U353" s="4">
        <v>25</v>
      </c>
      <c r="V353" s="4">
        <v>0</v>
      </c>
      <c r="W353" s="4">
        <v>49.52</v>
      </c>
      <c r="X353" s="4">
        <v>10</v>
      </c>
      <c r="Y353" s="8">
        <v>8.5</v>
      </c>
      <c r="Z353" s="3">
        <f>grand[[#This Row],[av. Transportation loss]]/grand[[#This Row],[av.total weight]]</f>
        <v>2.6275115919629059E-2</v>
      </c>
      <c r="AA353" s="12">
        <f>AVERAGE((grand[[#This Row],[am]]/25),(grand[[#This Row],[pm]]/50))</f>
        <v>0.99520000000000008</v>
      </c>
      <c r="AB353" s="3">
        <f>grand[[#This Row],[ carcass weight]]/grand[[#This Row],[total weight]]</f>
        <v>0.5793663060278208</v>
      </c>
      <c r="AC353" s="6">
        <f>SUM(grand[[#This Row],[am]:[meat transportation]])/100</f>
        <v>0.93020000000000014</v>
      </c>
      <c r="AD353" s="9" t="s">
        <v>81</v>
      </c>
      <c r="AE353" s="4"/>
      <c r="AF353" s="4" t="s">
        <v>170</v>
      </c>
      <c r="AG353" s="4"/>
      <c r="AH353" s="4"/>
      <c r="AI353" s="4"/>
      <c r="AJ353" s="2"/>
      <c r="AK353" s="12">
        <f>grand[[#This Row],[accepted as exception]]/grand[[#This Row],[number]]</f>
        <v>0</v>
      </c>
      <c r="AL353" s="2">
        <v>0.5</v>
      </c>
    </row>
    <row r="354" spans="1:38" hidden="1" x14ac:dyDescent="0.2">
      <c r="A354" s="11">
        <v>44205</v>
      </c>
      <c r="B354" s="53" t="s">
        <v>2600</v>
      </c>
      <c r="C354" s="52" t="str">
        <f>IF(MID(B354,4,2)="09","Ramadan",IF(AND(MID(B354,4,2)="12",VALUE(LEFT(B354,2))&lt;=9),"Adha Season","Normal"))</f>
        <v>Normal</v>
      </c>
      <c r="D354" s="1" t="s">
        <v>45</v>
      </c>
      <c r="F354" s="4" t="s">
        <v>165</v>
      </c>
      <c r="G354" s="4">
        <v>30</v>
      </c>
      <c r="H354" s="4">
        <v>30</v>
      </c>
      <c r="I354" s="2">
        <f>grand[[#This Row],[number]]-grand[[#This Row],[received]]</f>
        <v>0</v>
      </c>
      <c r="J354" s="30"/>
      <c r="K354" s="4">
        <v>13870</v>
      </c>
      <c r="L354" s="4">
        <v>13495</v>
      </c>
      <c r="M354" s="2">
        <f>K354-L354</f>
        <v>375</v>
      </c>
      <c r="N354" s="4">
        <v>8360.1</v>
      </c>
      <c r="O354" s="4"/>
      <c r="P354" s="7">
        <f>grand[[#This Row],[total weight]]/grand[[#This Row],[received]]</f>
        <v>462.33333333333331</v>
      </c>
      <c r="Q354" s="7">
        <f>grand[[#This Row],[receiving weight]]/grand[[#This Row],[received]]</f>
        <v>449.83333333333331</v>
      </c>
      <c r="R354" s="7">
        <f>grand[[#This Row],[transportation loss ]]/grand[[#This Row],[received]]</f>
        <v>12.5</v>
      </c>
      <c r="S354" s="7">
        <f>grand[[#This Row],[ carcass weight]]/grand[[#This Row],[received]]</f>
        <v>278.67</v>
      </c>
      <c r="T354" s="7">
        <f>grand[[#This Row],[ kidneys fat quantity]]/grand[[#This Row],[received]]</f>
        <v>0</v>
      </c>
      <c r="U354" s="4">
        <v>25</v>
      </c>
      <c r="V354" s="4">
        <v>0</v>
      </c>
      <c r="W354" s="4">
        <v>48.93</v>
      </c>
      <c r="X354" s="4">
        <v>10</v>
      </c>
      <c r="Y354" s="8">
        <v>8.5</v>
      </c>
      <c r="Z354" s="3">
        <f>grand[[#This Row],[av. Transportation loss]]/grand[[#This Row],[av.total weight]]</f>
        <v>2.7036770007209807E-2</v>
      </c>
      <c r="AA354" s="12">
        <f>AVERAGE((grand[[#This Row],[am]]/25),(grand[[#This Row],[pm]]/50))</f>
        <v>0.98930000000000007</v>
      </c>
      <c r="AB354" s="3">
        <f>grand[[#This Row],[ carcass weight]]/grand[[#This Row],[total weight]]</f>
        <v>0.60274693583273253</v>
      </c>
      <c r="AC354" s="6">
        <f>SUM(grand[[#This Row],[am]:[meat transportation]])/100</f>
        <v>0.92430000000000012</v>
      </c>
      <c r="AD354" s="9" t="s">
        <v>89</v>
      </c>
      <c r="AE354" s="4"/>
      <c r="AF354" s="4"/>
      <c r="AG354" s="4"/>
      <c r="AH354" s="4"/>
      <c r="AI354" s="4">
        <v>5</v>
      </c>
      <c r="AJ354" s="2">
        <v>8</v>
      </c>
      <c r="AK354" s="12">
        <f>grand[[#This Row],[accepted as exception]]/grand[[#This Row],[number]]</f>
        <v>0.26666666666666666</v>
      </c>
      <c r="AL354" s="2">
        <v>2.5</v>
      </c>
    </row>
    <row r="355" spans="1:38" hidden="1" x14ac:dyDescent="0.2">
      <c r="A355" s="11">
        <v>44208</v>
      </c>
      <c r="B355" s="53" t="s">
        <v>2601</v>
      </c>
      <c r="C355" s="52" t="str">
        <f>IF(MID(B355,4,2)="09","Ramadan",IF(AND(MID(B355,4,2)="12",VALUE(LEFT(B355,2))&lt;=9),"Adha Season","Normal"))</f>
        <v>Normal</v>
      </c>
      <c r="D355" s="1" t="s">
        <v>45</v>
      </c>
      <c r="F355" s="4" t="s">
        <v>46</v>
      </c>
      <c r="G355" s="4">
        <v>36</v>
      </c>
      <c r="H355" s="4">
        <v>36</v>
      </c>
      <c r="I355" s="2">
        <f>grand[[#This Row],[number]]-grand[[#This Row],[received]]</f>
        <v>0</v>
      </c>
      <c r="J355" s="30"/>
      <c r="K355" s="4">
        <v>17256</v>
      </c>
      <c r="L355" s="4">
        <v>16450</v>
      </c>
      <c r="M355" s="2">
        <f>K355-L355</f>
        <v>806</v>
      </c>
      <c r="N355" s="4">
        <v>10535.6</v>
      </c>
      <c r="O355" s="4"/>
      <c r="P355" s="7">
        <f>grand[[#This Row],[total weight]]/grand[[#This Row],[received]]</f>
        <v>479.33333333333331</v>
      </c>
      <c r="Q355" s="7">
        <f>grand[[#This Row],[receiving weight]]/grand[[#This Row],[received]]</f>
        <v>456.94444444444446</v>
      </c>
      <c r="R355" s="7">
        <f>grand[[#This Row],[transportation loss ]]/grand[[#This Row],[received]]</f>
        <v>22.388888888888889</v>
      </c>
      <c r="S355" s="7">
        <f>grand[[#This Row],[ carcass weight]]/grand[[#This Row],[received]]</f>
        <v>292.65555555555557</v>
      </c>
      <c r="T355" s="7">
        <f>grand[[#This Row],[ kidneys fat quantity]]/grand[[#This Row],[received]]</f>
        <v>0</v>
      </c>
      <c r="U355" s="4">
        <v>25</v>
      </c>
      <c r="V355" s="4">
        <v>0</v>
      </c>
      <c r="W355" s="4">
        <v>49.81</v>
      </c>
      <c r="X355" s="4">
        <v>10</v>
      </c>
      <c r="Y355" s="8">
        <v>8.5</v>
      </c>
      <c r="Z355" s="3">
        <f>grand[[#This Row],[av. Transportation loss]]/grand[[#This Row],[av.total weight]]</f>
        <v>4.6708391284191006E-2</v>
      </c>
      <c r="AA355" s="12">
        <f>AVERAGE((grand[[#This Row],[am]]/25),(grand[[#This Row],[pm]]/50))</f>
        <v>0.99809999999999999</v>
      </c>
      <c r="AB355" s="3">
        <f>grand[[#This Row],[ carcass weight]]/grand[[#This Row],[total weight]]</f>
        <v>0.61054705609643023</v>
      </c>
      <c r="AC355" s="6">
        <f>SUM(grand[[#This Row],[am]:[meat transportation]])/100</f>
        <v>0.93310000000000004</v>
      </c>
      <c r="AD355" s="9" t="s">
        <v>89</v>
      </c>
      <c r="AE355" s="4"/>
      <c r="AF355" s="4"/>
      <c r="AG355" s="4"/>
      <c r="AH355" s="4"/>
      <c r="AI355" s="4"/>
      <c r="AJ355" s="2">
        <v>13</v>
      </c>
      <c r="AK355" s="12">
        <f>grand[[#This Row],[accepted as exception]]/grand[[#This Row],[number]]</f>
        <v>0.3611111111111111</v>
      </c>
      <c r="AL355" s="2">
        <f>1.5</f>
        <v>1.5</v>
      </c>
    </row>
    <row r="356" spans="1:38" hidden="1" x14ac:dyDescent="0.2">
      <c r="A356" s="11">
        <v>44210</v>
      </c>
      <c r="B356" s="53" t="s">
        <v>2602</v>
      </c>
      <c r="C356" s="52" t="str">
        <f>IF(MID(B356,4,2)="09","Ramadan",IF(AND(MID(B356,4,2)="12",VALUE(LEFT(B356,2))&lt;=9),"Adha Season","Normal"))</f>
        <v>Normal</v>
      </c>
      <c r="D356" s="1" t="s">
        <v>45</v>
      </c>
      <c r="F356" s="4" t="s">
        <v>46</v>
      </c>
      <c r="G356" s="4">
        <v>45</v>
      </c>
      <c r="H356" s="4">
        <v>45</v>
      </c>
      <c r="I356" s="2">
        <f>grand[[#This Row],[number]]-grand[[#This Row],[received]]</f>
        <v>0</v>
      </c>
      <c r="J356" s="30"/>
      <c r="K356" s="4">
        <v>21640</v>
      </c>
      <c r="L356" s="4">
        <v>20540</v>
      </c>
      <c r="M356" s="2">
        <f>K356-L356</f>
        <v>1100</v>
      </c>
      <c r="N356" s="4">
        <v>13042</v>
      </c>
      <c r="O356" s="4"/>
      <c r="P356" s="7">
        <f>grand[[#This Row],[total weight]]/grand[[#This Row],[received]]</f>
        <v>480.88888888888891</v>
      </c>
      <c r="Q356" s="7">
        <f>grand[[#This Row],[receiving weight]]/grand[[#This Row],[received]]</f>
        <v>456.44444444444446</v>
      </c>
      <c r="R356" s="7">
        <f>grand[[#This Row],[transportation loss ]]/grand[[#This Row],[received]]</f>
        <v>24.444444444444443</v>
      </c>
      <c r="S356" s="7">
        <f>grand[[#This Row],[ carcass weight]]/grand[[#This Row],[received]]</f>
        <v>289.82222222222219</v>
      </c>
      <c r="T356" s="7">
        <f>grand[[#This Row],[ kidneys fat quantity]]/grand[[#This Row],[received]]</f>
        <v>0</v>
      </c>
      <c r="U356" s="4">
        <v>25</v>
      </c>
      <c r="V356" s="4">
        <v>0</v>
      </c>
      <c r="W356" s="4">
        <v>48.93</v>
      </c>
      <c r="X356" s="4">
        <v>10</v>
      </c>
      <c r="Y356" s="8">
        <v>8.5</v>
      </c>
      <c r="Z356" s="3">
        <f>grand[[#This Row],[av. Transportation loss]]/grand[[#This Row],[av.total weight]]</f>
        <v>5.0831792975970416E-2</v>
      </c>
      <c r="AA356" s="12">
        <f>AVERAGE((grand[[#This Row],[am]]/25),(grand[[#This Row],[pm]]/50))</f>
        <v>0.98930000000000007</v>
      </c>
      <c r="AB356" s="3">
        <f>grand[[#This Row],[ carcass weight]]/grand[[#This Row],[total weight]]</f>
        <v>0.6026802218114603</v>
      </c>
      <c r="AC356" s="6">
        <f>SUM(grand[[#This Row],[am]:[meat transportation]])/100</f>
        <v>0.92430000000000012</v>
      </c>
      <c r="AD356" s="9" t="s">
        <v>77</v>
      </c>
      <c r="AE356" s="4"/>
      <c r="AF356" s="4" t="s">
        <v>55</v>
      </c>
      <c r="AG356" s="4"/>
      <c r="AH356" s="4"/>
      <c r="AI356" s="4">
        <v>5</v>
      </c>
      <c r="AJ356" s="2">
        <v>25</v>
      </c>
      <c r="AK356" s="12">
        <f>grand[[#This Row],[accepted as exception]]/grand[[#This Row],[number]]</f>
        <v>0.55555555555555558</v>
      </c>
      <c r="AL356" s="2">
        <v>11</v>
      </c>
    </row>
    <row r="357" spans="1:38" hidden="1" x14ac:dyDescent="0.2">
      <c r="A357" s="11">
        <v>44212</v>
      </c>
      <c r="B357" s="53" t="s">
        <v>2603</v>
      </c>
      <c r="C357" s="52" t="str">
        <f>IF(MID(B357,4,2)="09","Ramadan",IF(AND(MID(B357,4,2)="12",VALUE(LEFT(B357,2))&lt;=9),"Adha Season","Normal"))</f>
        <v>Normal</v>
      </c>
      <c r="D357" s="2" t="s">
        <v>294</v>
      </c>
      <c r="E357" s="2"/>
      <c r="F357" s="4" t="s">
        <v>105</v>
      </c>
      <c r="G357" s="4">
        <v>27</v>
      </c>
      <c r="H357" s="4">
        <v>27</v>
      </c>
      <c r="I357" s="2">
        <f>grand[[#This Row],[number]]-grand[[#This Row],[received]]</f>
        <v>0</v>
      </c>
      <c r="J357" s="30"/>
      <c r="K357" s="4">
        <v>1398</v>
      </c>
      <c r="L357" s="4">
        <v>1345</v>
      </c>
      <c r="M357" s="2">
        <f>K357-L357</f>
        <v>53</v>
      </c>
      <c r="N357" s="4">
        <v>822</v>
      </c>
      <c r="O357" s="4"/>
      <c r="P357" s="7">
        <f>grand[[#This Row],[total weight]]/grand[[#This Row],[received]]</f>
        <v>51.777777777777779</v>
      </c>
      <c r="Q357" s="7">
        <f>grand[[#This Row],[receiving weight]]/grand[[#This Row],[received]]</f>
        <v>49.814814814814817</v>
      </c>
      <c r="R357" s="7">
        <f>grand[[#This Row],[transportation loss ]]/grand[[#This Row],[received]]</f>
        <v>1.962962962962963</v>
      </c>
      <c r="S357" s="7">
        <f>grand[[#This Row],[ carcass weight]]/grand[[#This Row],[received]]</f>
        <v>30.444444444444443</v>
      </c>
      <c r="T357" s="7">
        <f>grand[[#This Row],[ kidneys fat quantity]]/grand[[#This Row],[received]]</f>
        <v>0</v>
      </c>
      <c r="U357" s="4">
        <v>25</v>
      </c>
      <c r="V357" s="4">
        <v>0</v>
      </c>
      <c r="W357" s="4">
        <v>49.74</v>
      </c>
      <c r="X357" s="4">
        <v>10</v>
      </c>
      <c r="Y357" s="8">
        <v>8.5</v>
      </c>
      <c r="Z357" s="3">
        <f>grand[[#This Row],[av. Transportation loss]]/grand[[#This Row],[av.total weight]]</f>
        <v>3.7911301859799712E-2</v>
      </c>
      <c r="AA357" s="12">
        <f>AVERAGE((grand[[#This Row],[am]]/25),(grand[[#This Row],[pm]]/50))</f>
        <v>0.99740000000000006</v>
      </c>
      <c r="AB357" s="3">
        <f>grand[[#This Row],[ carcass weight]]/grand[[#This Row],[total weight]]</f>
        <v>0.58798283261802575</v>
      </c>
      <c r="AC357" s="6">
        <f>SUM(grand[[#This Row],[am]:[meat transportation]])/100</f>
        <v>0.93240000000000012</v>
      </c>
      <c r="AD357" s="9" t="s">
        <v>81</v>
      </c>
      <c r="AE357" s="4"/>
      <c r="AF357" s="4"/>
      <c r="AG357" s="4"/>
      <c r="AH357" s="4"/>
      <c r="AI357" s="4"/>
      <c r="AJ357" s="2"/>
      <c r="AK357" s="12">
        <f>grand[[#This Row],[accepted as exception]]/grand[[#This Row],[number]]</f>
        <v>0</v>
      </c>
      <c r="AL357" s="2">
        <v>1</v>
      </c>
    </row>
    <row r="358" spans="1:38" hidden="1" x14ac:dyDescent="0.2">
      <c r="A358" s="11">
        <v>44212</v>
      </c>
      <c r="B358" s="53" t="s">
        <v>2603</v>
      </c>
      <c r="C358" s="52" t="str">
        <f>IF(MID(B358,4,2)="09","Ramadan",IF(AND(MID(B358,4,2)="12",VALUE(LEFT(B358,2))&lt;=9),"Adha Season","Normal"))</f>
        <v>Normal</v>
      </c>
      <c r="D358" s="1" t="s">
        <v>45</v>
      </c>
      <c r="F358" s="4" t="s">
        <v>165</v>
      </c>
      <c r="G358" s="4">
        <v>30</v>
      </c>
      <c r="H358" s="4">
        <v>30</v>
      </c>
      <c r="I358" s="2">
        <f>grand[[#This Row],[number]]-grand[[#This Row],[received]]</f>
        <v>0</v>
      </c>
      <c r="J358" s="30"/>
      <c r="K358" s="4">
        <v>14115</v>
      </c>
      <c r="L358" s="4">
        <v>13780</v>
      </c>
      <c r="M358" s="2">
        <f>K358-L358</f>
        <v>335</v>
      </c>
      <c r="N358" s="4">
        <v>8483.9</v>
      </c>
      <c r="O358" s="4"/>
      <c r="P358" s="7">
        <f>grand[[#This Row],[total weight]]/grand[[#This Row],[received]]</f>
        <v>470.5</v>
      </c>
      <c r="Q358" s="7">
        <f>grand[[#This Row],[receiving weight]]/grand[[#This Row],[received]]</f>
        <v>459.33333333333331</v>
      </c>
      <c r="R358" s="7">
        <f>grand[[#This Row],[transportation loss ]]/grand[[#This Row],[received]]</f>
        <v>11.166666666666666</v>
      </c>
      <c r="S358" s="7">
        <f>grand[[#This Row],[ carcass weight]]/grand[[#This Row],[received]]</f>
        <v>282.79666666666668</v>
      </c>
      <c r="T358" s="7">
        <f>grand[[#This Row],[ kidneys fat quantity]]/grand[[#This Row],[received]]</f>
        <v>0</v>
      </c>
      <c r="U358" s="4">
        <v>25</v>
      </c>
      <c r="V358" s="4">
        <v>0</v>
      </c>
      <c r="W358" s="4">
        <v>50</v>
      </c>
      <c r="X358" s="4">
        <v>10</v>
      </c>
      <c r="Y358" s="8">
        <v>8.5</v>
      </c>
      <c r="Z358" s="3">
        <f>grand[[#This Row],[av. Transportation loss]]/grand[[#This Row],[av.total weight]]</f>
        <v>2.3733616719801627E-2</v>
      </c>
      <c r="AA358" s="12">
        <f>AVERAGE((grand[[#This Row],[am]]/25),(grand[[#This Row],[pm]]/50))</f>
        <v>1</v>
      </c>
      <c r="AB358" s="3">
        <f>grand[[#This Row],[ carcass weight]]/grand[[#This Row],[total weight]]</f>
        <v>0.60105561459440304</v>
      </c>
      <c r="AC358" s="6">
        <f>SUM(grand[[#This Row],[am]:[meat transportation]])/100</f>
        <v>0.93500000000000005</v>
      </c>
      <c r="AD358" s="9"/>
      <c r="AE358" s="4"/>
      <c r="AF358" s="4"/>
      <c r="AG358" s="4"/>
      <c r="AH358" s="4"/>
      <c r="AI358" s="4"/>
      <c r="AJ358" s="2">
        <v>15</v>
      </c>
      <c r="AK358" s="12">
        <f>grand[[#This Row],[accepted as exception]]/grand[[#This Row],[number]]</f>
        <v>0.5</v>
      </c>
      <c r="AL358" s="2">
        <v>0</v>
      </c>
    </row>
    <row r="359" spans="1:38" hidden="1" x14ac:dyDescent="0.2">
      <c r="A359" s="11">
        <v>44213</v>
      </c>
      <c r="B359" s="53" t="s">
        <v>1532</v>
      </c>
      <c r="C359" s="52" t="str">
        <f>IF(MID(B359,4,2)="09","Ramadan",IF(AND(MID(B359,4,2)="12",VALUE(LEFT(B359,2))&lt;=9),"Adha Season","Normal"))</f>
        <v>Normal</v>
      </c>
      <c r="D359" s="1" t="s">
        <v>45</v>
      </c>
      <c r="F359" s="4" t="s">
        <v>39</v>
      </c>
      <c r="G359" s="4">
        <v>45</v>
      </c>
      <c r="H359" s="4">
        <v>45</v>
      </c>
      <c r="I359" s="2">
        <f>grand[[#This Row],[number]]-grand[[#This Row],[received]]</f>
        <v>0</v>
      </c>
      <c r="J359" s="30"/>
      <c r="K359" s="4">
        <v>20216</v>
      </c>
      <c r="L359" s="4">
        <v>19170</v>
      </c>
      <c r="M359" s="2">
        <f>K359-L359</f>
        <v>1046</v>
      </c>
      <c r="N359" s="4">
        <v>12600.9</v>
      </c>
      <c r="O359" s="4"/>
      <c r="P359" s="7">
        <f>grand[[#This Row],[total weight]]/grand[[#This Row],[received]]</f>
        <v>449.24444444444447</v>
      </c>
      <c r="Q359" s="7">
        <f>grand[[#This Row],[receiving weight]]/grand[[#This Row],[received]]</f>
        <v>426</v>
      </c>
      <c r="R359" s="7">
        <f>grand[[#This Row],[transportation loss ]]/grand[[#This Row],[received]]</f>
        <v>23.244444444444444</v>
      </c>
      <c r="S359" s="7">
        <f>grand[[#This Row],[ carcass weight]]/grand[[#This Row],[received]]</f>
        <v>280.02</v>
      </c>
      <c r="T359" s="7">
        <f>grand[[#This Row],[ kidneys fat quantity]]/grand[[#This Row],[received]]</f>
        <v>0</v>
      </c>
      <c r="U359" s="4">
        <v>25</v>
      </c>
      <c r="V359" s="4">
        <v>0</v>
      </c>
      <c r="W359" s="4">
        <v>49.8</v>
      </c>
      <c r="X359" s="4">
        <v>10</v>
      </c>
      <c r="Y359" s="8">
        <v>8.5</v>
      </c>
      <c r="Z359" s="3">
        <f>grand[[#This Row],[av. Transportation loss]]/grand[[#This Row],[av.total weight]]</f>
        <v>5.1741195092995643E-2</v>
      </c>
      <c r="AA359" s="12">
        <f>AVERAGE((grand[[#This Row],[am]]/25),(grand[[#This Row],[pm]]/50))</f>
        <v>0.998</v>
      </c>
      <c r="AB359" s="3">
        <f>grand[[#This Row],[ carcass weight]]/grand[[#This Row],[total weight]]</f>
        <v>0.6233132172536604</v>
      </c>
      <c r="AC359" s="6">
        <f>SUM(grand[[#This Row],[am]:[meat transportation]])/100</f>
        <v>0.93299999999999994</v>
      </c>
      <c r="AD359" s="9" t="s">
        <v>81</v>
      </c>
      <c r="AE359" s="4"/>
      <c r="AF359" s="4" t="s">
        <v>81</v>
      </c>
      <c r="AG359" s="4"/>
      <c r="AH359" s="4"/>
      <c r="AI359" s="4"/>
      <c r="AJ359" s="2">
        <v>6</v>
      </c>
      <c r="AK359" s="12">
        <f>grand[[#This Row],[accepted as exception]]/grand[[#This Row],[number]]</f>
        <v>0.13333333333333333</v>
      </c>
      <c r="AL359" s="2">
        <v>11</v>
      </c>
    </row>
    <row r="360" spans="1:38" hidden="1" x14ac:dyDescent="0.2">
      <c r="A360" s="11">
        <v>44219</v>
      </c>
      <c r="B360" s="53" t="s">
        <v>2606</v>
      </c>
      <c r="C360" s="52" t="str">
        <f>IF(MID(B360,4,2)="09","Ramadan",IF(AND(MID(B360,4,2)="12",VALUE(LEFT(B360,2))&lt;=9),"Adha Season","Normal"))</f>
        <v>Normal</v>
      </c>
      <c r="D360" s="2" t="s">
        <v>294</v>
      </c>
      <c r="E360" s="2"/>
      <c r="F360" s="4" t="s">
        <v>105</v>
      </c>
      <c r="G360" s="4">
        <v>25</v>
      </c>
      <c r="H360" s="4">
        <v>25</v>
      </c>
      <c r="I360" s="2">
        <f>grand[[#This Row],[number]]-grand[[#This Row],[received]]</f>
        <v>0</v>
      </c>
      <c r="J360" s="30"/>
      <c r="K360" s="4">
        <v>1259</v>
      </c>
      <c r="L360" s="4">
        <v>1230</v>
      </c>
      <c r="M360" s="2">
        <f>K360-L360</f>
        <v>29</v>
      </c>
      <c r="N360" s="4">
        <v>738.6</v>
      </c>
      <c r="O360" s="4"/>
      <c r="P360" s="7">
        <f>grand[[#This Row],[total weight]]/grand[[#This Row],[received]]</f>
        <v>50.36</v>
      </c>
      <c r="Q360" s="7">
        <f>grand[[#This Row],[receiving weight]]/grand[[#This Row],[received]]</f>
        <v>49.2</v>
      </c>
      <c r="R360" s="7">
        <f>grand[[#This Row],[transportation loss ]]/grand[[#This Row],[received]]</f>
        <v>1.1599999999999999</v>
      </c>
      <c r="S360" s="7">
        <f>grand[[#This Row],[ carcass weight]]/grand[[#This Row],[received]]</f>
        <v>29.544</v>
      </c>
      <c r="T360" s="7">
        <f>grand[[#This Row],[ kidneys fat quantity]]/grand[[#This Row],[received]]</f>
        <v>0</v>
      </c>
      <c r="U360" s="4">
        <v>25</v>
      </c>
      <c r="V360" s="4">
        <v>0</v>
      </c>
      <c r="W360" s="4">
        <v>49.76</v>
      </c>
      <c r="X360" s="4">
        <v>10</v>
      </c>
      <c r="Y360" s="8">
        <v>8.5</v>
      </c>
      <c r="Z360" s="3">
        <f>grand[[#This Row],[av. Transportation loss]]/grand[[#This Row],[av.total weight]]</f>
        <v>2.3034154090548053E-2</v>
      </c>
      <c r="AA360" s="12">
        <f>AVERAGE((grand[[#This Row],[am]]/25),(grand[[#This Row],[pm]]/50))</f>
        <v>0.99760000000000004</v>
      </c>
      <c r="AB360" s="3">
        <f>grand[[#This Row],[ carcass weight]]/grand[[#This Row],[total weight]]</f>
        <v>0.58665607625099292</v>
      </c>
      <c r="AC360" s="6">
        <f>SUM(grand[[#This Row],[am]:[meat transportation]])/100</f>
        <v>0.93259999999999987</v>
      </c>
      <c r="AD360" s="9"/>
      <c r="AE360" s="4"/>
      <c r="AF360" s="4" t="s">
        <v>69</v>
      </c>
      <c r="AG360" s="4"/>
      <c r="AH360" s="4"/>
      <c r="AI360" s="4"/>
      <c r="AJ360" s="2"/>
      <c r="AK360" s="12">
        <f>grand[[#This Row],[accepted as exception]]/grand[[#This Row],[number]]</f>
        <v>0</v>
      </c>
      <c r="AL360" s="2">
        <v>0</v>
      </c>
    </row>
    <row r="361" spans="1:38" hidden="1" x14ac:dyDescent="0.2">
      <c r="A361" s="11">
        <v>44226</v>
      </c>
      <c r="B361" s="53" t="s">
        <v>2609</v>
      </c>
      <c r="C361" s="52" t="str">
        <f>IF(MID(B361,4,2)="09","Ramadan",IF(AND(MID(B361,4,2)="12",VALUE(LEFT(B361,2))&lt;=9),"Adha Season","Normal"))</f>
        <v>Normal</v>
      </c>
      <c r="D361" s="2" t="s">
        <v>294</v>
      </c>
      <c r="E361" s="2"/>
      <c r="F361" s="4" t="s">
        <v>105</v>
      </c>
      <c r="G361" s="4">
        <v>24</v>
      </c>
      <c r="H361" s="4">
        <v>24</v>
      </c>
      <c r="I361" s="2">
        <f>grand[[#This Row],[number]]-grand[[#This Row],[received]]</f>
        <v>0</v>
      </c>
      <c r="J361" s="30"/>
      <c r="K361" s="4">
        <v>1313</v>
      </c>
      <c r="L361" s="4">
        <v>1265</v>
      </c>
      <c r="M361" s="2">
        <f>K361-L361</f>
        <v>48</v>
      </c>
      <c r="N361" s="4">
        <v>772.6</v>
      </c>
      <c r="O361" s="4"/>
      <c r="P361" s="7">
        <f>grand[[#This Row],[total weight]]/grand[[#This Row],[received]]</f>
        <v>54.708333333333336</v>
      </c>
      <c r="Q361" s="7">
        <f>grand[[#This Row],[receiving weight]]/grand[[#This Row],[received]]</f>
        <v>52.708333333333336</v>
      </c>
      <c r="R361" s="7">
        <f>grand[[#This Row],[transportation loss ]]/grand[[#This Row],[received]]</f>
        <v>2</v>
      </c>
      <c r="S361" s="7">
        <f>grand[[#This Row],[ carcass weight]]/grand[[#This Row],[received]]</f>
        <v>32.19166666666667</v>
      </c>
      <c r="T361" s="7">
        <f>grand[[#This Row],[ kidneys fat quantity]]/grand[[#This Row],[received]]</f>
        <v>0</v>
      </c>
      <c r="U361" s="4">
        <v>25</v>
      </c>
      <c r="V361" s="4">
        <v>0</v>
      </c>
      <c r="W361" s="4">
        <v>49.92</v>
      </c>
      <c r="X361" s="4">
        <v>10</v>
      </c>
      <c r="Y361" s="8">
        <v>8.5</v>
      </c>
      <c r="Z361" s="3">
        <f>grand[[#This Row],[av. Transportation loss]]/grand[[#This Row],[av.total weight]]</f>
        <v>3.6557501904036553E-2</v>
      </c>
      <c r="AA361" s="12">
        <f>AVERAGE((grand[[#This Row],[am]]/25),(grand[[#This Row],[pm]]/50))</f>
        <v>0.99920000000000009</v>
      </c>
      <c r="AB361" s="3">
        <f>grand[[#This Row],[ carcass weight]]/grand[[#This Row],[total weight]]</f>
        <v>0.5884234577303884</v>
      </c>
      <c r="AC361" s="6">
        <f>SUM(grand[[#This Row],[am]:[meat transportation]])/100</f>
        <v>0.93420000000000003</v>
      </c>
      <c r="AD361" s="9"/>
      <c r="AE361" s="4"/>
      <c r="AF361" s="4" t="s">
        <v>252</v>
      </c>
      <c r="AG361" s="4"/>
      <c r="AH361" s="4"/>
      <c r="AI361" s="4"/>
      <c r="AJ361" s="2"/>
      <c r="AK361" s="12">
        <f>grand[[#This Row],[accepted as exception]]/grand[[#This Row],[number]]</f>
        <v>0</v>
      </c>
      <c r="AL361" s="2">
        <v>0</v>
      </c>
    </row>
    <row r="362" spans="1:38" hidden="1" x14ac:dyDescent="0.2">
      <c r="A362" s="11">
        <v>44227</v>
      </c>
      <c r="B362" s="53" t="s">
        <v>1534</v>
      </c>
      <c r="C362" s="52" t="str">
        <f>IF(MID(B362,4,2)="09","Ramadan",IF(AND(MID(B362,4,2)="12",VALUE(LEFT(B362,2))&lt;=9),"Adha Season","Normal"))</f>
        <v>Normal</v>
      </c>
      <c r="D362" s="1" t="s">
        <v>45</v>
      </c>
      <c r="F362" s="4" t="s">
        <v>165</v>
      </c>
      <c r="G362" s="4">
        <v>46</v>
      </c>
      <c r="H362" s="4">
        <v>46</v>
      </c>
      <c r="I362" s="2">
        <f>grand[[#This Row],[number]]-grand[[#This Row],[received]]</f>
        <v>0</v>
      </c>
      <c r="J362" s="30"/>
      <c r="K362" s="4">
        <v>21666</v>
      </c>
      <c r="L362" s="4">
        <v>20945</v>
      </c>
      <c r="M362" s="2">
        <f>K362-L362</f>
        <v>721</v>
      </c>
      <c r="N362" s="4">
        <v>12998.9</v>
      </c>
      <c r="O362" s="4"/>
      <c r="P362" s="7">
        <f>grand[[#This Row],[total weight]]/grand[[#This Row],[received]]</f>
        <v>471</v>
      </c>
      <c r="Q362" s="7">
        <f>grand[[#This Row],[receiving weight]]/grand[[#This Row],[received]]</f>
        <v>455.32608695652175</v>
      </c>
      <c r="R362" s="7">
        <f>grand[[#This Row],[transportation loss ]]/grand[[#This Row],[received]]</f>
        <v>15.673913043478262</v>
      </c>
      <c r="S362" s="7">
        <f>grand[[#This Row],[ carcass weight]]/grand[[#This Row],[received]]</f>
        <v>282.58478260869566</v>
      </c>
      <c r="T362" s="7">
        <f>grand[[#This Row],[ kidneys fat quantity]]/grand[[#This Row],[received]]</f>
        <v>0</v>
      </c>
      <c r="U362" s="4">
        <v>25</v>
      </c>
      <c r="V362" s="4">
        <v>0</v>
      </c>
      <c r="W362" s="4">
        <v>49.57</v>
      </c>
      <c r="X362" s="4">
        <v>9.6999999999999993</v>
      </c>
      <c r="Y362" s="8">
        <v>8.5</v>
      </c>
      <c r="Z362" s="3">
        <f>grand[[#This Row],[av. Transportation loss]]/grand[[#This Row],[av.total weight]]</f>
        <v>3.3277947013754271E-2</v>
      </c>
      <c r="AA362" s="12">
        <f>AVERAGE((grand[[#This Row],[am]]/25),(grand[[#This Row],[pm]]/50))</f>
        <v>0.99570000000000003</v>
      </c>
      <c r="AB362" s="3">
        <f>grand[[#This Row],[ carcass weight]]/grand[[#This Row],[total weight]]</f>
        <v>0.59996769131357885</v>
      </c>
      <c r="AC362" s="6">
        <f>SUM(grand[[#This Row],[am]:[meat transportation]])/100</f>
        <v>0.92769999999999997</v>
      </c>
      <c r="AD362" s="9" t="s">
        <v>260</v>
      </c>
      <c r="AE362" s="4"/>
      <c r="AF362" s="4"/>
      <c r="AG362" s="4"/>
      <c r="AH362" s="4"/>
      <c r="AI362" s="4"/>
      <c r="AJ362" s="2">
        <v>6</v>
      </c>
      <c r="AK362" s="12">
        <f>grand[[#This Row],[accepted as exception]]/grand[[#This Row],[number]]</f>
        <v>0.13043478260869565</v>
      </c>
      <c r="AL362" s="2">
        <f>52.3+4</f>
        <v>56.3</v>
      </c>
    </row>
    <row r="363" spans="1:38" hidden="1" x14ac:dyDescent="0.2">
      <c r="A363" s="11">
        <v>44233</v>
      </c>
      <c r="B363" s="53" t="s">
        <v>2612</v>
      </c>
      <c r="C363" s="52" t="str">
        <f>IF(MID(B363,4,2)="09","Ramadan",IF(AND(MID(B363,4,2)="12",VALUE(LEFT(B363,2))&lt;=9),"Adha Season","Normal"))</f>
        <v>Normal</v>
      </c>
      <c r="D363" s="2" t="s">
        <v>294</v>
      </c>
      <c r="E363" s="2"/>
      <c r="F363" s="4" t="s">
        <v>105</v>
      </c>
      <c r="G363" s="4">
        <v>23</v>
      </c>
      <c r="H363" s="4">
        <v>23</v>
      </c>
      <c r="I363" s="2">
        <f>grand[[#This Row],[number]]-grand[[#This Row],[received]]</f>
        <v>0</v>
      </c>
      <c r="J363" s="30"/>
      <c r="K363" s="4">
        <v>1268</v>
      </c>
      <c r="L363" s="4">
        <v>1240</v>
      </c>
      <c r="M363" s="2">
        <f>K363-L363</f>
        <v>28</v>
      </c>
      <c r="N363" s="4">
        <v>789.1</v>
      </c>
      <c r="O363" s="4"/>
      <c r="P363" s="7">
        <f>grand[[#This Row],[total weight]]/grand[[#This Row],[received]]</f>
        <v>55.130434782608695</v>
      </c>
      <c r="Q363" s="7">
        <f>grand[[#This Row],[receiving weight]]/grand[[#This Row],[received]]</f>
        <v>53.913043478260867</v>
      </c>
      <c r="R363" s="7">
        <f>grand[[#This Row],[transportation loss ]]/grand[[#This Row],[received]]</f>
        <v>1.2173913043478262</v>
      </c>
      <c r="S363" s="7">
        <f>grand[[#This Row],[ carcass weight]]/grand[[#This Row],[received]]</f>
        <v>34.308695652173917</v>
      </c>
      <c r="T363" s="7">
        <f>grand[[#This Row],[ kidneys fat quantity]]/grand[[#This Row],[received]]</f>
        <v>0</v>
      </c>
      <c r="U363" s="4">
        <v>25</v>
      </c>
      <c r="V363" s="4">
        <v>0</v>
      </c>
      <c r="W363" s="4">
        <v>47.85</v>
      </c>
      <c r="X363" s="4">
        <v>10</v>
      </c>
      <c r="Y363" s="8">
        <v>8.5</v>
      </c>
      <c r="Z363" s="3">
        <f>grand[[#This Row],[av. Transportation loss]]/grand[[#This Row],[av.total weight]]</f>
        <v>2.2082018927444796E-2</v>
      </c>
      <c r="AA363" s="12">
        <f>AVERAGE((grand[[#This Row],[am]]/25),(grand[[#This Row],[pm]]/50))</f>
        <v>0.97850000000000004</v>
      </c>
      <c r="AB363" s="3">
        <f>grand[[#This Row],[ carcass weight]]/grand[[#This Row],[total weight]]</f>
        <v>0.6223186119873817</v>
      </c>
      <c r="AC363" s="6">
        <f>SUM(grand[[#This Row],[am]:[meat transportation]])/100</f>
        <v>0.91349999999999998</v>
      </c>
      <c r="AD363" s="9" t="s">
        <v>71</v>
      </c>
      <c r="AE363" s="4"/>
      <c r="AF363" s="4" t="s">
        <v>170</v>
      </c>
      <c r="AG363" s="4"/>
      <c r="AH363" s="4"/>
      <c r="AI363" s="4"/>
      <c r="AJ363" s="2"/>
      <c r="AK363" s="12">
        <f>grand[[#This Row],[accepted as exception]]/grand[[#This Row],[number]]</f>
        <v>0</v>
      </c>
      <c r="AL363" s="2">
        <v>3</v>
      </c>
    </row>
    <row r="364" spans="1:38" hidden="1" x14ac:dyDescent="0.2">
      <c r="A364" s="11">
        <v>44240</v>
      </c>
      <c r="B364" s="53" t="s">
        <v>2615</v>
      </c>
      <c r="C364" s="52" t="str">
        <f>IF(MID(B364,4,2)="09","Ramadan",IF(AND(MID(B364,4,2)="12",VALUE(LEFT(B364,2))&lt;=9),"Adha Season","Normal"))</f>
        <v>Normal</v>
      </c>
      <c r="D364" s="2" t="s">
        <v>294</v>
      </c>
      <c r="E364" s="2"/>
      <c r="F364" s="4" t="s">
        <v>105</v>
      </c>
      <c r="G364" s="4">
        <v>25</v>
      </c>
      <c r="H364" s="4">
        <v>25</v>
      </c>
      <c r="I364" s="2">
        <f>grand[[#This Row],[number]]-grand[[#This Row],[received]]</f>
        <v>0</v>
      </c>
      <c r="J364" s="30"/>
      <c r="K364" s="4">
        <v>1221</v>
      </c>
      <c r="L364" s="4">
        <v>1200</v>
      </c>
      <c r="M364" s="2">
        <f>K364-L364</f>
        <v>21</v>
      </c>
      <c r="N364" s="4">
        <v>720.3</v>
      </c>
      <c r="O364" s="4"/>
      <c r="P364" s="7">
        <f>grand[[#This Row],[total weight]]/grand[[#This Row],[received]]</f>
        <v>48.84</v>
      </c>
      <c r="Q364" s="7">
        <f>grand[[#This Row],[receiving weight]]/grand[[#This Row],[received]]</f>
        <v>48</v>
      </c>
      <c r="R364" s="7">
        <f>grand[[#This Row],[transportation loss ]]/grand[[#This Row],[received]]</f>
        <v>0.84</v>
      </c>
      <c r="S364" s="7">
        <f>grand[[#This Row],[ carcass weight]]/grand[[#This Row],[received]]</f>
        <v>28.811999999999998</v>
      </c>
      <c r="T364" s="7">
        <f>grand[[#This Row],[ kidneys fat quantity]]/grand[[#This Row],[received]]</f>
        <v>0</v>
      </c>
      <c r="U364" s="4">
        <v>25</v>
      </c>
      <c r="V364" s="4">
        <v>0</v>
      </c>
      <c r="W364" s="4">
        <v>48.64</v>
      </c>
      <c r="X364" s="4">
        <v>10</v>
      </c>
      <c r="Y364" s="8">
        <v>8.5</v>
      </c>
      <c r="Z364" s="3">
        <f>grand[[#This Row],[av. Transportation loss]]/grand[[#This Row],[av.total weight]]</f>
        <v>1.7199017199017196E-2</v>
      </c>
      <c r="AA364" s="12">
        <f>AVERAGE((grand[[#This Row],[am]]/25),(grand[[#This Row],[pm]]/50))</f>
        <v>0.98639999999999994</v>
      </c>
      <c r="AB364" s="3">
        <f>grand[[#This Row],[ carcass weight]]/grand[[#This Row],[total weight]]</f>
        <v>0.58992628992628993</v>
      </c>
      <c r="AC364" s="6">
        <f>SUM(grand[[#This Row],[am]:[meat transportation]])/100</f>
        <v>0.9214</v>
      </c>
      <c r="AD364" s="9" t="s">
        <v>211</v>
      </c>
      <c r="AE364" s="4"/>
      <c r="AF364" s="4" t="s">
        <v>170</v>
      </c>
      <c r="AG364" s="4"/>
      <c r="AH364" s="4"/>
      <c r="AI364" s="4"/>
      <c r="AJ364" s="2"/>
      <c r="AK364" s="12">
        <f>grand[[#This Row],[accepted as exception]]/grand[[#This Row],[number]]</f>
        <v>0</v>
      </c>
      <c r="AL364" s="2">
        <v>5</v>
      </c>
    </row>
    <row r="365" spans="1:38" hidden="1" x14ac:dyDescent="0.2">
      <c r="A365" s="11">
        <v>44247</v>
      </c>
      <c r="B365" s="53" t="s">
        <v>2618</v>
      </c>
      <c r="C365" s="52" t="str">
        <f>IF(MID(B365,4,2)="09","Ramadan",IF(AND(MID(B365,4,2)="12",VALUE(LEFT(B365,2))&lt;=9),"Adha Season","Normal"))</f>
        <v>Normal</v>
      </c>
      <c r="D365" s="1" t="s">
        <v>45</v>
      </c>
      <c r="F365" s="4" t="s">
        <v>165</v>
      </c>
      <c r="G365" s="4">
        <v>26</v>
      </c>
      <c r="H365" s="4">
        <v>26</v>
      </c>
      <c r="I365" s="2">
        <f>grand[[#This Row],[number]]-grand[[#This Row],[received]]</f>
        <v>0</v>
      </c>
      <c r="J365" s="30"/>
      <c r="K365" s="9">
        <v>12030</v>
      </c>
      <c r="L365" s="9">
        <v>11440</v>
      </c>
      <c r="M365" s="2">
        <f>K365-L365</f>
        <v>590</v>
      </c>
      <c r="N365" s="9">
        <v>7270.4</v>
      </c>
      <c r="O365" s="4"/>
      <c r="P365" s="7">
        <f>grand[[#This Row],[total weight]]/grand[[#This Row],[received]]</f>
        <v>462.69230769230768</v>
      </c>
      <c r="Q365" s="7">
        <f>grand[[#This Row],[receiving weight]]/grand[[#This Row],[received]]</f>
        <v>440</v>
      </c>
      <c r="R365" s="7">
        <f>grand[[#This Row],[transportation loss ]]/grand[[#This Row],[received]]</f>
        <v>22.692307692307693</v>
      </c>
      <c r="S365" s="7">
        <f>grand[[#This Row],[ carcass weight]]/grand[[#This Row],[received]]</f>
        <v>279.6307692307692</v>
      </c>
      <c r="T365" s="7">
        <f>grand[[#This Row],[ kidneys fat quantity]]/grand[[#This Row],[received]]</f>
        <v>0</v>
      </c>
      <c r="U365" s="4">
        <v>25</v>
      </c>
      <c r="V365" s="4">
        <v>0</v>
      </c>
      <c r="W365" s="4">
        <v>49.65</v>
      </c>
      <c r="X365" s="4">
        <v>9.8000000000000007</v>
      </c>
      <c r="Y365" s="8">
        <v>8.5</v>
      </c>
      <c r="Z365" s="3">
        <f>grand[[#This Row],[av. Transportation loss]]/grand[[#This Row],[av.total weight]]</f>
        <v>4.9044056525353284E-2</v>
      </c>
      <c r="AA365" s="12">
        <f>AVERAGE((grand[[#This Row],[am]]/25),(grand[[#This Row],[pm]]/50))</f>
        <v>0.99649999999999994</v>
      </c>
      <c r="AB365" s="3">
        <f>grand[[#This Row],[ carcass weight]]/grand[[#This Row],[total weight]]</f>
        <v>0.60435577722360767</v>
      </c>
      <c r="AC365" s="6">
        <f>SUM(grand[[#This Row],[am]:[meat transportation]])/100</f>
        <v>0.92949999999999999</v>
      </c>
      <c r="AD365" s="9" t="s">
        <v>81</v>
      </c>
      <c r="AE365" s="4"/>
      <c r="AF365" s="4" t="s">
        <v>81</v>
      </c>
      <c r="AG365" s="4"/>
      <c r="AH365" s="4"/>
      <c r="AI365" s="4"/>
      <c r="AJ365" s="2">
        <v>7</v>
      </c>
      <c r="AK365" s="12">
        <f>grand[[#This Row],[accepted as exception]]/grand[[#This Row],[number]]</f>
        <v>0.26923076923076922</v>
      </c>
      <c r="AL365" s="2">
        <v>9</v>
      </c>
    </row>
    <row r="366" spans="1:38" hidden="1" x14ac:dyDescent="0.2">
      <c r="A366" s="11">
        <v>44250</v>
      </c>
      <c r="B366" s="53" t="s">
        <v>2619</v>
      </c>
      <c r="C366" s="52" t="str">
        <f>IF(MID(B366,4,2)="09","Ramadan",IF(AND(MID(B366,4,2)="12",VALUE(LEFT(B366,2))&lt;=9),"Adha Season","Normal"))</f>
        <v>Normal</v>
      </c>
      <c r="D366" s="2" t="s">
        <v>294</v>
      </c>
      <c r="E366" s="2"/>
      <c r="F366" s="4" t="s">
        <v>266</v>
      </c>
      <c r="G366" s="4">
        <v>15</v>
      </c>
      <c r="H366" s="4">
        <v>15</v>
      </c>
      <c r="I366" s="2">
        <f>grand[[#This Row],[number]]-grand[[#This Row],[received]]</f>
        <v>0</v>
      </c>
      <c r="J366" s="30"/>
      <c r="K366" s="9">
        <v>733</v>
      </c>
      <c r="L366" s="9">
        <v>685</v>
      </c>
      <c r="M366" s="2">
        <f>K366-L366</f>
        <v>48</v>
      </c>
      <c r="N366" s="9">
        <v>404.6</v>
      </c>
      <c r="O366" s="4"/>
      <c r="P366" s="7">
        <f>grand[[#This Row],[total weight]]/grand[[#This Row],[received]]</f>
        <v>48.866666666666667</v>
      </c>
      <c r="Q366" s="7">
        <f>grand[[#This Row],[receiving weight]]/grand[[#This Row],[received]]</f>
        <v>45.666666666666664</v>
      </c>
      <c r="R366" s="7">
        <f>grand[[#This Row],[transportation loss ]]/grand[[#This Row],[received]]</f>
        <v>3.2</v>
      </c>
      <c r="S366" s="7">
        <f>grand[[#This Row],[ carcass weight]]/grand[[#This Row],[received]]</f>
        <v>26.973333333333336</v>
      </c>
      <c r="T366" s="7">
        <f>grand[[#This Row],[ kidneys fat quantity]]/grand[[#This Row],[received]]</f>
        <v>0</v>
      </c>
      <c r="U366" s="4">
        <v>25</v>
      </c>
      <c r="V366" s="4">
        <v>0</v>
      </c>
      <c r="W366" s="4">
        <v>48.6</v>
      </c>
      <c r="X366" s="4">
        <v>10</v>
      </c>
      <c r="Y366" s="8">
        <v>8.5</v>
      </c>
      <c r="Z366" s="3">
        <f>grand[[#This Row],[av. Transportation loss]]/grand[[#This Row],[av.total weight]]</f>
        <v>6.5484311050477487E-2</v>
      </c>
      <c r="AA366" s="12">
        <f>AVERAGE((grand[[#This Row],[am]]/25),(grand[[#This Row],[pm]]/50))</f>
        <v>0.98599999999999999</v>
      </c>
      <c r="AB366" s="3">
        <f>grand[[#This Row],[ carcass weight]]/grand[[#This Row],[total weight]]</f>
        <v>0.55197817189631659</v>
      </c>
      <c r="AC366" s="6">
        <f>SUM(grand[[#This Row],[am]:[meat transportation]])/100</f>
        <v>0.92099999999999993</v>
      </c>
      <c r="AD366" s="9" t="s">
        <v>190</v>
      </c>
      <c r="AE366" s="4"/>
      <c r="AF366" s="4"/>
      <c r="AG366" s="4"/>
      <c r="AH366" s="4"/>
      <c r="AI366" s="4"/>
      <c r="AJ366" s="2"/>
      <c r="AK366" s="12">
        <f>grand[[#This Row],[accepted as exception]]/grand[[#This Row],[number]]</f>
        <v>0</v>
      </c>
      <c r="AL366" s="2">
        <v>2.5</v>
      </c>
    </row>
    <row r="367" spans="1:38" hidden="1" x14ac:dyDescent="0.2">
      <c r="A367" s="11">
        <v>44254</v>
      </c>
      <c r="B367" s="53" t="s">
        <v>2621</v>
      </c>
      <c r="C367" s="52" t="str">
        <f>IF(MID(B367,4,2)="09","Ramadan",IF(AND(MID(B367,4,2)="12",VALUE(LEFT(B367,2))&lt;=9),"Adha Season","Normal"))</f>
        <v>Normal</v>
      </c>
      <c r="D367" s="1" t="s">
        <v>45</v>
      </c>
      <c r="F367" s="4" t="s">
        <v>165</v>
      </c>
      <c r="G367" s="4">
        <v>31</v>
      </c>
      <c r="H367" s="4">
        <v>31</v>
      </c>
      <c r="I367" s="2">
        <f>grand[[#This Row],[number]]-grand[[#This Row],[received]]</f>
        <v>0</v>
      </c>
      <c r="J367" s="30"/>
      <c r="K367" s="9">
        <v>14885</v>
      </c>
      <c r="L367" s="9">
        <v>14540</v>
      </c>
      <c r="M367" s="2">
        <f>K367-L367</f>
        <v>345</v>
      </c>
      <c r="N367" s="9">
        <v>9174.1</v>
      </c>
      <c r="O367" s="4"/>
      <c r="P367" s="7">
        <f>grand[[#This Row],[total weight]]/grand[[#This Row],[received]]</f>
        <v>480.16129032258067</v>
      </c>
      <c r="Q367" s="7">
        <f>grand[[#This Row],[receiving weight]]/grand[[#This Row],[received]]</f>
        <v>469.03225806451616</v>
      </c>
      <c r="R367" s="7">
        <f>grand[[#This Row],[transportation loss ]]/grand[[#This Row],[received]]</f>
        <v>11.129032258064516</v>
      </c>
      <c r="S367" s="7">
        <f>grand[[#This Row],[ carcass weight]]/grand[[#This Row],[received]]</f>
        <v>295.93870967741935</v>
      </c>
      <c r="T367" s="7">
        <f>grand[[#This Row],[ kidneys fat quantity]]/grand[[#This Row],[received]]</f>
        <v>0</v>
      </c>
      <c r="U367" s="4">
        <v>25</v>
      </c>
      <c r="V367" s="4">
        <v>0</v>
      </c>
      <c r="W367" s="4">
        <v>48.84</v>
      </c>
      <c r="X367" s="4">
        <v>9.8000000000000007</v>
      </c>
      <c r="Y367" s="8">
        <v>8.5</v>
      </c>
      <c r="Z367" s="3">
        <f>grand[[#This Row],[av. Transportation loss]]/grand[[#This Row],[av.total weight]]</f>
        <v>2.3177695666778634E-2</v>
      </c>
      <c r="AA367" s="12">
        <f>AVERAGE((grand[[#This Row],[am]]/25),(grand[[#This Row],[pm]]/50))</f>
        <v>0.98840000000000006</v>
      </c>
      <c r="AB367" s="3">
        <f>grand[[#This Row],[ carcass weight]]/grand[[#This Row],[total weight]]</f>
        <v>0.61633187772925768</v>
      </c>
      <c r="AC367" s="6">
        <f>SUM(grand[[#This Row],[am]:[meat transportation]])/100</f>
        <v>0.9214</v>
      </c>
      <c r="AD367" s="9" t="s">
        <v>267</v>
      </c>
      <c r="AE367" s="4"/>
      <c r="AF367" s="4" t="s">
        <v>268</v>
      </c>
      <c r="AG367" s="4"/>
      <c r="AH367" s="4"/>
      <c r="AI367" s="4"/>
      <c r="AJ367" s="2">
        <v>11</v>
      </c>
      <c r="AK367" s="12">
        <f>grand[[#This Row],[accepted as exception]]/grand[[#This Row],[number]]</f>
        <v>0.35483870967741937</v>
      </c>
      <c r="AL367" s="2">
        <f>5.5+1.5+1</f>
        <v>8</v>
      </c>
    </row>
    <row r="368" spans="1:38" hidden="1" x14ac:dyDescent="0.2">
      <c r="A368" s="11">
        <v>44259</v>
      </c>
      <c r="B368" s="53" t="s">
        <v>2623</v>
      </c>
      <c r="C368" s="52" t="str">
        <f>IF(MID(B368,4,2)="09","Ramadan",IF(AND(MID(B368,4,2)="12",VALUE(LEFT(B368,2))&lt;=9),"Adha Season","Normal"))</f>
        <v>Normal</v>
      </c>
      <c r="D368" s="1" t="s">
        <v>45</v>
      </c>
      <c r="F368" s="4" t="s">
        <v>46</v>
      </c>
      <c r="G368" s="4">
        <v>50</v>
      </c>
      <c r="H368" s="4">
        <v>50</v>
      </c>
      <c r="I368" s="2">
        <f>grand[[#This Row],[number]]-grand[[#This Row],[received]]</f>
        <v>0</v>
      </c>
      <c r="J368" s="30"/>
      <c r="K368" s="9">
        <v>23712</v>
      </c>
      <c r="L368" s="9">
        <v>22770</v>
      </c>
      <c r="M368" s="2">
        <f>K368-L368</f>
        <v>942</v>
      </c>
      <c r="N368" s="9">
        <v>14227.7</v>
      </c>
      <c r="O368" s="2"/>
      <c r="P368" s="7">
        <f>grand[[#This Row],[total weight]]/grand[[#This Row],[received]]</f>
        <v>474.24</v>
      </c>
      <c r="Q368" s="7">
        <f>grand[[#This Row],[receiving weight]]/grand[[#This Row],[received]]</f>
        <v>455.4</v>
      </c>
      <c r="R368" s="7">
        <f>grand[[#This Row],[transportation loss ]]/grand[[#This Row],[received]]</f>
        <v>18.84</v>
      </c>
      <c r="S368" s="7">
        <f>grand[[#This Row],[ carcass weight]]/grand[[#This Row],[received]]</f>
        <v>284.55400000000003</v>
      </c>
      <c r="T368" s="7">
        <f>grand[[#This Row],[ kidneys fat quantity]]/grand[[#This Row],[received]]</f>
        <v>0</v>
      </c>
      <c r="U368" s="4">
        <v>24.9</v>
      </c>
      <c r="V368" s="4">
        <v>0</v>
      </c>
      <c r="W368" s="4">
        <v>49.28</v>
      </c>
      <c r="X368" s="4">
        <v>9.9</v>
      </c>
      <c r="Y368" s="8">
        <v>8.5</v>
      </c>
      <c r="Z368" s="3">
        <f>grand[[#This Row],[av. Transportation loss]]/grand[[#This Row],[av.total weight]]</f>
        <v>3.972672064777328E-2</v>
      </c>
      <c r="AA368" s="12">
        <f>AVERAGE((grand[[#This Row],[am]]/25),(grand[[#This Row],[pm]]/50))</f>
        <v>0.99080000000000001</v>
      </c>
      <c r="AB368" s="3">
        <f>grand[[#This Row],[ carcass weight]]/grand[[#This Row],[total weight]]</f>
        <v>0.60002108636977058</v>
      </c>
      <c r="AC368" s="6">
        <f>SUM(grand[[#This Row],[am]:[meat transportation]])/100</f>
        <v>0.92580000000000018</v>
      </c>
      <c r="AD368" s="9" t="s">
        <v>272</v>
      </c>
      <c r="AE368" s="2"/>
      <c r="AF368" s="4" t="s">
        <v>273</v>
      </c>
      <c r="AG368" s="2"/>
      <c r="AH368" s="2"/>
      <c r="AI368" s="2"/>
      <c r="AJ368" s="2">
        <v>21</v>
      </c>
      <c r="AK368" s="12">
        <f>grand[[#This Row],[accepted as exception]]/grand[[#This Row],[number]]</f>
        <v>0.42</v>
      </c>
      <c r="AL368" s="2">
        <v>11</v>
      </c>
    </row>
    <row r="369" spans="1:38" hidden="1" x14ac:dyDescent="0.2">
      <c r="A369" s="11">
        <v>44271</v>
      </c>
      <c r="B369" s="53" t="s">
        <v>2628</v>
      </c>
      <c r="C369" s="52" t="str">
        <f>IF(MID(B369,4,2)="09","Ramadan",IF(AND(MID(B369,4,2)="12",VALUE(LEFT(B369,2))&lt;=9),"Adha Season","Normal"))</f>
        <v>Normal</v>
      </c>
      <c r="D369" s="1" t="s">
        <v>45</v>
      </c>
      <c r="F369" s="4" t="s">
        <v>50</v>
      </c>
      <c r="G369" s="4">
        <v>28</v>
      </c>
      <c r="H369" s="4">
        <v>28</v>
      </c>
      <c r="I369" s="2">
        <f>grand[[#This Row],[number]]-grand[[#This Row],[received]]</f>
        <v>0</v>
      </c>
      <c r="J369" s="30"/>
      <c r="K369" s="9">
        <v>12429</v>
      </c>
      <c r="L369" s="9">
        <v>11651</v>
      </c>
      <c r="M369" s="2">
        <f>K369-L369</f>
        <v>778</v>
      </c>
      <c r="N369" s="9">
        <v>7801.9</v>
      </c>
      <c r="O369" s="2"/>
      <c r="P369" s="7">
        <f>grand[[#This Row],[total weight]]/grand[[#This Row],[received]]</f>
        <v>443.89285714285717</v>
      </c>
      <c r="Q369" s="7">
        <f>grand[[#This Row],[receiving weight]]/grand[[#This Row],[received]]</f>
        <v>416.10714285714283</v>
      </c>
      <c r="R369" s="7">
        <f>grand[[#This Row],[transportation loss ]]/grand[[#This Row],[received]]</f>
        <v>27.785714285714285</v>
      </c>
      <c r="S369" s="7">
        <f>grand[[#This Row],[ carcass weight]]/grand[[#This Row],[received]]</f>
        <v>278.63928571428568</v>
      </c>
      <c r="T369" s="7">
        <f>grand[[#This Row],[ kidneys fat quantity]]/grand[[#This Row],[received]]</f>
        <v>0</v>
      </c>
      <c r="U369" s="4">
        <v>25</v>
      </c>
      <c r="V369" s="4">
        <v>0</v>
      </c>
      <c r="W369" s="4">
        <v>49.28</v>
      </c>
      <c r="X369" s="4">
        <v>9.8000000000000007</v>
      </c>
      <c r="Y369" s="8">
        <v>8.5</v>
      </c>
      <c r="Z369" s="3">
        <f>grand[[#This Row],[av. Transportation loss]]/grand[[#This Row],[av.total weight]]</f>
        <v>6.2595542682436237E-2</v>
      </c>
      <c r="AA369" s="12">
        <f>AVERAGE((grand[[#This Row],[am]]/25),(grand[[#This Row],[pm]]/50))</f>
        <v>0.99280000000000002</v>
      </c>
      <c r="AB369" s="3">
        <f>grand[[#This Row],[ carcass weight]]/grand[[#This Row],[total weight]]</f>
        <v>0.62771743503097588</v>
      </c>
      <c r="AC369" s="6">
        <f>SUM(grand[[#This Row],[am]:[meat transportation]])/100</f>
        <v>0.92579999999999996</v>
      </c>
      <c r="AD369" s="9" t="s">
        <v>81</v>
      </c>
      <c r="AE369" s="4"/>
      <c r="AF369" s="4" t="s">
        <v>137</v>
      </c>
      <c r="AG369" s="2"/>
      <c r="AH369" s="2"/>
      <c r="AI369" s="2"/>
      <c r="AJ369" s="2">
        <v>2</v>
      </c>
      <c r="AK369" s="12">
        <f>grand[[#This Row],[accepted as exception]]/grand[[#This Row],[number]]</f>
        <v>7.1428571428571425E-2</v>
      </c>
      <c r="AL369" s="2">
        <v>9</v>
      </c>
    </row>
    <row r="370" spans="1:38" hidden="1" x14ac:dyDescent="0.2">
      <c r="A370" s="11">
        <v>44280</v>
      </c>
      <c r="B370" s="53" t="s">
        <v>2632</v>
      </c>
      <c r="C370" s="52" t="str">
        <f>IF(MID(B370,4,2)="09","Ramadan",IF(AND(MID(B370,4,2)="12",VALUE(LEFT(B370,2))&lt;=9),"Adha Season","Normal"))</f>
        <v>Normal</v>
      </c>
      <c r="D370" s="1" t="s">
        <v>45</v>
      </c>
      <c r="F370" s="4" t="s">
        <v>46</v>
      </c>
      <c r="G370" s="4">
        <v>35</v>
      </c>
      <c r="H370" s="4">
        <v>35</v>
      </c>
      <c r="I370" s="2">
        <f>grand[[#This Row],[number]]-grand[[#This Row],[received]]</f>
        <v>0</v>
      </c>
      <c r="J370" s="30"/>
      <c r="K370" s="9">
        <v>17593</v>
      </c>
      <c r="L370" s="9">
        <v>16530</v>
      </c>
      <c r="M370" s="2">
        <f>K370-L370</f>
        <v>1063</v>
      </c>
      <c r="N370" s="9">
        <v>10628.7</v>
      </c>
      <c r="O370" s="2"/>
      <c r="P370" s="7">
        <f>grand[[#This Row],[total weight]]/grand[[#This Row],[received]]</f>
        <v>502.65714285714284</v>
      </c>
      <c r="Q370" s="7">
        <f>grand[[#This Row],[receiving weight]]/grand[[#This Row],[received]]</f>
        <v>472.28571428571428</v>
      </c>
      <c r="R370" s="7">
        <f>grand[[#This Row],[transportation loss ]]/grand[[#This Row],[received]]</f>
        <v>30.37142857142857</v>
      </c>
      <c r="S370" s="7">
        <f>grand[[#This Row],[ carcass weight]]/grand[[#This Row],[received]]</f>
        <v>303.67714285714288</v>
      </c>
      <c r="T370" s="7">
        <f>grand[[#This Row],[ kidneys fat quantity]]/grand[[#This Row],[received]]</f>
        <v>0</v>
      </c>
      <c r="U370" s="4">
        <v>25</v>
      </c>
      <c r="V370" s="4">
        <v>0</v>
      </c>
      <c r="W370" s="4">
        <v>50</v>
      </c>
      <c r="X370" s="4">
        <v>10</v>
      </c>
      <c r="Y370" s="8">
        <v>8.5</v>
      </c>
      <c r="Z370" s="3">
        <f>grand[[#This Row],[av. Transportation loss]]/grand[[#This Row],[av.total weight]]</f>
        <v>6.0421758654010116E-2</v>
      </c>
      <c r="AA370" s="12">
        <f>AVERAGE((grand[[#This Row],[am]]/25),(grand[[#This Row],[pm]]/50))</f>
        <v>1</v>
      </c>
      <c r="AB370" s="3">
        <f>grand[[#This Row],[ carcass weight]]/grand[[#This Row],[total weight]]</f>
        <v>0.60414369351446606</v>
      </c>
      <c r="AC370" s="6">
        <f>SUM(grand[[#This Row],[am]:[meat transportation]])/100</f>
        <v>0.93500000000000005</v>
      </c>
      <c r="AD370" s="9" t="s">
        <v>281</v>
      </c>
      <c r="AE370" s="2"/>
      <c r="AF370" s="4"/>
      <c r="AG370" s="2"/>
      <c r="AH370" s="2"/>
      <c r="AI370" s="2"/>
      <c r="AJ370" s="2">
        <v>10</v>
      </c>
      <c r="AK370" s="12">
        <f>grand[[#This Row],[accepted as exception]]/grand[[#This Row],[number]]</f>
        <v>0.2857142857142857</v>
      </c>
      <c r="AL370" s="2">
        <v>5</v>
      </c>
    </row>
    <row r="371" spans="1:38" hidden="1" x14ac:dyDescent="0.2">
      <c r="A371" s="11">
        <v>44280</v>
      </c>
      <c r="B371" s="53" t="s">
        <v>2632</v>
      </c>
      <c r="C371" s="52" t="str">
        <f>IF(MID(B371,4,2)="09","Ramadan",IF(AND(MID(B371,4,2)="12",VALUE(LEFT(B371,2))&lt;=9),"Adha Season","Normal"))</f>
        <v>Normal</v>
      </c>
      <c r="D371" s="2" t="s">
        <v>294</v>
      </c>
      <c r="E371" s="2"/>
      <c r="F371" s="4" t="s">
        <v>105</v>
      </c>
      <c r="G371" s="4">
        <v>30</v>
      </c>
      <c r="H371" s="4">
        <v>30</v>
      </c>
      <c r="I371" s="2">
        <f>grand[[#This Row],[number]]-grand[[#This Row],[received]]</f>
        <v>0</v>
      </c>
      <c r="J371" s="30"/>
      <c r="K371" s="9">
        <v>1494</v>
      </c>
      <c r="L371" s="9">
        <v>1460</v>
      </c>
      <c r="M371" s="2">
        <f>K371-L371</f>
        <v>34</v>
      </c>
      <c r="N371" s="9">
        <v>907.7</v>
      </c>
      <c r="O371" s="2"/>
      <c r="P371" s="7">
        <f>grand[[#This Row],[total weight]]/grand[[#This Row],[received]]</f>
        <v>49.8</v>
      </c>
      <c r="Q371" s="7">
        <f>grand[[#This Row],[receiving weight]]/grand[[#This Row],[received]]</f>
        <v>48.666666666666664</v>
      </c>
      <c r="R371" s="7">
        <f>grand[[#This Row],[transportation loss ]]/grand[[#This Row],[received]]</f>
        <v>1.1333333333333333</v>
      </c>
      <c r="S371" s="7">
        <f>grand[[#This Row],[ carcass weight]]/grand[[#This Row],[received]]</f>
        <v>30.256666666666668</v>
      </c>
      <c r="T371" s="7">
        <f>grand[[#This Row],[ kidneys fat quantity]]/grand[[#This Row],[received]]</f>
        <v>0</v>
      </c>
      <c r="U371" s="4">
        <v>25</v>
      </c>
      <c r="V371" s="4">
        <v>0</v>
      </c>
      <c r="W371" s="4">
        <v>48.97</v>
      </c>
      <c r="X371" s="4">
        <v>10</v>
      </c>
      <c r="Y371" s="8">
        <v>8.5</v>
      </c>
      <c r="Z371" s="3">
        <f>grand[[#This Row],[av. Transportation loss]]/grand[[#This Row],[av.total weight]]</f>
        <v>2.2757697456492639E-2</v>
      </c>
      <c r="AA371" s="12">
        <f>AVERAGE((grand[[#This Row],[am]]/25),(grand[[#This Row],[pm]]/50))</f>
        <v>0.98970000000000002</v>
      </c>
      <c r="AB371" s="3">
        <f>grand[[#This Row],[ carcass weight]]/grand[[#This Row],[total weight]]</f>
        <v>0.60756358768406959</v>
      </c>
      <c r="AC371" s="6">
        <f>SUM(grand[[#This Row],[am]:[meat transportation]])/100</f>
        <v>0.92469999999999997</v>
      </c>
      <c r="AD371" s="9"/>
      <c r="AE371" s="4"/>
      <c r="AF371" s="4"/>
      <c r="AG371" s="2"/>
      <c r="AH371" s="2"/>
      <c r="AI371" s="2"/>
      <c r="AJ371" s="2">
        <v>0</v>
      </c>
      <c r="AK371" s="12">
        <f>grand[[#This Row],[accepted as exception]]/grand[[#This Row],[number]]</f>
        <v>0</v>
      </c>
    </row>
    <row r="372" spans="1:38" hidden="1" x14ac:dyDescent="0.2">
      <c r="A372" s="11">
        <v>44282</v>
      </c>
      <c r="B372" s="53" t="s">
        <v>2633</v>
      </c>
      <c r="C372" s="52" t="str">
        <f>IF(MID(B372,4,2)="09","Ramadan",IF(AND(MID(B372,4,2)="12",VALUE(LEFT(B372,2))&lt;=9),"Adha Season","Normal"))</f>
        <v>Normal</v>
      </c>
      <c r="D372" s="1" t="s">
        <v>45</v>
      </c>
      <c r="F372" s="4" t="s">
        <v>282</v>
      </c>
      <c r="G372" s="4">
        <v>8</v>
      </c>
      <c r="H372" s="4">
        <v>8</v>
      </c>
      <c r="I372" s="2">
        <f>grand[[#This Row],[number]]-grand[[#This Row],[received]]</f>
        <v>0</v>
      </c>
      <c r="J372" s="30"/>
      <c r="K372" s="9">
        <v>3523</v>
      </c>
      <c r="L372" s="9">
        <v>3283</v>
      </c>
      <c r="M372" s="2">
        <f>K372-L372</f>
        <v>240</v>
      </c>
      <c r="N372" s="9">
        <v>2114.1999999999998</v>
      </c>
      <c r="O372" s="2"/>
      <c r="P372" s="7">
        <f>grand[[#This Row],[total weight]]/grand[[#This Row],[received]]</f>
        <v>440.375</v>
      </c>
      <c r="Q372" s="7">
        <f>grand[[#This Row],[receiving weight]]/grand[[#This Row],[received]]</f>
        <v>410.375</v>
      </c>
      <c r="R372" s="7">
        <f>grand[[#This Row],[transportation loss ]]/grand[[#This Row],[received]]</f>
        <v>30</v>
      </c>
      <c r="S372" s="7">
        <f>grand[[#This Row],[ carcass weight]]/grand[[#This Row],[received]]</f>
        <v>264.27499999999998</v>
      </c>
      <c r="T372" s="7">
        <f>grand[[#This Row],[ kidneys fat quantity]]/grand[[#This Row],[received]]</f>
        <v>0</v>
      </c>
      <c r="U372" s="4">
        <v>25</v>
      </c>
      <c r="V372" s="4">
        <v>0</v>
      </c>
      <c r="W372" s="4">
        <v>49.64</v>
      </c>
      <c r="X372" s="4">
        <v>10</v>
      </c>
      <c r="Y372" s="8">
        <v>8.5</v>
      </c>
      <c r="Z372" s="3">
        <f>grand[[#This Row],[av. Transportation loss]]/grand[[#This Row],[av.total weight]]</f>
        <v>6.8123758160658535E-2</v>
      </c>
      <c r="AA372" s="12">
        <f>AVERAGE((grand[[#This Row],[am]]/25),(grand[[#This Row],[pm]]/50))</f>
        <v>0.99639999999999995</v>
      </c>
      <c r="AB372" s="3">
        <f>grand[[#This Row],[ carcass weight]]/grand[[#This Row],[total weight]]</f>
        <v>0.60011353959693436</v>
      </c>
      <c r="AC372" s="6">
        <f>SUM(grand[[#This Row],[am]:[meat transportation]])/100</f>
        <v>0.93140000000000001</v>
      </c>
      <c r="AD372" s="9"/>
      <c r="AE372" s="2"/>
      <c r="AF372" s="4"/>
      <c r="AG372" s="2"/>
      <c r="AH372" s="2"/>
      <c r="AI372" s="2"/>
      <c r="AJ372" s="2">
        <v>2</v>
      </c>
      <c r="AK372" s="12">
        <f>grand[[#This Row],[accepted as exception]]/grand[[#This Row],[number]]</f>
        <v>0.25</v>
      </c>
      <c r="AL372" s="2">
        <v>0</v>
      </c>
    </row>
    <row r="373" spans="1:38" hidden="1" x14ac:dyDescent="0.2">
      <c r="A373" s="11">
        <v>44287</v>
      </c>
      <c r="B373" s="53" t="s">
        <v>2635</v>
      </c>
      <c r="C373" s="52" t="str">
        <f>IF(MID(B373,4,2)="09","Ramadan",IF(AND(MID(B373,4,2)="12",VALUE(LEFT(B373,2))&lt;=9),"Adha Season","Normal"))</f>
        <v>Normal</v>
      </c>
      <c r="D373" s="2" t="s">
        <v>294</v>
      </c>
      <c r="E373" s="2"/>
      <c r="F373" s="4" t="s">
        <v>105</v>
      </c>
      <c r="G373" s="4">
        <v>30</v>
      </c>
      <c r="H373" s="4">
        <v>30</v>
      </c>
      <c r="I373" s="2">
        <f>grand[[#This Row],[number]]-grand[[#This Row],[received]]</f>
        <v>0</v>
      </c>
      <c r="J373" s="30"/>
      <c r="K373" s="9">
        <v>1552</v>
      </c>
      <c r="L373" s="9">
        <v>1440</v>
      </c>
      <c r="M373" s="2">
        <f>K373-L373</f>
        <v>112</v>
      </c>
      <c r="N373" s="9">
        <v>867.1</v>
      </c>
      <c r="O373" s="2"/>
      <c r="P373" s="7">
        <f>grand[[#This Row],[total weight]]/grand[[#This Row],[received]]</f>
        <v>51.733333333333334</v>
      </c>
      <c r="Q373" s="7">
        <f>grand[[#This Row],[receiving weight]]/grand[[#This Row],[received]]</f>
        <v>48</v>
      </c>
      <c r="R373" s="7">
        <f>grand[[#This Row],[transportation loss ]]/grand[[#This Row],[received]]</f>
        <v>3.7333333333333334</v>
      </c>
      <c r="S373" s="7">
        <f>grand[[#This Row],[ carcass weight]]/grand[[#This Row],[received]]</f>
        <v>28.903333333333332</v>
      </c>
      <c r="T373" s="7">
        <f>grand[[#This Row],[ kidneys fat quantity]]/grand[[#This Row],[received]]</f>
        <v>0</v>
      </c>
      <c r="U373" s="4">
        <v>25</v>
      </c>
      <c r="V373" s="4">
        <v>0</v>
      </c>
      <c r="W373" s="4">
        <v>49.93</v>
      </c>
      <c r="X373" s="4">
        <v>10</v>
      </c>
      <c r="Y373" s="8">
        <v>8.5</v>
      </c>
      <c r="Z373" s="3">
        <f>grand[[#This Row],[av. Transportation loss]]/grand[[#This Row],[av.total weight]]</f>
        <v>7.2164948453608241E-2</v>
      </c>
      <c r="AA373" s="12">
        <f>AVERAGE((grand[[#This Row],[am]]/25),(grand[[#This Row],[pm]]/50))</f>
        <v>0.99930000000000008</v>
      </c>
      <c r="AB373" s="3">
        <f>grand[[#This Row],[ carcass weight]]/grand[[#This Row],[total weight]]</f>
        <v>0.55869845360824744</v>
      </c>
      <c r="AC373" s="6">
        <f>SUM(grand[[#This Row],[am]:[meat transportation]])/100</f>
        <v>0.93430000000000002</v>
      </c>
      <c r="AD373" s="9"/>
      <c r="AE373" s="4"/>
      <c r="AF373" s="4"/>
      <c r="AG373" s="2"/>
      <c r="AH373" s="2"/>
      <c r="AI373" s="2"/>
      <c r="AJ373" s="2"/>
      <c r="AK373" s="12">
        <f>grand[[#This Row],[accepted as exception]]/grand[[#This Row],[number]]</f>
        <v>0</v>
      </c>
      <c r="AL373" s="2">
        <v>0</v>
      </c>
    </row>
    <row r="374" spans="1:38" hidden="1" x14ac:dyDescent="0.2">
      <c r="A374" s="11">
        <v>44287</v>
      </c>
      <c r="B374" s="53" t="s">
        <v>2635</v>
      </c>
      <c r="C374" s="52" t="str">
        <f>IF(MID(B374,4,2)="09","Ramadan",IF(AND(MID(B374,4,2)="12",VALUE(LEFT(B374,2))&lt;=9),"Adha Season","Normal"))</f>
        <v>Normal</v>
      </c>
      <c r="D374" s="1" t="s">
        <v>45</v>
      </c>
      <c r="F374" s="4" t="s">
        <v>46</v>
      </c>
      <c r="G374" s="4">
        <v>45</v>
      </c>
      <c r="H374" s="4">
        <v>45</v>
      </c>
      <c r="I374" s="2">
        <f>grand[[#This Row],[number]]-grand[[#This Row],[received]]</f>
        <v>0</v>
      </c>
      <c r="J374" s="30"/>
      <c r="K374" s="9">
        <v>23132</v>
      </c>
      <c r="L374" s="9">
        <v>21765</v>
      </c>
      <c r="M374" s="2">
        <f>K374-L374</f>
        <v>1367</v>
      </c>
      <c r="N374" s="9">
        <v>13862.9</v>
      </c>
      <c r="O374" s="2"/>
      <c r="P374" s="7">
        <f>grand[[#This Row],[total weight]]/grand[[#This Row],[received]]</f>
        <v>514.04444444444448</v>
      </c>
      <c r="Q374" s="7">
        <f>grand[[#This Row],[receiving weight]]/grand[[#This Row],[received]]</f>
        <v>483.66666666666669</v>
      </c>
      <c r="R374" s="7">
        <f>grand[[#This Row],[transportation loss ]]/grand[[#This Row],[received]]</f>
        <v>30.377777777777776</v>
      </c>
      <c r="S374" s="7">
        <f>grand[[#This Row],[ carcass weight]]/grand[[#This Row],[received]]</f>
        <v>308.06444444444446</v>
      </c>
      <c r="T374" s="7">
        <f>grand[[#This Row],[ kidneys fat quantity]]/grand[[#This Row],[received]]</f>
        <v>0</v>
      </c>
      <c r="U374" s="4">
        <v>25</v>
      </c>
      <c r="V374" s="4">
        <v>0</v>
      </c>
      <c r="W374" s="4">
        <v>49.84</v>
      </c>
      <c r="X374" s="4">
        <v>10</v>
      </c>
      <c r="Y374" s="8">
        <v>8.5</v>
      </c>
      <c r="Z374" s="3">
        <f>grand[[#This Row],[av. Transportation loss]]/grand[[#This Row],[av.total weight]]</f>
        <v>5.9095625108075388E-2</v>
      </c>
      <c r="AA374" s="12">
        <f>AVERAGE((grand[[#This Row],[am]]/25),(grand[[#This Row],[pm]]/50))</f>
        <v>0.99839999999999995</v>
      </c>
      <c r="AB374" s="3">
        <f>grand[[#This Row],[ carcass weight]]/grand[[#This Row],[total weight]]</f>
        <v>0.59929534843506826</v>
      </c>
      <c r="AC374" s="6">
        <f>SUM(grand[[#This Row],[am]:[meat transportation]])/100</f>
        <v>0.93340000000000001</v>
      </c>
      <c r="AD374" s="9"/>
      <c r="AE374" s="4"/>
      <c r="AF374" s="4"/>
      <c r="AG374" s="2"/>
      <c r="AH374" s="2"/>
      <c r="AI374" s="2"/>
      <c r="AJ374" s="2">
        <v>14</v>
      </c>
      <c r="AK374" s="12">
        <f>grand[[#This Row],[accepted as exception]]/grand[[#This Row],[number]]</f>
        <v>0.31111111111111112</v>
      </c>
      <c r="AL374" s="2">
        <v>0</v>
      </c>
    </row>
    <row r="375" spans="1:38" hidden="1" x14ac:dyDescent="0.2">
      <c r="A375" s="11">
        <v>44290</v>
      </c>
      <c r="B375" s="53" t="s">
        <v>1543</v>
      </c>
      <c r="C375" s="52" t="str">
        <f>IF(MID(B375,4,2)="09","Ramadan",IF(AND(MID(B375,4,2)="12",VALUE(LEFT(B375,2))&lt;=9),"Adha Season","Normal"))</f>
        <v>Normal</v>
      </c>
      <c r="D375" s="1" t="s">
        <v>45</v>
      </c>
      <c r="F375" s="4" t="s">
        <v>46</v>
      </c>
      <c r="G375" s="4">
        <v>50</v>
      </c>
      <c r="H375" s="4">
        <v>50</v>
      </c>
      <c r="I375" s="2">
        <f>grand[[#This Row],[number]]-grand[[#This Row],[received]]</f>
        <v>0</v>
      </c>
      <c r="J375" s="30"/>
      <c r="K375" s="9">
        <v>23636</v>
      </c>
      <c r="L375" s="9">
        <v>22295</v>
      </c>
      <c r="M375" s="2">
        <f>K375-L375</f>
        <v>1341</v>
      </c>
      <c r="N375" s="9">
        <v>14182</v>
      </c>
      <c r="O375" s="2"/>
      <c r="P375" s="7">
        <f>grand[[#This Row],[total weight]]/grand[[#This Row],[received]]</f>
        <v>472.72</v>
      </c>
      <c r="Q375" s="7">
        <f>grand[[#This Row],[receiving weight]]/grand[[#This Row],[received]]</f>
        <v>445.9</v>
      </c>
      <c r="R375" s="7">
        <f>grand[[#This Row],[transportation loss ]]/grand[[#This Row],[received]]</f>
        <v>26.82</v>
      </c>
      <c r="S375" s="7">
        <f>grand[[#This Row],[ carcass weight]]/grand[[#This Row],[received]]</f>
        <v>283.64</v>
      </c>
      <c r="T375" s="7">
        <f>grand[[#This Row],[ kidneys fat quantity]]/grand[[#This Row],[received]]</f>
        <v>0</v>
      </c>
      <c r="U375" s="4">
        <v>25</v>
      </c>
      <c r="V375" s="4">
        <v>0</v>
      </c>
      <c r="W375" s="4">
        <v>50</v>
      </c>
      <c r="X375" s="4">
        <v>10</v>
      </c>
      <c r="Y375" s="8">
        <v>8.5</v>
      </c>
      <c r="Z375" s="3">
        <f>grand[[#This Row],[av. Transportation loss]]/grand[[#This Row],[av.total weight]]</f>
        <v>5.6735488238280583E-2</v>
      </c>
      <c r="AA375" s="12">
        <f>AVERAGE((grand[[#This Row],[am]]/25),(grand[[#This Row],[pm]]/50))</f>
        <v>1</v>
      </c>
      <c r="AB375" s="3">
        <f>grand[[#This Row],[ carcass weight]]/grand[[#This Row],[total weight]]</f>
        <v>0.60001692333728207</v>
      </c>
      <c r="AC375" s="6">
        <f>SUM(grand[[#This Row],[am]:[meat transportation]])/100</f>
        <v>0.93500000000000005</v>
      </c>
      <c r="AD375" s="9"/>
      <c r="AE375" s="4"/>
      <c r="AF375" s="4"/>
      <c r="AG375" s="2"/>
      <c r="AH375" s="2"/>
      <c r="AI375" s="2"/>
      <c r="AJ375" s="2">
        <v>12</v>
      </c>
      <c r="AK375" s="12">
        <f>grand[[#This Row],[accepted as exception]]/grand[[#This Row],[number]]</f>
        <v>0.24</v>
      </c>
      <c r="AL375" s="2">
        <v>2</v>
      </c>
    </row>
    <row r="376" spans="1:38" hidden="1" x14ac:dyDescent="0.2">
      <c r="A376" s="11">
        <v>44295</v>
      </c>
      <c r="B376" s="53" t="s">
        <v>1544</v>
      </c>
      <c r="C376" s="52" t="str">
        <f>IF(MID(B376,4,2)="09","Ramadan",IF(AND(MID(B376,4,2)="12",VALUE(LEFT(B376,2))&lt;=9),"Adha Season","Normal"))</f>
        <v>Normal</v>
      </c>
      <c r="D376" s="1" t="s">
        <v>45</v>
      </c>
      <c r="F376" s="4" t="s">
        <v>46</v>
      </c>
      <c r="G376" s="4">
        <v>16</v>
      </c>
      <c r="H376" s="4">
        <v>16</v>
      </c>
      <c r="I376" s="2">
        <f>grand[[#This Row],[number]]-grand[[#This Row],[received]]</f>
        <v>0</v>
      </c>
      <c r="J376" s="30"/>
      <c r="K376" s="9">
        <v>7387</v>
      </c>
      <c r="L376" s="9">
        <v>7050</v>
      </c>
      <c r="M376" s="2">
        <f>K376-L376</f>
        <v>337</v>
      </c>
      <c r="N376" s="9">
        <v>4432.3999999999996</v>
      </c>
      <c r="O376" s="2"/>
      <c r="P376" s="7">
        <f>grand[[#This Row],[total weight]]/grand[[#This Row],[received]]</f>
        <v>461.6875</v>
      </c>
      <c r="Q376" s="7">
        <f>grand[[#This Row],[receiving weight]]/grand[[#This Row],[received]]</f>
        <v>440.625</v>
      </c>
      <c r="R376" s="7">
        <f>grand[[#This Row],[transportation loss ]]/grand[[#This Row],[received]]</f>
        <v>21.0625</v>
      </c>
      <c r="S376" s="7">
        <f>grand[[#This Row],[ carcass weight]]/grand[[#This Row],[received]]</f>
        <v>277.02499999999998</v>
      </c>
      <c r="T376" s="7">
        <f>grand[[#This Row],[ kidneys fat quantity]]/grand[[#This Row],[received]]</f>
        <v>0</v>
      </c>
      <c r="U376" s="4">
        <v>25</v>
      </c>
      <c r="V376" s="4">
        <v>0</v>
      </c>
      <c r="W376" s="4">
        <v>49.13</v>
      </c>
      <c r="X376" s="4">
        <v>10</v>
      </c>
      <c r="Y376" s="8">
        <v>8.5</v>
      </c>
      <c r="Z376" s="3">
        <f>grand[[#This Row],[av. Transportation loss]]/grand[[#This Row],[av.total weight]]</f>
        <v>4.5620684987139566E-2</v>
      </c>
      <c r="AA376" s="12">
        <f>AVERAGE((grand[[#This Row],[am]]/25),(grand[[#This Row],[pm]]/50))</f>
        <v>0.99130000000000007</v>
      </c>
      <c r="AB376" s="3">
        <f>grand[[#This Row],[ carcass weight]]/grand[[#This Row],[total weight]]</f>
        <v>0.60002707459049676</v>
      </c>
      <c r="AC376" s="6">
        <f>SUM(grand[[#This Row],[am]:[meat transportation]])/100</f>
        <v>0.9262999999999999</v>
      </c>
      <c r="AD376" s="9"/>
      <c r="AE376" s="4"/>
      <c r="AF376" s="4"/>
      <c r="AG376" s="2"/>
      <c r="AH376" s="2"/>
      <c r="AI376" s="2"/>
      <c r="AJ376" s="2">
        <v>11</v>
      </c>
      <c r="AK376" s="12">
        <f>grand[[#This Row],[accepted as exception]]/grand[[#This Row],[number]]</f>
        <v>0.6875</v>
      </c>
      <c r="AL376" s="2">
        <v>14</v>
      </c>
    </row>
    <row r="377" spans="1:38" hidden="1" x14ac:dyDescent="0.2">
      <c r="A377" s="11">
        <v>44296</v>
      </c>
      <c r="B377" s="53" t="s">
        <v>1545</v>
      </c>
      <c r="C377" s="52" t="str">
        <f>IF(MID(B377,4,2)="09","Ramadan",IF(AND(MID(B377,4,2)="12",VALUE(LEFT(B377,2))&lt;=9),"Adha Season","Normal"))</f>
        <v>Normal</v>
      </c>
      <c r="D377" s="2" t="s">
        <v>294</v>
      </c>
      <c r="E377" s="2"/>
      <c r="F377" s="4" t="s">
        <v>105</v>
      </c>
      <c r="G377" s="4">
        <v>30</v>
      </c>
      <c r="H377" s="4">
        <v>30</v>
      </c>
      <c r="I377" s="2">
        <f>grand[[#This Row],[number]]-grand[[#This Row],[received]]</f>
        <v>0</v>
      </c>
      <c r="J377" s="30"/>
      <c r="K377" s="9">
        <v>1361</v>
      </c>
      <c r="L377" s="9">
        <v>1330</v>
      </c>
      <c r="M377" s="2">
        <f>K377-L377</f>
        <v>31</v>
      </c>
      <c r="N377" s="9">
        <v>794.5</v>
      </c>
      <c r="O377" s="2"/>
      <c r="P377" s="7">
        <f>grand[[#This Row],[total weight]]/grand[[#This Row],[received]]</f>
        <v>45.366666666666667</v>
      </c>
      <c r="Q377" s="7">
        <f>grand[[#This Row],[receiving weight]]/grand[[#This Row],[received]]</f>
        <v>44.333333333333336</v>
      </c>
      <c r="R377" s="7">
        <f>grand[[#This Row],[transportation loss ]]/grand[[#This Row],[received]]</f>
        <v>1.0333333333333334</v>
      </c>
      <c r="S377" s="7">
        <f>grand[[#This Row],[ carcass weight]]/grand[[#This Row],[received]]</f>
        <v>26.483333333333334</v>
      </c>
      <c r="T377" s="7">
        <f>grand[[#This Row],[ kidneys fat quantity]]/grand[[#This Row],[received]]</f>
        <v>0</v>
      </c>
      <c r="U377" s="4">
        <v>25</v>
      </c>
      <c r="V377" s="4">
        <v>0</v>
      </c>
      <c r="W377" s="4">
        <v>48.6</v>
      </c>
      <c r="X377" s="4">
        <v>10</v>
      </c>
      <c r="Y377" s="8">
        <v>8.5</v>
      </c>
      <c r="Z377" s="3">
        <f>grand[[#This Row],[av. Transportation loss]]/grand[[#This Row],[av.total weight]]</f>
        <v>2.2777369581190303E-2</v>
      </c>
      <c r="AA377" s="12">
        <f>AVERAGE((grand[[#This Row],[am]]/25),(grand[[#This Row],[pm]]/50))</f>
        <v>0.98599999999999999</v>
      </c>
      <c r="AB377" s="3">
        <f>grand[[#This Row],[ carcass weight]]/grand[[#This Row],[total weight]]</f>
        <v>0.58376193975018364</v>
      </c>
      <c r="AC377" s="6">
        <f>SUM(grand[[#This Row],[am]:[meat transportation]])/100</f>
        <v>0.92099999999999993</v>
      </c>
      <c r="AD377" s="2"/>
      <c r="AE377" s="2"/>
      <c r="AF377" s="2"/>
      <c r="AG377" s="2"/>
      <c r="AH377" s="2"/>
      <c r="AI377" s="2"/>
      <c r="AJ377" s="2"/>
      <c r="AK377" s="12">
        <f>grand[[#This Row],[accepted as exception]]/grand[[#This Row],[number]]</f>
        <v>0</v>
      </c>
      <c r="AL377" s="2">
        <v>5</v>
      </c>
    </row>
    <row r="378" spans="1:38" hidden="1" x14ac:dyDescent="0.2">
      <c r="A378" s="11">
        <v>44303</v>
      </c>
      <c r="B378" s="53" t="s">
        <v>2640</v>
      </c>
      <c r="C378" s="52" t="str">
        <f>IF(MID(B378,4,2)="09","Ramadan",IF(AND(MID(B378,4,2)="12",VALUE(LEFT(B378,2))&lt;=9),"Adha Season","Normal"))</f>
        <v>Ramadan</v>
      </c>
      <c r="D378" s="1" t="s">
        <v>45</v>
      </c>
      <c r="F378" s="4" t="s">
        <v>46</v>
      </c>
      <c r="G378" s="4">
        <v>26</v>
      </c>
      <c r="H378" s="4">
        <v>26</v>
      </c>
      <c r="I378" s="2">
        <f>grand[[#This Row],[number]]-grand[[#This Row],[received]]</f>
        <v>0</v>
      </c>
      <c r="J378" s="30"/>
      <c r="K378" s="9">
        <v>12520</v>
      </c>
      <c r="L378" s="9">
        <v>11675</v>
      </c>
      <c r="M378" s="2">
        <f>K378-L378</f>
        <v>845</v>
      </c>
      <c r="N378" s="9">
        <v>7521.1</v>
      </c>
      <c r="O378" s="2"/>
      <c r="P378" s="7">
        <f>grand[[#This Row],[total weight]]/grand[[#This Row],[received]]</f>
        <v>481.53846153846155</v>
      </c>
      <c r="Q378" s="7">
        <f>grand[[#This Row],[receiving weight]]/grand[[#This Row],[received]]</f>
        <v>449.03846153846155</v>
      </c>
      <c r="R378" s="7">
        <f>grand[[#This Row],[transportation loss ]]/grand[[#This Row],[received]]</f>
        <v>32.5</v>
      </c>
      <c r="S378" s="7">
        <f>grand[[#This Row],[ carcass weight]]/grand[[#This Row],[received]]</f>
        <v>289.27307692307693</v>
      </c>
      <c r="T378" s="7">
        <f>grand[[#This Row],[ kidneys fat quantity]]/grand[[#This Row],[received]]</f>
        <v>0</v>
      </c>
      <c r="U378" s="4">
        <v>25</v>
      </c>
      <c r="V378" s="4">
        <v>0</v>
      </c>
      <c r="W378" s="4">
        <v>49.27</v>
      </c>
      <c r="X378" s="4">
        <v>10</v>
      </c>
      <c r="Y378" s="8">
        <v>8.5</v>
      </c>
      <c r="Z378" s="3">
        <f>grand[[#This Row],[av. Transportation loss]]/grand[[#This Row],[av.total weight]]</f>
        <v>6.7492012779552718E-2</v>
      </c>
      <c r="AA378" s="12">
        <f>AVERAGE((grand[[#This Row],[am]]/25),(grand[[#This Row],[pm]]/50))</f>
        <v>0.99270000000000003</v>
      </c>
      <c r="AB378" s="3">
        <f>grand[[#This Row],[ carcass weight]]/grand[[#This Row],[total weight]]</f>
        <v>0.60072683706070296</v>
      </c>
      <c r="AC378" s="6">
        <f>SUM(grand[[#This Row],[am]:[meat transportation]])/100</f>
        <v>0.92770000000000008</v>
      </c>
      <c r="AD378" s="9"/>
      <c r="AE378" s="4"/>
      <c r="AF378" s="4"/>
      <c r="AG378" s="2"/>
      <c r="AH378" s="2"/>
      <c r="AI378" s="2"/>
      <c r="AJ378" s="2">
        <v>0</v>
      </c>
      <c r="AK378" s="12">
        <f>grand[[#This Row],[accepted as exception]]/grand[[#This Row],[number]]</f>
        <v>0</v>
      </c>
      <c r="AL378" s="2">
        <v>14.5</v>
      </c>
    </row>
    <row r="379" spans="1:38" hidden="1" x14ac:dyDescent="0.2">
      <c r="A379" s="11">
        <v>44304</v>
      </c>
      <c r="B379" s="53" t="s">
        <v>1548</v>
      </c>
      <c r="C379" s="52" t="str">
        <f>IF(MID(B379,4,2)="09","Ramadan",IF(AND(MID(B379,4,2)="12",VALUE(LEFT(B379,2))&lt;=9),"Adha Season","Normal"))</f>
        <v>Ramadan</v>
      </c>
      <c r="D379" s="1" t="s">
        <v>45</v>
      </c>
      <c r="F379" s="4" t="s">
        <v>46</v>
      </c>
      <c r="G379" s="4">
        <v>37</v>
      </c>
      <c r="H379" s="4">
        <v>37</v>
      </c>
      <c r="I379" s="2">
        <f>grand[[#This Row],[number]]-grand[[#This Row],[received]]</f>
        <v>0</v>
      </c>
      <c r="J379" s="30"/>
      <c r="K379" s="9">
        <v>18898</v>
      </c>
      <c r="L379" s="9">
        <v>17730</v>
      </c>
      <c r="M379" s="2">
        <f>K379-L379</f>
        <v>1168</v>
      </c>
      <c r="N379" s="9">
        <v>11338.5</v>
      </c>
      <c r="O379" s="2"/>
      <c r="P379" s="7">
        <f>grand[[#This Row],[total weight]]/grand[[#This Row],[received]]</f>
        <v>510.75675675675677</v>
      </c>
      <c r="Q379" s="7">
        <f>grand[[#This Row],[receiving weight]]/grand[[#This Row],[received]]</f>
        <v>479.18918918918916</v>
      </c>
      <c r="R379" s="7">
        <f>grand[[#This Row],[transportation loss ]]/grand[[#This Row],[received]]</f>
        <v>31.567567567567568</v>
      </c>
      <c r="S379" s="7">
        <f>grand[[#This Row],[ carcass weight]]/grand[[#This Row],[received]]</f>
        <v>306.44594594594594</v>
      </c>
      <c r="T379" s="7">
        <f>grand[[#This Row],[ kidneys fat quantity]]/grand[[#This Row],[received]]</f>
        <v>0</v>
      </c>
      <c r="U379" s="4">
        <v>25</v>
      </c>
      <c r="V379" s="4">
        <v>0</v>
      </c>
      <c r="W379" s="4">
        <v>49.95</v>
      </c>
      <c r="X379" s="4">
        <v>9.9</v>
      </c>
      <c r="Y379" s="8">
        <v>8.5</v>
      </c>
      <c r="Z379" s="3">
        <f>grand[[#This Row],[av. Transportation loss]]/grand[[#This Row],[av.total weight]]</f>
        <v>6.1805482061593822E-2</v>
      </c>
      <c r="AA379" s="12">
        <f>AVERAGE((grand[[#This Row],[am]]/25),(grand[[#This Row],[pm]]/50))</f>
        <v>0.99950000000000006</v>
      </c>
      <c r="AB379" s="3">
        <f>grand[[#This Row],[ carcass weight]]/grand[[#This Row],[total weight]]</f>
        <v>0.59998412530426504</v>
      </c>
      <c r="AC379" s="6">
        <f>SUM(grand[[#This Row],[am]:[meat transportation]])/100</f>
        <v>0.93350000000000011</v>
      </c>
      <c r="AD379" s="9"/>
      <c r="AE379" s="4"/>
      <c r="AF379" s="4"/>
      <c r="AG379" s="2"/>
      <c r="AH379" s="2"/>
      <c r="AI379" s="2"/>
      <c r="AJ379" s="2">
        <v>15</v>
      </c>
      <c r="AK379" s="12">
        <f>grand[[#This Row],[accepted as exception]]/grand[[#This Row],[number]]</f>
        <v>0.40540540540540543</v>
      </c>
      <c r="AL379" s="2">
        <v>4</v>
      </c>
    </row>
    <row r="380" spans="1:38" hidden="1" x14ac:dyDescent="0.2">
      <c r="A380" s="11">
        <v>44318</v>
      </c>
      <c r="B380" s="53" t="s">
        <v>1550</v>
      </c>
      <c r="C380" s="52" t="str">
        <f>IF(MID(B380,4,2)="09","Ramadan",IF(AND(MID(B380,4,2)="12",VALUE(LEFT(B380,2))&lt;=9),"Adha Season","Normal"))</f>
        <v>Ramadan</v>
      </c>
      <c r="D380" s="1" t="s">
        <v>45</v>
      </c>
      <c r="F380" s="4" t="s">
        <v>39</v>
      </c>
      <c r="G380" s="4">
        <v>32</v>
      </c>
      <c r="H380" s="4">
        <v>32</v>
      </c>
      <c r="I380" s="2">
        <f>grand[[#This Row],[number]]-grand[[#This Row],[received]]</f>
        <v>0</v>
      </c>
      <c r="J380" s="30"/>
      <c r="K380" s="9">
        <v>14383</v>
      </c>
      <c r="L380" s="9">
        <v>13624</v>
      </c>
      <c r="M380" s="2">
        <f>K380-L380</f>
        <v>759</v>
      </c>
      <c r="N380" s="9">
        <v>8829.5</v>
      </c>
      <c r="O380" s="2"/>
      <c r="P380" s="7">
        <f>grand[[#This Row],[total weight]]/grand[[#This Row],[received]]</f>
        <v>449.46875</v>
      </c>
      <c r="Q380" s="7">
        <f>grand[[#This Row],[receiving weight]]/grand[[#This Row],[received]]</f>
        <v>425.75</v>
      </c>
      <c r="R380" s="7">
        <f>grand[[#This Row],[transportation loss ]]/grand[[#This Row],[received]]</f>
        <v>23.71875</v>
      </c>
      <c r="S380" s="7">
        <f>grand[[#This Row],[ carcass weight]]/grand[[#This Row],[received]]</f>
        <v>275.921875</v>
      </c>
      <c r="T380" s="7">
        <f>grand[[#This Row],[ kidneys fat quantity]]/grand[[#This Row],[received]]</f>
        <v>0</v>
      </c>
      <c r="U380" s="4">
        <v>25</v>
      </c>
      <c r="V380" s="4">
        <v>0</v>
      </c>
      <c r="W380" s="4">
        <v>49.03</v>
      </c>
      <c r="X380" s="4">
        <v>10</v>
      </c>
      <c r="Y380" s="8">
        <v>8.5</v>
      </c>
      <c r="Z380" s="3">
        <f>grand[[#This Row],[av. Transportation loss]]/grand[[#This Row],[av.total weight]]</f>
        <v>5.2770631996106515E-2</v>
      </c>
      <c r="AA380" s="12">
        <f>AVERAGE((grand[[#This Row],[am]]/25),(grand[[#This Row],[pm]]/50))</f>
        <v>0.99029999999999996</v>
      </c>
      <c r="AB380" s="3">
        <f>grand[[#This Row],[ carcass weight]]/grand[[#This Row],[total weight]]</f>
        <v>0.61388444691649868</v>
      </c>
      <c r="AC380" s="6">
        <f>SUM(grand[[#This Row],[am]:[meat transportation]])/100</f>
        <v>0.92530000000000001</v>
      </c>
      <c r="AD380" s="2"/>
      <c r="AE380" s="2"/>
      <c r="AF380" s="2"/>
      <c r="AG380" s="2"/>
      <c r="AH380" s="2"/>
      <c r="AI380" s="2"/>
      <c r="AJ380" s="2">
        <v>10</v>
      </c>
      <c r="AK380" s="12">
        <f>grand[[#This Row],[accepted as exception]]/grand[[#This Row],[number]]</f>
        <v>0.3125</v>
      </c>
      <c r="AL380" s="2">
        <v>22</v>
      </c>
    </row>
    <row r="381" spans="1:38" hidden="1" x14ac:dyDescent="0.2">
      <c r="A381" s="11">
        <v>44327</v>
      </c>
      <c r="B381" s="53" t="s">
        <v>2650</v>
      </c>
      <c r="C381" s="52" t="str">
        <f>IF(MID(B381,4,2)="09","Ramadan",IF(AND(MID(B381,4,2)="12",VALUE(LEFT(B381,2))&lt;=9),"Adha Season","Normal"))</f>
        <v>Ramadan</v>
      </c>
      <c r="D381" s="1" t="s">
        <v>45</v>
      </c>
      <c r="F381" s="4" t="s">
        <v>46</v>
      </c>
      <c r="G381" s="4">
        <v>27</v>
      </c>
      <c r="H381" s="4">
        <v>27</v>
      </c>
      <c r="I381" s="2">
        <f>grand[[#This Row],[number]]-grand[[#This Row],[received]]</f>
        <v>0</v>
      </c>
      <c r="J381" s="30"/>
      <c r="K381" s="9">
        <v>14364</v>
      </c>
      <c r="L381" s="9">
        <v>13305</v>
      </c>
      <c r="M381" s="2">
        <f>K381-L381</f>
        <v>1059</v>
      </c>
      <c r="N381" s="9">
        <v>8637.1</v>
      </c>
      <c r="O381" s="2"/>
      <c r="P381" s="7">
        <f>grand[[#This Row],[total weight]]/grand[[#This Row],[received]]</f>
        <v>532</v>
      </c>
      <c r="Q381" s="7">
        <f>grand[[#This Row],[receiving weight]]/grand[[#This Row],[received]]</f>
        <v>492.77777777777777</v>
      </c>
      <c r="R381" s="7">
        <f>grand[[#This Row],[transportation loss ]]/grand[[#This Row],[received]]</f>
        <v>39.222222222222221</v>
      </c>
      <c r="S381" s="7">
        <f>grand[[#This Row],[ carcass weight]]/grand[[#This Row],[received]]</f>
        <v>319.89259259259262</v>
      </c>
      <c r="T381" s="7">
        <f>grand[[#This Row],[ kidneys fat quantity]]/grand[[#This Row],[received]]</f>
        <v>0</v>
      </c>
      <c r="U381" s="4">
        <v>25</v>
      </c>
      <c r="V381" s="4">
        <v>0</v>
      </c>
      <c r="W381" s="4">
        <v>48.89</v>
      </c>
      <c r="X381" s="4">
        <v>10</v>
      </c>
      <c r="Y381" s="8">
        <v>8.5</v>
      </c>
      <c r="Z381" s="3">
        <f>grand[[#This Row],[av. Transportation loss]]/grand[[#This Row],[av.total weight]]</f>
        <v>7.3725981620718459E-2</v>
      </c>
      <c r="AA381" s="12">
        <f>AVERAGE((grand[[#This Row],[am]]/25),(grand[[#This Row],[pm]]/50))</f>
        <v>0.9889</v>
      </c>
      <c r="AB381" s="3">
        <f>grand[[#This Row],[ carcass weight]]/grand[[#This Row],[total weight]]</f>
        <v>0.60130186577555</v>
      </c>
      <c r="AC381" s="6">
        <f>SUM(grand[[#This Row],[am]:[meat transportation]])/100</f>
        <v>0.92390000000000005</v>
      </c>
      <c r="AD381" s="2"/>
      <c r="AE381" s="2"/>
      <c r="AF381" s="2"/>
      <c r="AG381" s="2"/>
      <c r="AH381" s="2"/>
      <c r="AI381" s="2"/>
      <c r="AJ381" s="2">
        <v>4</v>
      </c>
      <c r="AK381" s="12">
        <f>grand[[#This Row],[accepted as exception]]/grand[[#This Row],[number]]</f>
        <v>0.14814814814814814</v>
      </c>
      <c r="AL381" s="2">
        <v>4</v>
      </c>
    </row>
    <row r="382" spans="1:38" hidden="1" x14ac:dyDescent="0.2">
      <c r="A382" s="11">
        <v>44328</v>
      </c>
      <c r="B382" s="53" t="s">
        <v>1552</v>
      </c>
      <c r="C382" s="52" t="str">
        <f>IF(MID(B382,4,2)="09","Ramadan",IF(AND(MID(B382,4,2)="12",VALUE(LEFT(B382,2))&lt;=9),"Adha Season","Normal"))</f>
        <v>Ramadan</v>
      </c>
      <c r="D382" s="1" t="s">
        <v>45</v>
      </c>
      <c r="F382" s="4" t="s">
        <v>39</v>
      </c>
      <c r="G382" s="4">
        <v>35</v>
      </c>
      <c r="H382" s="4">
        <v>35</v>
      </c>
      <c r="I382" s="2">
        <f>grand[[#This Row],[number]]-grand[[#This Row],[received]]</f>
        <v>0</v>
      </c>
      <c r="J382" s="30"/>
      <c r="K382" s="9">
        <v>14647</v>
      </c>
      <c r="L382" s="9">
        <v>13960</v>
      </c>
      <c r="M382" s="2">
        <f>K382-L382</f>
        <v>687</v>
      </c>
      <c r="N382" s="9">
        <v>9015.9</v>
      </c>
      <c r="O382" s="2"/>
      <c r="P382" s="7">
        <f>grand[[#This Row],[total weight]]/grand[[#This Row],[received]]</f>
        <v>418.48571428571427</v>
      </c>
      <c r="Q382" s="7">
        <f>grand[[#This Row],[receiving weight]]/grand[[#This Row],[received]]</f>
        <v>398.85714285714283</v>
      </c>
      <c r="R382" s="7">
        <f>grand[[#This Row],[transportation loss ]]/grand[[#This Row],[received]]</f>
        <v>19.62857142857143</v>
      </c>
      <c r="S382" s="7">
        <f>grand[[#This Row],[ carcass weight]]/grand[[#This Row],[received]]</f>
        <v>257.59714285714284</v>
      </c>
      <c r="T382" s="7">
        <f>grand[[#This Row],[ kidneys fat quantity]]/grand[[#This Row],[received]]</f>
        <v>0</v>
      </c>
      <c r="U382" s="4">
        <v>25</v>
      </c>
      <c r="V382" s="4">
        <v>0</v>
      </c>
      <c r="W382" s="4">
        <v>50</v>
      </c>
      <c r="X382" s="4">
        <v>10</v>
      </c>
      <c r="Y382" s="8">
        <v>8.5</v>
      </c>
      <c r="Z382" s="3">
        <f>grand[[#This Row],[av. Transportation loss]]/grand[[#This Row],[av.total weight]]</f>
        <v>4.6903802826517384E-2</v>
      </c>
      <c r="AA382" s="12">
        <f>AVERAGE((grand[[#This Row],[am]]/25),(grand[[#This Row],[pm]]/50))</f>
        <v>1</v>
      </c>
      <c r="AB382" s="3">
        <f>grand[[#This Row],[ carcass weight]]/grand[[#This Row],[total weight]]</f>
        <v>0.61554584556564484</v>
      </c>
      <c r="AC382" s="6">
        <f>SUM(grand[[#This Row],[am]:[meat transportation]])/100</f>
        <v>0.93500000000000005</v>
      </c>
      <c r="AD382" s="2"/>
      <c r="AE382" s="2"/>
      <c r="AF382" s="2"/>
      <c r="AG382" s="2"/>
      <c r="AH382" s="2"/>
      <c r="AI382" s="2"/>
      <c r="AJ382" s="2">
        <v>4</v>
      </c>
      <c r="AK382" s="12">
        <f>grand[[#This Row],[accepted as exception]]/grand[[#This Row],[number]]</f>
        <v>0.11428571428571428</v>
      </c>
      <c r="AL382" s="2">
        <v>0</v>
      </c>
    </row>
    <row r="383" spans="1:38" hidden="1" x14ac:dyDescent="0.2">
      <c r="A383" s="11">
        <v>44333</v>
      </c>
      <c r="B383" s="53" t="s">
        <v>1553</v>
      </c>
      <c r="C383" s="52" t="str">
        <f>IF(MID(B383,4,2)="09","Ramadan",IF(AND(MID(B383,4,2)="12",VALUE(LEFT(B383,2))&lt;=9),"Adha Season","Normal"))</f>
        <v>Normal</v>
      </c>
      <c r="D383" s="1" t="s">
        <v>45</v>
      </c>
      <c r="F383" s="4" t="s">
        <v>46</v>
      </c>
      <c r="G383" s="4">
        <v>24</v>
      </c>
      <c r="H383" s="4">
        <v>24</v>
      </c>
      <c r="I383" s="2">
        <f>grand[[#This Row],[number]]-grand[[#This Row],[received]]</f>
        <v>0</v>
      </c>
      <c r="J383" s="30"/>
      <c r="K383" s="9">
        <v>12780</v>
      </c>
      <c r="L383" s="9">
        <v>11985</v>
      </c>
      <c r="M383" s="2">
        <f>K383-L383</f>
        <v>795</v>
      </c>
      <c r="N383" s="9">
        <v>7845.2</v>
      </c>
      <c r="O383" s="2"/>
      <c r="P383" s="7">
        <f>grand[[#This Row],[total weight]]/grand[[#This Row],[received]]</f>
        <v>532.5</v>
      </c>
      <c r="Q383" s="7">
        <f>grand[[#This Row],[receiving weight]]/grand[[#This Row],[received]]</f>
        <v>499.375</v>
      </c>
      <c r="R383" s="7">
        <f>grand[[#This Row],[transportation loss ]]/grand[[#This Row],[received]]</f>
        <v>33.125</v>
      </c>
      <c r="S383" s="7">
        <f>grand[[#This Row],[ carcass weight]]/grand[[#This Row],[received]]</f>
        <v>326.88333333333333</v>
      </c>
      <c r="T383" s="7">
        <f>grand[[#This Row],[ kidneys fat quantity]]/grand[[#This Row],[received]]</f>
        <v>0</v>
      </c>
      <c r="U383" s="4">
        <v>25</v>
      </c>
      <c r="V383" s="4">
        <v>0</v>
      </c>
      <c r="W383" s="4">
        <v>50</v>
      </c>
      <c r="X383" s="4">
        <v>10</v>
      </c>
      <c r="Y383" s="8">
        <v>8.5</v>
      </c>
      <c r="Z383" s="3">
        <f>grand[[#This Row],[av. Transportation loss]]/grand[[#This Row],[av.total weight]]</f>
        <v>6.2206572769953054E-2</v>
      </c>
      <c r="AA383" s="12">
        <f>AVERAGE((grand[[#This Row],[am]]/25),(grand[[#This Row],[pm]]/50))</f>
        <v>1</v>
      </c>
      <c r="AB383" s="3">
        <f>grand[[#This Row],[ carcass weight]]/grand[[#This Row],[total weight]]</f>
        <v>0.61386541471048517</v>
      </c>
      <c r="AC383" s="6">
        <f>SUM(grand[[#This Row],[am]:[meat transportation]])/100</f>
        <v>0.93500000000000005</v>
      </c>
      <c r="AD383" s="2"/>
      <c r="AE383" s="2"/>
      <c r="AF383" s="2"/>
      <c r="AG383" s="2"/>
      <c r="AH383" s="2"/>
      <c r="AI383" s="2"/>
      <c r="AJ383" s="2">
        <v>5</v>
      </c>
      <c r="AK383" s="12">
        <f>grand[[#This Row],[accepted as exception]]/grand[[#This Row],[number]]</f>
        <v>0.20833333333333334</v>
      </c>
      <c r="AL383" s="2">
        <v>0</v>
      </c>
    </row>
    <row r="384" spans="1:38" hidden="1" x14ac:dyDescent="0.2">
      <c r="A384" s="11">
        <v>44338</v>
      </c>
      <c r="B384" s="53" t="s">
        <v>2653</v>
      </c>
      <c r="C384" s="52" t="str">
        <f>IF(MID(B384,4,2)="09","Ramadan",IF(AND(MID(B384,4,2)="12",VALUE(LEFT(B384,2))&lt;=9),"Adha Season","Normal"))</f>
        <v>Normal</v>
      </c>
      <c r="D384" s="2" t="s">
        <v>294</v>
      </c>
      <c r="E384" s="2"/>
      <c r="F384" s="4" t="s">
        <v>35</v>
      </c>
      <c r="G384" s="4">
        <v>28</v>
      </c>
      <c r="H384" s="4">
        <v>28</v>
      </c>
      <c r="I384" s="2">
        <f>grand[[#This Row],[number]]-grand[[#This Row],[received]]</f>
        <v>0</v>
      </c>
      <c r="J384" s="30"/>
      <c r="K384" s="9">
        <v>1410</v>
      </c>
      <c r="L384" s="9">
        <v>1360</v>
      </c>
      <c r="M384" s="2">
        <f>K384-L384</f>
        <v>50</v>
      </c>
      <c r="N384" s="9">
        <v>831.1</v>
      </c>
      <c r="O384" s="2"/>
      <c r="P384" s="7">
        <f>grand[[#This Row],[total weight]]/grand[[#This Row],[received]]</f>
        <v>50.357142857142854</v>
      </c>
      <c r="Q384" s="7">
        <f>grand[[#This Row],[receiving weight]]/grand[[#This Row],[received]]</f>
        <v>48.571428571428569</v>
      </c>
      <c r="R384" s="7">
        <f>grand[[#This Row],[transportation loss ]]/grand[[#This Row],[received]]</f>
        <v>1.7857142857142858</v>
      </c>
      <c r="S384" s="7">
        <f>grand[[#This Row],[ carcass weight]]/grand[[#This Row],[received]]</f>
        <v>29.682142857142857</v>
      </c>
      <c r="T384" s="7">
        <f>grand[[#This Row],[ kidneys fat quantity]]/grand[[#This Row],[received]]</f>
        <v>0</v>
      </c>
      <c r="U384" s="4">
        <v>25</v>
      </c>
      <c r="V384" s="4">
        <v>0</v>
      </c>
      <c r="W384" s="4">
        <v>49.29</v>
      </c>
      <c r="X384" s="4">
        <v>10</v>
      </c>
      <c r="Y384" s="8">
        <v>8.5</v>
      </c>
      <c r="Z384" s="3">
        <f>grand[[#This Row],[av. Transportation loss]]/grand[[#This Row],[av.total weight]]</f>
        <v>3.5460992907801421E-2</v>
      </c>
      <c r="AA384" s="12">
        <f>AVERAGE((grand[[#This Row],[am]]/25),(grand[[#This Row],[pm]]/50))</f>
        <v>0.9929</v>
      </c>
      <c r="AB384" s="3">
        <f>grand[[#This Row],[ carcass weight]]/grand[[#This Row],[total weight]]</f>
        <v>0.58943262411347519</v>
      </c>
      <c r="AC384" s="6">
        <f>SUM(grand[[#This Row],[am]:[meat transportation]])/100</f>
        <v>0.92789999999999995</v>
      </c>
      <c r="AD384" s="2"/>
      <c r="AE384" s="2"/>
      <c r="AF384" s="2"/>
      <c r="AG384" s="2"/>
      <c r="AH384" s="2"/>
      <c r="AI384" s="2"/>
      <c r="AJ384" s="2">
        <v>0</v>
      </c>
      <c r="AK384" s="12">
        <f>grand[[#This Row],[accepted as exception]]/grand[[#This Row],[number]]</f>
        <v>0</v>
      </c>
      <c r="AL384" s="2">
        <v>4.5</v>
      </c>
    </row>
    <row r="385" spans="1:38" hidden="1" x14ac:dyDescent="0.2">
      <c r="A385" s="11">
        <v>44339</v>
      </c>
      <c r="B385" s="53" t="s">
        <v>1555</v>
      </c>
      <c r="C385" s="52" t="str">
        <f>IF(MID(B385,4,2)="09","Ramadan",IF(AND(MID(B385,4,2)="12",VALUE(LEFT(B385,2))&lt;=9),"Adha Season","Normal"))</f>
        <v>Normal</v>
      </c>
      <c r="D385" s="1" t="s">
        <v>45</v>
      </c>
      <c r="F385" s="4" t="s">
        <v>46</v>
      </c>
      <c r="G385" s="4">
        <v>8</v>
      </c>
      <c r="H385" s="4">
        <v>8</v>
      </c>
      <c r="I385" s="2">
        <f>grand[[#This Row],[number]]-grand[[#This Row],[received]]</f>
        <v>0</v>
      </c>
      <c r="J385" s="30"/>
      <c r="K385" s="9">
        <v>3655</v>
      </c>
      <c r="L385" s="9">
        <v>3470</v>
      </c>
      <c r="M385" s="2">
        <f>K385-L385</f>
        <v>185</v>
      </c>
      <c r="N385" s="9">
        <v>2194.1999999999998</v>
      </c>
      <c r="O385" s="2"/>
      <c r="P385" s="7">
        <f>grand[[#This Row],[total weight]]/grand[[#This Row],[received]]</f>
        <v>456.875</v>
      </c>
      <c r="Q385" s="7">
        <f>grand[[#This Row],[receiving weight]]/grand[[#This Row],[received]]</f>
        <v>433.75</v>
      </c>
      <c r="R385" s="7">
        <f>grand[[#This Row],[transportation loss ]]/grand[[#This Row],[received]]</f>
        <v>23.125</v>
      </c>
      <c r="S385" s="7">
        <f>grand[[#This Row],[ carcass weight]]/grand[[#This Row],[received]]</f>
        <v>274.27499999999998</v>
      </c>
      <c r="T385" s="7">
        <f>grand[[#This Row],[ kidneys fat quantity]]/grand[[#This Row],[received]]</f>
        <v>0</v>
      </c>
      <c r="U385" s="4">
        <v>25</v>
      </c>
      <c r="V385" s="4">
        <v>0</v>
      </c>
      <c r="W385" s="4">
        <v>50</v>
      </c>
      <c r="X385" s="4">
        <v>10</v>
      </c>
      <c r="Y385" s="8">
        <v>8.5</v>
      </c>
      <c r="Z385" s="3">
        <f>grand[[#This Row],[av. Transportation loss]]/grand[[#This Row],[av.total weight]]</f>
        <v>5.0615595075239397E-2</v>
      </c>
      <c r="AA385" s="12">
        <f>AVERAGE((grand[[#This Row],[am]]/25),(grand[[#This Row],[pm]]/50))</f>
        <v>1</v>
      </c>
      <c r="AB385" s="3">
        <f>grand[[#This Row],[ carcass weight]]/grand[[#This Row],[total weight]]</f>
        <v>0.60032831737346093</v>
      </c>
      <c r="AC385" s="6">
        <f>SUM(grand[[#This Row],[am]:[meat transportation]])/100</f>
        <v>0.93500000000000005</v>
      </c>
      <c r="AD385" s="2"/>
      <c r="AE385" s="2"/>
      <c r="AF385" s="2"/>
      <c r="AG385" s="2"/>
      <c r="AH385" s="2"/>
      <c r="AI385" s="2"/>
      <c r="AJ385" s="2">
        <v>2</v>
      </c>
      <c r="AK385" s="12">
        <f>grand[[#This Row],[accepted as exception]]/grand[[#This Row],[number]]</f>
        <v>0.25</v>
      </c>
      <c r="AL385" s="2">
        <v>0</v>
      </c>
    </row>
    <row r="386" spans="1:38" hidden="1" x14ac:dyDescent="0.2">
      <c r="A386" s="11">
        <v>44339</v>
      </c>
      <c r="B386" s="53" t="s">
        <v>1555</v>
      </c>
      <c r="C386" s="52" t="str">
        <f>IF(MID(B386,4,2)="09","Ramadan",IF(AND(MID(B386,4,2)="12",VALUE(LEFT(B386,2))&lt;=9),"Adha Season","Normal"))</f>
        <v>Normal</v>
      </c>
      <c r="D386" s="1" t="s">
        <v>45</v>
      </c>
      <c r="F386" s="4" t="s">
        <v>39</v>
      </c>
      <c r="G386" s="4">
        <v>35</v>
      </c>
      <c r="H386" s="4">
        <v>35</v>
      </c>
      <c r="I386" s="2">
        <f>grand[[#This Row],[number]]-grand[[#This Row],[received]]</f>
        <v>0</v>
      </c>
      <c r="J386" s="30"/>
      <c r="K386" s="9">
        <v>13425</v>
      </c>
      <c r="L386" s="9">
        <v>12599</v>
      </c>
      <c r="M386" s="2">
        <f>K386-L386</f>
        <v>826</v>
      </c>
      <c r="N386" s="9">
        <v>8118.4</v>
      </c>
      <c r="O386" s="2"/>
      <c r="P386" s="7">
        <f>grand[[#This Row],[total weight]]/grand[[#This Row],[received]]</f>
        <v>383.57142857142856</v>
      </c>
      <c r="Q386" s="7">
        <f>grand[[#This Row],[receiving weight]]/grand[[#This Row],[received]]</f>
        <v>359.97142857142859</v>
      </c>
      <c r="R386" s="7">
        <f>grand[[#This Row],[transportation loss ]]/grand[[#This Row],[received]]</f>
        <v>23.6</v>
      </c>
      <c r="S386" s="7">
        <f>grand[[#This Row],[ carcass weight]]/grand[[#This Row],[received]]</f>
        <v>231.9542857142857</v>
      </c>
      <c r="T386" s="7">
        <f>grand[[#This Row],[ kidneys fat quantity]]/grand[[#This Row],[received]]</f>
        <v>0</v>
      </c>
      <c r="U386" s="4">
        <v>25</v>
      </c>
      <c r="V386" s="4">
        <v>0</v>
      </c>
      <c r="W386" s="4">
        <v>49.78</v>
      </c>
      <c r="X386" s="4">
        <v>9.8000000000000007</v>
      </c>
      <c r="Y386" s="8">
        <v>8.5</v>
      </c>
      <c r="Z386" s="3">
        <f>grand[[#This Row],[av. Transportation loss]]/grand[[#This Row],[av.total weight]]</f>
        <v>6.1527001862197402E-2</v>
      </c>
      <c r="AA386" s="12">
        <f>AVERAGE((grand[[#This Row],[am]]/25),(grand[[#This Row],[pm]]/50))</f>
        <v>0.99780000000000002</v>
      </c>
      <c r="AB386" s="3">
        <f>grand[[#This Row],[ carcass weight]]/grand[[#This Row],[total weight]]</f>
        <v>0.60472253258845432</v>
      </c>
      <c r="AC386" s="6">
        <f>SUM(grand[[#This Row],[am]:[meat transportation]])/100</f>
        <v>0.93079999999999996</v>
      </c>
      <c r="AD386" s="2"/>
      <c r="AE386" s="2"/>
      <c r="AF386" s="2"/>
      <c r="AG386" s="2"/>
      <c r="AH386" s="2"/>
      <c r="AI386" s="2"/>
      <c r="AJ386" s="2">
        <v>2</v>
      </c>
      <c r="AK386" s="12">
        <f>grand[[#This Row],[accepted as exception]]/grand[[#This Row],[number]]</f>
        <v>5.7142857142857141E-2</v>
      </c>
      <c r="AL386" s="2">
        <v>808</v>
      </c>
    </row>
    <row r="387" spans="1:38" hidden="1" x14ac:dyDescent="0.2">
      <c r="A387" s="11">
        <v>44343</v>
      </c>
      <c r="B387" s="53" t="s">
        <v>2655</v>
      </c>
      <c r="C387" s="52" t="str">
        <f>IF(MID(B387,4,2)="09","Ramadan",IF(AND(MID(B387,4,2)="12",VALUE(LEFT(B387,2))&lt;=9),"Adha Season","Normal"))</f>
        <v>Normal</v>
      </c>
      <c r="D387" s="2" t="s">
        <v>294</v>
      </c>
      <c r="E387" s="2"/>
      <c r="F387" s="4" t="s">
        <v>35</v>
      </c>
      <c r="G387" s="4">
        <v>26</v>
      </c>
      <c r="H387" s="4">
        <v>26</v>
      </c>
      <c r="I387" s="2">
        <f>grand[[#This Row],[number]]-grand[[#This Row],[received]]</f>
        <v>0</v>
      </c>
      <c r="J387" s="30"/>
      <c r="K387" s="9">
        <v>1298</v>
      </c>
      <c r="L387" s="9">
        <v>1250</v>
      </c>
      <c r="M387" s="2">
        <f>K387-L387</f>
        <v>48</v>
      </c>
      <c r="N387" s="9">
        <v>740.6</v>
      </c>
      <c r="O387" s="2"/>
      <c r="P387" s="7">
        <f>grand[[#This Row],[total weight]]/grand[[#This Row],[received]]</f>
        <v>49.92307692307692</v>
      </c>
      <c r="Q387" s="7">
        <f>grand[[#This Row],[receiving weight]]/grand[[#This Row],[received]]</f>
        <v>48.07692307692308</v>
      </c>
      <c r="R387" s="7">
        <f>grand[[#This Row],[transportation loss ]]/grand[[#This Row],[received]]</f>
        <v>1.8461538461538463</v>
      </c>
      <c r="S387" s="7">
        <f>grand[[#This Row],[ carcass weight]]/grand[[#This Row],[received]]</f>
        <v>28.484615384615385</v>
      </c>
      <c r="T387" s="7">
        <f>grand[[#This Row],[ kidneys fat quantity]]/grand[[#This Row],[received]]</f>
        <v>0</v>
      </c>
      <c r="U387" s="4">
        <v>25</v>
      </c>
      <c r="V387" s="4">
        <v>0</v>
      </c>
      <c r="W387" s="4">
        <v>49.69</v>
      </c>
      <c r="X387" s="4">
        <v>10</v>
      </c>
      <c r="Y387" s="8">
        <v>8.5</v>
      </c>
      <c r="Z387" s="3">
        <f>grand[[#This Row],[av. Transportation loss]]/grand[[#This Row],[av.total weight]]</f>
        <v>3.6979969183359017E-2</v>
      </c>
      <c r="AA387" s="12">
        <f>AVERAGE((grand[[#This Row],[am]]/25),(grand[[#This Row],[pm]]/50))</f>
        <v>0.9968999999999999</v>
      </c>
      <c r="AB387" s="3">
        <f>grand[[#This Row],[ carcass weight]]/grand[[#This Row],[total weight]]</f>
        <v>0.57057010785824347</v>
      </c>
      <c r="AC387" s="6">
        <f>SUM(grand[[#This Row],[am]:[meat transportation]])/100</f>
        <v>0.93189999999999995</v>
      </c>
      <c r="AD387" s="2"/>
      <c r="AE387" s="2"/>
      <c r="AF387" s="2"/>
      <c r="AG387" s="2"/>
      <c r="AH387" s="2"/>
      <c r="AI387" s="2"/>
      <c r="AJ387" s="2">
        <v>0</v>
      </c>
      <c r="AK387" s="12">
        <f>grand[[#This Row],[accepted as exception]]/grand[[#This Row],[number]]</f>
        <v>0</v>
      </c>
      <c r="AL387" s="2">
        <v>0</v>
      </c>
    </row>
    <row r="388" spans="1:38" hidden="1" x14ac:dyDescent="0.2">
      <c r="A388" s="11">
        <v>44345</v>
      </c>
      <c r="B388" s="53" t="s">
        <v>2656</v>
      </c>
      <c r="C388" s="52" t="str">
        <f>IF(MID(B388,4,2)="09","Ramadan",IF(AND(MID(B388,4,2)="12",VALUE(LEFT(B388,2))&lt;=9),"Adha Season","Normal"))</f>
        <v>Normal</v>
      </c>
      <c r="D388" s="1" t="s">
        <v>45</v>
      </c>
      <c r="F388" s="4" t="s">
        <v>280</v>
      </c>
      <c r="G388" s="4">
        <v>30</v>
      </c>
      <c r="H388" s="4">
        <v>30</v>
      </c>
      <c r="I388" s="2">
        <f>grand[[#This Row],[number]]-grand[[#This Row],[received]]</f>
        <v>0</v>
      </c>
      <c r="J388" s="30"/>
      <c r="K388" s="9">
        <v>15045</v>
      </c>
      <c r="L388" s="9">
        <v>14445</v>
      </c>
      <c r="M388" s="2">
        <f>K388-L388</f>
        <v>600</v>
      </c>
      <c r="N388" s="9">
        <v>9044.6</v>
      </c>
      <c r="O388" s="2"/>
      <c r="P388" s="7">
        <f>grand[[#This Row],[total weight]]/grand[[#This Row],[received]]</f>
        <v>501.5</v>
      </c>
      <c r="Q388" s="7">
        <f>grand[[#This Row],[receiving weight]]/grand[[#This Row],[received]]</f>
        <v>481.5</v>
      </c>
      <c r="R388" s="7">
        <f>grand[[#This Row],[transportation loss ]]/grand[[#This Row],[received]]</f>
        <v>20</v>
      </c>
      <c r="S388" s="7">
        <f>grand[[#This Row],[ carcass weight]]/grand[[#This Row],[received]]</f>
        <v>301.48666666666668</v>
      </c>
      <c r="T388" s="7">
        <f>grand[[#This Row],[ kidneys fat quantity]]/grand[[#This Row],[received]]</f>
        <v>0</v>
      </c>
      <c r="U388" s="4">
        <v>25</v>
      </c>
      <c r="V388" s="4">
        <v>0</v>
      </c>
      <c r="W388" s="4">
        <v>49.87</v>
      </c>
      <c r="X388" s="4">
        <v>10</v>
      </c>
      <c r="Y388" s="8">
        <v>8.5</v>
      </c>
      <c r="Z388" s="3">
        <f>grand[[#This Row],[av. Transportation loss]]/grand[[#This Row],[av.total weight]]</f>
        <v>3.9880358923230309E-2</v>
      </c>
      <c r="AA388" s="12">
        <f>AVERAGE((grand[[#This Row],[am]]/25),(grand[[#This Row],[pm]]/50))</f>
        <v>0.99869999999999992</v>
      </c>
      <c r="AB388" s="3">
        <f>grand[[#This Row],[ carcass weight]]/grand[[#This Row],[total weight]]</f>
        <v>0.60116982386174811</v>
      </c>
      <c r="AC388" s="6">
        <f>SUM(grand[[#This Row],[am]:[meat transportation]])/100</f>
        <v>0.93370000000000009</v>
      </c>
      <c r="AD388" s="2"/>
      <c r="AE388" s="2"/>
      <c r="AF388" s="2"/>
      <c r="AG388" s="2"/>
      <c r="AH388" s="2"/>
      <c r="AI388" s="2"/>
      <c r="AJ388" s="2">
        <v>12</v>
      </c>
      <c r="AK388" s="12">
        <f>grand[[#This Row],[accepted as exception]]/grand[[#This Row],[number]]</f>
        <v>0.4</v>
      </c>
      <c r="AL388" s="2">
        <v>0</v>
      </c>
    </row>
    <row r="389" spans="1:38" hidden="1" x14ac:dyDescent="0.2">
      <c r="A389" s="11">
        <v>44348</v>
      </c>
      <c r="B389" s="53" t="s">
        <v>2657</v>
      </c>
      <c r="C389" s="52" t="str">
        <f>IF(MID(B389,4,2)="09","Ramadan",IF(AND(MID(B389,4,2)="12",VALUE(LEFT(B389,2))&lt;=9),"Adha Season","Normal"))</f>
        <v>Normal</v>
      </c>
      <c r="D389" s="1" t="s">
        <v>45</v>
      </c>
      <c r="F389" s="4" t="s">
        <v>290</v>
      </c>
      <c r="G389" s="4">
        <v>9</v>
      </c>
      <c r="H389" s="4">
        <v>9</v>
      </c>
      <c r="I389" s="2">
        <f>grand[[#This Row],[number]]-grand[[#This Row],[received]]</f>
        <v>0</v>
      </c>
      <c r="J389" s="30"/>
      <c r="K389" s="9">
        <v>3745</v>
      </c>
      <c r="L389" s="9">
        <v>3675</v>
      </c>
      <c r="M389" s="2">
        <f>K389-L389</f>
        <v>70</v>
      </c>
      <c r="N389" s="9">
        <v>2247.3000000000002</v>
      </c>
      <c r="O389" s="2"/>
      <c r="P389" s="7">
        <f>grand[[#This Row],[total weight]]/grand[[#This Row],[received]]</f>
        <v>416.11111111111109</v>
      </c>
      <c r="Q389" s="7">
        <f>grand[[#This Row],[receiving weight]]/grand[[#This Row],[received]]</f>
        <v>408.33333333333331</v>
      </c>
      <c r="R389" s="7">
        <f>grand[[#This Row],[transportation loss ]]/grand[[#This Row],[received]]</f>
        <v>7.7777777777777777</v>
      </c>
      <c r="S389" s="7">
        <f>grand[[#This Row],[ carcass weight]]/grand[[#This Row],[received]]</f>
        <v>249.70000000000002</v>
      </c>
      <c r="T389" s="7">
        <f>grand[[#This Row],[ kidneys fat quantity]]/grand[[#This Row],[received]]</f>
        <v>0</v>
      </c>
      <c r="U389" s="4">
        <v>25</v>
      </c>
      <c r="V389" s="4">
        <v>0</v>
      </c>
      <c r="W389" s="4">
        <v>50</v>
      </c>
      <c r="X389" s="4">
        <v>10</v>
      </c>
      <c r="Y389" s="8">
        <v>8.5</v>
      </c>
      <c r="Z389" s="3">
        <f>grand[[#This Row],[av. Transportation loss]]/grand[[#This Row],[av.total weight]]</f>
        <v>1.8691588785046731E-2</v>
      </c>
      <c r="AA389" s="12">
        <f>AVERAGE((grand[[#This Row],[am]]/25),(grand[[#This Row],[pm]]/50))</f>
        <v>1</v>
      </c>
      <c r="AB389" s="3">
        <f>grand[[#This Row],[ carcass weight]]/grand[[#This Row],[total weight]]</f>
        <v>0.60008010680907886</v>
      </c>
      <c r="AC389" s="6">
        <f>SUM(grand[[#This Row],[am]:[meat transportation]])/100</f>
        <v>0.93500000000000005</v>
      </c>
      <c r="AD389" s="2"/>
      <c r="AE389" s="2"/>
      <c r="AF389" s="2"/>
      <c r="AG389" s="2"/>
      <c r="AH389" s="2"/>
      <c r="AI389" s="2"/>
      <c r="AJ389" s="2">
        <v>1</v>
      </c>
      <c r="AK389" s="12">
        <f>grand[[#This Row],[accepted as exception]]/grand[[#This Row],[number]]</f>
        <v>0.1111111111111111</v>
      </c>
      <c r="AL389" s="2">
        <v>0</v>
      </c>
    </row>
    <row r="390" spans="1:38" hidden="1" x14ac:dyDescent="0.2">
      <c r="A390" s="11">
        <v>44350</v>
      </c>
      <c r="B390" s="53" t="s">
        <v>2658</v>
      </c>
      <c r="C390" s="52" t="str">
        <f>IF(MID(B390,4,2)="09","Ramadan",IF(AND(MID(B390,4,2)="12",VALUE(LEFT(B390,2))&lt;=9),"Adha Season","Normal"))</f>
        <v>Normal</v>
      </c>
      <c r="D390" s="2" t="s">
        <v>294</v>
      </c>
      <c r="E390" s="2"/>
      <c r="F390" s="4" t="s">
        <v>35</v>
      </c>
      <c r="G390" s="4">
        <v>27</v>
      </c>
      <c r="H390" s="4">
        <v>27</v>
      </c>
      <c r="I390" s="2">
        <f>grand[[#This Row],[number]]-grand[[#This Row],[received]]</f>
        <v>0</v>
      </c>
      <c r="J390" s="30"/>
      <c r="K390" s="9">
        <v>1296</v>
      </c>
      <c r="L390" s="9">
        <v>1250</v>
      </c>
      <c r="M390" s="2">
        <f>K390-L390</f>
        <v>46</v>
      </c>
      <c r="N390" s="9">
        <v>744.2</v>
      </c>
      <c r="O390" s="2"/>
      <c r="P390" s="7">
        <f>grand[[#This Row],[total weight]]/grand[[#This Row],[received]]</f>
        <v>48</v>
      </c>
      <c r="Q390" s="7">
        <f>grand[[#This Row],[receiving weight]]/grand[[#This Row],[received]]</f>
        <v>46.296296296296298</v>
      </c>
      <c r="R390" s="7">
        <f>grand[[#This Row],[transportation loss ]]/grand[[#This Row],[received]]</f>
        <v>1.7037037037037037</v>
      </c>
      <c r="S390" s="7">
        <f>grand[[#This Row],[ carcass weight]]/grand[[#This Row],[received]]</f>
        <v>27.562962962962963</v>
      </c>
      <c r="T390" s="7">
        <f>grand[[#This Row],[ kidneys fat quantity]]/grand[[#This Row],[received]]</f>
        <v>0</v>
      </c>
      <c r="U390" s="4">
        <v>25</v>
      </c>
      <c r="V390" s="4">
        <v>0</v>
      </c>
      <c r="W390" s="4">
        <v>49.37</v>
      </c>
      <c r="X390" s="4">
        <v>10</v>
      </c>
      <c r="Y390" s="8">
        <v>8.5</v>
      </c>
      <c r="Z390" s="3">
        <f>grand[[#This Row],[av. Transportation loss]]/grand[[#This Row],[av.total weight]]</f>
        <v>3.5493827160493825E-2</v>
      </c>
      <c r="AA390" s="12">
        <f>AVERAGE((grand[[#This Row],[am]]/25),(grand[[#This Row],[pm]]/50))</f>
        <v>0.99370000000000003</v>
      </c>
      <c r="AB390" s="3">
        <f>grand[[#This Row],[ carcass weight]]/grand[[#This Row],[total weight]]</f>
        <v>0.5742283950617284</v>
      </c>
      <c r="AC390" s="6">
        <f>SUM(grand[[#This Row],[am]:[meat transportation]])/100</f>
        <v>0.92870000000000008</v>
      </c>
      <c r="AD390" s="2"/>
      <c r="AE390" s="2"/>
      <c r="AF390" s="2"/>
      <c r="AG390" s="2"/>
      <c r="AH390" s="2"/>
      <c r="AI390" s="2"/>
      <c r="AJ390" s="2">
        <v>0</v>
      </c>
      <c r="AK390" s="12">
        <f>grand[[#This Row],[accepted as exception]]/grand[[#This Row],[number]]</f>
        <v>0</v>
      </c>
      <c r="AL390" s="2">
        <v>1</v>
      </c>
    </row>
    <row r="391" spans="1:38" hidden="1" x14ac:dyDescent="0.2">
      <c r="A391" s="11">
        <v>44355</v>
      </c>
      <c r="B391" s="53" t="s">
        <v>2660</v>
      </c>
      <c r="C391" s="52" t="str">
        <f>IF(MID(B391,4,2)="09","Ramadan",IF(AND(MID(B391,4,2)="12",VALUE(LEFT(B391,2))&lt;=9),"Adha Season","Normal"))</f>
        <v>Normal</v>
      </c>
      <c r="D391" s="2" t="s">
        <v>294</v>
      </c>
      <c r="E391" s="2"/>
      <c r="F391" s="4" t="s">
        <v>35</v>
      </c>
      <c r="G391" s="4">
        <v>25</v>
      </c>
      <c r="H391" s="4">
        <v>25</v>
      </c>
      <c r="I391" s="2">
        <f>grand[[#This Row],[number]]-grand[[#This Row],[received]]</f>
        <v>0</v>
      </c>
      <c r="J391" s="30"/>
      <c r="K391" s="9">
        <v>1304</v>
      </c>
      <c r="L391" s="9">
        <v>1255</v>
      </c>
      <c r="M391" s="2">
        <f>K391-L391</f>
        <v>49</v>
      </c>
      <c r="N391" s="9">
        <v>738.8</v>
      </c>
      <c r="O391" s="2"/>
      <c r="P391" s="7">
        <f>grand[[#This Row],[total weight]]/grand[[#This Row],[received]]</f>
        <v>52.16</v>
      </c>
      <c r="Q391" s="7">
        <f>grand[[#This Row],[receiving weight]]/grand[[#This Row],[received]]</f>
        <v>50.2</v>
      </c>
      <c r="R391" s="7">
        <f>grand[[#This Row],[transportation loss ]]/grand[[#This Row],[received]]</f>
        <v>1.96</v>
      </c>
      <c r="S391" s="7">
        <f>grand[[#This Row],[ carcass weight]]/grand[[#This Row],[received]]</f>
        <v>29.552</v>
      </c>
      <c r="T391" s="7">
        <f>grand[[#This Row],[ kidneys fat quantity]]/grand[[#This Row],[received]]</f>
        <v>0</v>
      </c>
      <c r="U391" s="4">
        <v>25</v>
      </c>
      <c r="V391" s="4">
        <v>0</v>
      </c>
      <c r="W391" s="4">
        <v>49.2</v>
      </c>
      <c r="X391" s="4">
        <v>10</v>
      </c>
      <c r="Y391" s="8">
        <v>8.5</v>
      </c>
      <c r="Z391" s="3">
        <f>grand[[#This Row],[av. Transportation loss]]/grand[[#This Row],[av.total weight]]</f>
        <v>3.7576687116564422E-2</v>
      </c>
      <c r="AA391" s="12">
        <f>AVERAGE((grand[[#This Row],[am]]/25),(grand[[#This Row],[pm]]/50))</f>
        <v>0.99199999999999999</v>
      </c>
      <c r="AB391" s="3">
        <f>grand[[#This Row],[ carcass weight]]/grand[[#This Row],[total weight]]</f>
        <v>0.56656441717791406</v>
      </c>
      <c r="AC391" s="6">
        <f>SUM(grand[[#This Row],[am]:[meat transportation]])/100</f>
        <v>0.92700000000000005</v>
      </c>
      <c r="AD391" s="2"/>
      <c r="AE391" s="2"/>
      <c r="AF391" s="2"/>
      <c r="AG391" s="2"/>
      <c r="AH391" s="2"/>
      <c r="AI391" s="2"/>
      <c r="AJ391" s="2">
        <v>0</v>
      </c>
      <c r="AK391" s="12">
        <f>grand[[#This Row],[accepted as exception]]/grand[[#This Row],[number]]</f>
        <v>0</v>
      </c>
      <c r="AL391" s="2">
        <v>0.5</v>
      </c>
    </row>
    <row r="392" spans="1:38" hidden="1" x14ac:dyDescent="0.2">
      <c r="A392" s="11">
        <v>44359</v>
      </c>
      <c r="B392" s="53" t="s">
        <v>2662</v>
      </c>
      <c r="C392" s="52" t="str">
        <f>IF(MID(B392,4,2)="09","Ramadan",IF(AND(MID(B392,4,2)="12",VALUE(LEFT(B392,2))&lt;=9),"Adha Season","Normal"))</f>
        <v>Normal</v>
      </c>
      <c r="D392" s="1" t="s">
        <v>45</v>
      </c>
      <c r="F392" s="4" t="s">
        <v>280</v>
      </c>
      <c r="G392" s="4">
        <v>34</v>
      </c>
      <c r="H392" s="4">
        <v>34</v>
      </c>
      <c r="I392" s="2">
        <f>grand[[#This Row],[number]]-grand[[#This Row],[received]]</f>
        <v>0</v>
      </c>
      <c r="J392" s="30"/>
      <c r="K392" s="9">
        <v>17365</v>
      </c>
      <c r="L392" s="9">
        <v>16680</v>
      </c>
      <c r="M392" s="2">
        <f>K392-L392</f>
        <v>685</v>
      </c>
      <c r="N392" s="9">
        <v>10509.1</v>
      </c>
      <c r="O392" s="2"/>
      <c r="P392" s="7">
        <f>grand[[#This Row],[total weight]]/grand[[#This Row],[received]]</f>
        <v>510.73529411764707</v>
      </c>
      <c r="Q392" s="7">
        <f>grand[[#This Row],[receiving weight]]/grand[[#This Row],[received]]</f>
        <v>490.58823529411762</v>
      </c>
      <c r="R392" s="7">
        <f>grand[[#This Row],[transportation loss ]]/grand[[#This Row],[received]]</f>
        <v>20.147058823529413</v>
      </c>
      <c r="S392" s="7">
        <f>grand[[#This Row],[ carcass weight]]/grand[[#This Row],[received]]</f>
        <v>309.09117647058827</v>
      </c>
      <c r="T392" s="7">
        <f>grand[[#This Row],[ kidneys fat quantity]]/grand[[#This Row],[received]]</f>
        <v>0</v>
      </c>
      <c r="U392" s="4">
        <v>25</v>
      </c>
      <c r="V392" s="4">
        <v>0</v>
      </c>
      <c r="W392" s="4">
        <v>49.71</v>
      </c>
      <c r="X392" s="4">
        <v>10</v>
      </c>
      <c r="Y392" s="8">
        <v>8.5</v>
      </c>
      <c r="Z392" s="3">
        <f>grand[[#This Row],[av. Transportation loss]]/grand[[#This Row],[av.total weight]]</f>
        <v>3.9447163835300891E-2</v>
      </c>
      <c r="AA392" s="12">
        <f>AVERAGE((grand[[#This Row],[am]]/25),(grand[[#This Row],[pm]]/50))</f>
        <v>0.99709999999999999</v>
      </c>
      <c r="AB392" s="3">
        <f>grand[[#This Row],[ carcass weight]]/grand[[#This Row],[total weight]]</f>
        <v>0.60518859775410305</v>
      </c>
      <c r="AC392" s="6">
        <f>SUM(grand[[#This Row],[am]:[meat transportation]])/100</f>
        <v>0.93210000000000004</v>
      </c>
      <c r="AD392" s="2"/>
      <c r="AE392" s="2"/>
      <c r="AF392" s="2"/>
      <c r="AG392" s="2"/>
      <c r="AH392" s="2"/>
      <c r="AI392" s="2"/>
      <c r="AJ392" s="2">
        <v>9</v>
      </c>
      <c r="AK392" s="12">
        <f>grand[[#This Row],[accepted as exception]]/grand[[#This Row],[number]]</f>
        <v>0.26470588235294118</v>
      </c>
      <c r="AL392" s="2">
        <v>0</v>
      </c>
    </row>
    <row r="393" spans="1:38" hidden="1" x14ac:dyDescent="0.2">
      <c r="A393" s="11">
        <v>44362</v>
      </c>
      <c r="B393" s="53" t="s">
        <v>2663</v>
      </c>
      <c r="C393" s="52" t="str">
        <f>IF(MID(B393,4,2)="09","Ramadan",IF(AND(MID(B393,4,2)="12",VALUE(LEFT(B393,2))&lt;=9),"Adha Season","Normal"))</f>
        <v>Normal</v>
      </c>
      <c r="D393" s="1" t="s">
        <v>45</v>
      </c>
      <c r="F393" s="4" t="s">
        <v>282</v>
      </c>
      <c r="G393" s="4">
        <v>16</v>
      </c>
      <c r="H393" s="4">
        <v>16</v>
      </c>
      <c r="I393" s="2">
        <f>grand[[#This Row],[number]]-grand[[#This Row],[received]]</f>
        <v>0</v>
      </c>
      <c r="J393" s="30"/>
      <c r="K393" s="9">
        <v>6730</v>
      </c>
      <c r="L393" s="9">
        <v>6685</v>
      </c>
      <c r="M393" s="2">
        <f>K393-L393</f>
        <v>45</v>
      </c>
      <c r="N393" s="9">
        <v>4038.2</v>
      </c>
      <c r="O393" s="2"/>
      <c r="P393" s="7">
        <f>grand[[#This Row],[total weight]]/grand[[#This Row],[received]]</f>
        <v>420.625</v>
      </c>
      <c r="Q393" s="7">
        <f>grand[[#This Row],[receiving weight]]/grand[[#This Row],[received]]</f>
        <v>417.8125</v>
      </c>
      <c r="R393" s="7">
        <f>grand[[#This Row],[transportation loss ]]/grand[[#This Row],[received]]</f>
        <v>2.8125</v>
      </c>
      <c r="S393" s="7">
        <f>grand[[#This Row],[ carcass weight]]/grand[[#This Row],[received]]</f>
        <v>252.38749999999999</v>
      </c>
      <c r="T393" s="7">
        <f>grand[[#This Row],[ kidneys fat quantity]]/grand[[#This Row],[received]]</f>
        <v>0</v>
      </c>
      <c r="U393" s="4">
        <v>25</v>
      </c>
      <c r="V393" s="4">
        <v>0</v>
      </c>
      <c r="W393" s="4">
        <v>49.56</v>
      </c>
      <c r="X393" s="4">
        <v>10</v>
      </c>
      <c r="Y393" s="8">
        <v>8.5</v>
      </c>
      <c r="Z393" s="3">
        <f>grand[[#This Row],[av. Transportation loss]]/grand[[#This Row],[av.total weight]]</f>
        <v>6.6864784546805346E-3</v>
      </c>
      <c r="AA393" s="12">
        <f>AVERAGE((grand[[#This Row],[am]]/25),(grand[[#This Row],[pm]]/50))</f>
        <v>0.99560000000000004</v>
      </c>
      <c r="AB393" s="3">
        <f>grand[[#This Row],[ carcass weight]]/grand[[#This Row],[total weight]]</f>
        <v>0.60002971768202074</v>
      </c>
      <c r="AC393" s="6">
        <f>SUM(grand[[#This Row],[am]:[meat transportation]])/100</f>
        <v>0.93059999999999998</v>
      </c>
      <c r="AD393" s="2"/>
      <c r="AE393" s="2"/>
      <c r="AF393" s="2"/>
      <c r="AG393" s="2"/>
      <c r="AH393" s="2"/>
      <c r="AI393" s="2"/>
      <c r="AJ393" s="2">
        <v>3</v>
      </c>
      <c r="AK393" s="12">
        <f>grand[[#This Row],[accepted as exception]]/grand[[#This Row],[number]]</f>
        <v>0.1875</v>
      </c>
      <c r="AL393" s="2">
        <v>8</v>
      </c>
    </row>
    <row r="394" spans="1:38" hidden="1" x14ac:dyDescent="0.2">
      <c r="A394" s="11">
        <v>44366</v>
      </c>
      <c r="B394" s="53" t="s">
        <v>2665</v>
      </c>
      <c r="C394" s="52" t="str">
        <f>IF(MID(B394,4,2)="09","Ramadan",IF(AND(MID(B394,4,2)="12",VALUE(LEFT(B394,2))&lt;=9),"Adha Season","Normal"))</f>
        <v>Normal</v>
      </c>
      <c r="D394" s="2" t="s">
        <v>294</v>
      </c>
      <c r="E394" s="2"/>
      <c r="F394" s="4" t="s">
        <v>35</v>
      </c>
      <c r="G394" s="4">
        <v>25</v>
      </c>
      <c r="H394" s="4">
        <v>25</v>
      </c>
      <c r="I394" s="2">
        <f>grand[[#This Row],[number]]-grand[[#This Row],[received]]</f>
        <v>0</v>
      </c>
      <c r="J394" s="30"/>
      <c r="K394" s="9">
        <v>1258</v>
      </c>
      <c r="L394" s="9">
        <v>1245</v>
      </c>
      <c r="M394" s="2">
        <f>K394-L394</f>
        <v>13</v>
      </c>
      <c r="N394" s="9">
        <v>734.6</v>
      </c>
      <c r="O394" s="2"/>
      <c r="P394" s="7">
        <f>grand[[#This Row],[total weight]]/grand[[#This Row],[received]]</f>
        <v>50.32</v>
      </c>
      <c r="Q394" s="7">
        <f>grand[[#This Row],[receiving weight]]/grand[[#This Row],[received]]</f>
        <v>49.8</v>
      </c>
      <c r="R394" s="7">
        <f>grand[[#This Row],[transportation loss ]]/grand[[#This Row],[received]]</f>
        <v>0.52</v>
      </c>
      <c r="S394" s="7">
        <f>grand[[#This Row],[ carcass weight]]/grand[[#This Row],[received]]</f>
        <v>29.384</v>
      </c>
      <c r="T394" s="7">
        <f>grand[[#This Row],[ kidneys fat quantity]]/grand[[#This Row],[received]]</f>
        <v>0</v>
      </c>
      <c r="U394" s="4">
        <v>25</v>
      </c>
      <c r="V394" s="4">
        <v>0</v>
      </c>
      <c r="W394" s="4">
        <v>48.96</v>
      </c>
      <c r="X394" s="4">
        <v>10</v>
      </c>
      <c r="Y394" s="8">
        <v>8.5</v>
      </c>
      <c r="Z394" s="3">
        <f>grand[[#This Row],[av. Transportation loss]]/grand[[#This Row],[av.total weight]]</f>
        <v>1.0333863275039747E-2</v>
      </c>
      <c r="AA394" s="12">
        <f>AVERAGE((grand[[#This Row],[am]]/25),(grand[[#This Row],[pm]]/50))</f>
        <v>0.98960000000000004</v>
      </c>
      <c r="AB394" s="3">
        <f>grand[[#This Row],[ carcass weight]]/grand[[#This Row],[total weight]]</f>
        <v>0.58394276629570752</v>
      </c>
      <c r="AC394" s="6">
        <f>SUM(grand[[#This Row],[am]:[meat transportation]])/100</f>
        <v>0.92460000000000009</v>
      </c>
      <c r="AD394" s="2"/>
      <c r="AE394" s="2"/>
      <c r="AF394" s="2"/>
      <c r="AG394" s="2"/>
      <c r="AH394" s="2"/>
      <c r="AI394" s="2"/>
      <c r="AJ394" s="2">
        <v>0</v>
      </c>
      <c r="AK394" s="12">
        <f>grand[[#This Row],[accepted as exception]]/grand[[#This Row],[number]]</f>
        <v>0</v>
      </c>
      <c r="AL394" s="2">
        <v>1</v>
      </c>
    </row>
    <row r="395" spans="1:38" hidden="1" x14ac:dyDescent="0.2">
      <c r="A395" s="11">
        <v>44367</v>
      </c>
      <c r="B395" s="53" t="s">
        <v>1559</v>
      </c>
      <c r="C395" s="52" t="str">
        <f>IF(MID(B395,4,2)="09","Ramadan",IF(AND(MID(B395,4,2)="12",VALUE(LEFT(B395,2))&lt;=9),"Adha Season","Normal"))</f>
        <v>Normal</v>
      </c>
      <c r="D395" s="1" t="s">
        <v>45</v>
      </c>
      <c r="F395" s="4" t="s">
        <v>39</v>
      </c>
      <c r="G395" s="4">
        <v>42</v>
      </c>
      <c r="H395" s="4">
        <v>42</v>
      </c>
      <c r="I395" s="2">
        <f>grand[[#This Row],[number]]-grand[[#This Row],[received]]</f>
        <v>0</v>
      </c>
      <c r="J395" s="30"/>
      <c r="K395" s="9">
        <v>19305</v>
      </c>
      <c r="L395" s="9">
        <v>18026</v>
      </c>
      <c r="M395" s="2">
        <f>K395-L395</f>
        <v>1279</v>
      </c>
      <c r="N395" s="9">
        <v>11876.5</v>
      </c>
      <c r="O395" s="2"/>
      <c r="P395" s="7">
        <f>grand[[#This Row],[total weight]]/grand[[#This Row],[received]]</f>
        <v>459.64285714285717</v>
      </c>
      <c r="Q395" s="7">
        <f>grand[[#This Row],[receiving weight]]/grand[[#This Row],[received]]</f>
        <v>429.1904761904762</v>
      </c>
      <c r="R395" s="7">
        <f>grand[[#This Row],[transportation loss ]]/grand[[#This Row],[received]]</f>
        <v>30.452380952380953</v>
      </c>
      <c r="S395" s="7">
        <f>grand[[#This Row],[ carcass weight]]/grand[[#This Row],[received]]</f>
        <v>282.77380952380952</v>
      </c>
      <c r="T395" s="7">
        <f>grand[[#This Row],[ kidneys fat quantity]]/grand[[#This Row],[received]]</f>
        <v>0</v>
      </c>
      <c r="U395" s="4">
        <v>25</v>
      </c>
      <c r="V395" s="4">
        <v>0</v>
      </c>
      <c r="W395" s="4">
        <v>49.83</v>
      </c>
      <c r="X395" s="4">
        <v>10</v>
      </c>
      <c r="Y395" s="8">
        <v>8.5</v>
      </c>
      <c r="Z395" s="3">
        <f>grand[[#This Row],[av. Transportation loss]]/grand[[#This Row],[av.total weight]]</f>
        <v>6.6252266252266254E-2</v>
      </c>
      <c r="AA395" s="12">
        <f>AVERAGE((grand[[#This Row],[am]]/25),(grand[[#This Row],[pm]]/50))</f>
        <v>0.99829999999999997</v>
      </c>
      <c r="AB395" s="3">
        <f>grand[[#This Row],[ carcass weight]]/grand[[#This Row],[total weight]]</f>
        <v>0.61520331520331517</v>
      </c>
      <c r="AC395" s="6">
        <f>SUM(grand[[#This Row],[am]:[meat transportation]])/100</f>
        <v>0.93330000000000002</v>
      </c>
      <c r="AD395" s="2"/>
      <c r="AE395" s="2"/>
      <c r="AF395" s="2"/>
      <c r="AG395" s="2"/>
      <c r="AH395" s="2"/>
      <c r="AI395" s="2"/>
      <c r="AJ395" s="2">
        <v>4</v>
      </c>
      <c r="AK395" s="12">
        <f>grand[[#This Row],[accepted as exception]]/grand[[#This Row],[number]]</f>
        <v>9.5238095238095233E-2</v>
      </c>
      <c r="AL395" s="2">
        <v>8</v>
      </c>
    </row>
    <row r="396" spans="1:38" hidden="1" x14ac:dyDescent="0.2">
      <c r="A396" s="11">
        <v>44373</v>
      </c>
      <c r="B396" s="53" t="s">
        <v>2668</v>
      </c>
      <c r="C396" s="52" t="str">
        <f>IF(MID(B396,4,2)="09","Ramadan",IF(AND(MID(B396,4,2)="12",VALUE(LEFT(B396,2))&lt;=9),"Adha Season","Normal"))</f>
        <v>Normal</v>
      </c>
      <c r="D396" s="2" t="s">
        <v>294</v>
      </c>
      <c r="E396" s="2"/>
      <c r="F396" s="4" t="s">
        <v>105</v>
      </c>
      <c r="G396" s="4">
        <v>25</v>
      </c>
      <c r="H396" s="4">
        <v>25</v>
      </c>
      <c r="I396" s="2">
        <f>grand[[#This Row],[number]]-grand[[#This Row],[received]]</f>
        <v>0</v>
      </c>
      <c r="J396" s="30"/>
      <c r="K396" s="9">
        <v>1314</v>
      </c>
      <c r="L396" s="9">
        <v>1295</v>
      </c>
      <c r="M396" s="2">
        <f>K396-L396</f>
        <v>19</v>
      </c>
      <c r="N396" s="9">
        <v>758.6</v>
      </c>
      <c r="O396" s="2"/>
      <c r="P396" s="7">
        <f>grand[[#This Row],[total weight]]/grand[[#This Row],[received]]</f>
        <v>52.56</v>
      </c>
      <c r="Q396" s="7">
        <f>grand[[#This Row],[receiving weight]]/grand[[#This Row],[received]]</f>
        <v>51.8</v>
      </c>
      <c r="R396" s="7">
        <f>grand[[#This Row],[transportation loss ]]/grand[[#This Row],[received]]</f>
        <v>0.76</v>
      </c>
      <c r="S396" s="7">
        <f>grand[[#This Row],[ carcass weight]]/grand[[#This Row],[received]]</f>
        <v>30.344000000000001</v>
      </c>
      <c r="T396" s="7">
        <f>grand[[#This Row],[ kidneys fat quantity]]/grand[[#This Row],[received]]</f>
        <v>0</v>
      </c>
      <c r="U396" s="4">
        <v>25</v>
      </c>
      <c r="V396" s="4">
        <v>0</v>
      </c>
      <c r="W396" s="4">
        <v>49.44</v>
      </c>
      <c r="X396" s="4">
        <v>10</v>
      </c>
      <c r="Y396" s="8">
        <v>8.5</v>
      </c>
      <c r="Z396" s="3">
        <f>grand[[#This Row],[av. Transportation loss]]/grand[[#This Row],[av.total weight]]</f>
        <v>1.4459665144596651E-2</v>
      </c>
      <c r="AA396" s="12">
        <f>AVERAGE((grand[[#This Row],[am]]/25),(grand[[#This Row],[pm]]/50))</f>
        <v>0.99439999999999995</v>
      </c>
      <c r="AB396" s="3">
        <f>grand[[#This Row],[ carcass weight]]/grand[[#This Row],[total weight]]</f>
        <v>0.57732115677321161</v>
      </c>
      <c r="AC396" s="6">
        <f>SUM(grand[[#This Row],[am]:[meat transportation]])/100</f>
        <v>0.9294</v>
      </c>
      <c r="AD396" s="2"/>
      <c r="AE396" s="2"/>
      <c r="AF396" s="2"/>
      <c r="AG396" s="2"/>
      <c r="AH396" s="2"/>
      <c r="AI396" s="2"/>
      <c r="AJ396" s="2">
        <v>0</v>
      </c>
      <c r="AK396" s="12">
        <f>grand[[#This Row],[accepted as exception]]/grand[[#This Row],[number]]</f>
        <v>0</v>
      </c>
      <c r="AL396" s="2">
        <v>1</v>
      </c>
    </row>
    <row r="397" spans="1:38" hidden="1" x14ac:dyDescent="0.2">
      <c r="A397" s="11">
        <v>44378</v>
      </c>
      <c r="B397" s="53" t="s">
        <v>2670</v>
      </c>
      <c r="C397" s="52" t="str">
        <f>IF(MID(B397,4,2)="09","Ramadan",IF(AND(MID(B397,4,2)="12",VALUE(LEFT(B397,2))&lt;=9),"Adha Season","Normal"))</f>
        <v>Normal</v>
      </c>
      <c r="D397" s="1" t="s">
        <v>45</v>
      </c>
      <c r="F397" s="4" t="s">
        <v>46</v>
      </c>
      <c r="G397" s="4">
        <v>48</v>
      </c>
      <c r="H397" s="4">
        <v>48</v>
      </c>
      <c r="I397" s="2">
        <f>grand[[#This Row],[number]]-grand[[#This Row],[received]]</f>
        <v>0</v>
      </c>
      <c r="J397" s="30"/>
      <c r="K397" s="2">
        <v>23782</v>
      </c>
      <c r="L397" s="2">
        <v>21880</v>
      </c>
      <c r="M397" s="2">
        <f>K397-L397</f>
        <v>1902</v>
      </c>
      <c r="N397" s="2">
        <v>14268.3</v>
      </c>
      <c r="O397" s="2"/>
      <c r="P397" s="7">
        <f>grand[[#This Row],[total weight]]/grand[[#This Row],[received]]</f>
        <v>495.45833333333331</v>
      </c>
      <c r="Q397" s="7">
        <f>grand[[#This Row],[receiving weight]]/grand[[#This Row],[received]]</f>
        <v>455.83333333333331</v>
      </c>
      <c r="R397" s="7">
        <f>grand[[#This Row],[transportation loss ]]/grand[[#This Row],[received]]</f>
        <v>39.625</v>
      </c>
      <c r="S397" s="7">
        <f>grand[[#This Row],[ carcass weight]]/grand[[#This Row],[received]]</f>
        <v>297.25624999999997</v>
      </c>
      <c r="T397" s="7">
        <f>grand[[#This Row],[ kidneys fat quantity]]/grand[[#This Row],[received]]</f>
        <v>0</v>
      </c>
      <c r="U397" s="4">
        <v>25</v>
      </c>
      <c r="V397" s="4">
        <v>0</v>
      </c>
      <c r="W397" s="4">
        <v>50</v>
      </c>
      <c r="X397" s="4">
        <v>10</v>
      </c>
      <c r="Y397" s="8">
        <v>8.5</v>
      </c>
      <c r="Z397" s="3">
        <f>grand[[#This Row],[av. Transportation loss]]/grand[[#This Row],[av.total weight]]</f>
        <v>7.997645277941301E-2</v>
      </c>
      <c r="AA397" s="12">
        <f>AVERAGE((grand[[#This Row],[am]]/25),(grand[[#This Row],[pm]]/50))</f>
        <v>1</v>
      </c>
      <c r="AB397" s="3">
        <f>grand[[#This Row],[ carcass weight]]/grand[[#This Row],[total weight]]</f>
        <v>0.59996215625262805</v>
      </c>
      <c r="AC397" s="6">
        <f>SUM(grand[[#This Row],[am]:[meat transportation]])/100</f>
        <v>0.93500000000000005</v>
      </c>
      <c r="AD397" s="2"/>
      <c r="AE397" s="2"/>
      <c r="AF397" s="2"/>
      <c r="AG397" s="2"/>
      <c r="AH397" s="2"/>
      <c r="AI397" s="2"/>
      <c r="AJ397" s="2">
        <v>10</v>
      </c>
      <c r="AK397" s="12">
        <f>grand[[#This Row],[accepted as exception]]/grand[[#This Row],[number]]</f>
        <v>0.20833333333333334</v>
      </c>
      <c r="AL397" s="2">
        <v>3</v>
      </c>
    </row>
    <row r="398" spans="1:38" hidden="1" x14ac:dyDescent="0.2">
      <c r="A398" s="11">
        <v>44380</v>
      </c>
      <c r="B398" s="53" t="s">
        <v>2671</v>
      </c>
      <c r="C398" s="52" t="str">
        <f>IF(MID(B398,4,2)="09","Ramadan",IF(AND(MID(B398,4,2)="12",VALUE(LEFT(B398,2))&lt;=9),"Adha Season","Normal"))</f>
        <v>Normal</v>
      </c>
      <c r="D398" s="2" t="s">
        <v>294</v>
      </c>
      <c r="E398" s="2"/>
      <c r="F398" s="4" t="s">
        <v>35</v>
      </c>
      <c r="G398" s="4">
        <v>25</v>
      </c>
      <c r="H398" s="4">
        <v>25</v>
      </c>
      <c r="I398" s="2">
        <f>grand[[#This Row],[number]]-grand[[#This Row],[received]]</f>
        <v>0</v>
      </c>
      <c r="J398" s="30"/>
      <c r="K398" s="2">
        <v>1227</v>
      </c>
      <c r="L398" s="2">
        <v>1185</v>
      </c>
      <c r="M398" s="2">
        <f>K398-L398</f>
        <v>42</v>
      </c>
      <c r="N398" s="2">
        <v>714.5</v>
      </c>
      <c r="O398" s="2"/>
      <c r="P398" s="7">
        <f>grand[[#This Row],[total weight]]/grand[[#This Row],[received]]</f>
        <v>49.08</v>
      </c>
      <c r="Q398" s="7">
        <f>grand[[#This Row],[receiving weight]]/grand[[#This Row],[received]]</f>
        <v>47.4</v>
      </c>
      <c r="R398" s="7">
        <f>grand[[#This Row],[transportation loss ]]/grand[[#This Row],[received]]</f>
        <v>1.68</v>
      </c>
      <c r="S398" s="7">
        <f>grand[[#This Row],[ carcass weight]]/grand[[#This Row],[received]]</f>
        <v>28.58</v>
      </c>
      <c r="T398" s="7">
        <f>grand[[#This Row],[ kidneys fat quantity]]/grand[[#This Row],[received]]</f>
        <v>0</v>
      </c>
      <c r="U398" s="4">
        <v>25</v>
      </c>
      <c r="V398" s="4">
        <v>0</v>
      </c>
      <c r="W398" s="4">
        <v>50</v>
      </c>
      <c r="X398" s="4">
        <v>10</v>
      </c>
      <c r="Y398" s="8">
        <v>8.5</v>
      </c>
      <c r="Z398" s="3">
        <f>grand[[#This Row],[av. Transportation loss]]/grand[[#This Row],[av.total weight]]</f>
        <v>3.4229828850855744E-2</v>
      </c>
      <c r="AA398" s="12">
        <f>AVERAGE((grand[[#This Row],[am]]/25),(grand[[#This Row],[pm]]/50))</f>
        <v>1</v>
      </c>
      <c r="AB398" s="3">
        <f>grand[[#This Row],[ carcass weight]]/grand[[#This Row],[total weight]]</f>
        <v>0.58231458842705786</v>
      </c>
      <c r="AC398" s="6">
        <f>SUM(grand[[#This Row],[am]:[meat transportation]])/100</f>
        <v>0.93500000000000005</v>
      </c>
      <c r="AD398" s="2"/>
      <c r="AE398" s="2"/>
      <c r="AF398" s="2"/>
      <c r="AG398" s="2"/>
      <c r="AH398" s="2"/>
      <c r="AI398" s="2"/>
      <c r="AJ398" s="2"/>
      <c r="AK398" s="12">
        <f>grand[[#This Row],[accepted as exception]]/grand[[#This Row],[number]]</f>
        <v>0</v>
      </c>
    </row>
    <row r="399" spans="1:38" hidden="1" x14ac:dyDescent="0.2">
      <c r="A399" s="11">
        <v>44381</v>
      </c>
      <c r="B399" s="53" t="s">
        <v>1561</v>
      </c>
      <c r="C399" s="52" t="str">
        <f>IF(MID(B399,4,2)="09","Ramadan",IF(AND(MID(B399,4,2)="12",VALUE(LEFT(B399,2))&lt;=9),"Adha Season","Normal"))</f>
        <v>Normal</v>
      </c>
      <c r="D399" s="1" t="s">
        <v>45</v>
      </c>
      <c r="F399" s="4" t="s">
        <v>39</v>
      </c>
      <c r="G399" s="4">
        <v>44</v>
      </c>
      <c r="H399" s="4">
        <v>44</v>
      </c>
      <c r="I399" s="2">
        <f>grand[[#This Row],[number]]-grand[[#This Row],[received]]</f>
        <v>0</v>
      </c>
      <c r="J399" s="30"/>
      <c r="K399" s="2">
        <v>18638</v>
      </c>
      <c r="L399" s="2">
        <v>17405</v>
      </c>
      <c r="M399" s="2">
        <f>K399-L399</f>
        <v>1233</v>
      </c>
      <c r="N399" s="2">
        <v>11306.7</v>
      </c>
      <c r="O399" s="2"/>
      <c r="P399" s="7">
        <f>grand[[#This Row],[total weight]]/grand[[#This Row],[received]]</f>
        <v>423.59090909090907</v>
      </c>
      <c r="Q399" s="7">
        <f>grand[[#This Row],[receiving weight]]/grand[[#This Row],[received]]</f>
        <v>395.56818181818181</v>
      </c>
      <c r="R399" s="7">
        <f>grand[[#This Row],[transportation loss ]]/grand[[#This Row],[received]]</f>
        <v>28.022727272727273</v>
      </c>
      <c r="S399" s="7">
        <f>grand[[#This Row],[ carcass weight]]/grand[[#This Row],[received]]</f>
        <v>256.97045454545457</v>
      </c>
      <c r="T399" s="7">
        <f>grand[[#This Row],[ kidneys fat quantity]]/grand[[#This Row],[received]]</f>
        <v>0</v>
      </c>
      <c r="U399" s="4">
        <v>24.4</v>
      </c>
      <c r="V399" s="4">
        <v>0</v>
      </c>
      <c r="W399" s="4">
        <v>49.34</v>
      </c>
      <c r="X399" s="4">
        <v>9.1999999999999993</v>
      </c>
      <c r="Y399" s="8">
        <v>8.5</v>
      </c>
      <c r="Z399" s="3">
        <f>grand[[#This Row],[av. Transportation loss]]/grand[[#This Row],[av.total weight]]</f>
        <v>6.6155166863397369E-2</v>
      </c>
      <c r="AA399" s="12">
        <f>AVERAGE((grand[[#This Row],[am]]/25),(grand[[#This Row],[pm]]/50))</f>
        <v>0.98140000000000005</v>
      </c>
      <c r="AB399" s="3">
        <f>grand[[#This Row],[ carcass weight]]/grand[[#This Row],[total weight]]</f>
        <v>0.60664770898165044</v>
      </c>
      <c r="AC399" s="6">
        <f>SUM(grand[[#This Row],[am]:[meat transportation]])/100</f>
        <v>0.9144000000000001</v>
      </c>
      <c r="AD399" s="2"/>
      <c r="AE399" s="2"/>
      <c r="AF399" s="2"/>
      <c r="AG399" s="2"/>
      <c r="AH399" s="2"/>
      <c r="AI399" s="2"/>
      <c r="AJ399" s="2">
        <v>9</v>
      </c>
      <c r="AK399" s="12">
        <f>grand[[#This Row],[accepted as exception]]/grand[[#This Row],[number]]</f>
        <v>0.20454545454545456</v>
      </c>
      <c r="AL399" s="2">
        <v>5</v>
      </c>
    </row>
    <row r="400" spans="1:38" hidden="1" x14ac:dyDescent="0.2">
      <c r="A400" s="11">
        <v>44387</v>
      </c>
      <c r="B400" s="53" t="s">
        <v>2674</v>
      </c>
      <c r="C400" s="52" t="str">
        <f>IF(MID(B400,4,2)="09","Ramadan",IF(AND(MID(B400,4,2)="12",VALUE(LEFT(B400,2))&lt;=9),"Adha Season","Normal"))</f>
        <v>Normal</v>
      </c>
      <c r="D400" s="2" t="s">
        <v>294</v>
      </c>
      <c r="E400" s="2"/>
      <c r="F400" s="4" t="s">
        <v>35</v>
      </c>
      <c r="G400" s="4">
        <v>30</v>
      </c>
      <c r="H400" s="4">
        <v>30</v>
      </c>
      <c r="I400" s="2">
        <f>grand[[#This Row],[number]]-grand[[#This Row],[received]]</f>
        <v>0</v>
      </c>
      <c r="J400" s="30"/>
      <c r="K400" s="2">
        <v>1471</v>
      </c>
      <c r="L400" s="2">
        <v>1471</v>
      </c>
      <c r="M400" s="2">
        <f>K400-L400</f>
        <v>0</v>
      </c>
      <c r="N400" s="2">
        <v>876</v>
      </c>
      <c r="O400" s="2"/>
      <c r="P400" s="7">
        <f>grand[[#This Row],[total weight]]/grand[[#This Row],[received]]</f>
        <v>49.033333333333331</v>
      </c>
      <c r="Q400" s="7">
        <f>grand[[#This Row],[receiving weight]]/grand[[#This Row],[received]]</f>
        <v>49.033333333333331</v>
      </c>
      <c r="R400" s="7">
        <f>grand[[#This Row],[transportation loss ]]/grand[[#This Row],[received]]</f>
        <v>0</v>
      </c>
      <c r="S400" s="7">
        <f>grand[[#This Row],[ carcass weight]]/grand[[#This Row],[received]]</f>
        <v>29.2</v>
      </c>
      <c r="T400" s="7">
        <f>grand[[#This Row],[ kidneys fat quantity]]/grand[[#This Row],[received]]</f>
        <v>0</v>
      </c>
      <c r="U400" s="4">
        <v>25</v>
      </c>
      <c r="V400" s="4">
        <v>0</v>
      </c>
      <c r="W400" s="4">
        <v>49.77</v>
      </c>
      <c r="X400" s="4">
        <v>10</v>
      </c>
      <c r="Y400" s="8">
        <v>8.5</v>
      </c>
      <c r="Z400" s="3">
        <f>grand[[#This Row],[av. Transportation loss]]/grand[[#This Row],[av.total weight]]</f>
        <v>0</v>
      </c>
      <c r="AA400" s="12">
        <f>AVERAGE((grand[[#This Row],[am]]/25),(grand[[#This Row],[pm]]/50))</f>
        <v>0.99770000000000003</v>
      </c>
      <c r="AB400" s="3">
        <f>grand[[#This Row],[ carcass weight]]/grand[[#This Row],[total weight]]</f>
        <v>0.59551325628823926</v>
      </c>
      <c r="AC400" s="6">
        <f>SUM(grand[[#This Row],[am]:[meat transportation]])/100</f>
        <v>0.93270000000000008</v>
      </c>
      <c r="AD400" s="2"/>
      <c r="AE400" s="2"/>
      <c r="AF400" s="2"/>
      <c r="AG400" s="2"/>
      <c r="AH400" s="2"/>
      <c r="AI400" s="2"/>
      <c r="AJ400" s="2"/>
      <c r="AK400" s="12">
        <f>grand[[#This Row],[accepted as exception]]/grand[[#This Row],[number]]</f>
        <v>0</v>
      </c>
      <c r="AL400" s="2">
        <v>1</v>
      </c>
    </row>
    <row r="401" spans="1:38" hidden="1" x14ac:dyDescent="0.2">
      <c r="A401" s="11">
        <v>44388</v>
      </c>
      <c r="B401" s="53" t="s">
        <v>1562</v>
      </c>
      <c r="C401" s="52" t="str">
        <f>IF(MID(B401,4,2)="09","Ramadan",IF(AND(MID(B401,4,2)="12",VALUE(LEFT(B401,2))&lt;=9),"Adha Season","Normal"))</f>
        <v>Adha Season</v>
      </c>
      <c r="D401" s="2" t="s">
        <v>294</v>
      </c>
      <c r="E401" s="2"/>
      <c r="F401" s="4" t="s">
        <v>35</v>
      </c>
      <c r="G401" s="4">
        <v>37</v>
      </c>
      <c r="H401" s="4">
        <v>37</v>
      </c>
      <c r="I401" s="2">
        <f>grand[[#This Row],[number]]-grand[[#This Row],[received]]</f>
        <v>0</v>
      </c>
      <c r="J401" s="30"/>
      <c r="K401" s="2">
        <v>1859</v>
      </c>
      <c r="L401" s="2">
        <v>1859</v>
      </c>
      <c r="M401" s="2">
        <f>K401-L401</f>
        <v>0</v>
      </c>
      <c r="N401" s="2">
        <v>1088</v>
      </c>
      <c r="O401" s="2"/>
      <c r="P401" s="7">
        <f>grand[[#This Row],[total weight]]/grand[[#This Row],[received]]</f>
        <v>50.243243243243242</v>
      </c>
      <c r="Q401" s="7">
        <f>grand[[#This Row],[receiving weight]]/grand[[#This Row],[received]]</f>
        <v>50.243243243243242</v>
      </c>
      <c r="R401" s="7">
        <f>grand[[#This Row],[transportation loss ]]/grand[[#This Row],[received]]</f>
        <v>0</v>
      </c>
      <c r="S401" s="7">
        <f>grand[[#This Row],[ carcass weight]]/grand[[#This Row],[received]]</f>
        <v>29.405405405405407</v>
      </c>
      <c r="T401" s="7">
        <f>grand[[#This Row],[ kidneys fat quantity]]/grand[[#This Row],[received]]</f>
        <v>0</v>
      </c>
      <c r="U401" s="4">
        <v>25</v>
      </c>
      <c r="V401" s="4">
        <v>0</v>
      </c>
      <c r="W401" s="4">
        <v>49.57</v>
      </c>
      <c r="X401" s="4">
        <v>10</v>
      </c>
      <c r="Y401" s="8">
        <v>8.5</v>
      </c>
      <c r="Z401" s="3">
        <f>grand[[#This Row],[av. Transportation loss]]/grand[[#This Row],[av.total weight]]</f>
        <v>0</v>
      </c>
      <c r="AA401" s="12">
        <f>AVERAGE((grand[[#This Row],[am]]/25),(grand[[#This Row],[pm]]/50))</f>
        <v>0.99570000000000003</v>
      </c>
      <c r="AB401" s="3">
        <f>grand[[#This Row],[ carcass weight]]/grand[[#This Row],[total weight]]</f>
        <v>0.58526089295320061</v>
      </c>
      <c r="AC401" s="6">
        <f>SUM(grand[[#This Row],[am]:[meat transportation]])/100</f>
        <v>0.93069999999999997</v>
      </c>
      <c r="AD401" s="2"/>
      <c r="AE401" s="2"/>
      <c r="AF401" s="2"/>
      <c r="AG401" s="2"/>
      <c r="AH401" s="2"/>
      <c r="AI401" s="2"/>
      <c r="AJ401" s="2"/>
      <c r="AK401" s="12">
        <f>grand[[#This Row],[accepted as exception]]/grand[[#This Row],[number]]</f>
        <v>0</v>
      </c>
      <c r="AL401" s="2">
        <v>2</v>
      </c>
    </row>
    <row r="402" spans="1:38" hidden="1" x14ac:dyDescent="0.2">
      <c r="A402" s="11">
        <v>44388</v>
      </c>
      <c r="B402" s="53" t="s">
        <v>1562</v>
      </c>
      <c r="C402" s="52" t="str">
        <f>IF(MID(B402,4,2)="09","Ramadan",IF(AND(MID(B402,4,2)="12",VALUE(LEFT(B402,2))&lt;=9),"Adha Season","Normal"))</f>
        <v>Adha Season</v>
      </c>
      <c r="D402" s="1" t="s">
        <v>45</v>
      </c>
      <c r="F402" s="4" t="s">
        <v>46</v>
      </c>
      <c r="G402" s="4">
        <v>32</v>
      </c>
      <c r="H402" s="4">
        <v>32</v>
      </c>
      <c r="I402" s="2">
        <f>grand[[#This Row],[number]]-grand[[#This Row],[received]]</f>
        <v>0</v>
      </c>
      <c r="J402" s="30"/>
      <c r="K402" s="2">
        <v>12699</v>
      </c>
      <c r="L402" s="2">
        <v>12699</v>
      </c>
      <c r="M402" s="2">
        <f>K402-L402</f>
        <v>0</v>
      </c>
      <c r="N402" s="2">
        <v>7619.6</v>
      </c>
      <c r="O402" s="2"/>
      <c r="P402" s="7">
        <f>grand[[#This Row],[total weight]]/grand[[#This Row],[received]]</f>
        <v>396.84375</v>
      </c>
      <c r="Q402" s="7">
        <f>grand[[#This Row],[receiving weight]]/grand[[#This Row],[received]]</f>
        <v>396.84375</v>
      </c>
      <c r="R402" s="7">
        <f>grand[[#This Row],[transportation loss ]]/grand[[#This Row],[received]]</f>
        <v>0</v>
      </c>
      <c r="S402" s="7">
        <f>grand[[#This Row],[ carcass weight]]/grand[[#This Row],[received]]</f>
        <v>238.11250000000001</v>
      </c>
      <c r="T402" s="7">
        <f>grand[[#This Row],[ kidneys fat quantity]]/grand[[#This Row],[received]]</f>
        <v>0</v>
      </c>
      <c r="U402" s="4">
        <v>25</v>
      </c>
      <c r="V402" s="4">
        <v>0</v>
      </c>
      <c r="W402" s="4">
        <v>49.81</v>
      </c>
      <c r="X402" s="4">
        <v>10</v>
      </c>
      <c r="Y402" s="8">
        <v>8.5</v>
      </c>
      <c r="Z402" s="3">
        <f>grand[[#This Row],[av. Transportation loss]]/grand[[#This Row],[av.total weight]]</f>
        <v>0</v>
      </c>
      <c r="AA402" s="12">
        <f>AVERAGE((grand[[#This Row],[am]]/25),(grand[[#This Row],[pm]]/50))</f>
        <v>0.99809999999999999</v>
      </c>
      <c r="AB402" s="3">
        <f>grand[[#This Row],[ carcass weight]]/grand[[#This Row],[total weight]]</f>
        <v>0.60001574927159618</v>
      </c>
      <c r="AC402" s="6">
        <f>SUM(grand[[#This Row],[am]:[meat transportation]])/100</f>
        <v>0.93310000000000004</v>
      </c>
      <c r="AD402" s="2"/>
      <c r="AE402" s="2"/>
      <c r="AF402" s="2"/>
      <c r="AG402" s="2"/>
      <c r="AH402" s="2"/>
      <c r="AI402" s="2"/>
      <c r="AJ402" s="2">
        <v>4</v>
      </c>
      <c r="AK402" s="12">
        <f>grand[[#This Row],[accepted as exception]]/grand[[#This Row],[number]]</f>
        <v>0.125</v>
      </c>
      <c r="AL402" s="2">
        <v>1</v>
      </c>
    </row>
    <row r="403" spans="1:38" hidden="1" x14ac:dyDescent="0.2">
      <c r="A403" s="11">
        <v>44389</v>
      </c>
      <c r="B403" s="53" t="s">
        <v>1563</v>
      </c>
      <c r="C403" s="52" t="str">
        <f>IF(MID(B403,4,2)="09","Ramadan",IF(AND(MID(B403,4,2)="12",VALUE(LEFT(B403,2))&lt;=9),"Adha Season","Normal"))</f>
        <v>Adha Season</v>
      </c>
      <c r="D403" s="2" t="s">
        <v>294</v>
      </c>
      <c r="E403" s="2"/>
      <c r="F403" s="4" t="s">
        <v>35</v>
      </c>
      <c r="G403" s="4">
        <v>40</v>
      </c>
      <c r="H403" s="4">
        <v>40</v>
      </c>
      <c r="I403" s="2">
        <f>grand[[#This Row],[number]]-grand[[#This Row],[received]]</f>
        <v>0</v>
      </c>
      <c r="J403" s="30"/>
      <c r="K403" s="2">
        <v>1814</v>
      </c>
      <c r="L403" s="2">
        <v>1814</v>
      </c>
      <c r="M403" s="2">
        <f>K403-L403</f>
        <v>0</v>
      </c>
      <c r="N403" s="2">
        <v>1043.3</v>
      </c>
      <c r="O403" s="2"/>
      <c r="P403" s="7">
        <f>grand[[#This Row],[total weight]]/grand[[#This Row],[received]]</f>
        <v>45.35</v>
      </c>
      <c r="Q403" s="7">
        <f>grand[[#This Row],[receiving weight]]/grand[[#This Row],[received]]</f>
        <v>45.35</v>
      </c>
      <c r="R403" s="7">
        <f>grand[[#This Row],[transportation loss ]]/grand[[#This Row],[received]]</f>
        <v>0</v>
      </c>
      <c r="S403" s="7">
        <f>grand[[#This Row],[ carcass weight]]/grand[[#This Row],[received]]</f>
        <v>26.0825</v>
      </c>
      <c r="T403" s="7">
        <f>grand[[#This Row],[ kidneys fat quantity]]/grand[[#This Row],[received]]</f>
        <v>0</v>
      </c>
      <c r="U403" s="4">
        <v>25</v>
      </c>
      <c r="V403" s="4">
        <v>0</v>
      </c>
      <c r="W403" s="4">
        <v>49.6</v>
      </c>
      <c r="X403" s="4">
        <v>10</v>
      </c>
      <c r="Y403" s="8">
        <v>8.5</v>
      </c>
      <c r="Z403" s="3">
        <f>grand[[#This Row],[av. Transportation loss]]/grand[[#This Row],[av.total weight]]</f>
        <v>0</v>
      </c>
      <c r="AA403" s="12">
        <f>AVERAGE((grand[[#This Row],[am]]/25),(grand[[#This Row],[pm]]/50))</f>
        <v>0.996</v>
      </c>
      <c r="AB403" s="3">
        <f>grand[[#This Row],[ carcass weight]]/grand[[#This Row],[total weight]]</f>
        <v>0.57513781697905175</v>
      </c>
      <c r="AC403" s="6">
        <f>SUM(grand[[#This Row],[am]:[meat transportation]])/100</f>
        <v>0.93099999999999994</v>
      </c>
      <c r="AD403" s="2"/>
      <c r="AE403" s="2"/>
      <c r="AF403" s="2"/>
      <c r="AG403" s="2"/>
      <c r="AH403" s="2"/>
      <c r="AI403" s="2"/>
      <c r="AJ403" s="2"/>
      <c r="AK403" s="12">
        <f>grand[[#This Row],[accepted as exception]]/grand[[#This Row],[number]]</f>
        <v>0</v>
      </c>
      <c r="AL403" s="2">
        <v>2</v>
      </c>
    </row>
    <row r="404" spans="1:38" hidden="1" x14ac:dyDescent="0.2">
      <c r="A404" s="11">
        <v>44390</v>
      </c>
      <c r="B404" s="53" t="s">
        <v>1564</v>
      </c>
      <c r="C404" s="52" t="str">
        <f>IF(MID(B404,4,2)="09","Ramadan",IF(AND(MID(B404,4,2)="12",VALUE(LEFT(B404,2))&lt;=9),"Adha Season","Normal"))</f>
        <v>Adha Season</v>
      </c>
      <c r="D404" s="2" t="s">
        <v>294</v>
      </c>
      <c r="E404" s="2"/>
      <c r="F404" s="4" t="s">
        <v>35</v>
      </c>
      <c r="G404" s="4">
        <v>60</v>
      </c>
      <c r="H404" s="4">
        <v>60</v>
      </c>
      <c r="I404" s="2">
        <f>grand[[#This Row],[number]]-grand[[#This Row],[received]]</f>
        <v>0</v>
      </c>
      <c r="J404" s="30"/>
      <c r="K404" s="2">
        <v>2919</v>
      </c>
      <c r="L404" s="2">
        <v>2919</v>
      </c>
      <c r="M404" s="2">
        <f>K404-L404</f>
        <v>0</v>
      </c>
      <c r="N404" s="2">
        <v>1713.7</v>
      </c>
      <c r="O404" s="2"/>
      <c r="P404" s="7">
        <f>grand[[#This Row],[total weight]]/grand[[#This Row],[received]]</f>
        <v>48.65</v>
      </c>
      <c r="Q404" s="7">
        <f>grand[[#This Row],[receiving weight]]/grand[[#This Row],[received]]</f>
        <v>48.65</v>
      </c>
      <c r="R404" s="7">
        <f>grand[[#This Row],[transportation loss ]]/grand[[#This Row],[received]]</f>
        <v>0</v>
      </c>
      <c r="S404" s="7">
        <f>grand[[#This Row],[ carcass weight]]/grand[[#This Row],[received]]</f>
        <v>28.561666666666667</v>
      </c>
      <c r="T404" s="7">
        <f>grand[[#This Row],[ kidneys fat quantity]]/grand[[#This Row],[received]]</f>
        <v>0</v>
      </c>
      <c r="U404" s="4">
        <v>25</v>
      </c>
      <c r="V404" s="4">
        <v>0</v>
      </c>
      <c r="W404" s="4">
        <v>49.6</v>
      </c>
      <c r="X404" s="4">
        <v>10</v>
      </c>
      <c r="Y404" s="8">
        <v>8.5</v>
      </c>
      <c r="Z404" s="3">
        <f>grand[[#This Row],[av. Transportation loss]]/grand[[#This Row],[av.total weight]]</f>
        <v>0</v>
      </c>
      <c r="AA404" s="12">
        <f>AVERAGE((grand[[#This Row],[am]]/25),(grand[[#This Row],[pm]]/50))</f>
        <v>0.996</v>
      </c>
      <c r="AB404" s="3">
        <f>grand[[#This Row],[ carcass weight]]/grand[[#This Row],[total weight]]</f>
        <v>0.58708461801986989</v>
      </c>
      <c r="AC404" s="6">
        <f>SUM(grand[[#This Row],[am]:[meat transportation]])/100</f>
        <v>0.93099999999999994</v>
      </c>
      <c r="AD404" s="2"/>
      <c r="AE404" s="2"/>
      <c r="AF404" s="2"/>
      <c r="AG404" s="2"/>
      <c r="AH404" s="2"/>
      <c r="AI404" s="2"/>
      <c r="AJ404" s="2"/>
      <c r="AK404" s="12">
        <f>grand[[#This Row],[accepted as exception]]/grand[[#This Row],[number]]</f>
        <v>0</v>
      </c>
      <c r="AL404" s="2">
        <v>2</v>
      </c>
    </row>
    <row r="405" spans="1:38" hidden="1" x14ac:dyDescent="0.2">
      <c r="A405" s="11">
        <v>44391</v>
      </c>
      <c r="B405" s="53" t="s">
        <v>1565</v>
      </c>
      <c r="C405" s="52" t="str">
        <f>IF(MID(B405,4,2)="09","Ramadan",IF(AND(MID(B405,4,2)="12",VALUE(LEFT(B405,2))&lt;=9),"Adha Season","Normal"))</f>
        <v>Adha Season</v>
      </c>
      <c r="D405" s="2" t="s">
        <v>294</v>
      </c>
      <c r="E405" s="2"/>
      <c r="F405" s="4" t="s">
        <v>35</v>
      </c>
      <c r="G405" s="4">
        <v>61</v>
      </c>
      <c r="H405" s="4">
        <v>61</v>
      </c>
      <c r="I405" s="2">
        <f>grand[[#This Row],[number]]-grand[[#This Row],[received]]</f>
        <v>0</v>
      </c>
      <c r="J405" s="30"/>
      <c r="K405" s="2">
        <v>2876</v>
      </c>
      <c r="L405" s="2">
        <v>2876</v>
      </c>
      <c r="M405" s="2">
        <f>K405-L405</f>
        <v>0</v>
      </c>
      <c r="N405" s="2">
        <v>1700.6</v>
      </c>
      <c r="O405" s="2"/>
      <c r="P405" s="7">
        <f>grand[[#This Row],[total weight]]/grand[[#This Row],[received]]</f>
        <v>47.147540983606561</v>
      </c>
      <c r="Q405" s="7">
        <f>grand[[#This Row],[receiving weight]]/grand[[#This Row],[received]]</f>
        <v>47.147540983606561</v>
      </c>
      <c r="R405" s="7">
        <f>grand[[#This Row],[transportation loss ]]/grand[[#This Row],[received]]</f>
        <v>0</v>
      </c>
      <c r="S405" s="7">
        <f>grand[[#This Row],[ carcass weight]]/grand[[#This Row],[received]]</f>
        <v>27.878688524590164</v>
      </c>
      <c r="T405" s="7">
        <f>grand[[#This Row],[ kidneys fat quantity]]/grand[[#This Row],[received]]</f>
        <v>0</v>
      </c>
      <c r="U405" s="4">
        <v>25</v>
      </c>
      <c r="V405" s="4">
        <v>0</v>
      </c>
      <c r="W405" s="4">
        <v>49.62</v>
      </c>
      <c r="X405" s="4">
        <v>10</v>
      </c>
      <c r="Y405" s="8">
        <v>8.5</v>
      </c>
      <c r="Z405" s="3">
        <f>grand[[#This Row],[av. Transportation loss]]/grand[[#This Row],[av.total weight]]</f>
        <v>0</v>
      </c>
      <c r="AA405" s="12">
        <f>AVERAGE((grand[[#This Row],[am]]/25),(grand[[#This Row],[pm]]/50))</f>
        <v>0.99619999999999997</v>
      </c>
      <c r="AB405" s="3">
        <f>grand[[#This Row],[ carcass weight]]/grand[[#This Row],[total weight]]</f>
        <v>0.59130737134909594</v>
      </c>
      <c r="AC405" s="6">
        <f>SUM(grand[[#This Row],[am]:[meat transportation]])/100</f>
        <v>0.93120000000000003</v>
      </c>
      <c r="AD405" s="2"/>
      <c r="AE405" s="2"/>
      <c r="AF405" s="2"/>
      <c r="AG405" s="2"/>
      <c r="AH405" s="2"/>
      <c r="AI405" s="2"/>
      <c r="AJ405" s="2"/>
      <c r="AK405" s="12">
        <f>grand[[#This Row],[accepted as exception]]/grand[[#This Row],[number]]</f>
        <v>0</v>
      </c>
      <c r="AL405" s="2">
        <v>3</v>
      </c>
    </row>
    <row r="406" spans="1:38" hidden="1" x14ac:dyDescent="0.2">
      <c r="A406" s="11">
        <v>44392</v>
      </c>
      <c r="B406" s="53" t="s">
        <v>1566</v>
      </c>
      <c r="C406" s="52" t="str">
        <f>IF(MID(B406,4,2)="09","Ramadan",IF(AND(MID(B406,4,2)="12",VALUE(LEFT(B406,2))&lt;=9),"Adha Season","Normal"))</f>
        <v>Adha Season</v>
      </c>
      <c r="D406" s="2" t="s">
        <v>294</v>
      </c>
      <c r="E406" s="2"/>
      <c r="F406" s="4" t="s">
        <v>35</v>
      </c>
      <c r="G406" s="4">
        <v>57</v>
      </c>
      <c r="H406" s="4">
        <v>57</v>
      </c>
      <c r="I406" s="2">
        <f>grand[[#This Row],[number]]-grand[[#This Row],[received]]</f>
        <v>0</v>
      </c>
      <c r="J406" s="30"/>
      <c r="K406" s="2">
        <v>2592</v>
      </c>
      <c r="L406" s="2">
        <v>2592</v>
      </c>
      <c r="M406" s="2">
        <f>K406-L406</f>
        <v>0</v>
      </c>
      <c r="N406" s="2">
        <v>1530.3</v>
      </c>
      <c r="O406" s="2"/>
      <c r="P406" s="7">
        <f>grand[[#This Row],[total weight]]/grand[[#This Row],[received]]</f>
        <v>45.473684210526315</v>
      </c>
      <c r="Q406" s="7">
        <f>grand[[#This Row],[receiving weight]]/grand[[#This Row],[received]]</f>
        <v>45.473684210526315</v>
      </c>
      <c r="R406" s="7">
        <f>grand[[#This Row],[transportation loss ]]/grand[[#This Row],[received]]</f>
        <v>0</v>
      </c>
      <c r="S406" s="7">
        <f>grand[[#This Row],[ carcass weight]]/grand[[#This Row],[received]]</f>
        <v>26.847368421052632</v>
      </c>
      <c r="T406" s="7">
        <f>grand[[#This Row],[ kidneys fat quantity]]/grand[[#This Row],[received]]</f>
        <v>0</v>
      </c>
      <c r="U406" s="4">
        <v>25</v>
      </c>
      <c r="V406" s="4">
        <v>0</v>
      </c>
      <c r="W406" s="4">
        <v>49.58</v>
      </c>
      <c r="X406" s="4">
        <v>10</v>
      </c>
      <c r="Y406" s="8">
        <v>8.5</v>
      </c>
      <c r="Z406" s="3">
        <f>grand[[#This Row],[av. Transportation loss]]/grand[[#This Row],[av.total weight]]</f>
        <v>0</v>
      </c>
      <c r="AA406" s="12">
        <f>AVERAGE((grand[[#This Row],[am]]/25),(grand[[#This Row],[pm]]/50))</f>
        <v>0.99580000000000002</v>
      </c>
      <c r="AB406" s="3">
        <f>grand[[#This Row],[ carcass weight]]/grand[[#This Row],[total weight]]</f>
        <v>0.59039351851851851</v>
      </c>
      <c r="AC406" s="6">
        <f>SUM(grand[[#This Row],[am]:[meat transportation]])/100</f>
        <v>0.93079999999999996</v>
      </c>
      <c r="AD406" s="2"/>
      <c r="AE406" s="2"/>
      <c r="AF406" s="2"/>
      <c r="AG406" s="2"/>
      <c r="AH406" s="2"/>
      <c r="AI406" s="2"/>
      <c r="AJ406" s="2"/>
      <c r="AK406" s="12">
        <f>grand[[#This Row],[accepted as exception]]/grand[[#This Row],[number]]</f>
        <v>0</v>
      </c>
      <c r="AL406" s="2">
        <v>2</v>
      </c>
    </row>
    <row r="407" spans="1:38" hidden="1" x14ac:dyDescent="0.2">
      <c r="A407" s="11">
        <v>44393</v>
      </c>
      <c r="B407" s="53" t="s">
        <v>1567</v>
      </c>
      <c r="C407" s="52" t="str">
        <f>IF(MID(B407,4,2)="09","Ramadan",IF(AND(MID(B407,4,2)="12",VALUE(LEFT(B407,2))&lt;=9),"Adha Season","Normal"))</f>
        <v>Adha Season</v>
      </c>
      <c r="D407" s="2" t="s">
        <v>294</v>
      </c>
      <c r="E407" s="2"/>
      <c r="F407" s="4" t="s">
        <v>35</v>
      </c>
      <c r="G407" s="4">
        <v>70</v>
      </c>
      <c r="H407" s="4">
        <v>70</v>
      </c>
      <c r="I407" s="2">
        <f>grand[[#This Row],[number]]-grand[[#This Row],[received]]</f>
        <v>0</v>
      </c>
      <c r="J407" s="30"/>
      <c r="K407" s="2">
        <v>3192</v>
      </c>
      <c r="L407" s="2">
        <v>3192</v>
      </c>
      <c r="M407" s="2">
        <f>K407-L407</f>
        <v>0</v>
      </c>
      <c r="N407" s="2">
        <v>1877</v>
      </c>
      <c r="O407" s="2"/>
      <c r="P407" s="7">
        <f>grand[[#This Row],[total weight]]/grand[[#This Row],[received]]</f>
        <v>45.6</v>
      </c>
      <c r="Q407" s="7">
        <f>grand[[#This Row],[receiving weight]]/grand[[#This Row],[received]]</f>
        <v>45.6</v>
      </c>
      <c r="R407" s="7">
        <f>grand[[#This Row],[transportation loss ]]/grand[[#This Row],[received]]</f>
        <v>0</v>
      </c>
      <c r="S407" s="7">
        <f>grand[[#This Row],[ carcass weight]]/grand[[#This Row],[received]]</f>
        <v>26.814285714285713</v>
      </c>
      <c r="T407" s="7">
        <f>grand[[#This Row],[ kidneys fat quantity]]/grand[[#This Row],[received]]</f>
        <v>0</v>
      </c>
      <c r="U407" s="4">
        <v>24.9</v>
      </c>
      <c r="V407" s="4">
        <v>0</v>
      </c>
      <c r="W407" s="4">
        <v>49.53</v>
      </c>
      <c r="X407" s="4">
        <v>10</v>
      </c>
      <c r="Y407" s="8">
        <v>8.5</v>
      </c>
      <c r="Z407" s="3">
        <f>grand[[#This Row],[av. Transportation loss]]/grand[[#This Row],[av.total weight]]</f>
        <v>0</v>
      </c>
      <c r="AA407" s="12">
        <f>AVERAGE((grand[[#This Row],[am]]/25),(grand[[#This Row],[pm]]/50))</f>
        <v>0.99330000000000007</v>
      </c>
      <c r="AB407" s="3">
        <f>grand[[#This Row],[ carcass weight]]/grand[[#This Row],[total weight]]</f>
        <v>0.58803258145363413</v>
      </c>
      <c r="AC407" s="6">
        <f>SUM(grand[[#This Row],[am]:[meat transportation]])/100</f>
        <v>0.92930000000000001</v>
      </c>
      <c r="AD407" s="2"/>
      <c r="AE407" s="2"/>
      <c r="AF407" s="2"/>
      <c r="AG407" s="2"/>
      <c r="AH407" s="2"/>
      <c r="AI407" s="2"/>
      <c r="AJ407" s="2">
        <v>5</v>
      </c>
      <c r="AK407" s="12">
        <f>grand[[#This Row],[accepted as exception]]/grand[[#This Row],[number]]</f>
        <v>7.1428571428571425E-2</v>
      </c>
      <c r="AL407" s="2">
        <v>3</v>
      </c>
    </row>
    <row r="408" spans="1:38" hidden="1" x14ac:dyDescent="0.2">
      <c r="A408" s="11">
        <v>44393</v>
      </c>
      <c r="B408" s="53" t="s">
        <v>1567</v>
      </c>
      <c r="C408" s="52" t="str">
        <f>IF(MID(B408,4,2)="09","Ramadan",IF(AND(MID(B408,4,2)="12",VALUE(LEFT(B408,2))&lt;=9),"Adha Season","Normal"))</f>
        <v>Adha Season</v>
      </c>
      <c r="D408" s="1" t="s">
        <v>45</v>
      </c>
      <c r="F408" s="4" t="s">
        <v>39</v>
      </c>
      <c r="G408" s="4">
        <v>50</v>
      </c>
      <c r="H408" s="4">
        <v>50</v>
      </c>
      <c r="I408" s="2">
        <f>grand[[#This Row],[number]]-grand[[#This Row],[received]]</f>
        <v>0</v>
      </c>
      <c r="J408" s="30"/>
      <c r="K408" s="2">
        <v>21786</v>
      </c>
      <c r="L408" s="2">
        <v>21786</v>
      </c>
      <c r="M408" s="2">
        <f>K408-L408</f>
        <v>0</v>
      </c>
      <c r="N408" s="2">
        <v>13713.3</v>
      </c>
      <c r="O408" s="2"/>
      <c r="P408" s="7">
        <f>grand[[#This Row],[total weight]]/grand[[#This Row],[received]]</f>
        <v>435.72</v>
      </c>
      <c r="Q408" s="7">
        <f>grand[[#This Row],[receiving weight]]/grand[[#This Row],[received]]</f>
        <v>435.72</v>
      </c>
      <c r="R408" s="7">
        <f>grand[[#This Row],[transportation loss ]]/grand[[#This Row],[received]]</f>
        <v>0</v>
      </c>
      <c r="S408" s="7">
        <f>grand[[#This Row],[ carcass weight]]/grand[[#This Row],[received]]</f>
        <v>274.26599999999996</v>
      </c>
      <c r="T408" s="7">
        <f>grand[[#This Row],[ kidneys fat quantity]]/grand[[#This Row],[received]]</f>
        <v>0</v>
      </c>
      <c r="U408" s="4">
        <v>25</v>
      </c>
      <c r="V408" s="4">
        <v>0</v>
      </c>
      <c r="W408" s="4">
        <v>50</v>
      </c>
      <c r="X408" s="4">
        <v>9.9</v>
      </c>
      <c r="Y408" s="8">
        <v>8.5</v>
      </c>
      <c r="Z408" s="3">
        <f>grand[[#This Row],[av. Transportation loss]]/grand[[#This Row],[av.total weight]]</f>
        <v>0</v>
      </c>
      <c r="AA408" s="12">
        <f>AVERAGE((grand[[#This Row],[am]]/25),(grand[[#This Row],[pm]]/50))</f>
        <v>1</v>
      </c>
      <c r="AB408" s="3">
        <f>grand[[#This Row],[ carcass weight]]/grand[[#This Row],[total weight]]</f>
        <v>0.62945469567612222</v>
      </c>
      <c r="AC408" s="6">
        <f>SUM(grand[[#This Row],[am]:[meat transportation]])/100</f>
        <v>0.93400000000000005</v>
      </c>
      <c r="AD408" s="2"/>
      <c r="AE408" s="2"/>
      <c r="AF408" s="2"/>
      <c r="AG408" s="2"/>
      <c r="AH408" s="2"/>
      <c r="AI408" s="2"/>
      <c r="AJ408" s="2">
        <v>12</v>
      </c>
      <c r="AK408" s="12">
        <f>grand[[#This Row],[accepted as exception]]/grand[[#This Row],[number]]</f>
        <v>0.24</v>
      </c>
    </row>
    <row r="409" spans="1:38" hidden="1" x14ac:dyDescent="0.2">
      <c r="A409" s="11">
        <v>44394</v>
      </c>
      <c r="B409" s="53" t="s">
        <v>1568</v>
      </c>
      <c r="C409" s="52" t="str">
        <f>IF(MID(B409,4,2)="09","Ramadan",IF(AND(MID(B409,4,2)="12",VALUE(LEFT(B409,2))&lt;=9),"Adha Season","Normal"))</f>
        <v>Adha Season</v>
      </c>
      <c r="D409" s="2" t="s">
        <v>294</v>
      </c>
      <c r="E409" s="2"/>
      <c r="F409" s="4" t="s">
        <v>35</v>
      </c>
      <c r="G409" s="4">
        <v>85</v>
      </c>
      <c r="H409" s="4">
        <v>85</v>
      </c>
      <c r="I409" s="2">
        <f>grand[[#This Row],[number]]-grand[[#This Row],[received]]</f>
        <v>0</v>
      </c>
      <c r="J409" s="30"/>
      <c r="K409" s="2">
        <v>3800</v>
      </c>
      <c r="L409" s="2">
        <v>3800</v>
      </c>
      <c r="M409" s="2">
        <f>K409-L409</f>
        <v>0</v>
      </c>
      <c r="N409" s="2">
        <v>2202.6999999999998</v>
      </c>
      <c r="O409" s="2"/>
      <c r="P409" s="7">
        <f>grand[[#This Row],[total weight]]/grand[[#This Row],[received]]</f>
        <v>44.705882352941174</v>
      </c>
      <c r="Q409" s="7">
        <f>grand[[#This Row],[receiving weight]]/grand[[#This Row],[received]]</f>
        <v>44.705882352941174</v>
      </c>
      <c r="R409" s="7">
        <f>grand[[#This Row],[transportation loss ]]/grand[[#This Row],[received]]</f>
        <v>0</v>
      </c>
      <c r="S409" s="7">
        <f>grand[[#This Row],[ carcass weight]]/grand[[#This Row],[received]]</f>
        <v>25.91411764705882</v>
      </c>
      <c r="T409" s="7">
        <f>grand[[#This Row],[ kidneys fat quantity]]/grand[[#This Row],[received]]</f>
        <v>0</v>
      </c>
      <c r="U409" s="4">
        <v>25</v>
      </c>
      <c r="V409" s="4">
        <v>0</v>
      </c>
      <c r="W409" s="4">
        <v>49.59</v>
      </c>
      <c r="X409" s="4">
        <v>10</v>
      </c>
      <c r="Y409" s="8">
        <v>8.5</v>
      </c>
      <c r="Z409" s="3">
        <f>grand[[#This Row],[av. Transportation loss]]/grand[[#This Row],[av.total weight]]</f>
        <v>0</v>
      </c>
      <c r="AA409" s="12">
        <f>AVERAGE((grand[[#This Row],[am]]/25),(grand[[#This Row],[pm]]/50))</f>
        <v>0.99590000000000001</v>
      </c>
      <c r="AB409" s="3">
        <f>grand[[#This Row],[ carcass weight]]/grand[[#This Row],[total weight]]</f>
        <v>0.57965789473684204</v>
      </c>
      <c r="AC409" s="6">
        <f>SUM(grand[[#This Row],[am]:[meat transportation]])/100</f>
        <v>0.93090000000000006</v>
      </c>
      <c r="AD409" s="2"/>
      <c r="AE409" s="2"/>
      <c r="AF409" s="2"/>
      <c r="AG409" s="2"/>
      <c r="AH409" s="2"/>
      <c r="AI409" s="2"/>
      <c r="AJ409" s="2"/>
      <c r="AK409" s="12">
        <f>grand[[#This Row],[accepted as exception]]/grand[[#This Row],[number]]</f>
        <v>0</v>
      </c>
      <c r="AL409" s="2">
        <v>4</v>
      </c>
    </row>
    <row r="410" spans="1:38" hidden="1" x14ac:dyDescent="0.2">
      <c r="A410" s="11">
        <v>44394</v>
      </c>
      <c r="B410" s="53" t="s">
        <v>1568</v>
      </c>
      <c r="C410" s="52" t="str">
        <f>IF(MID(B410,4,2)="09","Ramadan",IF(AND(MID(B410,4,2)="12",VALUE(LEFT(B410,2))&lt;=9),"Adha Season","Normal"))</f>
        <v>Adha Season</v>
      </c>
      <c r="D410" s="1" t="s">
        <v>45</v>
      </c>
      <c r="F410" s="4" t="s">
        <v>46</v>
      </c>
      <c r="G410" s="4">
        <v>50</v>
      </c>
      <c r="H410" s="4">
        <v>50</v>
      </c>
      <c r="I410" s="2">
        <f>grand[[#This Row],[number]]-grand[[#This Row],[received]]</f>
        <v>0</v>
      </c>
      <c r="J410" s="30"/>
      <c r="K410" s="2">
        <v>20113</v>
      </c>
      <c r="L410" s="2">
        <v>20113</v>
      </c>
      <c r="M410" s="2">
        <f>K410-L410</f>
        <v>0</v>
      </c>
      <c r="N410" s="2">
        <v>12068.6</v>
      </c>
      <c r="O410" s="2"/>
      <c r="P410" s="7">
        <f>grand[[#This Row],[total weight]]/grand[[#This Row],[received]]</f>
        <v>402.26</v>
      </c>
      <c r="Q410" s="7">
        <f>grand[[#This Row],[receiving weight]]/grand[[#This Row],[received]]</f>
        <v>402.26</v>
      </c>
      <c r="R410" s="7">
        <f>grand[[#This Row],[transportation loss ]]/grand[[#This Row],[received]]</f>
        <v>0</v>
      </c>
      <c r="S410" s="7">
        <f>grand[[#This Row],[ carcass weight]]/grand[[#This Row],[received]]</f>
        <v>241.37200000000001</v>
      </c>
      <c r="T410" s="7">
        <f>grand[[#This Row],[ kidneys fat quantity]]/grand[[#This Row],[received]]</f>
        <v>0</v>
      </c>
      <c r="U410" s="4">
        <v>24.1</v>
      </c>
      <c r="V410" s="4">
        <v>0</v>
      </c>
      <c r="W410" s="4">
        <v>49.5</v>
      </c>
      <c r="X410" s="4">
        <v>10</v>
      </c>
      <c r="Y410" s="8">
        <v>8.5</v>
      </c>
      <c r="Z410" s="3">
        <f>grand[[#This Row],[av. Transportation loss]]/grand[[#This Row],[av.total weight]]</f>
        <v>0</v>
      </c>
      <c r="AA410" s="12">
        <f>AVERAGE((grand[[#This Row],[am]]/25),(grand[[#This Row],[pm]]/50))</f>
        <v>0.97700000000000009</v>
      </c>
      <c r="AB410" s="3">
        <f>grand[[#This Row],[ carcass weight]]/grand[[#This Row],[total weight]]</f>
        <v>0.60003977526972607</v>
      </c>
      <c r="AC410" s="6">
        <f>SUM(grand[[#This Row],[am]:[meat transportation]])/100</f>
        <v>0.92099999999999993</v>
      </c>
      <c r="AD410" s="2"/>
      <c r="AE410" s="2"/>
      <c r="AF410" s="2"/>
      <c r="AG410" s="2"/>
      <c r="AH410" s="2"/>
      <c r="AI410" s="2"/>
      <c r="AJ410" s="2">
        <v>20</v>
      </c>
      <c r="AK410" s="12">
        <f>grand[[#This Row],[accepted as exception]]/grand[[#This Row],[number]]</f>
        <v>0.4</v>
      </c>
    </row>
    <row r="411" spans="1:38" hidden="1" x14ac:dyDescent="0.2">
      <c r="A411" s="11">
        <v>44395</v>
      </c>
      <c r="B411" s="53" t="s">
        <v>1569</v>
      </c>
      <c r="C411" s="52" t="str">
        <f>IF(MID(B411,4,2)="09","Ramadan",IF(AND(MID(B411,4,2)="12",VALUE(LEFT(B411,2))&lt;=9),"Adha Season","Normal"))</f>
        <v>Adha Season</v>
      </c>
      <c r="D411" s="2" t="s">
        <v>294</v>
      </c>
      <c r="E411" s="2"/>
      <c r="F411" s="4" t="s">
        <v>35</v>
      </c>
      <c r="G411" s="4">
        <v>83</v>
      </c>
      <c r="H411" s="4">
        <v>83</v>
      </c>
      <c r="I411" s="2">
        <f>grand[[#This Row],[number]]-grand[[#This Row],[received]]</f>
        <v>0</v>
      </c>
      <c r="J411" s="30"/>
      <c r="K411" s="2">
        <v>3738</v>
      </c>
      <c r="L411" s="2">
        <v>3738</v>
      </c>
      <c r="M411" s="2">
        <f>K411-L411</f>
        <v>0</v>
      </c>
      <c r="N411" s="2">
        <v>2148.9</v>
      </c>
      <c r="O411" s="2"/>
      <c r="P411" s="7">
        <f>grand[[#This Row],[total weight]]/grand[[#This Row],[received]]</f>
        <v>45.036144578313255</v>
      </c>
      <c r="Q411" s="7">
        <f>grand[[#This Row],[receiving weight]]/grand[[#This Row],[received]]</f>
        <v>45.036144578313255</v>
      </c>
      <c r="R411" s="7">
        <f>grand[[#This Row],[transportation loss ]]/grand[[#This Row],[received]]</f>
        <v>0</v>
      </c>
      <c r="S411" s="7">
        <f>grand[[#This Row],[ carcass weight]]/grand[[#This Row],[received]]</f>
        <v>25.890361445783135</v>
      </c>
      <c r="T411" s="7">
        <f>grand[[#This Row],[ kidneys fat quantity]]/grand[[#This Row],[received]]</f>
        <v>0</v>
      </c>
      <c r="U411" s="4">
        <v>25</v>
      </c>
      <c r="V411" s="4">
        <v>0</v>
      </c>
      <c r="W411" s="4">
        <v>49.22</v>
      </c>
      <c r="X411" s="4">
        <v>10</v>
      </c>
      <c r="Y411" s="8">
        <v>8.5</v>
      </c>
      <c r="Z411" s="3">
        <f>grand[[#This Row],[av. Transportation loss]]/grand[[#This Row],[av.total weight]]</f>
        <v>0</v>
      </c>
      <c r="AA411" s="12">
        <f>AVERAGE((grand[[#This Row],[am]]/25),(grand[[#This Row],[pm]]/50))</f>
        <v>0.99219999999999997</v>
      </c>
      <c r="AB411" s="3">
        <f>grand[[#This Row],[ carcass weight]]/grand[[#This Row],[total weight]]</f>
        <v>0.57487961476725524</v>
      </c>
      <c r="AC411" s="6">
        <f>SUM(grand[[#This Row],[am]:[meat transportation]])/100</f>
        <v>0.92720000000000002</v>
      </c>
      <c r="AD411" s="2"/>
      <c r="AE411" s="2"/>
      <c r="AF411" s="2"/>
      <c r="AG411" s="2"/>
      <c r="AH411" s="2"/>
      <c r="AI411" s="2"/>
      <c r="AJ411" s="2"/>
      <c r="AK411" s="12">
        <f>grand[[#This Row],[accepted as exception]]/grand[[#This Row],[number]]</f>
        <v>0</v>
      </c>
      <c r="AL411" s="2">
        <v>13</v>
      </c>
    </row>
    <row r="412" spans="1:38" hidden="1" x14ac:dyDescent="0.2">
      <c r="A412" s="11">
        <v>44395</v>
      </c>
      <c r="B412" s="53" t="s">
        <v>1569</v>
      </c>
      <c r="C412" s="52" t="str">
        <f>IF(MID(B412,4,2)="09","Ramadan",IF(AND(MID(B412,4,2)="12",VALUE(LEFT(B412,2))&lt;=9),"Adha Season","Normal"))</f>
        <v>Adha Season</v>
      </c>
      <c r="D412" s="1" t="s">
        <v>45</v>
      </c>
      <c r="F412" s="4" t="s">
        <v>39</v>
      </c>
      <c r="G412" s="4">
        <v>40</v>
      </c>
      <c r="H412" s="4">
        <v>40</v>
      </c>
      <c r="I412" s="2">
        <f>grand[[#This Row],[number]]-grand[[#This Row],[received]]</f>
        <v>0</v>
      </c>
      <c r="J412" s="30"/>
      <c r="K412" s="2">
        <v>16994</v>
      </c>
      <c r="L412" s="2">
        <v>16994</v>
      </c>
      <c r="M412" s="2">
        <f>K412-L412</f>
        <v>0</v>
      </c>
      <c r="N412" s="2">
        <v>10416.299999999999</v>
      </c>
      <c r="O412" s="2"/>
      <c r="P412" s="7">
        <f>grand[[#This Row],[total weight]]/grand[[#This Row],[received]]</f>
        <v>424.85</v>
      </c>
      <c r="Q412" s="7">
        <f>grand[[#This Row],[receiving weight]]/grand[[#This Row],[received]]</f>
        <v>424.85</v>
      </c>
      <c r="R412" s="7">
        <f>grand[[#This Row],[transportation loss ]]/grand[[#This Row],[received]]</f>
        <v>0</v>
      </c>
      <c r="S412" s="7">
        <f>grand[[#This Row],[ carcass weight]]/grand[[#This Row],[received]]</f>
        <v>260.40749999999997</v>
      </c>
      <c r="T412" s="7">
        <f>grand[[#This Row],[ kidneys fat quantity]]/grand[[#This Row],[received]]</f>
        <v>0</v>
      </c>
      <c r="U412" s="4">
        <v>25</v>
      </c>
      <c r="V412" s="4">
        <v>0</v>
      </c>
      <c r="W412" s="4">
        <v>49.83</v>
      </c>
      <c r="X412" s="4">
        <v>10</v>
      </c>
      <c r="Y412" s="8">
        <v>8.5</v>
      </c>
      <c r="Z412" s="3">
        <f>grand[[#This Row],[av. Transportation loss]]/grand[[#This Row],[av.total weight]]</f>
        <v>0</v>
      </c>
      <c r="AA412" s="12">
        <f>AVERAGE((grand[[#This Row],[am]]/25),(grand[[#This Row],[pm]]/50))</f>
        <v>0.99829999999999997</v>
      </c>
      <c r="AB412" s="3">
        <f>grand[[#This Row],[ carcass weight]]/grand[[#This Row],[total weight]]</f>
        <v>0.61293986112745669</v>
      </c>
      <c r="AC412" s="6">
        <f>SUM(grand[[#This Row],[am]:[meat transportation]])/100</f>
        <v>0.93330000000000002</v>
      </c>
      <c r="AD412" s="2"/>
      <c r="AE412" s="2"/>
      <c r="AF412" s="2"/>
      <c r="AG412" s="2"/>
      <c r="AH412" s="2"/>
      <c r="AI412" s="2"/>
      <c r="AJ412" s="2">
        <v>3</v>
      </c>
      <c r="AK412" s="12">
        <f>grand[[#This Row],[accepted as exception]]/grand[[#This Row],[number]]</f>
        <v>7.4999999999999997E-2</v>
      </c>
      <c r="AL412" s="2">
        <v>7</v>
      </c>
    </row>
    <row r="413" spans="1:38" hidden="1" x14ac:dyDescent="0.2">
      <c r="A413" s="11">
        <v>44396</v>
      </c>
      <c r="B413" s="53" t="s">
        <v>1570</v>
      </c>
      <c r="C413" s="52" t="str">
        <f>IF(MID(B413,4,2)="09","Ramadan",IF(AND(MID(B413,4,2)="12",VALUE(LEFT(B413,2))&lt;=9),"Adha Season","Normal"))</f>
        <v>Adha Season</v>
      </c>
      <c r="D413" s="2" t="s">
        <v>294</v>
      </c>
      <c r="E413" s="2"/>
      <c r="F413" s="4" t="s">
        <v>35</v>
      </c>
      <c r="G413" s="4">
        <v>70</v>
      </c>
      <c r="H413" s="4">
        <v>70</v>
      </c>
      <c r="I413" s="2">
        <f>grand[[#This Row],[number]]-grand[[#This Row],[received]]</f>
        <v>0</v>
      </c>
      <c r="J413" s="30"/>
      <c r="K413" s="2">
        <v>3227</v>
      </c>
      <c r="L413" s="2">
        <v>3227</v>
      </c>
      <c r="M413" s="2">
        <f>K413-L413</f>
        <v>0</v>
      </c>
      <c r="N413" s="2">
        <v>1902.9</v>
      </c>
      <c r="O413" s="2"/>
      <c r="P413" s="7">
        <f>grand[[#This Row],[total weight]]/grand[[#This Row],[received]]</f>
        <v>46.1</v>
      </c>
      <c r="Q413" s="7">
        <f>grand[[#This Row],[receiving weight]]/grand[[#This Row],[received]]</f>
        <v>46.1</v>
      </c>
      <c r="R413" s="7">
        <f>grand[[#This Row],[transportation loss ]]/grand[[#This Row],[received]]</f>
        <v>0</v>
      </c>
      <c r="S413" s="7">
        <f>grand[[#This Row],[ carcass weight]]/grand[[#This Row],[received]]</f>
        <v>27.184285714285714</v>
      </c>
      <c r="T413" s="7">
        <f>grand[[#This Row],[ kidneys fat quantity]]/grand[[#This Row],[received]]</f>
        <v>0</v>
      </c>
      <c r="U413" s="4">
        <v>25</v>
      </c>
      <c r="V413" s="4">
        <v>0</v>
      </c>
      <c r="W413" s="4">
        <v>49.7</v>
      </c>
      <c r="X413" s="4">
        <v>10</v>
      </c>
      <c r="Y413" s="8">
        <v>8.5</v>
      </c>
      <c r="Z413" s="3">
        <f>grand[[#This Row],[av. Transportation loss]]/grand[[#This Row],[av.total weight]]</f>
        <v>0</v>
      </c>
      <c r="AA413" s="12">
        <f>AVERAGE((grand[[#This Row],[am]]/25),(grand[[#This Row],[pm]]/50))</f>
        <v>0.99700000000000011</v>
      </c>
      <c r="AB413" s="3">
        <f>grand[[#This Row],[ carcass weight]]/grand[[#This Row],[total weight]]</f>
        <v>0.58968081809730399</v>
      </c>
      <c r="AC413" s="6">
        <f>SUM(grand[[#This Row],[am]:[meat transportation]])/100</f>
        <v>0.93200000000000005</v>
      </c>
      <c r="AD413" s="2"/>
      <c r="AE413" s="2"/>
      <c r="AF413" s="2"/>
      <c r="AG413" s="2"/>
      <c r="AH413" s="2"/>
      <c r="AI413" s="2"/>
      <c r="AJ413" s="2"/>
      <c r="AK413" s="12">
        <f>grand[[#This Row],[accepted as exception]]/grand[[#This Row],[number]]</f>
        <v>0</v>
      </c>
      <c r="AL413" s="2">
        <v>2</v>
      </c>
    </row>
    <row r="414" spans="1:38" hidden="1" x14ac:dyDescent="0.2">
      <c r="A414" s="11">
        <v>44400</v>
      </c>
      <c r="B414" s="53" t="s">
        <v>2675</v>
      </c>
      <c r="C414" s="52" t="str">
        <f>IF(MID(B414,4,2)="09","Ramadan",IF(AND(MID(B414,4,2)="12",VALUE(LEFT(B414,2))&lt;=9),"Adha Season","Normal"))</f>
        <v>Normal</v>
      </c>
      <c r="D414" s="1" t="s">
        <v>45</v>
      </c>
      <c r="F414" s="4" t="s">
        <v>39</v>
      </c>
      <c r="G414" s="4">
        <v>52</v>
      </c>
      <c r="H414" s="4">
        <v>52</v>
      </c>
      <c r="I414" s="2">
        <f>grand[[#This Row],[number]]-grand[[#This Row],[received]]</f>
        <v>0</v>
      </c>
      <c r="J414" s="30"/>
      <c r="K414" s="2">
        <v>21819</v>
      </c>
      <c r="L414" s="2">
        <v>21819</v>
      </c>
      <c r="M414" s="2">
        <f>K414-L414</f>
        <v>0</v>
      </c>
      <c r="N414" s="2">
        <v>13306.5</v>
      </c>
      <c r="O414" s="2"/>
      <c r="P414" s="7">
        <f>grand[[#This Row],[total weight]]/grand[[#This Row],[received]]</f>
        <v>419.59615384615387</v>
      </c>
      <c r="Q414" s="7">
        <f>grand[[#This Row],[receiving weight]]/grand[[#This Row],[received]]</f>
        <v>419.59615384615387</v>
      </c>
      <c r="R414" s="7">
        <f>grand[[#This Row],[transportation loss ]]/grand[[#This Row],[received]]</f>
        <v>0</v>
      </c>
      <c r="S414" s="7">
        <f>grand[[#This Row],[ carcass weight]]/grand[[#This Row],[received]]</f>
        <v>255.89423076923077</v>
      </c>
      <c r="T414" s="7">
        <f>grand[[#This Row],[ kidneys fat quantity]]/grand[[#This Row],[received]]</f>
        <v>0</v>
      </c>
      <c r="U414" s="4">
        <v>25</v>
      </c>
      <c r="V414" s="4">
        <v>0</v>
      </c>
      <c r="W414" s="4">
        <v>50</v>
      </c>
      <c r="X414" s="4">
        <v>10</v>
      </c>
      <c r="Y414" s="8">
        <v>8</v>
      </c>
      <c r="Z414" s="3">
        <f>grand[[#This Row],[av. Transportation loss]]/grand[[#This Row],[av.total weight]]</f>
        <v>0</v>
      </c>
      <c r="AA414" s="12">
        <f>AVERAGE((grand[[#This Row],[am]]/25),(grand[[#This Row],[pm]]/50))</f>
        <v>1</v>
      </c>
      <c r="AB414" s="3">
        <f>grand[[#This Row],[ carcass weight]]/grand[[#This Row],[total weight]]</f>
        <v>0.60985838031073836</v>
      </c>
      <c r="AC414" s="6">
        <f>SUM(grand[[#This Row],[am]:[meat transportation]])/100</f>
        <v>0.93</v>
      </c>
      <c r="AD414" s="2"/>
      <c r="AE414" s="2"/>
      <c r="AF414" s="2"/>
      <c r="AG414" s="2"/>
      <c r="AH414" s="2"/>
      <c r="AI414" s="2"/>
      <c r="AJ414" s="2">
        <v>9</v>
      </c>
      <c r="AK414" s="12">
        <f>grand[[#This Row],[accepted as exception]]/grand[[#This Row],[number]]</f>
        <v>0.17307692307692307</v>
      </c>
      <c r="AL414" s="13"/>
    </row>
    <row r="415" spans="1:38" hidden="1" x14ac:dyDescent="0.2">
      <c r="A415" s="11">
        <v>44403</v>
      </c>
      <c r="B415" s="53" t="s">
        <v>2676</v>
      </c>
      <c r="C415" s="52" t="str">
        <f>IF(MID(B415,4,2)="09","Ramadan",IF(AND(MID(B415,4,2)="12",VALUE(LEFT(B415,2))&lt;=9),"Adha Season","Normal"))</f>
        <v>Normal</v>
      </c>
      <c r="D415" s="1" t="s">
        <v>45</v>
      </c>
      <c r="F415" s="4" t="s">
        <v>42</v>
      </c>
      <c r="G415" s="4">
        <v>8</v>
      </c>
      <c r="H415" s="4">
        <v>8</v>
      </c>
      <c r="I415" s="2">
        <f>grand[[#This Row],[number]]-grand[[#This Row],[received]]</f>
        <v>0</v>
      </c>
      <c r="J415" s="30"/>
      <c r="K415" s="2">
        <v>3380</v>
      </c>
      <c r="L415" s="2">
        <v>3320</v>
      </c>
      <c r="M415" s="2">
        <f>K415-L415</f>
        <v>60</v>
      </c>
      <c r="N415" s="2">
        <v>2028.3</v>
      </c>
      <c r="O415" s="2"/>
      <c r="P415" s="7">
        <f>grand[[#This Row],[total weight]]/grand[[#This Row],[received]]</f>
        <v>422.5</v>
      </c>
      <c r="Q415" s="7">
        <f>grand[[#This Row],[receiving weight]]/grand[[#This Row],[received]]</f>
        <v>415</v>
      </c>
      <c r="R415" s="7">
        <f>grand[[#This Row],[transportation loss ]]/grand[[#This Row],[received]]</f>
        <v>7.5</v>
      </c>
      <c r="S415" s="7">
        <f>grand[[#This Row],[ carcass weight]]/grand[[#This Row],[received]]</f>
        <v>253.53749999999999</v>
      </c>
      <c r="T415" s="7">
        <f>grand[[#This Row],[ kidneys fat quantity]]/grand[[#This Row],[received]]</f>
        <v>0</v>
      </c>
      <c r="U415" s="4">
        <v>23.8</v>
      </c>
      <c r="V415" s="4">
        <v>0</v>
      </c>
      <c r="W415" s="4">
        <v>50</v>
      </c>
      <c r="X415" s="4">
        <v>10</v>
      </c>
      <c r="Y415" s="8">
        <v>8.5</v>
      </c>
      <c r="Z415" s="3">
        <f>grand[[#This Row],[av. Transportation loss]]/grand[[#This Row],[av.total weight]]</f>
        <v>1.7751479289940829E-2</v>
      </c>
      <c r="AA415" s="12">
        <f>AVERAGE((grand[[#This Row],[am]]/25),(grand[[#This Row],[pm]]/50))</f>
        <v>0.97599999999999998</v>
      </c>
      <c r="AB415" s="3">
        <f>grand[[#This Row],[ carcass weight]]/grand[[#This Row],[total weight]]</f>
        <v>0.60008875739644973</v>
      </c>
      <c r="AC415" s="6">
        <f>SUM(grand[[#This Row],[am]:[meat transportation]])/100</f>
        <v>0.92299999999999993</v>
      </c>
      <c r="AD415" s="2"/>
      <c r="AE415" s="2"/>
      <c r="AF415" s="2"/>
      <c r="AG415" s="2"/>
      <c r="AH415" s="2"/>
      <c r="AI415" s="2"/>
      <c r="AJ415" s="2">
        <v>1</v>
      </c>
      <c r="AK415" s="12">
        <f>grand[[#This Row],[accepted as exception]]/grand[[#This Row],[number]]</f>
        <v>0.125</v>
      </c>
    </row>
    <row r="416" spans="1:38" hidden="1" x14ac:dyDescent="0.2">
      <c r="A416" s="11">
        <v>44405</v>
      </c>
      <c r="B416" s="53" t="s">
        <v>1572</v>
      </c>
      <c r="C416" s="52" t="str">
        <f>IF(MID(B416,4,2)="09","Ramadan",IF(AND(MID(B416,4,2)="12",VALUE(LEFT(B416,2))&lt;=9),"Adha Season","Normal"))</f>
        <v>Normal</v>
      </c>
      <c r="D416" s="1" t="s">
        <v>45</v>
      </c>
      <c r="F416" s="4" t="s">
        <v>280</v>
      </c>
      <c r="G416" s="4">
        <v>39</v>
      </c>
      <c r="H416" s="4">
        <v>39</v>
      </c>
      <c r="I416" s="2">
        <f>grand[[#This Row],[number]]-grand[[#This Row],[received]]</f>
        <v>0</v>
      </c>
      <c r="J416" s="30"/>
      <c r="K416" s="13">
        <v>15689</v>
      </c>
      <c r="L416" s="13">
        <v>15689</v>
      </c>
      <c r="M416" s="2">
        <f>K416-L416</f>
        <v>0</v>
      </c>
      <c r="N416" s="2">
        <v>9413</v>
      </c>
      <c r="O416" s="2"/>
      <c r="P416" s="7">
        <f>grand[[#This Row],[total weight]]/grand[[#This Row],[received]]</f>
        <v>402.28205128205127</v>
      </c>
      <c r="Q416" s="7">
        <f>grand[[#This Row],[receiving weight]]/grand[[#This Row],[received]]</f>
        <v>402.28205128205127</v>
      </c>
      <c r="R416" s="7">
        <f>grand[[#This Row],[transportation loss ]]/grand[[#This Row],[received]]</f>
        <v>0</v>
      </c>
      <c r="S416" s="7">
        <f>grand[[#This Row],[ carcass weight]]/grand[[#This Row],[received]]</f>
        <v>241.35897435897436</v>
      </c>
      <c r="T416" s="7">
        <f>grand[[#This Row],[ kidneys fat quantity]]/grand[[#This Row],[received]]</f>
        <v>0</v>
      </c>
      <c r="U416" s="4">
        <v>21.8</v>
      </c>
      <c r="V416" s="4">
        <v>0</v>
      </c>
      <c r="W416" s="4">
        <v>47</v>
      </c>
      <c r="X416" s="4">
        <v>10</v>
      </c>
      <c r="Y416" s="8">
        <v>8.5</v>
      </c>
      <c r="Z416" s="3">
        <f>grand[[#This Row],[av. Transportation loss]]/grand[[#This Row],[av.total weight]]</f>
        <v>0</v>
      </c>
      <c r="AA416" s="12">
        <f>AVERAGE((grand[[#This Row],[am]]/25),(grand[[#This Row],[pm]]/50))</f>
        <v>0.90599999999999992</v>
      </c>
      <c r="AB416" s="3">
        <f>grand[[#This Row],[ carcass weight]]/grand[[#This Row],[total weight]]</f>
        <v>0.59997450442985534</v>
      </c>
      <c r="AC416" s="6">
        <f>SUM(grand[[#This Row],[am]:[meat transportation]])/100</f>
        <v>0.873</v>
      </c>
      <c r="AD416" s="2"/>
      <c r="AE416" s="2"/>
      <c r="AF416" s="2"/>
      <c r="AG416" s="2"/>
      <c r="AH416" s="2"/>
      <c r="AI416" s="2"/>
      <c r="AJ416" s="2">
        <v>25</v>
      </c>
      <c r="AK416" s="12">
        <f>grand[[#This Row],[accepted as exception]]/grand[[#This Row],[number]]</f>
        <v>0.64102564102564108</v>
      </c>
    </row>
    <row r="417" spans="1:38" hidden="1" x14ac:dyDescent="0.2">
      <c r="A417" s="11">
        <v>44408</v>
      </c>
      <c r="B417" s="53" t="s">
        <v>2677</v>
      </c>
      <c r="C417" s="52" t="str">
        <f>IF(MID(B417,4,2)="09","Ramadan",IF(AND(MID(B417,4,2)="12",VALUE(LEFT(B417,2))&lt;=9),"Adha Season","Normal"))</f>
        <v>Normal</v>
      </c>
      <c r="D417" s="1" t="s">
        <v>45</v>
      </c>
      <c r="F417" s="4" t="s">
        <v>280</v>
      </c>
      <c r="G417" s="4">
        <v>40</v>
      </c>
      <c r="H417" s="4">
        <v>40</v>
      </c>
      <c r="I417" s="2">
        <f>grand[[#This Row],[number]]-grand[[#This Row],[received]]</f>
        <v>0</v>
      </c>
      <c r="J417" s="30"/>
      <c r="K417" s="13">
        <v>17336</v>
      </c>
      <c r="L417" s="13">
        <v>17336</v>
      </c>
      <c r="M417" s="2">
        <f>K417-L417</f>
        <v>0</v>
      </c>
      <c r="N417" s="2">
        <v>10401.6</v>
      </c>
      <c r="O417" s="2"/>
      <c r="P417" s="7">
        <f>grand[[#This Row],[total weight]]/grand[[#This Row],[received]]</f>
        <v>433.4</v>
      </c>
      <c r="Q417" s="7">
        <f>grand[[#This Row],[receiving weight]]/grand[[#This Row],[received]]</f>
        <v>433.4</v>
      </c>
      <c r="R417" s="7">
        <f>grand[[#This Row],[transportation loss ]]/grand[[#This Row],[received]]</f>
        <v>0</v>
      </c>
      <c r="S417" s="7">
        <f>grand[[#This Row],[ carcass weight]]/grand[[#This Row],[received]]</f>
        <v>260.04000000000002</v>
      </c>
      <c r="T417" s="7">
        <f>grand[[#This Row],[ kidneys fat quantity]]/grand[[#This Row],[received]]</f>
        <v>0</v>
      </c>
      <c r="U417" s="4">
        <v>20.5</v>
      </c>
      <c r="V417" s="4">
        <v>0</v>
      </c>
      <c r="W417" s="4">
        <v>47</v>
      </c>
      <c r="X417" s="4">
        <v>10</v>
      </c>
      <c r="Y417" s="8">
        <v>8.5</v>
      </c>
      <c r="Z417" s="3">
        <f>grand[[#This Row],[av. Transportation loss]]/grand[[#This Row],[av.total weight]]</f>
        <v>0</v>
      </c>
      <c r="AA417" s="12">
        <f>AVERAGE((grand[[#This Row],[am]]/25),(grand[[#This Row],[pm]]/50))</f>
        <v>0.87999999999999989</v>
      </c>
      <c r="AB417" s="3">
        <f>grand[[#This Row],[ carcass weight]]/grand[[#This Row],[total weight]]</f>
        <v>0.6</v>
      </c>
      <c r="AC417" s="6">
        <f>SUM(grand[[#This Row],[am]:[meat transportation]])/100</f>
        <v>0.86</v>
      </c>
      <c r="AD417" s="2"/>
      <c r="AE417" s="2"/>
      <c r="AF417" s="2"/>
      <c r="AG417" s="2"/>
      <c r="AH417" s="2"/>
      <c r="AI417" s="2"/>
      <c r="AJ417" s="2">
        <v>36</v>
      </c>
      <c r="AK417" s="12">
        <f>grand[[#This Row],[accepted as exception]]/grand[[#This Row],[number]]</f>
        <v>0.9</v>
      </c>
    </row>
    <row r="418" spans="1:38" hidden="1" x14ac:dyDescent="0.2">
      <c r="A418" s="11">
        <v>44413</v>
      </c>
      <c r="B418" s="53" t="s">
        <v>1576</v>
      </c>
      <c r="C418" s="52" t="str">
        <f>IF(MID(B418,4,2)="09","Ramadan",IF(AND(MID(B418,4,2)="12",VALUE(LEFT(B418,2))&lt;=9),"Adha Season","Normal"))</f>
        <v>Normal</v>
      </c>
      <c r="D418" s="2" t="s">
        <v>294</v>
      </c>
      <c r="E418" s="2"/>
      <c r="F418" s="4" t="s">
        <v>35</v>
      </c>
      <c r="G418" s="4">
        <v>25</v>
      </c>
      <c r="H418" s="4">
        <v>25</v>
      </c>
      <c r="I418" s="2">
        <f>grand[[#This Row],[number]]-grand[[#This Row],[received]]</f>
        <v>0</v>
      </c>
      <c r="J418" s="30"/>
      <c r="K418" s="2">
        <v>1254</v>
      </c>
      <c r="L418" s="2">
        <v>1220</v>
      </c>
      <c r="M418" s="2">
        <f>K418-L418</f>
        <v>34</v>
      </c>
      <c r="N418" s="2">
        <v>688.7</v>
      </c>
      <c r="O418" s="2"/>
      <c r="P418" s="7">
        <f>grand[[#This Row],[total weight]]/grand[[#This Row],[received]]</f>
        <v>50.16</v>
      </c>
      <c r="Q418" s="7">
        <f>grand[[#This Row],[receiving weight]]/grand[[#This Row],[received]]</f>
        <v>48.8</v>
      </c>
      <c r="R418" s="7">
        <f>grand[[#This Row],[transportation loss ]]/grand[[#This Row],[received]]</f>
        <v>1.36</v>
      </c>
      <c r="S418" s="7">
        <f>grand[[#This Row],[ carcass weight]]/grand[[#This Row],[received]]</f>
        <v>27.548000000000002</v>
      </c>
      <c r="T418" s="7">
        <f>grand[[#This Row],[ kidneys fat quantity]]/grand[[#This Row],[received]]</f>
        <v>0</v>
      </c>
      <c r="U418" s="4">
        <v>25</v>
      </c>
      <c r="V418" s="4">
        <v>0</v>
      </c>
      <c r="W418" s="4">
        <v>49.52</v>
      </c>
      <c r="X418" s="4">
        <v>10</v>
      </c>
      <c r="Y418" s="8">
        <v>8.5</v>
      </c>
      <c r="Z418" s="3">
        <f>grand[[#This Row],[av. Transportation loss]]/grand[[#This Row],[av.total weight]]</f>
        <v>2.7113237639553433E-2</v>
      </c>
      <c r="AA418" s="12">
        <f>AVERAGE((grand[[#This Row],[am]]/25),(grand[[#This Row],[pm]]/50))</f>
        <v>0.99520000000000008</v>
      </c>
      <c r="AB418" s="3">
        <f>grand[[#This Row],[ carcass weight]]/grand[[#This Row],[total weight]]</f>
        <v>0.5492025518341308</v>
      </c>
      <c r="AC418" s="6">
        <f>SUM(grand[[#This Row],[am]:[meat transportation]])/100</f>
        <v>0.93020000000000014</v>
      </c>
      <c r="AD418" s="2" t="s">
        <v>316</v>
      </c>
      <c r="AE418" s="2"/>
      <c r="AF418" s="2"/>
      <c r="AG418" s="2"/>
      <c r="AH418" s="2"/>
      <c r="AI418" s="2"/>
      <c r="AJ418" s="2">
        <v>0</v>
      </c>
      <c r="AK418" s="12">
        <f>grand[[#This Row],[accepted as exception]]/grand[[#This Row],[number]]</f>
        <v>0</v>
      </c>
      <c r="AL418" s="2">
        <v>0</v>
      </c>
    </row>
    <row r="419" spans="1:38" hidden="1" x14ac:dyDescent="0.2">
      <c r="A419" s="11">
        <v>44413</v>
      </c>
      <c r="B419" s="53" t="s">
        <v>1576</v>
      </c>
      <c r="C419" s="52" t="str">
        <f>IF(MID(B419,4,2)="09","Ramadan",IF(AND(MID(B419,4,2)="12",VALUE(LEFT(B419,2))&lt;=9),"Adha Season","Normal"))</f>
        <v>Normal</v>
      </c>
      <c r="D419" s="1" t="s">
        <v>45</v>
      </c>
      <c r="F419" s="4" t="s">
        <v>46</v>
      </c>
      <c r="G419" s="4">
        <v>49</v>
      </c>
      <c r="H419" s="4">
        <v>49</v>
      </c>
      <c r="I419" s="2">
        <f>grand[[#This Row],[number]]-grand[[#This Row],[received]]</f>
        <v>0</v>
      </c>
      <c r="J419" s="30"/>
      <c r="K419" s="2">
        <v>17641</v>
      </c>
      <c r="L419" s="2">
        <v>17485</v>
      </c>
      <c r="M419" s="2">
        <f>K419-L419</f>
        <v>156</v>
      </c>
      <c r="N419" s="2">
        <v>10585.2</v>
      </c>
      <c r="O419" s="2"/>
      <c r="P419" s="7">
        <f>grand[[#This Row],[total weight]]/grand[[#This Row],[received]]</f>
        <v>360.0204081632653</v>
      </c>
      <c r="Q419" s="7">
        <f>grand[[#This Row],[receiving weight]]/grand[[#This Row],[received]]</f>
        <v>356.83673469387753</v>
      </c>
      <c r="R419" s="7">
        <f>grand[[#This Row],[transportation loss ]]/grand[[#This Row],[received]]</f>
        <v>3.1836734693877551</v>
      </c>
      <c r="S419" s="7">
        <f>grand[[#This Row],[ carcass weight]]/grand[[#This Row],[received]]</f>
        <v>216.02448979591838</v>
      </c>
      <c r="T419" s="7">
        <f>grand[[#This Row],[ kidneys fat quantity]]/grand[[#This Row],[received]]</f>
        <v>0</v>
      </c>
      <c r="U419" s="4">
        <v>25</v>
      </c>
      <c r="V419" s="4">
        <v>0</v>
      </c>
      <c r="W419" s="4">
        <v>49.86</v>
      </c>
      <c r="X419" s="4">
        <v>10</v>
      </c>
      <c r="Y419" s="8">
        <v>8.5</v>
      </c>
      <c r="Z419" s="3">
        <f>grand[[#This Row],[av. Transportation loss]]/grand[[#This Row],[av.total weight]]</f>
        <v>8.8430361090641122E-3</v>
      </c>
      <c r="AA419" s="12">
        <f>AVERAGE((grand[[#This Row],[am]]/25),(grand[[#This Row],[pm]]/50))</f>
        <v>0.99859999999999993</v>
      </c>
      <c r="AB419" s="3">
        <f>grand[[#This Row],[ carcass weight]]/grand[[#This Row],[total weight]]</f>
        <v>0.6000340116773426</v>
      </c>
      <c r="AC419" s="6">
        <f>SUM(grand[[#This Row],[am]:[meat transportation]])/100</f>
        <v>0.93359999999999999</v>
      </c>
      <c r="AD419" s="2"/>
      <c r="AE419" s="2"/>
      <c r="AF419" s="2"/>
      <c r="AG419" s="2"/>
      <c r="AH419" s="2"/>
      <c r="AI419" s="2"/>
      <c r="AJ419" s="2">
        <v>0</v>
      </c>
      <c r="AK419" s="12">
        <f>grand[[#This Row],[accepted as exception]]/grand[[#This Row],[number]]</f>
        <v>0</v>
      </c>
      <c r="AL419" s="2">
        <v>0</v>
      </c>
    </row>
    <row r="420" spans="1:38" hidden="1" x14ac:dyDescent="0.2">
      <c r="A420" s="11">
        <v>44418</v>
      </c>
      <c r="B420" s="53" t="s">
        <v>2680</v>
      </c>
      <c r="C420" s="52" t="str">
        <f>IF(MID(B420,4,2)="09","Ramadan",IF(AND(MID(B420,4,2)="12",VALUE(LEFT(B420,2))&lt;=9),"Adha Season","Normal"))</f>
        <v>Normal</v>
      </c>
      <c r="D420" s="1" t="s">
        <v>45</v>
      </c>
      <c r="F420" s="4" t="s">
        <v>41</v>
      </c>
      <c r="G420" s="4">
        <v>8</v>
      </c>
      <c r="H420" s="4">
        <v>8</v>
      </c>
      <c r="I420" s="2">
        <f>grand[[#This Row],[number]]-grand[[#This Row],[received]]</f>
        <v>0</v>
      </c>
      <c r="J420" s="30"/>
      <c r="K420" s="2">
        <v>3071</v>
      </c>
      <c r="L420" s="2">
        <v>2940</v>
      </c>
      <c r="M420" s="2">
        <f>K420-L420</f>
        <v>131</v>
      </c>
      <c r="N420" s="2">
        <v>1842.9</v>
      </c>
      <c r="O420" s="2"/>
      <c r="P420" s="7">
        <f>grand[[#This Row],[total weight]]/grand[[#This Row],[received]]</f>
        <v>383.875</v>
      </c>
      <c r="Q420" s="7">
        <f>grand[[#This Row],[receiving weight]]/grand[[#This Row],[received]]</f>
        <v>367.5</v>
      </c>
      <c r="R420" s="7">
        <f>grand[[#This Row],[transportation loss ]]/grand[[#This Row],[received]]</f>
        <v>16.375</v>
      </c>
      <c r="S420" s="7">
        <f>grand[[#This Row],[ carcass weight]]/grand[[#This Row],[received]]</f>
        <v>230.36250000000001</v>
      </c>
      <c r="T420" s="7">
        <f>grand[[#This Row],[ kidneys fat quantity]]/grand[[#This Row],[received]]</f>
        <v>0</v>
      </c>
      <c r="U420" s="4">
        <v>25</v>
      </c>
      <c r="V420" s="4">
        <v>0</v>
      </c>
      <c r="W420" s="4">
        <v>50</v>
      </c>
      <c r="X420" s="4">
        <v>10</v>
      </c>
      <c r="Y420" s="8">
        <v>8.5</v>
      </c>
      <c r="Z420" s="3">
        <f>grand[[#This Row],[av. Transportation loss]]/grand[[#This Row],[av.total weight]]</f>
        <v>4.2657114946271571E-2</v>
      </c>
      <c r="AA420" s="12">
        <f>AVERAGE((grand[[#This Row],[am]]/25),(grand[[#This Row],[pm]]/50))</f>
        <v>1</v>
      </c>
      <c r="AB420" s="3">
        <f>grand[[#This Row],[ carcass weight]]/grand[[#This Row],[total weight]]</f>
        <v>0.60009768804949526</v>
      </c>
      <c r="AC420" s="6">
        <f>SUM(grand[[#This Row],[am]:[meat transportation]])/100</f>
        <v>0.93500000000000005</v>
      </c>
      <c r="AD420" s="2"/>
      <c r="AE420" s="2"/>
      <c r="AF420" s="2"/>
      <c r="AG420" s="2"/>
      <c r="AH420" s="2"/>
      <c r="AI420" s="2"/>
      <c r="AJ420" s="2">
        <v>0</v>
      </c>
      <c r="AK420" s="12">
        <f>grand[[#This Row],[accepted as exception]]/grand[[#This Row],[number]]</f>
        <v>0</v>
      </c>
      <c r="AL420" s="2">
        <v>0</v>
      </c>
    </row>
    <row r="421" spans="1:38" hidden="1" x14ac:dyDescent="0.2">
      <c r="A421" s="11">
        <v>44420</v>
      </c>
      <c r="B421" s="53" t="s">
        <v>2681</v>
      </c>
      <c r="C421" s="52" t="str">
        <f>IF(MID(B421,4,2)="09","Ramadan",IF(AND(MID(B421,4,2)="12",VALUE(LEFT(B421,2))&lt;=9),"Adha Season","Normal"))</f>
        <v>Normal</v>
      </c>
      <c r="D421" s="2" t="s">
        <v>294</v>
      </c>
      <c r="E421" s="2"/>
      <c r="F421" s="4" t="s">
        <v>35</v>
      </c>
      <c r="G421" s="4">
        <v>30</v>
      </c>
      <c r="H421" s="4">
        <v>30</v>
      </c>
      <c r="I421" s="2">
        <f>grand[[#This Row],[number]]-grand[[#This Row],[received]]</f>
        <v>0</v>
      </c>
      <c r="J421" s="30"/>
      <c r="K421" s="2">
        <v>1369</v>
      </c>
      <c r="L421" s="2">
        <v>1330</v>
      </c>
      <c r="M421" s="2">
        <f>K421-L421</f>
        <v>39</v>
      </c>
      <c r="N421" s="2">
        <v>803.3</v>
      </c>
      <c r="O421" s="2"/>
      <c r="P421" s="7">
        <f>grand[[#This Row],[total weight]]/grand[[#This Row],[received]]</f>
        <v>45.633333333333333</v>
      </c>
      <c r="Q421" s="7">
        <f>grand[[#This Row],[receiving weight]]/grand[[#This Row],[received]]</f>
        <v>44.333333333333336</v>
      </c>
      <c r="R421" s="7">
        <f>grand[[#This Row],[transportation loss ]]/grand[[#This Row],[received]]</f>
        <v>1.3</v>
      </c>
      <c r="S421" s="7">
        <f>grand[[#This Row],[ carcass weight]]/grand[[#This Row],[received]]</f>
        <v>26.776666666666664</v>
      </c>
      <c r="T421" s="7">
        <f>grand[[#This Row],[ kidneys fat quantity]]/grand[[#This Row],[received]]</f>
        <v>0</v>
      </c>
      <c r="U421" s="4">
        <v>25</v>
      </c>
      <c r="V421" s="4">
        <v>0</v>
      </c>
      <c r="W421" s="4">
        <v>49.8</v>
      </c>
      <c r="X421" s="4">
        <v>10</v>
      </c>
      <c r="Y421" s="8">
        <v>8.5</v>
      </c>
      <c r="Z421" s="3">
        <f>grand[[#This Row],[av. Transportation loss]]/grand[[#This Row],[av.total weight]]</f>
        <v>2.8487947406866328E-2</v>
      </c>
      <c r="AA421" s="12">
        <f>AVERAGE((grand[[#This Row],[am]]/25),(grand[[#This Row],[pm]]/50))</f>
        <v>0.998</v>
      </c>
      <c r="AB421" s="3">
        <f>grand[[#This Row],[ carcass weight]]/grand[[#This Row],[total weight]]</f>
        <v>0.58677867056245436</v>
      </c>
      <c r="AC421" s="6">
        <f>SUM(grand[[#This Row],[am]:[meat transportation]])/100</f>
        <v>0.93299999999999994</v>
      </c>
      <c r="AD421" s="2"/>
      <c r="AE421" s="2"/>
      <c r="AF421" s="2"/>
      <c r="AG421" s="2"/>
      <c r="AH421" s="2"/>
      <c r="AI421" s="2"/>
      <c r="AJ421" s="2">
        <v>0</v>
      </c>
      <c r="AK421" s="12">
        <f>grand[[#This Row],[accepted as exception]]/grand[[#This Row],[number]]</f>
        <v>0</v>
      </c>
      <c r="AL421" s="2">
        <v>0</v>
      </c>
    </row>
    <row r="422" spans="1:38" hidden="1" x14ac:dyDescent="0.2">
      <c r="A422" s="11">
        <v>44422</v>
      </c>
      <c r="B422" s="53" t="s">
        <v>2682</v>
      </c>
      <c r="C422" s="52" t="str">
        <f>IF(MID(B422,4,2)="09","Ramadan",IF(AND(MID(B422,4,2)="12",VALUE(LEFT(B422,2))&lt;=9),"Adha Season","Normal"))</f>
        <v>Normal</v>
      </c>
      <c r="D422" s="1" t="s">
        <v>45</v>
      </c>
      <c r="F422" s="4" t="s">
        <v>39</v>
      </c>
      <c r="G422" s="4">
        <v>25</v>
      </c>
      <c r="H422" s="4">
        <v>25</v>
      </c>
      <c r="I422" s="2">
        <f>grand[[#This Row],[number]]-grand[[#This Row],[received]]</f>
        <v>0</v>
      </c>
      <c r="J422" s="30"/>
      <c r="K422" s="9">
        <v>10218</v>
      </c>
      <c r="L422" s="9">
        <v>9590</v>
      </c>
      <c r="M422" s="2">
        <f>K422-L422</f>
        <v>628</v>
      </c>
      <c r="N422" s="9">
        <v>6191.2</v>
      </c>
      <c r="O422" s="9"/>
      <c r="P422" s="7">
        <f>grand[[#This Row],[total weight]]/grand[[#This Row],[received]]</f>
        <v>408.72</v>
      </c>
      <c r="Q422" s="7">
        <f>grand[[#This Row],[receiving weight]]/grand[[#This Row],[received]]</f>
        <v>383.6</v>
      </c>
      <c r="R422" s="7">
        <f>grand[[#This Row],[transportation loss ]]/grand[[#This Row],[received]]</f>
        <v>25.12</v>
      </c>
      <c r="S422" s="7">
        <f>grand[[#This Row],[ carcass weight]]/grand[[#This Row],[received]]</f>
        <v>247.648</v>
      </c>
      <c r="T422" s="7">
        <f>grand[[#This Row],[ kidneys fat quantity]]/grand[[#This Row],[received]]</f>
        <v>0</v>
      </c>
      <c r="U422" s="4">
        <v>25</v>
      </c>
      <c r="V422" s="4">
        <v>0</v>
      </c>
      <c r="W422" s="4">
        <v>50</v>
      </c>
      <c r="X422" s="4">
        <v>10</v>
      </c>
      <c r="Y422" s="8">
        <v>8.5</v>
      </c>
      <c r="Z422" s="3">
        <f>grand[[#This Row],[av. Transportation loss]]/grand[[#This Row],[av.total weight]]</f>
        <v>6.1460168330397337E-2</v>
      </c>
      <c r="AA422" s="12">
        <f>AVERAGE((grand[[#This Row],[am]]/25),(grand[[#This Row],[pm]]/50))</f>
        <v>1</v>
      </c>
      <c r="AB422" s="3">
        <f>grand[[#This Row],[ carcass weight]]/grand[[#This Row],[total weight]]</f>
        <v>0.60591113720884715</v>
      </c>
      <c r="AC422" s="6">
        <f>SUM(grand[[#This Row],[am]:[meat transportation]])/100</f>
        <v>0.93500000000000005</v>
      </c>
      <c r="AD422" s="2"/>
      <c r="AE422" s="2"/>
      <c r="AF422" s="2"/>
      <c r="AG422" s="2"/>
      <c r="AH422" s="2"/>
      <c r="AI422" s="2"/>
      <c r="AJ422" s="2">
        <v>3</v>
      </c>
      <c r="AK422" s="12">
        <f>grand[[#This Row],[accepted as exception]]/grand[[#This Row],[number]]</f>
        <v>0.12</v>
      </c>
      <c r="AL422" s="2">
        <v>0</v>
      </c>
    </row>
    <row r="423" spans="1:38" hidden="1" x14ac:dyDescent="0.2">
      <c r="A423" s="11">
        <v>44423</v>
      </c>
      <c r="B423" s="53" t="s">
        <v>1577</v>
      </c>
      <c r="C423" s="52" t="str">
        <f>IF(MID(B423,4,2)="09","Ramadan",IF(AND(MID(B423,4,2)="12",VALUE(LEFT(B423,2))&lt;=9),"Adha Season","Normal"))</f>
        <v>Normal</v>
      </c>
      <c r="D423" s="1" t="s">
        <v>45</v>
      </c>
      <c r="F423" s="4" t="s">
        <v>280</v>
      </c>
      <c r="G423" s="4">
        <v>40</v>
      </c>
      <c r="H423" s="4">
        <v>40</v>
      </c>
      <c r="I423" s="2">
        <f>grand[[#This Row],[number]]-grand[[#This Row],[received]]</f>
        <v>0</v>
      </c>
      <c r="J423" s="30"/>
      <c r="K423" s="9">
        <v>17008</v>
      </c>
      <c r="L423" s="9">
        <v>16720</v>
      </c>
      <c r="M423" s="2">
        <f>K423-L423</f>
        <v>288</v>
      </c>
      <c r="N423" s="9">
        <v>10204.799999999999</v>
      </c>
      <c r="O423" s="9"/>
      <c r="P423" s="7">
        <f>grand[[#This Row],[total weight]]/grand[[#This Row],[received]]</f>
        <v>425.2</v>
      </c>
      <c r="Q423" s="7">
        <f>grand[[#This Row],[receiving weight]]/grand[[#This Row],[received]]</f>
        <v>418</v>
      </c>
      <c r="R423" s="7">
        <f>grand[[#This Row],[transportation loss ]]/grand[[#This Row],[received]]</f>
        <v>7.2</v>
      </c>
      <c r="S423" s="7">
        <f>grand[[#This Row],[ carcass weight]]/grand[[#This Row],[received]]</f>
        <v>255.11999999999998</v>
      </c>
      <c r="T423" s="7">
        <f>grand[[#This Row],[ kidneys fat quantity]]/grand[[#This Row],[received]]</f>
        <v>0</v>
      </c>
      <c r="U423" s="4">
        <v>25</v>
      </c>
      <c r="V423" s="4">
        <v>0</v>
      </c>
      <c r="W423" s="4">
        <v>49.53</v>
      </c>
      <c r="X423" s="4">
        <v>10</v>
      </c>
      <c r="Y423" s="8">
        <v>8.5</v>
      </c>
      <c r="Z423" s="3">
        <f>grand[[#This Row],[av. Transportation loss]]/grand[[#This Row],[av.total weight]]</f>
        <v>1.693320790216369E-2</v>
      </c>
      <c r="AA423" s="12">
        <f>AVERAGE((grand[[#This Row],[am]]/25),(grand[[#This Row],[pm]]/50))</f>
        <v>0.99530000000000007</v>
      </c>
      <c r="AB423" s="3">
        <f>grand[[#This Row],[ carcass weight]]/grand[[#This Row],[total weight]]</f>
        <v>0.6</v>
      </c>
      <c r="AC423" s="6">
        <f>SUM(grand[[#This Row],[am]:[meat transportation]])/100</f>
        <v>0.93030000000000002</v>
      </c>
      <c r="AD423" s="2"/>
      <c r="AE423" s="2"/>
      <c r="AF423" s="2"/>
      <c r="AG423" s="2"/>
      <c r="AH423" s="2"/>
      <c r="AI423" s="2"/>
      <c r="AJ423" s="2">
        <v>3</v>
      </c>
      <c r="AK423" s="12">
        <f>grand[[#This Row],[accepted as exception]]/grand[[#This Row],[number]]</f>
        <v>7.4999999999999997E-2</v>
      </c>
      <c r="AL423" s="2">
        <v>75</v>
      </c>
    </row>
    <row r="424" spans="1:38" hidden="1" x14ac:dyDescent="0.2">
      <c r="A424" s="11">
        <v>44427</v>
      </c>
      <c r="B424" s="53" t="s">
        <v>2684</v>
      </c>
      <c r="C424" s="52" t="str">
        <f>IF(MID(B424,4,2)="09","Ramadan",IF(AND(MID(B424,4,2)="12",VALUE(LEFT(B424,2))&lt;=9),"Adha Season","Normal"))</f>
        <v>Normal</v>
      </c>
      <c r="D424" s="2" t="s">
        <v>294</v>
      </c>
      <c r="E424" s="2"/>
      <c r="F424" s="4" t="s">
        <v>35</v>
      </c>
      <c r="G424" s="4">
        <v>30</v>
      </c>
      <c r="H424" s="4">
        <v>30</v>
      </c>
      <c r="I424" s="2">
        <f>grand[[#This Row],[number]]-grand[[#This Row],[received]]</f>
        <v>0</v>
      </c>
      <c r="J424" s="30"/>
      <c r="K424" s="9">
        <v>1382</v>
      </c>
      <c r="L424" s="9">
        <v>1310</v>
      </c>
      <c r="M424" s="2">
        <f>K424-L424</f>
        <v>72</v>
      </c>
      <c r="N424" s="9">
        <v>772.6</v>
      </c>
      <c r="O424" s="9"/>
      <c r="P424" s="7">
        <f>grand[[#This Row],[total weight]]/grand[[#This Row],[received]]</f>
        <v>46.06666666666667</v>
      </c>
      <c r="Q424" s="7">
        <f>grand[[#This Row],[receiving weight]]/grand[[#This Row],[received]]</f>
        <v>43.666666666666664</v>
      </c>
      <c r="R424" s="7">
        <f>grand[[#This Row],[transportation loss ]]/grand[[#This Row],[received]]</f>
        <v>2.4</v>
      </c>
      <c r="S424" s="7">
        <f>grand[[#This Row],[ carcass weight]]/grand[[#This Row],[received]]</f>
        <v>25.753333333333334</v>
      </c>
      <c r="T424" s="7">
        <f>grand[[#This Row],[ kidneys fat quantity]]/grand[[#This Row],[received]]</f>
        <v>0</v>
      </c>
      <c r="U424" s="4">
        <v>25</v>
      </c>
      <c r="V424" s="4">
        <v>0</v>
      </c>
      <c r="W424" s="4">
        <v>49.73</v>
      </c>
      <c r="X424" s="4">
        <v>10</v>
      </c>
      <c r="Y424" s="8">
        <v>8.5</v>
      </c>
      <c r="Z424" s="3">
        <f>grand[[#This Row],[av. Transportation loss]]/grand[[#This Row],[av.total weight]]</f>
        <v>5.209840810419681E-2</v>
      </c>
      <c r="AA424" s="12">
        <f>AVERAGE((grand[[#This Row],[am]]/25),(grand[[#This Row],[pm]]/50))</f>
        <v>0.99729999999999996</v>
      </c>
      <c r="AB424" s="3">
        <f>grand[[#This Row],[ carcass weight]]/grand[[#This Row],[total weight]]</f>
        <v>0.55904486251808971</v>
      </c>
      <c r="AC424" s="6">
        <f>SUM(grand[[#This Row],[am]:[meat transportation]])/100</f>
        <v>0.93229999999999991</v>
      </c>
      <c r="AD424" s="2"/>
      <c r="AE424" s="2"/>
      <c r="AF424" s="2"/>
      <c r="AG424" s="2"/>
      <c r="AH424" s="2"/>
      <c r="AI424" s="2"/>
      <c r="AJ424" s="2">
        <v>0</v>
      </c>
      <c r="AK424" s="12">
        <f>grand[[#This Row],[accepted as exception]]/grand[[#This Row],[number]]</f>
        <v>0</v>
      </c>
      <c r="AL424" s="2">
        <v>0</v>
      </c>
    </row>
    <row r="425" spans="1:38" hidden="1" x14ac:dyDescent="0.2">
      <c r="A425" s="11">
        <v>44427</v>
      </c>
      <c r="B425" s="53" t="s">
        <v>2684</v>
      </c>
      <c r="C425" s="52" t="str">
        <f>IF(MID(B425,4,2)="09","Ramadan",IF(AND(MID(B425,4,2)="12",VALUE(LEFT(B425,2))&lt;=9),"Adha Season","Normal"))</f>
        <v>Normal</v>
      </c>
      <c r="D425" s="1" t="s">
        <v>45</v>
      </c>
      <c r="F425" s="4" t="s">
        <v>282</v>
      </c>
      <c r="G425" s="4">
        <v>8</v>
      </c>
      <c r="H425" s="4">
        <v>8</v>
      </c>
      <c r="I425" s="2">
        <f>grand[[#This Row],[number]]-grand[[#This Row],[received]]</f>
        <v>0</v>
      </c>
      <c r="J425" s="30"/>
      <c r="K425" s="9">
        <v>4263</v>
      </c>
      <c r="L425" s="9">
        <v>4070</v>
      </c>
      <c r="M425" s="2">
        <f>K425-L425</f>
        <v>193</v>
      </c>
      <c r="N425" s="9">
        <v>2557.9</v>
      </c>
      <c r="O425" s="9"/>
      <c r="P425" s="7">
        <f>grand[[#This Row],[total weight]]/grand[[#This Row],[received]]</f>
        <v>532.875</v>
      </c>
      <c r="Q425" s="7">
        <f>grand[[#This Row],[receiving weight]]/grand[[#This Row],[received]]</f>
        <v>508.75</v>
      </c>
      <c r="R425" s="7">
        <f>grand[[#This Row],[transportation loss ]]/grand[[#This Row],[received]]</f>
        <v>24.125</v>
      </c>
      <c r="S425" s="7">
        <f>grand[[#This Row],[ carcass weight]]/grand[[#This Row],[received]]</f>
        <v>319.73750000000001</v>
      </c>
      <c r="T425" s="7">
        <f>grand[[#This Row],[ kidneys fat quantity]]/grand[[#This Row],[received]]</f>
        <v>0</v>
      </c>
      <c r="U425" s="4">
        <v>25</v>
      </c>
      <c r="V425" s="4">
        <v>0</v>
      </c>
      <c r="W425" s="4">
        <v>49.38</v>
      </c>
      <c r="X425" s="4">
        <v>10</v>
      </c>
      <c r="Y425" s="8">
        <v>8.5</v>
      </c>
      <c r="Z425" s="3">
        <f>grand[[#This Row],[av. Transportation loss]]/grand[[#This Row],[av.total weight]]</f>
        <v>4.5273281726483698E-2</v>
      </c>
      <c r="AA425" s="12">
        <f>AVERAGE((grand[[#This Row],[am]]/25),(grand[[#This Row],[pm]]/50))</f>
        <v>0.99380000000000002</v>
      </c>
      <c r="AB425" s="3">
        <f>grand[[#This Row],[ carcass weight]]/grand[[#This Row],[total weight]]</f>
        <v>0.60002345765892562</v>
      </c>
      <c r="AC425" s="6">
        <f>SUM(grand[[#This Row],[am]:[meat transportation]])/100</f>
        <v>0.92879999999999996</v>
      </c>
      <c r="AD425" s="2"/>
      <c r="AE425" s="2"/>
      <c r="AF425" s="2"/>
      <c r="AG425" s="2"/>
      <c r="AH425" s="2"/>
      <c r="AI425" s="2"/>
      <c r="AJ425" s="2">
        <v>5</v>
      </c>
      <c r="AK425" s="12">
        <f>grand[[#This Row],[accepted as exception]]/grand[[#This Row],[number]]</f>
        <v>0.625</v>
      </c>
      <c r="AL425" s="2">
        <v>2</v>
      </c>
    </row>
    <row r="426" spans="1:38" hidden="1" x14ac:dyDescent="0.2">
      <c r="A426" s="11">
        <v>44427</v>
      </c>
      <c r="B426" s="53" t="s">
        <v>2684</v>
      </c>
      <c r="C426" s="52" t="str">
        <f>IF(MID(B426,4,2)="09","Ramadan",IF(AND(MID(B426,4,2)="12",VALUE(LEFT(B426,2))&lt;=9),"Adha Season","Normal"))</f>
        <v>Normal</v>
      </c>
      <c r="D426" s="1" t="s">
        <v>45</v>
      </c>
      <c r="F426" s="4" t="s">
        <v>46</v>
      </c>
      <c r="G426" s="4">
        <v>36</v>
      </c>
      <c r="H426" s="4">
        <v>36</v>
      </c>
      <c r="I426" s="2">
        <f>grand[[#This Row],[number]]-grand[[#This Row],[received]]</f>
        <v>0</v>
      </c>
      <c r="J426" s="30"/>
      <c r="K426" s="9">
        <v>13819</v>
      </c>
      <c r="L426" s="9">
        <v>13590</v>
      </c>
      <c r="M426" s="2">
        <f>K426-L426</f>
        <v>229</v>
      </c>
      <c r="N426" s="9">
        <v>8292</v>
      </c>
      <c r="O426" s="9"/>
      <c r="P426" s="7">
        <f>grand[[#This Row],[total weight]]/grand[[#This Row],[received]]</f>
        <v>383.86111111111109</v>
      </c>
      <c r="Q426" s="7">
        <f>grand[[#This Row],[receiving weight]]/grand[[#This Row],[received]]</f>
        <v>377.5</v>
      </c>
      <c r="R426" s="7">
        <f>grand[[#This Row],[transportation loss ]]/grand[[#This Row],[received]]</f>
        <v>6.3611111111111107</v>
      </c>
      <c r="S426" s="7">
        <f>grand[[#This Row],[ carcass weight]]/grand[[#This Row],[received]]</f>
        <v>230.33333333333334</v>
      </c>
      <c r="T426" s="7">
        <f>grand[[#This Row],[ kidneys fat quantity]]/grand[[#This Row],[received]]</f>
        <v>0</v>
      </c>
      <c r="U426" s="4">
        <v>24</v>
      </c>
      <c r="V426" s="4">
        <v>0</v>
      </c>
      <c r="W426" s="4">
        <v>49.94</v>
      </c>
      <c r="X426" s="4">
        <v>10</v>
      </c>
      <c r="Y426" s="8">
        <v>8.5</v>
      </c>
      <c r="Z426" s="3">
        <f>grand[[#This Row],[av. Transportation loss]]/grand[[#This Row],[av.total weight]]</f>
        <v>1.6571387220493523E-2</v>
      </c>
      <c r="AA426" s="12">
        <f>AVERAGE((grand[[#This Row],[am]]/25),(grand[[#This Row],[pm]]/50))</f>
        <v>0.97939999999999994</v>
      </c>
      <c r="AB426" s="3">
        <f>grand[[#This Row],[ carcass weight]]/grand[[#This Row],[total weight]]</f>
        <v>0.60004341848180043</v>
      </c>
      <c r="AC426" s="6">
        <f>SUM(grand[[#This Row],[am]:[meat transportation]])/100</f>
        <v>0.9244</v>
      </c>
      <c r="AD426" s="2"/>
      <c r="AE426" s="2"/>
      <c r="AF426" s="2"/>
      <c r="AG426" s="2"/>
      <c r="AH426" s="2"/>
      <c r="AI426" s="2"/>
      <c r="AJ426" s="2">
        <v>10</v>
      </c>
      <c r="AK426" s="12">
        <f>grand[[#This Row],[accepted as exception]]/grand[[#This Row],[number]]</f>
        <v>0.27777777777777779</v>
      </c>
      <c r="AL426" s="2">
        <v>2</v>
      </c>
    </row>
    <row r="427" spans="1:38" hidden="1" x14ac:dyDescent="0.2">
      <c r="A427" s="11">
        <v>44429</v>
      </c>
      <c r="B427" s="53" t="s">
        <v>2685</v>
      </c>
      <c r="C427" s="52" t="str">
        <f>IF(MID(B427,4,2)="09","Ramadan",IF(AND(MID(B427,4,2)="12",VALUE(LEFT(B427,2))&lt;=9),"Adha Season","Normal"))</f>
        <v>Normal</v>
      </c>
      <c r="D427" s="1" t="s">
        <v>45</v>
      </c>
      <c r="F427" s="4" t="s">
        <v>280</v>
      </c>
      <c r="G427" s="4">
        <v>29</v>
      </c>
      <c r="H427" s="4">
        <v>29</v>
      </c>
      <c r="I427" s="2">
        <f>grand[[#This Row],[number]]-grand[[#This Row],[received]]</f>
        <v>0</v>
      </c>
      <c r="J427" s="30"/>
      <c r="K427" s="9">
        <v>11027</v>
      </c>
      <c r="L427" s="9">
        <v>10715</v>
      </c>
      <c r="M427" s="2">
        <f>K427-L427</f>
        <v>312</v>
      </c>
      <c r="N427" s="9">
        <v>6616.2</v>
      </c>
      <c r="O427" s="9"/>
      <c r="P427" s="7">
        <f>grand[[#This Row],[total weight]]/grand[[#This Row],[received]]</f>
        <v>380.24137931034483</v>
      </c>
      <c r="Q427" s="7">
        <f>grand[[#This Row],[receiving weight]]/grand[[#This Row],[received]]</f>
        <v>369.48275862068965</v>
      </c>
      <c r="R427" s="7">
        <f>grand[[#This Row],[transportation loss ]]/grand[[#This Row],[received]]</f>
        <v>10.758620689655173</v>
      </c>
      <c r="S427" s="7">
        <f>grand[[#This Row],[ carcass weight]]/grand[[#This Row],[received]]</f>
        <v>228.1448275862069</v>
      </c>
      <c r="T427" s="7">
        <f>grand[[#This Row],[ kidneys fat quantity]]/grand[[#This Row],[received]]</f>
        <v>0</v>
      </c>
      <c r="U427" s="4">
        <v>25</v>
      </c>
      <c r="V427" s="4">
        <v>0</v>
      </c>
      <c r="W427" s="4">
        <v>50</v>
      </c>
      <c r="X427" s="4">
        <v>9.8000000000000007</v>
      </c>
      <c r="Y427" s="8">
        <v>8.5</v>
      </c>
      <c r="Z427" s="3">
        <f>grand[[#This Row],[av. Transportation loss]]/grand[[#This Row],[av.total weight]]</f>
        <v>2.8294186995556362E-2</v>
      </c>
      <c r="AA427" s="12">
        <f>AVERAGE((grand[[#This Row],[am]]/25),(grand[[#This Row],[pm]]/50))</f>
        <v>1</v>
      </c>
      <c r="AB427" s="3">
        <f>grand[[#This Row],[ carcass weight]]/grand[[#This Row],[total weight]]</f>
        <v>0.6</v>
      </c>
      <c r="AC427" s="6">
        <f>SUM(grand[[#This Row],[am]:[meat transportation]])/100</f>
        <v>0.93299999999999994</v>
      </c>
      <c r="AD427" s="2"/>
      <c r="AE427" s="2"/>
      <c r="AF427" s="2"/>
      <c r="AG427" s="2"/>
      <c r="AH427" s="2"/>
      <c r="AI427" s="2"/>
      <c r="AJ427" s="2">
        <v>1</v>
      </c>
      <c r="AK427" s="12">
        <f>grand[[#This Row],[accepted as exception]]/grand[[#This Row],[number]]</f>
        <v>3.4482758620689655E-2</v>
      </c>
      <c r="AL427" s="2">
        <v>0</v>
      </c>
    </row>
    <row r="428" spans="1:38" hidden="1" x14ac:dyDescent="0.2">
      <c r="A428" s="11">
        <v>44430</v>
      </c>
      <c r="B428" s="53" t="s">
        <v>1578</v>
      </c>
      <c r="C428" s="52" t="str">
        <f>IF(MID(B428,4,2)="09","Ramadan",IF(AND(MID(B428,4,2)="12",VALUE(LEFT(B428,2))&lt;=9),"Adha Season","Normal"))</f>
        <v>Normal</v>
      </c>
      <c r="D428" s="1" t="s">
        <v>45</v>
      </c>
      <c r="F428" s="4" t="s">
        <v>41</v>
      </c>
      <c r="G428" s="4">
        <v>8</v>
      </c>
      <c r="H428" s="4">
        <v>8</v>
      </c>
      <c r="I428" s="2">
        <f>grand[[#This Row],[number]]-grand[[#This Row],[received]]</f>
        <v>0</v>
      </c>
      <c r="J428" s="30"/>
      <c r="K428" s="9">
        <v>3005</v>
      </c>
      <c r="L428" s="9">
        <v>2950</v>
      </c>
      <c r="M428" s="2">
        <f>K428-L428</f>
        <v>55</v>
      </c>
      <c r="N428" s="9">
        <v>1803.2</v>
      </c>
      <c r="O428" s="9"/>
      <c r="P428" s="7">
        <f>grand[[#This Row],[total weight]]/grand[[#This Row],[received]]</f>
        <v>375.625</v>
      </c>
      <c r="Q428" s="7">
        <f>grand[[#This Row],[receiving weight]]/grand[[#This Row],[received]]</f>
        <v>368.75</v>
      </c>
      <c r="R428" s="7">
        <f>grand[[#This Row],[transportation loss ]]/grand[[#This Row],[received]]</f>
        <v>6.875</v>
      </c>
      <c r="S428" s="7">
        <f>grand[[#This Row],[ carcass weight]]/grand[[#This Row],[received]]</f>
        <v>225.4</v>
      </c>
      <c r="T428" s="7">
        <f>grand[[#This Row],[ kidneys fat quantity]]/grand[[#This Row],[received]]</f>
        <v>0</v>
      </c>
      <c r="U428" s="4">
        <v>25</v>
      </c>
      <c r="V428" s="4">
        <v>0</v>
      </c>
      <c r="W428" s="4">
        <v>50</v>
      </c>
      <c r="X428" s="4">
        <v>10</v>
      </c>
      <c r="Y428" s="8">
        <v>8.5</v>
      </c>
      <c r="Z428" s="3">
        <f>grand[[#This Row],[av. Transportation loss]]/grand[[#This Row],[av.total weight]]</f>
        <v>1.8302828618968387E-2</v>
      </c>
      <c r="AA428" s="12">
        <f>AVERAGE((grand[[#This Row],[am]]/25),(grand[[#This Row],[pm]]/50))</f>
        <v>1</v>
      </c>
      <c r="AB428" s="3">
        <f>grand[[#This Row],[ carcass weight]]/grand[[#This Row],[total weight]]</f>
        <v>0.60006655574043266</v>
      </c>
      <c r="AC428" s="6">
        <f>SUM(grand[[#This Row],[am]:[meat transportation]])/100</f>
        <v>0.93500000000000005</v>
      </c>
      <c r="AD428" s="2"/>
      <c r="AE428" s="2"/>
      <c r="AF428" s="2"/>
      <c r="AG428" s="2"/>
      <c r="AH428" s="2"/>
      <c r="AI428" s="2"/>
      <c r="AJ428" s="2">
        <v>2</v>
      </c>
      <c r="AK428" s="12">
        <f>grand[[#This Row],[accepted as exception]]/grand[[#This Row],[number]]</f>
        <v>0.25</v>
      </c>
      <c r="AL428" s="2">
        <v>0</v>
      </c>
    </row>
    <row r="429" spans="1:38" hidden="1" x14ac:dyDescent="0.2">
      <c r="A429" s="11">
        <v>44430</v>
      </c>
      <c r="B429" s="53" t="s">
        <v>1578</v>
      </c>
      <c r="C429" s="52" t="str">
        <f>IF(MID(B429,4,2)="09","Ramadan",IF(AND(MID(B429,4,2)="12",VALUE(LEFT(B429,2))&lt;=9),"Adha Season","Normal"))</f>
        <v>Normal</v>
      </c>
      <c r="D429" s="1" t="s">
        <v>45</v>
      </c>
      <c r="F429" s="4" t="s">
        <v>280</v>
      </c>
      <c r="G429" s="4">
        <v>36</v>
      </c>
      <c r="H429" s="4">
        <v>36</v>
      </c>
      <c r="I429" s="2">
        <f>grand[[#This Row],[number]]-grand[[#This Row],[received]]</f>
        <v>0</v>
      </c>
      <c r="J429" s="30"/>
      <c r="K429" s="9">
        <v>15977</v>
      </c>
      <c r="L429" s="9">
        <v>15655</v>
      </c>
      <c r="M429" s="2">
        <f>K429-L429</f>
        <v>322</v>
      </c>
      <c r="N429" s="9">
        <v>9694</v>
      </c>
      <c r="O429" s="9"/>
      <c r="P429" s="7">
        <f>grand[[#This Row],[total weight]]/grand[[#This Row],[received]]</f>
        <v>443.80555555555554</v>
      </c>
      <c r="Q429" s="7">
        <f>grand[[#This Row],[receiving weight]]/grand[[#This Row],[received]]</f>
        <v>434.86111111111109</v>
      </c>
      <c r="R429" s="7">
        <f>grand[[#This Row],[transportation loss ]]/grand[[#This Row],[received]]</f>
        <v>8.9444444444444446</v>
      </c>
      <c r="S429" s="7">
        <f>grand[[#This Row],[ carcass weight]]/grand[[#This Row],[received]]</f>
        <v>269.27777777777777</v>
      </c>
      <c r="T429" s="7">
        <f>grand[[#This Row],[ kidneys fat quantity]]/grand[[#This Row],[received]]</f>
        <v>0</v>
      </c>
      <c r="U429" s="4">
        <v>25</v>
      </c>
      <c r="V429" s="4">
        <v>0</v>
      </c>
      <c r="W429" s="4">
        <v>50</v>
      </c>
      <c r="X429" s="4">
        <v>10</v>
      </c>
      <c r="Y429" s="8">
        <v>8.5</v>
      </c>
      <c r="Z429" s="3">
        <f>grand[[#This Row],[av. Transportation loss]]/grand[[#This Row],[av.total weight]]</f>
        <v>2.0153971333792327E-2</v>
      </c>
      <c r="AA429" s="12">
        <f>AVERAGE((grand[[#This Row],[am]]/25),(grand[[#This Row],[pm]]/50))</f>
        <v>1</v>
      </c>
      <c r="AB429" s="3">
        <f>grand[[#This Row],[ carcass weight]]/grand[[#This Row],[total weight]]</f>
        <v>0.60674719909870434</v>
      </c>
      <c r="AC429" s="6">
        <f>SUM(grand[[#This Row],[am]:[meat transportation]])/100</f>
        <v>0.93500000000000005</v>
      </c>
      <c r="AD429" s="2"/>
      <c r="AE429" s="2"/>
      <c r="AF429" s="2"/>
      <c r="AG429" s="2"/>
      <c r="AH429" s="2"/>
      <c r="AI429" s="2"/>
      <c r="AJ429" s="2">
        <v>16</v>
      </c>
      <c r="AK429" s="12">
        <f>grand[[#This Row],[accepted as exception]]/grand[[#This Row],[number]]</f>
        <v>0.44444444444444442</v>
      </c>
      <c r="AL429" s="2">
        <v>0</v>
      </c>
    </row>
    <row r="430" spans="1:38" hidden="1" x14ac:dyDescent="0.2">
      <c r="A430" s="11">
        <v>44432</v>
      </c>
      <c r="B430" s="53" t="s">
        <v>2686</v>
      </c>
      <c r="C430" s="52" t="str">
        <f>IF(MID(B430,4,2)="09","Ramadan",IF(AND(MID(B430,4,2)="12",VALUE(LEFT(B430,2))&lt;=9),"Adha Season","Normal"))</f>
        <v>Normal</v>
      </c>
      <c r="D430" s="2" t="s">
        <v>294</v>
      </c>
      <c r="E430" s="2"/>
      <c r="F430" s="4" t="s">
        <v>105</v>
      </c>
      <c r="G430" s="4">
        <v>30</v>
      </c>
      <c r="H430" s="4">
        <v>30</v>
      </c>
      <c r="I430" s="2">
        <f>grand[[#This Row],[number]]-grand[[#This Row],[received]]</f>
        <v>0</v>
      </c>
      <c r="J430" s="30"/>
      <c r="K430" s="9">
        <v>1410</v>
      </c>
      <c r="L430" s="9">
        <v>1395</v>
      </c>
      <c r="M430" s="2">
        <f>K430-L430</f>
        <v>15</v>
      </c>
      <c r="N430" s="9">
        <v>809.5</v>
      </c>
      <c r="O430" s="9"/>
      <c r="P430" s="7">
        <f>grand[[#This Row],[total weight]]/grand[[#This Row],[received]]</f>
        <v>47</v>
      </c>
      <c r="Q430" s="7">
        <f>grand[[#This Row],[receiving weight]]/grand[[#This Row],[received]]</f>
        <v>46.5</v>
      </c>
      <c r="R430" s="7">
        <f>grand[[#This Row],[transportation loss ]]/grand[[#This Row],[received]]</f>
        <v>0.5</v>
      </c>
      <c r="S430" s="7">
        <f>grand[[#This Row],[ carcass weight]]/grand[[#This Row],[received]]</f>
        <v>26.983333333333334</v>
      </c>
      <c r="T430" s="7">
        <f>grand[[#This Row],[ kidneys fat quantity]]/grand[[#This Row],[received]]</f>
        <v>0</v>
      </c>
      <c r="U430" s="4">
        <v>25</v>
      </c>
      <c r="V430" s="4">
        <v>0</v>
      </c>
      <c r="W430" s="4">
        <v>49.53</v>
      </c>
      <c r="X430" s="4">
        <v>10</v>
      </c>
      <c r="Y430" s="8">
        <v>8.5</v>
      </c>
      <c r="Z430" s="3">
        <f>grand[[#This Row],[av. Transportation loss]]/grand[[#This Row],[av.total weight]]</f>
        <v>1.0638297872340425E-2</v>
      </c>
      <c r="AA430" s="12">
        <f>AVERAGE((grand[[#This Row],[am]]/25),(grand[[#This Row],[pm]]/50))</f>
        <v>0.99530000000000007</v>
      </c>
      <c r="AB430" s="3">
        <f>grand[[#This Row],[ carcass weight]]/grand[[#This Row],[total weight]]</f>
        <v>0.57411347517730493</v>
      </c>
      <c r="AC430" s="6">
        <f>SUM(grand[[#This Row],[am]:[meat transportation]])/100</f>
        <v>0.93030000000000002</v>
      </c>
      <c r="AD430" s="2"/>
      <c r="AE430" s="2"/>
      <c r="AF430" s="2"/>
      <c r="AG430" s="2"/>
      <c r="AH430" s="2"/>
      <c r="AI430" s="2"/>
      <c r="AJ430" s="2">
        <v>0</v>
      </c>
      <c r="AK430" s="12">
        <f>grand[[#This Row],[accepted as exception]]/grand[[#This Row],[number]]</f>
        <v>0</v>
      </c>
      <c r="AL430" s="2">
        <v>0</v>
      </c>
    </row>
    <row r="431" spans="1:38" hidden="1" x14ac:dyDescent="0.2">
      <c r="A431" s="11">
        <v>44436</v>
      </c>
      <c r="B431" s="53" t="s">
        <v>2688</v>
      </c>
      <c r="C431" s="52" t="str">
        <f>IF(MID(B431,4,2)="09","Ramadan",IF(AND(MID(B431,4,2)="12",VALUE(LEFT(B431,2))&lt;=9),"Adha Season","Normal"))</f>
        <v>Normal</v>
      </c>
      <c r="D431" s="2" t="s">
        <v>294</v>
      </c>
      <c r="E431" s="2"/>
      <c r="F431" s="4" t="s">
        <v>35</v>
      </c>
      <c r="G431" s="4">
        <v>25</v>
      </c>
      <c r="H431" s="4">
        <v>25</v>
      </c>
      <c r="I431" s="2">
        <f>grand[[#This Row],[number]]-grand[[#This Row],[received]]</f>
        <v>0</v>
      </c>
      <c r="J431" s="30"/>
      <c r="K431" s="9">
        <v>1098</v>
      </c>
      <c r="L431" s="9">
        <v>1070</v>
      </c>
      <c r="M431" s="2">
        <f>K431-L431</f>
        <v>28</v>
      </c>
      <c r="N431" s="9">
        <v>627.20000000000005</v>
      </c>
      <c r="O431" s="9"/>
      <c r="P431" s="7">
        <f>grand[[#This Row],[total weight]]/grand[[#This Row],[received]]</f>
        <v>43.92</v>
      </c>
      <c r="Q431" s="7">
        <f>grand[[#This Row],[receiving weight]]/grand[[#This Row],[received]]</f>
        <v>42.8</v>
      </c>
      <c r="R431" s="7">
        <f>grand[[#This Row],[transportation loss ]]/grand[[#This Row],[received]]</f>
        <v>1.1200000000000001</v>
      </c>
      <c r="S431" s="7">
        <f>grand[[#This Row],[ carcass weight]]/grand[[#This Row],[received]]</f>
        <v>25.088000000000001</v>
      </c>
      <c r="T431" s="7">
        <f>grand[[#This Row],[ kidneys fat quantity]]/grand[[#This Row],[received]]</f>
        <v>0</v>
      </c>
      <c r="U431" s="4">
        <v>25</v>
      </c>
      <c r="V431" s="4">
        <v>0</v>
      </c>
      <c r="W431" s="4">
        <v>50</v>
      </c>
      <c r="X431" s="4">
        <v>10</v>
      </c>
      <c r="Y431" s="8">
        <v>8.5</v>
      </c>
      <c r="Z431" s="3">
        <f>grand[[#This Row],[av. Transportation loss]]/grand[[#This Row],[av.total weight]]</f>
        <v>2.5500910746812388E-2</v>
      </c>
      <c r="AA431" s="12">
        <f>AVERAGE((grand[[#This Row],[am]]/25),(grand[[#This Row],[pm]]/50))</f>
        <v>1</v>
      </c>
      <c r="AB431" s="3">
        <f>grand[[#This Row],[ carcass weight]]/grand[[#This Row],[total weight]]</f>
        <v>0.57122040072859748</v>
      </c>
      <c r="AC431" s="6">
        <f>SUM(grand[[#This Row],[am]:[meat transportation]])/100</f>
        <v>0.93500000000000005</v>
      </c>
      <c r="AD431" s="2"/>
      <c r="AE431" s="2"/>
      <c r="AF431" s="2"/>
      <c r="AG431" s="2"/>
      <c r="AH431" s="2"/>
      <c r="AI431" s="2"/>
      <c r="AJ431" s="2">
        <v>0</v>
      </c>
      <c r="AK431" s="12">
        <f>grand[[#This Row],[accepted as exception]]/grand[[#This Row],[number]]</f>
        <v>0</v>
      </c>
      <c r="AL431" s="2">
        <v>0</v>
      </c>
    </row>
    <row r="432" spans="1:38" hidden="1" x14ac:dyDescent="0.2">
      <c r="A432" s="11">
        <v>44436</v>
      </c>
      <c r="B432" s="53" t="s">
        <v>2688</v>
      </c>
      <c r="C432" s="52" t="str">
        <f>IF(MID(B432,4,2)="09","Ramadan",IF(AND(MID(B432,4,2)="12",VALUE(LEFT(B432,2))&lt;=9),"Adha Season","Normal"))</f>
        <v>Normal</v>
      </c>
      <c r="D432" s="1" t="s">
        <v>45</v>
      </c>
      <c r="F432" s="4" t="s">
        <v>280</v>
      </c>
      <c r="G432" s="4">
        <v>30</v>
      </c>
      <c r="H432" s="4">
        <v>30</v>
      </c>
      <c r="I432" s="2">
        <f>grand[[#This Row],[number]]-grand[[#This Row],[received]]</f>
        <v>0</v>
      </c>
      <c r="J432" s="30"/>
      <c r="K432" s="9">
        <v>11685</v>
      </c>
      <c r="L432" s="9">
        <v>11305</v>
      </c>
      <c r="M432" s="2">
        <f>K432-L432</f>
        <v>380</v>
      </c>
      <c r="N432" s="9">
        <v>7011</v>
      </c>
      <c r="O432" s="9"/>
      <c r="P432" s="7">
        <f>grand[[#This Row],[total weight]]/grand[[#This Row],[received]]</f>
        <v>389.5</v>
      </c>
      <c r="Q432" s="7">
        <f>grand[[#This Row],[receiving weight]]/grand[[#This Row],[received]]</f>
        <v>376.83333333333331</v>
      </c>
      <c r="R432" s="7">
        <f>grand[[#This Row],[transportation loss ]]/grand[[#This Row],[received]]</f>
        <v>12.666666666666666</v>
      </c>
      <c r="S432" s="7">
        <f>grand[[#This Row],[ carcass weight]]/grand[[#This Row],[received]]</f>
        <v>233.7</v>
      </c>
      <c r="T432" s="7">
        <f>grand[[#This Row],[ kidneys fat quantity]]/grand[[#This Row],[received]]</f>
        <v>0</v>
      </c>
      <c r="U432" s="4">
        <v>25</v>
      </c>
      <c r="V432" s="4">
        <v>0</v>
      </c>
      <c r="W432" s="4">
        <v>50</v>
      </c>
      <c r="X432" s="4">
        <v>10</v>
      </c>
      <c r="Y432" s="8">
        <v>8.5</v>
      </c>
      <c r="Z432" s="3">
        <f>grand[[#This Row],[av. Transportation loss]]/grand[[#This Row],[av.total weight]]</f>
        <v>3.2520325203252029E-2</v>
      </c>
      <c r="AA432" s="12">
        <f>AVERAGE((grand[[#This Row],[am]]/25),(grand[[#This Row],[pm]]/50))</f>
        <v>1</v>
      </c>
      <c r="AB432" s="3">
        <f>grand[[#This Row],[ carcass weight]]/grand[[#This Row],[total weight]]</f>
        <v>0.6</v>
      </c>
      <c r="AC432" s="6">
        <f>SUM(grand[[#This Row],[am]:[meat transportation]])/100</f>
        <v>0.93500000000000005</v>
      </c>
      <c r="AD432" s="2"/>
      <c r="AE432" s="2"/>
      <c r="AF432" s="2"/>
      <c r="AG432" s="2"/>
      <c r="AH432" s="2"/>
      <c r="AI432" s="2"/>
      <c r="AJ432" s="2">
        <v>3</v>
      </c>
      <c r="AK432" s="12">
        <f>grand[[#This Row],[accepted as exception]]/grand[[#This Row],[number]]</f>
        <v>0.1</v>
      </c>
      <c r="AL432" s="2">
        <v>0</v>
      </c>
    </row>
    <row r="433" spans="1:38" hidden="1" x14ac:dyDescent="0.2">
      <c r="A433" s="11">
        <v>44437</v>
      </c>
      <c r="B433" s="53" t="s">
        <v>1579</v>
      </c>
      <c r="C433" s="52" t="str">
        <f>IF(MID(B433,4,2)="09","Ramadan",IF(AND(MID(B433,4,2)="12",VALUE(LEFT(B433,2))&lt;=9),"Adha Season","Normal"))</f>
        <v>Normal</v>
      </c>
      <c r="D433" s="1" t="s">
        <v>45</v>
      </c>
      <c r="F433" s="4" t="s">
        <v>282</v>
      </c>
      <c r="G433" s="4">
        <v>8</v>
      </c>
      <c r="H433" s="4">
        <v>8</v>
      </c>
      <c r="I433" s="2">
        <f>grand[[#This Row],[number]]-grand[[#This Row],[received]]</f>
        <v>0</v>
      </c>
      <c r="J433" s="30"/>
      <c r="K433" s="9">
        <v>3393</v>
      </c>
      <c r="L433" s="9">
        <v>3300</v>
      </c>
      <c r="M433" s="2">
        <f>K433-L433</f>
        <v>93</v>
      </c>
      <c r="N433" s="9">
        <v>2035.7</v>
      </c>
      <c r="O433" s="9"/>
      <c r="P433" s="7">
        <f>grand[[#This Row],[total weight]]/grand[[#This Row],[received]]</f>
        <v>424.125</v>
      </c>
      <c r="Q433" s="7">
        <f>grand[[#This Row],[receiving weight]]/grand[[#This Row],[received]]</f>
        <v>412.5</v>
      </c>
      <c r="R433" s="7">
        <f>grand[[#This Row],[transportation loss ]]/grand[[#This Row],[received]]</f>
        <v>11.625</v>
      </c>
      <c r="S433" s="7">
        <f>grand[[#This Row],[ carcass weight]]/grand[[#This Row],[received]]</f>
        <v>254.46250000000001</v>
      </c>
      <c r="T433" s="7">
        <f>grand[[#This Row],[ kidneys fat quantity]]/grand[[#This Row],[received]]</f>
        <v>0</v>
      </c>
      <c r="U433" s="4">
        <v>25</v>
      </c>
      <c r="V433" s="4">
        <v>0</v>
      </c>
      <c r="W433" s="4">
        <v>50</v>
      </c>
      <c r="X433" s="4">
        <v>10</v>
      </c>
      <c r="Y433" s="8">
        <v>8.5</v>
      </c>
      <c r="Z433" s="3">
        <f>grand[[#This Row],[av. Transportation loss]]/grand[[#This Row],[av.total weight]]</f>
        <v>2.7409372236958444E-2</v>
      </c>
      <c r="AA433" s="12">
        <f>AVERAGE((grand[[#This Row],[am]]/25),(grand[[#This Row],[pm]]/50))</f>
        <v>1</v>
      </c>
      <c r="AB433" s="3">
        <f>grand[[#This Row],[ carcass weight]]/grand[[#This Row],[total weight]]</f>
        <v>0.59997052755673441</v>
      </c>
      <c r="AC433" s="6">
        <f>SUM(grand[[#This Row],[am]:[meat transportation]])/100</f>
        <v>0.93500000000000005</v>
      </c>
      <c r="AD433" s="2"/>
      <c r="AE433" s="2"/>
      <c r="AF433" s="2"/>
      <c r="AG433" s="2"/>
      <c r="AH433" s="2"/>
      <c r="AI433" s="2"/>
      <c r="AJ433" s="2">
        <v>5</v>
      </c>
      <c r="AK433" s="12">
        <f>grand[[#This Row],[accepted as exception]]/grand[[#This Row],[number]]</f>
        <v>0.625</v>
      </c>
      <c r="AL433" s="2">
        <v>0</v>
      </c>
    </row>
    <row r="434" spans="1:38" hidden="1" x14ac:dyDescent="0.2">
      <c r="A434" s="11">
        <v>44443</v>
      </c>
      <c r="B434" s="53" t="s">
        <v>2691</v>
      </c>
      <c r="C434" s="52" t="str">
        <f>IF(MID(B434,4,2)="09","Ramadan",IF(AND(MID(B434,4,2)="12",VALUE(LEFT(B434,2))&lt;=9),"Adha Season","Normal"))</f>
        <v>Normal</v>
      </c>
      <c r="D434" s="2" t="s">
        <v>294</v>
      </c>
      <c r="E434" s="2"/>
      <c r="F434" s="4" t="s">
        <v>35</v>
      </c>
      <c r="G434" s="4">
        <v>28</v>
      </c>
      <c r="H434" s="4">
        <v>28</v>
      </c>
      <c r="I434" s="2">
        <f>grand[[#This Row],[number]]-grand[[#This Row],[received]]</f>
        <v>0</v>
      </c>
      <c r="J434" s="30"/>
      <c r="K434" s="9">
        <v>1302</v>
      </c>
      <c r="L434" s="9">
        <v>1245</v>
      </c>
      <c r="M434" s="2">
        <f>K434-L434</f>
        <v>57</v>
      </c>
      <c r="N434" s="9">
        <v>745.8</v>
      </c>
      <c r="O434" s="9"/>
      <c r="P434" s="7">
        <f>grand[[#This Row],[total weight]]/grand[[#This Row],[received]]</f>
        <v>46.5</v>
      </c>
      <c r="Q434" s="7">
        <f>grand[[#This Row],[receiving weight]]/grand[[#This Row],[received]]</f>
        <v>44.464285714285715</v>
      </c>
      <c r="R434" s="7">
        <f>grand[[#This Row],[transportation loss ]]/grand[[#This Row],[received]]</f>
        <v>2.0357142857142856</v>
      </c>
      <c r="S434" s="7">
        <f>grand[[#This Row],[ carcass weight]]/grand[[#This Row],[received]]</f>
        <v>26.635714285714283</v>
      </c>
      <c r="T434" s="7">
        <f>grand[[#This Row],[ kidneys fat quantity]]/grand[[#This Row],[received]]</f>
        <v>0</v>
      </c>
      <c r="U434" s="4">
        <v>25</v>
      </c>
      <c r="V434" s="4">
        <v>0</v>
      </c>
      <c r="W434" s="4">
        <v>50</v>
      </c>
      <c r="X434" s="4">
        <v>10</v>
      </c>
      <c r="Y434" s="8">
        <v>8.5</v>
      </c>
      <c r="Z434" s="3">
        <f>grand[[#This Row],[av. Transportation loss]]/grand[[#This Row],[av.total weight]]</f>
        <v>4.377880184331797E-2</v>
      </c>
      <c r="AA434" s="12">
        <f>AVERAGE((grand[[#This Row],[am]]/25),(grand[[#This Row],[pm]]/50))</f>
        <v>1</v>
      </c>
      <c r="AB434" s="3">
        <f>grand[[#This Row],[ carcass weight]]/grand[[#This Row],[total weight]]</f>
        <v>0.5728110599078341</v>
      </c>
      <c r="AC434" s="6">
        <f>SUM(grand[[#This Row],[am]:[meat transportation]])/100</f>
        <v>0.93500000000000005</v>
      </c>
      <c r="AD434" s="2"/>
      <c r="AE434" s="2"/>
      <c r="AF434" s="2"/>
      <c r="AG434" s="2"/>
      <c r="AH434" s="2"/>
      <c r="AI434" s="2"/>
      <c r="AJ434" s="2"/>
      <c r="AK434" s="12">
        <f>grand[[#This Row],[accepted as exception]]/grand[[#This Row],[number]]</f>
        <v>0</v>
      </c>
    </row>
    <row r="435" spans="1:38" hidden="1" x14ac:dyDescent="0.2">
      <c r="A435" s="11">
        <v>44444</v>
      </c>
      <c r="B435" s="53" t="s">
        <v>1580</v>
      </c>
      <c r="C435" s="52" t="str">
        <f>IF(MID(B435,4,2)="09","Ramadan",IF(AND(MID(B435,4,2)="12",VALUE(LEFT(B435,2))&lt;=9),"Adha Season","Normal"))</f>
        <v>Normal</v>
      </c>
      <c r="D435" s="1" t="s">
        <v>45</v>
      </c>
      <c r="F435" s="4" t="s">
        <v>280</v>
      </c>
      <c r="G435" s="4">
        <v>50</v>
      </c>
      <c r="H435" s="4">
        <v>50</v>
      </c>
      <c r="I435" s="2">
        <f>grand[[#This Row],[number]]-grand[[#This Row],[received]]</f>
        <v>0</v>
      </c>
      <c r="J435" s="30"/>
      <c r="K435" s="9">
        <v>20674</v>
      </c>
      <c r="L435" s="9">
        <v>19875</v>
      </c>
      <c r="M435" s="2">
        <f>K435-L435</f>
        <v>799</v>
      </c>
      <c r="N435" s="9">
        <v>12405.2</v>
      </c>
      <c r="O435" s="9"/>
      <c r="P435" s="7">
        <f>grand[[#This Row],[total weight]]/grand[[#This Row],[received]]</f>
        <v>413.48</v>
      </c>
      <c r="Q435" s="7">
        <f>grand[[#This Row],[receiving weight]]/grand[[#This Row],[received]]</f>
        <v>397.5</v>
      </c>
      <c r="R435" s="7">
        <f>grand[[#This Row],[transportation loss ]]/grand[[#This Row],[received]]</f>
        <v>15.98</v>
      </c>
      <c r="S435" s="7">
        <f>grand[[#This Row],[ carcass weight]]/grand[[#This Row],[received]]</f>
        <v>248.10400000000001</v>
      </c>
      <c r="T435" s="7">
        <f>grand[[#This Row],[ kidneys fat quantity]]/grand[[#This Row],[received]]</f>
        <v>0</v>
      </c>
      <c r="U435" s="4">
        <v>25</v>
      </c>
      <c r="V435" s="4">
        <v>0</v>
      </c>
      <c r="W435" s="4">
        <v>49.86</v>
      </c>
      <c r="X435" s="4">
        <v>10</v>
      </c>
      <c r="Y435" s="8">
        <v>8.5</v>
      </c>
      <c r="Z435" s="3">
        <f>grand[[#This Row],[av. Transportation loss]]/grand[[#This Row],[av.total weight]]</f>
        <v>3.8647576666344198E-2</v>
      </c>
      <c r="AA435" s="12">
        <f>AVERAGE((grand[[#This Row],[am]]/25),(grand[[#This Row],[pm]]/50))</f>
        <v>0.99859999999999993</v>
      </c>
      <c r="AB435" s="3">
        <f>grand[[#This Row],[ carcass weight]]/grand[[#This Row],[total weight]]</f>
        <v>0.60003869594659964</v>
      </c>
      <c r="AC435" s="6">
        <f>SUM(grand[[#This Row],[am]:[meat transportation]])/100</f>
        <v>0.93359999999999999</v>
      </c>
      <c r="AD435" s="2"/>
      <c r="AE435" s="2"/>
      <c r="AF435" s="2"/>
      <c r="AG435" s="2"/>
      <c r="AH435" s="2"/>
      <c r="AI435" s="2"/>
      <c r="AJ435" s="2">
        <v>19</v>
      </c>
      <c r="AK435" s="12">
        <f>grand[[#This Row],[accepted as exception]]/grand[[#This Row],[number]]</f>
        <v>0.38</v>
      </c>
    </row>
    <row r="436" spans="1:38" hidden="1" x14ac:dyDescent="0.2">
      <c r="A436" s="11">
        <v>44446</v>
      </c>
      <c r="B436" s="53" t="s">
        <v>2692</v>
      </c>
      <c r="C436" s="52" t="str">
        <f>IF(MID(B436,4,2)="09","Ramadan",IF(AND(MID(B436,4,2)="12",VALUE(LEFT(B436,2))&lt;=9),"Adha Season","Normal"))</f>
        <v>Normal</v>
      </c>
      <c r="D436" s="1" t="s">
        <v>45</v>
      </c>
      <c r="F436" s="4" t="s">
        <v>282</v>
      </c>
      <c r="G436" s="4">
        <v>9</v>
      </c>
      <c r="H436" s="4">
        <v>9</v>
      </c>
      <c r="I436" s="2">
        <f>grand[[#This Row],[number]]-grand[[#This Row],[received]]</f>
        <v>0</v>
      </c>
      <c r="J436" s="30"/>
      <c r="K436" s="9">
        <v>4129</v>
      </c>
      <c r="L436" s="9">
        <v>3925</v>
      </c>
      <c r="M436" s="2">
        <f>K436-L436</f>
        <v>204</v>
      </c>
      <c r="N436" s="9">
        <v>2477.5</v>
      </c>
      <c r="O436" s="9"/>
      <c r="P436" s="7">
        <f>grand[[#This Row],[total weight]]/grand[[#This Row],[received]]</f>
        <v>458.77777777777777</v>
      </c>
      <c r="Q436" s="7">
        <f>grand[[#This Row],[receiving weight]]/grand[[#This Row],[received]]</f>
        <v>436.11111111111109</v>
      </c>
      <c r="R436" s="7">
        <f>grand[[#This Row],[transportation loss ]]/grand[[#This Row],[received]]</f>
        <v>22.666666666666668</v>
      </c>
      <c r="S436" s="7">
        <f>grand[[#This Row],[ carcass weight]]/grand[[#This Row],[received]]</f>
        <v>275.27777777777777</v>
      </c>
      <c r="T436" s="7">
        <f>grand[[#This Row],[ kidneys fat quantity]]/grand[[#This Row],[received]]</f>
        <v>0</v>
      </c>
      <c r="U436" s="4">
        <v>25</v>
      </c>
      <c r="V436" s="4">
        <v>0</v>
      </c>
      <c r="W436" s="4">
        <v>50</v>
      </c>
      <c r="X436" s="4">
        <v>10</v>
      </c>
      <c r="Y436" s="8">
        <v>8.5</v>
      </c>
      <c r="Z436" s="3">
        <f>grand[[#This Row],[av. Transportation loss]]/grand[[#This Row],[av.total weight]]</f>
        <v>4.9406635989343667E-2</v>
      </c>
      <c r="AA436" s="12">
        <f>AVERAGE((grand[[#This Row],[am]]/25),(grand[[#This Row],[pm]]/50))</f>
        <v>1</v>
      </c>
      <c r="AB436" s="3">
        <f>grand[[#This Row],[ carcass weight]]/grand[[#This Row],[total weight]]</f>
        <v>0.60002421893921043</v>
      </c>
      <c r="AC436" s="6">
        <f>SUM(grand[[#This Row],[am]:[meat transportation]])/100</f>
        <v>0.93500000000000005</v>
      </c>
      <c r="AD436" s="2"/>
      <c r="AE436" s="2"/>
      <c r="AF436" s="2"/>
      <c r="AG436" s="2"/>
      <c r="AH436" s="2"/>
      <c r="AI436" s="2"/>
      <c r="AJ436" s="2">
        <v>7</v>
      </c>
      <c r="AK436" s="12">
        <f>grand[[#This Row],[accepted as exception]]/grand[[#This Row],[number]]</f>
        <v>0.77777777777777779</v>
      </c>
    </row>
    <row r="437" spans="1:38" hidden="1" x14ac:dyDescent="0.2">
      <c r="A437" s="11">
        <v>44450</v>
      </c>
      <c r="B437" s="53" t="s">
        <v>2694</v>
      </c>
      <c r="C437" s="52" t="str">
        <f>IF(MID(B437,4,2)="09","Ramadan",IF(AND(MID(B437,4,2)="12",VALUE(LEFT(B437,2))&lt;=9),"Adha Season","Normal"))</f>
        <v>Normal</v>
      </c>
      <c r="D437" s="2" t="s">
        <v>294</v>
      </c>
      <c r="E437" s="2"/>
      <c r="F437" s="4" t="s">
        <v>35</v>
      </c>
      <c r="G437" s="4">
        <v>25</v>
      </c>
      <c r="H437" s="4">
        <v>25</v>
      </c>
      <c r="I437" s="2">
        <f>grand[[#This Row],[number]]-grand[[#This Row],[received]]</f>
        <v>0</v>
      </c>
      <c r="J437" s="30"/>
      <c r="K437" s="9">
        <v>1163</v>
      </c>
      <c r="L437" s="9">
        <v>1115</v>
      </c>
      <c r="M437" s="2">
        <f>K437-L437</f>
        <v>48</v>
      </c>
      <c r="N437" s="9">
        <v>653</v>
      </c>
      <c r="O437" s="9"/>
      <c r="P437" s="7">
        <f>grand[[#This Row],[total weight]]/grand[[#This Row],[received]]</f>
        <v>46.52</v>
      </c>
      <c r="Q437" s="7">
        <f>grand[[#This Row],[receiving weight]]/grand[[#This Row],[received]]</f>
        <v>44.6</v>
      </c>
      <c r="R437" s="7">
        <f>grand[[#This Row],[transportation loss ]]/grand[[#This Row],[received]]</f>
        <v>1.92</v>
      </c>
      <c r="S437" s="7">
        <f>grand[[#This Row],[ carcass weight]]/grand[[#This Row],[received]]</f>
        <v>26.12</v>
      </c>
      <c r="T437" s="7">
        <f>grand[[#This Row],[ kidneys fat quantity]]/grand[[#This Row],[received]]</f>
        <v>0</v>
      </c>
      <c r="U437" s="4">
        <v>25</v>
      </c>
      <c r="V437" s="4">
        <v>0</v>
      </c>
      <c r="W437" s="4">
        <v>50</v>
      </c>
      <c r="X437" s="4">
        <v>10</v>
      </c>
      <c r="Y437" s="8">
        <v>8.5</v>
      </c>
      <c r="Z437" s="3">
        <f>grand[[#This Row],[av. Transportation loss]]/grand[[#This Row],[av.total weight]]</f>
        <v>4.1272570937231294E-2</v>
      </c>
      <c r="AA437" s="12">
        <f>AVERAGE((grand[[#This Row],[am]]/25),(grand[[#This Row],[pm]]/50))</f>
        <v>1</v>
      </c>
      <c r="AB437" s="3">
        <f>grand[[#This Row],[ carcass weight]]/grand[[#This Row],[total weight]]</f>
        <v>0.56147893379191749</v>
      </c>
      <c r="AC437" s="6">
        <f>SUM(grand[[#This Row],[am]:[meat transportation]])/100</f>
        <v>0.93500000000000005</v>
      </c>
      <c r="AD437" s="2"/>
      <c r="AE437" s="2"/>
      <c r="AF437" s="2"/>
      <c r="AG437" s="2"/>
      <c r="AH437" s="2"/>
      <c r="AI437" s="2"/>
      <c r="AJ437" s="2">
        <v>0</v>
      </c>
      <c r="AK437" s="12">
        <f>grand[[#This Row],[accepted as exception]]/grand[[#This Row],[number]]</f>
        <v>0</v>
      </c>
    </row>
    <row r="438" spans="1:38" hidden="1" x14ac:dyDescent="0.2">
      <c r="A438" s="11">
        <v>44453</v>
      </c>
      <c r="B438" s="53" t="s">
        <v>2695</v>
      </c>
      <c r="C438" s="52" t="str">
        <f>IF(MID(B438,4,2)="09","Ramadan",IF(AND(MID(B438,4,2)="12",VALUE(LEFT(B438,2))&lt;=9),"Adha Season","Normal"))</f>
        <v>Normal</v>
      </c>
      <c r="D438" s="1" t="s">
        <v>45</v>
      </c>
      <c r="F438" s="4" t="s">
        <v>282</v>
      </c>
      <c r="G438" s="4">
        <v>9</v>
      </c>
      <c r="H438" s="4">
        <v>9</v>
      </c>
      <c r="I438" s="2">
        <f>grand[[#This Row],[number]]-grand[[#This Row],[received]]</f>
        <v>0</v>
      </c>
      <c r="J438" s="30"/>
      <c r="K438" s="9">
        <v>3315</v>
      </c>
      <c r="L438" s="9">
        <v>3315</v>
      </c>
      <c r="M438" s="2">
        <f>K438-L438</f>
        <v>0</v>
      </c>
      <c r="N438" s="9">
        <v>1989</v>
      </c>
      <c r="O438" s="9"/>
      <c r="P438" s="7">
        <f>grand[[#This Row],[total weight]]/grand[[#This Row],[received]]</f>
        <v>368.33333333333331</v>
      </c>
      <c r="Q438" s="7">
        <f>grand[[#This Row],[receiving weight]]/grand[[#This Row],[received]]</f>
        <v>368.33333333333331</v>
      </c>
      <c r="R438" s="7">
        <f>grand[[#This Row],[transportation loss ]]/grand[[#This Row],[received]]</f>
        <v>0</v>
      </c>
      <c r="S438" s="7">
        <f>grand[[#This Row],[ carcass weight]]/grand[[#This Row],[received]]</f>
        <v>221</v>
      </c>
      <c r="T438" s="7">
        <f>grand[[#This Row],[ kidneys fat quantity]]/grand[[#This Row],[received]]</f>
        <v>0</v>
      </c>
      <c r="U438" s="4">
        <v>25</v>
      </c>
      <c r="V438" s="4">
        <v>0</v>
      </c>
      <c r="W438" s="4">
        <v>47.78</v>
      </c>
      <c r="X438" s="4">
        <v>10</v>
      </c>
      <c r="Y438" s="8">
        <v>8.5</v>
      </c>
      <c r="Z438" s="3">
        <f>grand[[#This Row],[av. Transportation loss]]/grand[[#This Row],[av.total weight]]</f>
        <v>0</v>
      </c>
      <c r="AA438" s="12">
        <f>AVERAGE((grand[[#This Row],[am]]/25),(grand[[#This Row],[pm]]/50))</f>
        <v>0.9778</v>
      </c>
      <c r="AB438" s="3">
        <f>grand[[#This Row],[ carcass weight]]/grand[[#This Row],[total weight]]</f>
        <v>0.6</v>
      </c>
      <c r="AC438" s="6">
        <f>SUM(grand[[#This Row],[am]:[meat transportation]])/100</f>
        <v>0.91280000000000006</v>
      </c>
      <c r="AD438" s="2"/>
      <c r="AE438" s="2"/>
      <c r="AF438" s="2"/>
      <c r="AG438" s="2"/>
      <c r="AH438" s="2"/>
      <c r="AI438" s="2"/>
      <c r="AJ438" s="2">
        <v>3</v>
      </c>
      <c r="AK438" s="12">
        <f>grand[[#This Row],[accepted as exception]]/grand[[#This Row],[number]]</f>
        <v>0.33333333333333331</v>
      </c>
      <c r="AL438" s="2">
        <v>2</v>
      </c>
    </row>
    <row r="439" spans="1:38" hidden="1" x14ac:dyDescent="0.2">
      <c r="A439" s="11">
        <v>44457</v>
      </c>
      <c r="B439" s="53" t="s">
        <v>2697</v>
      </c>
      <c r="C439" s="52" t="str">
        <f>IF(MID(B439,4,2)="09","Ramadan",IF(AND(MID(B439,4,2)="12",VALUE(LEFT(B439,2))&lt;=9),"Adha Season","Normal"))</f>
        <v>Normal</v>
      </c>
      <c r="D439" s="2" t="s">
        <v>294</v>
      </c>
      <c r="E439" s="2"/>
      <c r="F439" s="4" t="s">
        <v>35</v>
      </c>
      <c r="G439" s="4">
        <v>25</v>
      </c>
      <c r="H439" s="4">
        <v>25</v>
      </c>
      <c r="I439" s="2">
        <f>grand[[#This Row],[number]]-grand[[#This Row],[received]]</f>
        <v>0</v>
      </c>
      <c r="J439" s="30"/>
      <c r="K439" s="9">
        <v>1237</v>
      </c>
      <c r="L439" s="9">
        <v>1190</v>
      </c>
      <c r="M439" s="2">
        <f>K439-L439</f>
        <v>47</v>
      </c>
      <c r="N439" s="9">
        <v>706</v>
      </c>
      <c r="O439" s="9"/>
      <c r="P439" s="7">
        <f>grand[[#This Row],[total weight]]/grand[[#This Row],[received]]</f>
        <v>49.48</v>
      </c>
      <c r="Q439" s="7">
        <f>grand[[#This Row],[receiving weight]]/grand[[#This Row],[received]]</f>
        <v>47.6</v>
      </c>
      <c r="R439" s="7">
        <f>grand[[#This Row],[transportation loss ]]/grand[[#This Row],[received]]</f>
        <v>1.88</v>
      </c>
      <c r="S439" s="7">
        <f>grand[[#This Row],[ carcass weight]]/grand[[#This Row],[received]]</f>
        <v>28.24</v>
      </c>
      <c r="T439" s="7">
        <f>grand[[#This Row],[ kidneys fat quantity]]/grand[[#This Row],[received]]</f>
        <v>0</v>
      </c>
      <c r="U439" s="4">
        <v>25</v>
      </c>
      <c r="V439" s="4">
        <v>0</v>
      </c>
      <c r="W439" s="4">
        <v>50</v>
      </c>
      <c r="X439" s="4">
        <v>10</v>
      </c>
      <c r="Y439" s="8">
        <v>8.5</v>
      </c>
      <c r="Z439" s="3">
        <f>grand[[#This Row],[av. Transportation loss]]/grand[[#This Row],[av.total weight]]</f>
        <v>3.7995149555375911E-2</v>
      </c>
      <c r="AA439" s="12">
        <f>AVERAGE((grand[[#This Row],[am]]/25),(grand[[#This Row],[pm]]/50))</f>
        <v>1</v>
      </c>
      <c r="AB439" s="3">
        <f>grand[[#This Row],[ carcass weight]]/grand[[#This Row],[total weight]]</f>
        <v>0.57073565076798705</v>
      </c>
      <c r="AC439" s="6">
        <f>SUM(grand[[#This Row],[am]:[meat transportation]])/100</f>
        <v>0.93500000000000005</v>
      </c>
      <c r="AD439" s="2"/>
      <c r="AE439" s="2"/>
      <c r="AF439" s="2"/>
      <c r="AG439" s="2"/>
      <c r="AH439" s="2"/>
      <c r="AI439" s="2"/>
      <c r="AJ439" s="2">
        <v>0</v>
      </c>
      <c r="AK439" s="12">
        <f>grand[[#This Row],[accepted as exception]]/grand[[#This Row],[number]]</f>
        <v>0</v>
      </c>
    </row>
    <row r="440" spans="1:38" hidden="1" x14ac:dyDescent="0.2">
      <c r="A440" s="11">
        <v>44458</v>
      </c>
      <c r="B440" s="53" t="s">
        <v>1582</v>
      </c>
      <c r="C440" s="52" t="str">
        <f>IF(MID(B440,4,2)="09","Ramadan",IF(AND(MID(B440,4,2)="12",VALUE(LEFT(B440,2))&lt;=9),"Adha Season","Normal"))</f>
        <v>Normal</v>
      </c>
      <c r="D440" s="1" t="s">
        <v>45</v>
      </c>
      <c r="F440" s="4" t="s">
        <v>280</v>
      </c>
      <c r="G440" s="4">
        <v>36</v>
      </c>
      <c r="H440" s="4">
        <v>36</v>
      </c>
      <c r="I440" s="2">
        <f>grand[[#This Row],[number]]-grand[[#This Row],[received]]</f>
        <v>0</v>
      </c>
      <c r="J440" s="30"/>
      <c r="K440" s="9">
        <v>13543</v>
      </c>
      <c r="L440" s="9">
        <v>13310</v>
      </c>
      <c r="M440" s="2">
        <f>K440-L440</f>
        <v>233</v>
      </c>
      <c r="N440" s="9">
        <v>8126.1</v>
      </c>
      <c r="O440" s="9"/>
      <c r="P440" s="7">
        <f>grand[[#This Row],[total weight]]/grand[[#This Row],[received]]</f>
        <v>376.19444444444446</v>
      </c>
      <c r="Q440" s="7">
        <f>grand[[#This Row],[receiving weight]]/grand[[#This Row],[received]]</f>
        <v>369.72222222222223</v>
      </c>
      <c r="R440" s="7">
        <f>grand[[#This Row],[transportation loss ]]/grand[[#This Row],[received]]</f>
        <v>6.4722222222222223</v>
      </c>
      <c r="S440" s="7">
        <f>grand[[#This Row],[ carcass weight]]/grand[[#This Row],[received]]</f>
        <v>225.72500000000002</v>
      </c>
      <c r="T440" s="7">
        <f>grand[[#This Row],[ kidneys fat quantity]]/grand[[#This Row],[received]]</f>
        <v>0</v>
      </c>
      <c r="U440" s="4">
        <v>25</v>
      </c>
      <c r="V440" s="4">
        <v>0</v>
      </c>
      <c r="W440" s="4">
        <v>49.53</v>
      </c>
      <c r="X440" s="4">
        <v>10</v>
      </c>
      <c r="Y440" s="8">
        <v>8.5</v>
      </c>
      <c r="Z440" s="3">
        <f>grand[[#This Row],[av. Transportation loss]]/grand[[#This Row],[av.total weight]]</f>
        <v>1.7204459868566786E-2</v>
      </c>
      <c r="AA440" s="12">
        <f>AVERAGE((grand[[#This Row],[am]]/25),(grand[[#This Row],[pm]]/50))</f>
        <v>0.99530000000000007</v>
      </c>
      <c r="AB440" s="3">
        <f>grand[[#This Row],[ carcass weight]]/grand[[#This Row],[total weight]]</f>
        <v>0.60002215166506689</v>
      </c>
      <c r="AC440" s="6">
        <f>SUM(grand[[#This Row],[am]:[meat transportation]])/100</f>
        <v>0.93030000000000002</v>
      </c>
      <c r="AD440" s="2"/>
      <c r="AE440" s="2"/>
      <c r="AF440" s="2"/>
      <c r="AG440" s="2"/>
      <c r="AH440" s="2"/>
      <c r="AI440" s="2"/>
      <c r="AJ440" s="2">
        <v>6</v>
      </c>
      <c r="AK440" s="12">
        <f>grand[[#This Row],[accepted as exception]]/grand[[#This Row],[number]]</f>
        <v>0.16666666666666666</v>
      </c>
    </row>
    <row r="441" spans="1:38" hidden="1" x14ac:dyDescent="0.2">
      <c r="A441" s="11">
        <v>44462</v>
      </c>
      <c r="B441" s="53" t="s">
        <v>2699</v>
      </c>
      <c r="C441" s="52" t="str">
        <f>IF(MID(B441,4,2)="09","Ramadan",IF(AND(MID(B441,4,2)="12",VALUE(LEFT(B441,2))&lt;=9),"Adha Season","Normal"))</f>
        <v>Normal</v>
      </c>
      <c r="D441" s="1" t="s">
        <v>45</v>
      </c>
      <c r="F441" s="4" t="s">
        <v>46</v>
      </c>
      <c r="G441" s="4">
        <v>48</v>
      </c>
      <c r="H441" s="4">
        <v>48</v>
      </c>
      <c r="I441" s="2">
        <f>grand[[#This Row],[number]]-grand[[#This Row],[received]]</f>
        <v>0</v>
      </c>
      <c r="J441" s="30"/>
      <c r="K441" s="9">
        <v>18950</v>
      </c>
      <c r="L441" s="9">
        <v>18480</v>
      </c>
      <c r="M441" s="2">
        <f>K441-L441</f>
        <v>470</v>
      </c>
      <c r="N441" s="9">
        <v>11394.3</v>
      </c>
      <c r="O441" s="9"/>
      <c r="P441" s="7">
        <f>grand[[#This Row],[total weight]]/grand[[#This Row],[received]]</f>
        <v>394.79166666666669</v>
      </c>
      <c r="Q441" s="7">
        <f>grand[[#This Row],[receiving weight]]/grand[[#This Row],[received]]</f>
        <v>385</v>
      </c>
      <c r="R441" s="7">
        <f>grand[[#This Row],[transportation loss ]]/grand[[#This Row],[received]]</f>
        <v>9.7916666666666661</v>
      </c>
      <c r="S441" s="7">
        <f>grand[[#This Row],[ carcass weight]]/grand[[#This Row],[received]]</f>
        <v>237.38124999999999</v>
      </c>
      <c r="T441" s="7">
        <f>grand[[#This Row],[ kidneys fat quantity]]/grand[[#This Row],[received]]</f>
        <v>0</v>
      </c>
      <c r="U441" s="4">
        <v>25</v>
      </c>
      <c r="V441" s="4">
        <v>0</v>
      </c>
      <c r="W441" s="4">
        <v>49.56</v>
      </c>
      <c r="X441" s="4">
        <v>10</v>
      </c>
      <c r="Y441" s="8">
        <v>8.5</v>
      </c>
      <c r="Z441" s="3">
        <f>grand[[#This Row],[av. Transportation loss]]/grand[[#This Row],[av.total weight]]</f>
        <v>2.4802110817941949E-2</v>
      </c>
      <c r="AA441" s="12">
        <f>AVERAGE((grand[[#This Row],[am]]/25),(grand[[#This Row],[pm]]/50))</f>
        <v>0.99560000000000004</v>
      </c>
      <c r="AB441" s="3">
        <f>grand[[#This Row],[ carcass weight]]/grand[[#This Row],[total weight]]</f>
        <v>0.60128232189973607</v>
      </c>
      <c r="AC441" s="6">
        <f>SUM(grand[[#This Row],[am]:[meat transportation]])/100</f>
        <v>0.93059999999999998</v>
      </c>
      <c r="AD441" s="2"/>
      <c r="AE441" s="2"/>
      <c r="AF441" s="2"/>
      <c r="AG441" s="2"/>
      <c r="AH441" s="2"/>
      <c r="AI441" s="2"/>
      <c r="AJ441" s="2">
        <v>5</v>
      </c>
      <c r="AK441" s="12">
        <f>grand[[#This Row],[accepted as exception]]/grand[[#This Row],[number]]</f>
        <v>0.10416666666666667</v>
      </c>
    </row>
    <row r="442" spans="1:38" hidden="1" x14ac:dyDescent="0.2">
      <c r="A442" s="11">
        <v>44464</v>
      </c>
      <c r="B442" s="53" t="s">
        <v>2700</v>
      </c>
      <c r="C442" s="52" t="str">
        <f>IF(MID(B442,4,2)="09","Ramadan",IF(AND(MID(B442,4,2)="12",VALUE(LEFT(B442,2))&lt;=9),"Adha Season","Normal"))</f>
        <v>Normal</v>
      </c>
      <c r="D442" s="2" t="s">
        <v>294</v>
      </c>
      <c r="E442" s="2"/>
      <c r="F442" s="4" t="s">
        <v>35</v>
      </c>
      <c r="G442" s="4">
        <v>25</v>
      </c>
      <c r="H442" s="4">
        <v>25</v>
      </c>
      <c r="I442" s="2">
        <f>grand[[#This Row],[number]]-grand[[#This Row],[received]]</f>
        <v>0</v>
      </c>
      <c r="J442" s="30"/>
      <c r="K442" s="9">
        <v>1210</v>
      </c>
      <c r="L442" s="9">
        <v>1170</v>
      </c>
      <c r="M442" s="2">
        <f>K442-L442</f>
        <v>40</v>
      </c>
      <c r="N442" s="9">
        <v>695</v>
      </c>
      <c r="O442" s="9"/>
      <c r="P442" s="7">
        <f>grand[[#This Row],[total weight]]/grand[[#This Row],[received]]</f>
        <v>48.4</v>
      </c>
      <c r="Q442" s="7">
        <f>grand[[#This Row],[receiving weight]]/grand[[#This Row],[received]]</f>
        <v>46.8</v>
      </c>
      <c r="R442" s="7">
        <f>grand[[#This Row],[transportation loss ]]/grand[[#This Row],[received]]</f>
        <v>1.6</v>
      </c>
      <c r="S442" s="7">
        <f>grand[[#This Row],[ carcass weight]]/grand[[#This Row],[received]]</f>
        <v>27.8</v>
      </c>
      <c r="T442" s="7">
        <f>grand[[#This Row],[ kidneys fat quantity]]/grand[[#This Row],[received]]</f>
        <v>0</v>
      </c>
      <c r="U442" s="4">
        <v>25</v>
      </c>
      <c r="V442" s="4">
        <v>0</v>
      </c>
      <c r="W442" s="4">
        <v>49.64</v>
      </c>
      <c r="X442" s="4">
        <v>10</v>
      </c>
      <c r="Y442" s="8">
        <v>8.5</v>
      </c>
      <c r="Z442" s="3">
        <f>grand[[#This Row],[av. Transportation loss]]/grand[[#This Row],[av.total weight]]</f>
        <v>3.3057851239669422E-2</v>
      </c>
      <c r="AA442" s="12">
        <f>AVERAGE((grand[[#This Row],[am]]/25),(grand[[#This Row],[pm]]/50))</f>
        <v>0.99639999999999995</v>
      </c>
      <c r="AB442" s="3">
        <f>grand[[#This Row],[ carcass weight]]/grand[[#This Row],[total weight]]</f>
        <v>0.57438016528925617</v>
      </c>
      <c r="AC442" s="6">
        <f>SUM(grand[[#This Row],[am]:[meat transportation]])/100</f>
        <v>0.93140000000000001</v>
      </c>
      <c r="AD442" s="2"/>
      <c r="AE442" s="2"/>
      <c r="AF442" s="2"/>
      <c r="AG442" s="2"/>
      <c r="AH442" s="2"/>
      <c r="AI442" s="2"/>
      <c r="AJ442" s="2">
        <v>0</v>
      </c>
      <c r="AK442" s="12">
        <f>grand[[#This Row],[accepted as exception]]/grand[[#This Row],[number]]</f>
        <v>0</v>
      </c>
    </row>
    <row r="443" spans="1:38" hidden="1" x14ac:dyDescent="0.2">
      <c r="A443" s="11">
        <v>44465</v>
      </c>
      <c r="B443" s="53" t="s">
        <v>1583</v>
      </c>
      <c r="C443" s="52" t="str">
        <f>IF(MID(B443,4,2)="09","Ramadan",IF(AND(MID(B443,4,2)="12",VALUE(LEFT(B443,2))&lt;=9),"Adha Season","Normal"))</f>
        <v>Normal</v>
      </c>
      <c r="D443" s="1" t="s">
        <v>45</v>
      </c>
      <c r="F443" s="4" t="s">
        <v>282</v>
      </c>
      <c r="G443" s="4">
        <v>8</v>
      </c>
      <c r="H443" s="4">
        <v>8</v>
      </c>
      <c r="I443" s="2">
        <f>grand[[#This Row],[number]]-grand[[#This Row],[received]]</f>
        <v>0</v>
      </c>
      <c r="J443" s="30"/>
      <c r="K443" s="9">
        <v>3321</v>
      </c>
      <c r="L443" s="9">
        <v>3260</v>
      </c>
      <c r="M443" s="2">
        <f>K443-L443</f>
        <v>61</v>
      </c>
      <c r="N443" s="9">
        <v>1992.6</v>
      </c>
      <c r="O443" s="9"/>
      <c r="P443" s="7">
        <f>grand[[#This Row],[total weight]]/grand[[#This Row],[received]]</f>
        <v>415.125</v>
      </c>
      <c r="Q443" s="7">
        <f>grand[[#This Row],[receiving weight]]/grand[[#This Row],[received]]</f>
        <v>407.5</v>
      </c>
      <c r="R443" s="7">
        <f>grand[[#This Row],[transportation loss ]]/grand[[#This Row],[received]]</f>
        <v>7.625</v>
      </c>
      <c r="S443" s="7">
        <f>grand[[#This Row],[ carcass weight]]/grand[[#This Row],[received]]</f>
        <v>249.07499999999999</v>
      </c>
      <c r="T443" s="7">
        <f>grand[[#This Row],[ kidneys fat quantity]]/grand[[#This Row],[received]]</f>
        <v>0</v>
      </c>
      <c r="U443" s="4">
        <v>25</v>
      </c>
      <c r="V443" s="4">
        <v>0</v>
      </c>
      <c r="W443" s="4">
        <v>50</v>
      </c>
      <c r="X443" s="4">
        <v>10</v>
      </c>
      <c r="Y443" s="8">
        <v>8.5</v>
      </c>
      <c r="Z443" s="3">
        <f>grand[[#This Row],[av. Transportation loss]]/grand[[#This Row],[av.total weight]]</f>
        <v>1.8367961457392352E-2</v>
      </c>
      <c r="AA443" s="12">
        <f>AVERAGE((grand[[#This Row],[am]]/25),(grand[[#This Row],[pm]]/50))</f>
        <v>1</v>
      </c>
      <c r="AB443" s="3">
        <f>grand[[#This Row],[ carcass weight]]/grand[[#This Row],[total weight]]</f>
        <v>0.6</v>
      </c>
      <c r="AC443" s="6">
        <f>SUM(grand[[#This Row],[am]:[meat transportation]])/100</f>
        <v>0.93500000000000005</v>
      </c>
      <c r="AD443" s="2"/>
      <c r="AE443" s="2"/>
      <c r="AF443" s="2"/>
      <c r="AG443" s="2"/>
      <c r="AH443" s="2"/>
      <c r="AI443" s="2"/>
      <c r="AJ443" s="2">
        <v>1</v>
      </c>
      <c r="AK443" s="12">
        <f>grand[[#This Row],[accepted as exception]]/grand[[#This Row],[number]]</f>
        <v>0.125</v>
      </c>
    </row>
    <row r="444" spans="1:38" hidden="1" x14ac:dyDescent="0.2">
      <c r="A444" s="11">
        <v>44465</v>
      </c>
      <c r="B444" s="53" t="s">
        <v>1583</v>
      </c>
      <c r="C444" s="52" t="str">
        <f>IF(MID(B444,4,2)="09","Ramadan",IF(AND(MID(B444,4,2)="12",VALUE(LEFT(B444,2))&lt;=9),"Adha Season","Normal"))</f>
        <v>Normal</v>
      </c>
      <c r="D444" s="1" t="s">
        <v>45</v>
      </c>
      <c r="F444" s="4" t="s">
        <v>280</v>
      </c>
      <c r="G444" s="4">
        <v>36</v>
      </c>
      <c r="H444" s="4">
        <v>36</v>
      </c>
      <c r="I444" s="2">
        <f>grand[[#This Row],[number]]-grand[[#This Row],[received]]</f>
        <v>0</v>
      </c>
      <c r="J444" s="30"/>
      <c r="K444" s="9">
        <v>15757</v>
      </c>
      <c r="L444" s="9">
        <v>15350</v>
      </c>
      <c r="M444" s="2">
        <f>K444-L444</f>
        <v>407</v>
      </c>
      <c r="N444" s="9">
        <v>9454.4</v>
      </c>
      <c r="O444" s="9"/>
      <c r="P444" s="7">
        <f>grand[[#This Row],[total weight]]/grand[[#This Row],[received]]</f>
        <v>437.69444444444446</v>
      </c>
      <c r="Q444" s="7">
        <f>grand[[#This Row],[receiving weight]]/grand[[#This Row],[received]]</f>
        <v>426.38888888888891</v>
      </c>
      <c r="R444" s="7">
        <f>grand[[#This Row],[transportation loss ]]/grand[[#This Row],[received]]</f>
        <v>11.305555555555555</v>
      </c>
      <c r="S444" s="7">
        <f>grand[[#This Row],[ carcass weight]]/grand[[#This Row],[received]]</f>
        <v>262.62222222222221</v>
      </c>
      <c r="T444" s="7">
        <f>grand[[#This Row],[ kidneys fat quantity]]/grand[[#This Row],[received]]</f>
        <v>0</v>
      </c>
      <c r="U444" s="4">
        <v>25</v>
      </c>
      <c r="V444" s="4">
        <v>0</v>
      </c>
      <c r="W444" s="4">
        <v>49.81</v>
      </c>
      <c r="X444" s="4">
        <v>10</v>
      </c>
      <c r="Y444" s="8">
        <v>8.5</v>
      </c>
      <c r="Z444" s="3">
        <f>grand[[#This Row],[av. Transportation loss]]/grand[[#This Row],[av.total weight]]</f>
        <v>2.5829789934632225E-2</v>
      </c>
      <c r="AA444" s="12">
        <f>AVERAGE((grand[[#This Row],[am]]/25),(grand[[#This Row],[pm]]/50))</f>
        <v>0.99809999999999999</v>
      </c>
      <c r="AB444" s="3">
        <f>grand[[#This Row],[ carcass weight]]/grand[[#This Row],[total weight]]</f>
        <v>0.60001269277146663</v>
      </c>
      <c r="AC444" s="6">
        <f>SUM(grand[[#This Row],[am]:[meat transportation]])/100</f>
        <v>0.93310000000000004</v>
      </c>
      <c r="AD444" s="2"/>
      <c r="AE444" s="2"/>
      <c r="AF444" s="2"/>
      <c r="AG444" s="2"/>
      <c r="AH444" s="2"/>
      <c r="AI444" s="2"/>
      <c r="AJ444" s="2">
        <v>8</v>
      </c>
      <c r="AK444" s="12">
        <f>grand[[#This Row],[accepted as exception]]/grand[[#This Row],[number]]</f>
        <v>0.22222222222222221</v>
      </c>
    </row>
    <row r="445" spans="1:38" hidden="1" x14ac:dyDescent="0.2">
      <c r="A445" s="11">
        <v>44471</v>
      </c>
      <c r="B445" s="53" t="s">
        <v>2703</v>
      </c>
      <c r="C445" s="52" t="str">
        <f>IF(MID(B445,4,2)="09","Ramadan",IF(AND(MID(B445,4,2)="12",VALUE(LEFT(B445,2))&lt;=9),"Adha Season","Normal"))</f>
        <v>Normal</v>
      </c>
      <c r="D445" s="2" t="s">
        <v>294</v>
      </c>
      <c r="E445" s="2"/>
      <c r="F445" s="4" t="s">
        <v>35</v>
      </c>
      <c r="G445" s="4">
        <v>28</v>
      </c>
      <c r="H445" s="4">
        <v>28</v>
      </c>
      <c r="I445" s="2">
        <f>grand[[#This Row],[number]]-grand[[#This Row],[received]]</f>
        <v>0</v>
      </c>
      <c r="J445" s="30"/>
      <c r="K445" s="9">
        <v>1359</v>
      </c>
      <c r="L445" s="9">
        <v>1305</v>
      </c>
      <c r="M445" s="2">
        <f>K445-L445</f>
        <v>54</v>
      </c>
      <c r="N445" s="9">
        <v>782.3</v>
      </c>
      <c r="O445" s="9"/>
      <c r="P445" s="7">
        <f>grand[[#This Row],[total weight]]/grand[[#This Row],[received]]</f>
        <v>48.535714285714285</v>
      </c>
      <c r="Q445" s="7">
        <f>grand[[#This Row],[receiving weight]]/grand[[#This Row],[received]]</f>
        <v>46.607142857142854</v>
      </c>
      <c r="R445" s="7">
        <f>grand[[#This Row],[transportation loss ]]/grand[[#This Row],[received]]</f>
        <v>1.9285714285714286</v>
      </c>
      <c r="S445" s="7">
        <f>grand[[#This Row],[ carcass weight]]/grand[[#This Row],[received]]</f>
        <v>27.939285714285713</v>
      </c>
      <c r="T445" s="7">
        <f>grand[[#This Row],[ kidneys fat quantity]]/grand[[#This Row],[received]]</f>
        <v>0</v>
      </c>
      <c r="U445" s="4">
        <v>25</v>
      </c>
      <c r="V445" s="4">
        <v>0</v>
      </c>
      <c r="W445" s="4">
        <v>49.571428571428569</v>
      </c>
      <c r="X445" s="4">
        <v>10</v>
      </c>
      <c r="Y445" s="8">
        <v>8.5</v>
      </c>
      <c r="Z445" s="3">
        <f>grand[[#This Row],[av. Transportation loss]]/grand[[#This Row],[av.total weight]]</f>
        <v>3.9735099337748346E-2</v>
      </c>
      <c r="AA445" s="12">
        <f>AVERAGE((grand[[#This Row],[am]]/25),(grand[[#This Row],[pm]]/50))</f>
        <v>0.99571428571428577</v>
      </c>
      <c r="AB445" s="3">
        <f>grand[[#This Row],[ carcass weight]]/grand[[#This Row],[total weight]]</f>
        <v>0.57564385577630606</v>
      </c>
      <c r="AC445" s="6">
        <f>SUM(grand[[#This Row],[am]:[meat transportation]])/100</f>
        <v>0.93071428571428572</v>
      </c>
      <c r="AD445" s="2"/>
      <c r="AE445" s="2"/>
      <c r="AF445" s="2"/>
      <c r="AG445" s="2"/>
      <c r="AH445" s="2"/>
      <c r="AI445" s="2"/>
      <c r="AJ445" s="2"/>
      <c r="AK445" s="12">
        <f>grand[[#This Row],[accepted as exception]]/grand[[#This Row],[number]]</f>
        <v>0</v>
      </c>
    </row>
    <row r="446" spans="1:38" hidden="1" x14ac:dyDescent="0.2">
      <c r="A446" s="11">
        <v>44471</v>
      </c>
      <c r="B446" s="53" t="s">
        <v>2703</v>
      </c>
      <c r="C446" s="52" t="str">
        <f>IF(MID(B446,4,2)="09","Ramadan",IF(AND(MID(B446,4,2)="12",VALUE(LEFT(B446,2))&lt;=9),"Adha Season","Normal"))</f>
        <v>Normal</v>
      </c>
      <c r="D446" s="1" t="s">
        <v>45</v>
      </c>
      <c r="F446" s="4" t="s">
        <v>39</v>
      </c>
      <c r="G446" s="4">
        <v>35</v>
      </c>
      <c r="H446" s="4">
        <v>35</v>
      </c>
      <c r="I446" s="2">
        <f>grand[[#This Row],[number]]-grand[[#This Row],[received]]</f>
        <v>0</v>
      </c>
      <c r="J446" s="30"/>
      <c r="K446" s="9">
        <v>14456</v>
      </c>
      <c r="L446" s="9">
        <v>13488</v>
      </c>
      <c r="M446" s="2">
        <f>K446-L446</f>
        <v>968</v>
      </c>
      <c r="N446" s="9">
        <v>8876.6</v>
      </c>
      <c r="O446" s="9">
        <v>290</v>
      </c>
      <c r="P446" s="7">
        <f>grand[[#This Row],[total weight]]/grand[[#This Row],[received]]</f>
        <v>413.02857142857141</v>
      </c>
      <c r="Q446" s="7">
        <f>grand[[#This Row],[receiving weight]]/grand[[#This Row],[received]]</f>
        <v>385.37142857142857</v>
      </c>
      <c r="R446" s="7">
        <f>grand[[#This Row],[transportation loss ]]/grand[[#This Row],[received]]</f>
        <v>27.657142857142858</v>
      </c>
      <c r="S446" s="7">
        <f>grand[[#This Row],[ carcass weight]]/grand[[#This Row],[received]]</f>
        <v>253.61714285714288</v>
      </c>
      <c r="T446" s="7">
        <f>grand[[#This Row],[ kidneys fat quantity]]/grand[[#This Row],[received]]</f>
        <v>8.2857142857142865</v>
      </c>
      <c r="U446" s="4">
        <v>25</v>
      </c>
      <c r="V446" s="4">
        <v>0</v>
      </c>
      <c r="W446" s="4">
        <v>49.714285714285715</v>
      </c>
      <c r="X446" s="4">
        <v>9.4285714285714288</v>
      </c>
      <c r="Y446" s="8">
        <v>8.5</v>
      </c>
      <c r="Z446" s="3">
        <f>grand[[#This Row],[av. Transportation loss]]/grand[[#This Row],[av.total weight]]</f>
        <v>6.6961815163254015E-2</v>
      </c>
      <c r="AA446" s="12">
        <f>AVERAGE((grand[[#This Row],[am]]/25),(grand[[#This Row],[pm]]/50))</f>
        <v>0.99714285714285711</v>
      </c>
      <c r="AB446" s="3">
        <f>grand[[#This Row],[ carcass weight]]/grand[[#This Row],[total weight]]</f>
        <v>0.61404261206419486</v>
      </c>
      <c r="AC446" s="6">
        <f>SUM(grand[[#This Row],[am]:[meat transportation]])/100</f>
        <v>0.92642857142857149</v>
      </c>
      <c r="AD446" s="2"/>
      <c r="AE446" s="2"/>
      <c r="AF446" s="2"/>
      <c r="AG446" s="2"/>
      <c r="AH446" s="2"/>
      <c r="AI446" s="2"/>
      <c r="AJ446" s="2">
        <v>5</v>
      </c>
      <c r="AK446" s="12">
        <f>grand[[#This Row],[accepted as exception]]/grand[[#This Row],[number]]</f>
        <v>0.14285714285714285</v>
      </c>
      <c r="AL446" s="2">
        <v>7</v>
      </c>
    </row>
    <row r="447" spans="1:38" hidden="1" x14ac:dyDescent="0.2">
      <c r="A447" s="11">
        <v>44472</v>
      </c>
      <c r="B447" s="53" t="s">
        <v>1584</v>
      </c>
      <c r="C447" s="52" t="str">
        <f>IF(MID(B447,4,2)="09","Ramadan",IF(AND(MID(B447,4,2)="12",VALUE(LEFT(B447,2))&lt;=9),"Adha Season","Normal"))</f>
        <v>Normal</v>
      </c>
      <c r="D447" s="1" t="s">
        <v>45</v>
      </c>
      <c r="F447" s="4" t="s">
        <v>41</v>
      </c>
      <c r="G447" s="4">
        <v>8</v>
      </c>
      <c r="H447" s="4">
        <v>8</v>
      </c>
      <c r="I447" s="2">
        <f>grand[[#This Row],[number]]-grand[[#This Row],[received]]</f>
        <v>0</v>
      </c>
      <c r="J447" s="30"/>
      <c r="K447" s="9">
        <v>3051</v>
      </c>
      <c r="L447" s="9">
        <v>2890</v>
      </c>
      <c r="M447" s="2">
        <f>K447-L447</f>
        <v>161</v>
      </c>
      <c r="N447" s="9">
        <v>1831</v>
      </c>
      <c r="O447" s="9">
        <v>50</v>
      </c>
      <c r="P447" s="7">
        <f>grand[[#This Row],[total weight]]/grand[[#This Row],[received]]</f>
        <v>381.375</v>
      </c>
      <c r="Q447" s="7">
        <f>grand[[#This Row],[receiving weight]]/grand[[#This Row],[received]]</f>
        <v>361.25</v>
      </c>
      <c r="R447" s="7">
        <f>grand[[#This Row],[transportation loss ]]/grand[[#This Row],[received]]</f>
        <v>20.125</v>
      </c>
      <c r="S447" s="7">
        <f>grand[[#This Row],[ carcass weight]]/grand[[#This Row],[received]]</f>
        <v>228.875</v>
      </c>
      <c r="T447" s="7">
        <f>grand[[#This Row],[ kidneys fat quantity]]/grand[[#This Row],[received]]</f>
        <v>6.25</v>
      </c>
      <c r="U447" s="4">
        <v>25</v>
      </c>
      <c r="V447" s="4">
        <v>0</v>
      </c>
      <c r="W447" s="4">
        <v>50</v>
      </c>
      <c r="X447" s="4">
        <v>10</v>
      </c>
      <c r="Y447" s="8">
        <v>8.5</v>
      </c>
      <c r="Z447" s="3">
        <f>grand[[#This Row],[av. Transportation loss]]/grand[[#This Row],[av.total weight]]</f>
        <v>5.2769583743035073E-2</v>
      </c>
      <c r="AA447" s="12">
        <f>AVERAGE((grand[[#This Row],[am]]/25),(grand[[#This Row],[pm]]/50))</f>
        <v>1</v>
      </c>
      <c r="AB447" s="3">
        <f>grand[[#This Row],[ carcass weight]]/grand[[#This Row],[total weight]]</f>
        <v>0.60013110455588337</v>
      </c>
      <c r="AC447" s="6">
        <f>SUM(grand[[#This Row],[am]:[meat transportation]])/100</f>
        <v>0.93500000000000005</v>
      </c>
      <c r="AD447" s="2"/>
      <c r="AE447" s="2"/>
      <c r="AF447" s="2"/>
      <c r="AG447" s="2"/>
      <c r="AH447" s="2"/>
      <c r="AI447" s="2"/>
      <c r="AJ447" s="2"/>
      <c r="AK447" s="12">
        <f>grand[[#This Row],[accepted as exception]]/grand[[#This Row],[number]]</f>
        <v>0</v>
      </c>
      <c r="AL447" s="2">
        <v>0</v>
      </c>
    </row>
    <row r="448" spans="1:38" hidden="1" x14ac:dyDescent="0.2">
      <c r="A448" s="11">
        <v>44478</v>
      </c>
      <c r="B448" s="53" t="s">
        <v>2706</v>
      </c>
      <c r="C448" s="52" t="str">
        <f>IF(MID(B448,4,2)="09","Ramadan",IF(AND(MID(B448,4,2)="12",VALUE(LEFT(B448,2))&lt;=9),"Adha Season","Normal"))</f>
        <v>Normal</v>
      </c>
      <c r="D448" s="2" t="s">
        <v>294</v>
      </c>
      <c r="E448" s="2"/>
      <c r="F448" s="4" t="s">
        <v>328</v>
      </c>
      <c r="G448" s="4">
        <v>10</v>
      </c>
      <c r="H448" s="4">
        <v>10</v>
      </c>
      <c r="I448" s="2">
        <f>grand[[#This Row],[number]]-grand[[#This Row],[received]]</f>
        <v>0</v>
      </c>
      <c r="J448" s="30"/>
      <c r="K448" s="9">
        <v>272</v>
      </c>
      <c r="L448" s="9">
        <v>255</v>
      </c>
      <c r="M448" s="2">
        <f>K448-L448</f>
        <v>17</v>
      </c>
      <c r="N448" s="9">
        <v>132.6</v>
      </c>
      <c r="O448" s="9">
        <v>0</v>
      </c>
      <c r="P448" s="7">
        <f>grand[[#This Row],[total weight]]/grand[[#This Row],[received]]</f>
        <v>27.2</v>
      </c>
      <c r="Q448" s="7">
        <f>grand[[#This Row],[receiving weight]]/grand[[#This Row],[received]]</f>
        <v>25.5</v>
      </c>
      <c r="R448" s="7">
        <f>grand[[#This Row],[transportation loss ]]/grand[[#This Row],[received]]</f>
        <v>1.7</v>
      </c>
      <c r="S448" s="7">
        <f>grand[[#This Row],[ carcass weight]]/grand[[#This Row],[received]]</f>
        <v>13.26</v>
      </c>
      <c r="T448" s="7">
        <f>grand[[#This Row],[ kidneys fat quantity]]/grand[[#This Row],[received]]</f>
        <v>0</v>
      </c>
      <c r="U448" s="4">
        <v>25</v>
      </c>
      <c r="V448" s="4">
        <v>0</v>
      </c>
      <c r="W448" s="4">
        <v>48.515151515151516</v>
      </c>
      <c r="X448" s="4">
        <v>10</v>
      </c>
      <c r="Y448" s="8">
        <v>8.5</v>
      </c>
      <c r="Z448" s="3">
        <f>grand[[#This Row],[av. Transportation loss]]/grand[[#This Row],[av.total weight]]</f>
        <v>6.25E-2</v>
      </c>
      <c r="AA448" s="12">
        <f>AVERAGE((grand[[#This Row],[am]]/25),(grand[[#This Row],[pm]]/50))</f>
        <v>0.98515151515151511</v>
      </c>
      <c r="AB448" s="3">
        <f>grand[[#This Row],[ carcass weight]]/grand[[#This Row],[total weight]]</f>
        <v>0.48749999999999999</v>
      </c>
      <c r="AC448" s="6">
        <f>SUM(grand[[#This Row],[am]:[meat transportation]])/100</f>
        <v>0.92015151515151516</v>
      </c>
      <c r="AD448" s="2"/>
      <c r="AE448" s="2"/>
      <c r="AF448" s="2"/>
      <c r="AG448" s="2"/>
      <c r="AH448" s="2"/>
      <c r="AI448" s="2"/>
      <c r="AJ448" s="2"/>
      <c r="AK448" s="12">
        <f>grand[[#This Row],[accepted as exception]]/grand[[#This Row],[number]]</f>
        <v>0</v>
      </c>
    </row>
    <row r="449" spans="1:38" hidden="1" x14ac:dyDescent="0.2">
      <c r="A449" s="11">
        <v>44478</v>
      </c>
      <c r="B449" s="53" t="s">
        <v>2706</v>
      </c>
      <c r="C449" s="52" t="str">
        <f>IF(MID(B449,4,2)="09","Ramadan",IF(AND(MID(B449,4,2)="12",VALUE(LEFT(B449,2))&lt;=9),"Adha Season","Normal"))</f>
        <v>Normal</v>
      </c>
      <c r="D449" s="2" t="s">
        <v>294</v>
      </c>
      <c r="E449" s="2"/>
      <c r="F449" s="4" t="s">
        <v>328</v>
      </c>
      <c r="G449" s="4">
        <v>23</v>
      </c>
      <c r="H449" s="4">
        <v>23</v>
      </c>
      <c r="I449" s="2">
        <f>grand[[#This Row],[number]]-grand[[#This Row],[received]]</f>
        <v>0</v>
      </c>
      <c r="J449" s="30"/>
      <c r="K449" s="9">
        <v>1063</v>
      </c>
      <c r="L449" s="9">
        <v>1015</v>
      </c>
      <c r="M449" s="2">
        <f>K449-L449</f>
        <v>48</v>
      </c>
      <c r="N449" s="9">
        <v>612.6</v>
      </c>
      <c r="O449" s="9">
        <v>0</v>
      </c>
      <c r="P449" s="7">
        <f>grand[[#This Row],[total weight]]/grand[[#This Row],[received]]</f>
        <v>46.217391304347828</v>
      </c>
      <c r="Q449" s="7">
        <f>grand[[#This Row],[receiving weight]]/grand[[#This Row],[received]]</f>
        <v>44.130434782608695</v>
      </c>
      <c r="R449" s="7">
        <f>grand[[#This Row],[transportation loss ]]/grand[[#This Row],[received]]</f>
        <v>2.0869565217391304</v>
      </c>
      <c r="S449" s="7">
        <f>grand[[#This Row],[ carcass weight]]/grand[[#This Row],[received]]</f>
        <v>26.634782608695652</v>
      </c>
      <c r="T449" s="7">
        <f>grand[[#This Row],[ kidneys fat quantity]]/grand[[#This Row],[received]]</f>
        <v>0</v>
      </c>
      <c r="U449" s="4">
        <v>25</v>
      </c>
      <c r="V449" s="4">
        <v>0</v>
      </c>
      <c r="W449" s="4">
        <v>48.515151515151516</v>
      </c>
      <c r="X449" s="4">
        <v>10</v>
      </c>
      <c r="Y449" s="8">
        <v>8.5</v>
      </c>
      <c r="Z449" s="3">
        <f>grand[[#This Row],[av. Transportation loss]]/grand[[#This Row],[av.total weight]]</f>
        <v>4.5155221072436497E-2</v>
      </c>
      <c r="AA449" s="12">
        <f>AVERAGE((grand[[#This Row],[am]]/25),(grand[[#This Row],[pm]]/50))</f>
        <v>0.98515151515151511</v>
      </c>
      <c r="AB449" s="3">
        <f>grand[[#This Row],[ carcass weight]]/grand[[#This Row],[total weight]]</f>
        <v>0.57629350893697084</v>
      </c>
      <c r="AC449" s="6">
        <f>SUM(grand[[#This Row],[am]:[meat transportation]])/100</f>
        <v>0.92015151515151516</v>
      </c>
      <c r="AD449" s="2"/>
      <c r="AE449" s="2"/>
      <c r="AF449" s="2"/>
      <c r="AG449" s="2"/>
      <c r="AH449" s="2"/>
      <c r="AI449" s="2"/>
      <c r="AJ449" s="2"/>
      <c r="AK449" s="12">
        <f>grand[[#This Row],[accepted as exception]]/grand[[#This Row],[number]]</f>
        <v>0</v>
      </c>
      <c r="AL449" s="2">
        <v>2.5</v>
      </c>
    </row>
    <row r="450" spans="1:38" hidden="1" x14ac:dyDescent="0.2">
      <c r="A450" s="11">
        <v>44479</v>
      </c>
      <c r="B450" s="53" t="s">
        <v>1585</v>
      </c>
      <c r="C450" s="52" t="str">
        <f>IF(MID(B450,4,2)="09","Ramadan",IF(AND(MID(B450,4,2)="12",VALUE(LEFT(B450,2))&lt;=9),"Adha Season","Normal"))</f>
        <v>Normal</v>
      </c>
      <c r="D450" s="1" t="s">
        <v>45</v>
      </c>
      <c r="F450" s="4" t="s">
        <v>43</v>
      </c>
      <c r="G450" s="4">
        <v>16</v>
      </c>
      <c r="H450" s="4">
        <v>16</v>
      </c>
      <c r="I450" s="2">
        <f>grand[[#This Row],[number]]-grand[[#This Row],[received]]</f>
        <v>0</v>
      </c>
      <c r="J450" s="30"/>
      <c r="K450" s="9">
        <v>8070</v>
      </c>
      <c r="L450" s="9">
        <v>7625</v>
      </c>
      <c r="M450" s="2">
        <f>K450-L450</f>
        <v>445</v>
      </c>
      <c r="N450" s="9">
        <v>4847</v>
      </c>
      <c r="O450" s="9">
        <v>159</v>
      </c>
      <c r="P450" s="7">
        <f>grand[[#This Row],[total weight]]/grand[[#This Row],[received]]</f>
        <v>504.375</v>
      </c>
      <c r="Q450" s="7">
        <f>grand[[#This Row],[receiving weight]]/grand[[#This Row],[received]]</f>
        <v>476.5625</v>
      </c>
      <c r="R450" s="7">
        <f>grand[[#This Row],[transportation loss ]]/grand[[#This Row],[received]]</f>
        <v>27.8125</v>
      </c>
      <c r="S450" s="7">
        <f>grand[[#This Row],[ carcass weight]]/grand[[#This Row],[received]]</f>
        <v>302.9375</v>
      </c>
      <c r="T450" s="7">
        <f>grand[[#This Row],[ kidneys fat quantity]]/grand[[#This Row],[received]]</f>
        <v>9.9375</v>
      </c>
      <c r="U450" s="4">
        <v>25</v>
      </c>
      <c r="V450" s="4">
        <v>0</v>
      </c>
      <c r="W450" s="4">
        <v>50</v>
      </c>
      <c r="X450" s="4">
        <v>10</v>
      </c>
      <c r="Y450" s="8">
        <v>8.5</v>
      </c>
      <c r="Z450" s="3">
        <f>grand[[#This Row],[av. Transportation loss]]/grand[[#This Row],[av.total weight]]</f>
        <v>5.5142503097893432E-2</v>
      </c>
      <c r="AA450" s="12">
        <f>AVERAGE((grand[[#This Row],[am]]/25),(grand[[#This Row],[pm]]/50))</f>
        <v>1</v>
      </c>
      <c r="AB450" s="3">
        <f>grand[[#This Row],[ carcass weight]]/grand[[#This Row],[total weight]]</f>
        <v>0.60061957868649318</v>
      </c>
      <c r="AC450" s="6">
        <f>SUM(grand[[#This Row],[am]:[meat transportation]])/100</f>
        <v>0.93500000000000005</v>
      </c>
      <c r="AD450" s="2"/>
      <c r="AE450" s="2"/>
      <c r="AF450" s="2"/>
      <c r="AG450" s="2"/>
      <c r="AH450" s="2"/>
      <c r="AI450" s="2"/>
      <c r="AJ450" s="2">
        <v>11</v>
      </c>
      <c r="AK450" s="12">
        <f>grand[[#This Row],[accepted as exception]]/grand[[#This Row],[number]]</f>
        <v>0.6875</v>
      </c>
      <c r="AL450" s="2">
        <v>0</v>
      </c>
    </row>
    <row r="451" spans="1:38" hidden="1" x14ac:dyDescent="0.2">
      <c r="A451" s="11">
        <v>44479</v>
      </c>
      <c r="B451" s="53" t="s">
        <v>1585</v>
      </c>
      <c r="C451" s="52" t="str">
        <f>IF(MID(B451,4,2)="09","Ramadan",IF(AND(MID(B451,4,2)="12",VALUE(LEFT(B451,2))&lt;=9),"Adha Season","Normal"))</f>
        <v>Normal</v>
      </c>
      <c r="D451" s="1" t="s">
        <v>45</v>
      </c>
      <c r="F451" s="4" t="s">
        <v>280</v>
      </c>
      <c r="G451" s="4">
        <v>26</v>
      </c>
      <c r="H451" s="4">
        <v>26</v>
      </c>
      <c r="I451" s="2">
        <f>grand[[#This Row],[number]]-grand[[#This Row],[received]]</f>
        <v>0</v>
      </c>
      <c r="J451" s="30"/>
      <c r="K451" s="9">
        <v>11695</v>
      </c>
      <c r="L451" s="9">
        <v>11385</v>
      </c>
      <c r="M451" s="2">
        <f>K451-L451</f>
        <v>310</v>
      </c>
      <c r="N451" s="9">
        <v>7208</v>
      </c>
      <c r="O451" s="9">
        <v>257</v>
      </c>
      <c r="P451" s="7">
        <f>grand[[#This Row],[total weight]]/grand[[#This Row],[received]]</f>
        <v>449.80769230769232</v>
      </c>
      <c r="Q451" s="7">
        <f>grand[[#This Row],[receiving weight]]/grand[[#This Row],[received]]</f>
        <v>437.88461538461536</v>
      </c>
      <c r="R451" s="7">
        <f>grand[[#This Row],[transportation loss ]]/grand[[#This Row],[received]]</f>
        <v>11.923076923076923</v>
      </c>
      <c r="S451" s="7">
        <f>grand[[#This Row],[ carcass weight]]/grand[[#This Row],[received]]</f>
        <v>277.23076923076923</v>
      </c>
      <c r="T451" s="7">
        <f>grand[[#This Row],[ kidneys fat quantity]]/grand[[#This Row],[received]]</f>
        <v>9.884615384615385</v>
      </c>
      <c r="U451" s="4">
        <v>25</v>
      </c>
      <c r="V451" s="4">
        <v>0</v>
      </c>
      <c r="W451" s="4">
        <v>49.46153846153846</v>
      </c>
      <c r="X451" s="4">
        <v>10</v>
      </c>
      <c r="Y451" s="8">
        <v>8.5</v>
      </c>
      <c r="Z451" s="3">
        <f>grand[[#This Row],[av. Transportation loss]]/grand[[#This Row],[av.total weight]]</f>
        <v>2.6507054296707994E-2</v>
      </c>
      <c r="AA451" s="12">
        <f>AVERAGE((grand[[#This Row],[am]]/25),(grand[[#This Row],[pm]]/50))</f>
        <v>0.99461538461538468</v>
      </c>
      <c r="AB451" s="3">
        <f>grand[[#This Row],[ carcass weight]]/grand[[#This Row],[total weight]]</f>
        <v>0.61633176571184267</v>
      </c>
      <c r="AC451" s="6">
        <f>SUM(grand[[#This Row],[am]:[meat transportation]])/100</f>
        <v>0.92961538461538451</v>
      </c>
      <c r="AD451" s="2"/>
      <c r="AE451" s="2"/>
      <c r="AF451" s="2"/>
      <c r="AG451" s="2"/>
      <c r="AH451" s="2"/>
      <c r="AI451" s="2"/>
      <c r="AJ451" s="2">
        <v>5</v>
      </c>
      <c r="AK451" s="12">
        <f>grand[[#This Row],[accepted as exception]]/grand[[#This Row],[number]]</f>
        <v>0.19230769230769232</v>
      </c>
      <c r="AL451" s="2">
        <v>3</v>
      </c>
    </row>
    <row r="452" spans="1:38" hidden="1" x14ac:dyDescent="0.2">
      <c r="A452" s="11">
        <v>44481</v>
      </c>
      <c r="B452" s="53" t="s">
        <v>2707</v>
      </c>
      <c r="C452" s="52" t="str">
        <f>IF(MID(B452,4,2)="09","Ramadan",IF(AND(MID(B452,4,2)="12",VALUE(LEFT(B452,2))&lt;=9),"Adha Season","Normal"))</f>
        <v>Normal</v>
      </c>
      <c r="D452" s="1" t="s">
        <v>45</v>
      </c>
      <c r="F452" s="4" t="s">
        <v>41</v>
      </c>
      <c r="G452" s="4">
        <v>8</v>
      </c>
      <c r="H452" s="4">
        <v>8</v>
      </c>
      <c r="I452" s="2">
        <f>grand[[#This Row],[number]]-grand[[#This Row],[received]]</f>
        <v>0</v>
      </c>
      <c r="J452" s="30"/>
      <c r="K452" s="9">
        <v>3381</v>
      </c>
      <c r="L452" s="9">
        <v>3335</v>
      </c>
      <c r="M452" s="2">
        <f>K452-L452</f>
        <v>46</v>
      </c>
      <c r="N452" s="9">
        <v>2028.5</v>
      </c>
      <c r="O452" s="9">
        <v>67</v>
      </c>
      <c r="P452" s="7">
        <f>grand[[#This Row],[total weight]]/grand[[#This Row],[received]]</f>
        <v>422.625</v>
      </c>
      <c r="Q452" s="7">
        <f>grand[[#This Row],[receiving weight]]/grand[[#This Row],[received]]</f>
        <v>416.875</v>
      </c>
      <c r="R452" s="7">
        <f>grand[[#This Row],[transportation loss ]]/grand[[#This Row],[received]]</f>
        <v>5.75</v>
      </c>
      <c r="S452" s="7">
        <f>grand[[#This Row],[ carcass weight]]/grand[[#This Row],[received]]</f>
        <v>253.5625</v>
      </c>
      <c r="T452" s="7">
        <f>grand[[#This Row],[ kidneys fat quantity]]/grand[[#This Row],[received]]</f>
        <v>8.375</v>
      </c>
      <c r="U452" s="4">
        <v>25</v>
      </c>
      <c r="V452" s="4">
        <v>0</v>
      </c>
      <c r="W452" s="4">
        <v>48.875</v>
      </c>
      <c r="X452" s="4">
        <v>10</v>
      </c>
      <c r="Y452" s="8">
        <v>8.5</v>
      </c>
      <c r="Z452" s="3">
        <f>grand[[#This Row],[av. Transportation loss]]/grand[[#This Row],[av.total weight]]</f>
        <v>1.3605442176870748E-2</v>
      </c>
      <c r="AA452" s="12">
        <f>AVERAGE((grand[[#This Row],[am]]/25),(grand[[#This Row],[pm]]/50))</f>
        <v>0.98875000000000002</v>
      </c>
      <c r="AB452" s="3">
        <f>grand[[#This Row],[ carcass weight]]/grand[[#This Row],[total weight]]</f>
        <v>0.59997042295178937</v>
      </c>
      <c r="AC452" s="6">
        <f>SUM(grand[[#This Row],[am]:[meat transportation]])/100</f>
        <v>0.92374999999999996</v>
      </c>
      <c r="AD452" s="2"/>
      <c r="AE452" s="2"/>
      <c r="AF452" s="2"/>
      <c r="AG452" s="2"/>
      <c r="AH452" s="2"/>
      <c r="AI452" s="2"/>
      <c r="AJ452" s="2">
        <v>1</v>
      </c>
      <c r="AK452" s="12">
        <f>grand[[#This Row],[accepted as exception]]/grand[[#This Row],[number]]</f>
        <v>0.125</v>
      </c>
      <c r="AL452" s="2">
        <v>1</v>
      </c>
    </row>
    <row r="453" spans="1:38" hidden="1" x14ac:dyDescent="0.2">
      <c r="A453" s="11">
        <v>44485</v>
      </c>
      <c r="B453" s="53" t="s">
        <v>2709</v>
      </c>
      <c r="C453" s="52" t="str">
        <f>IF(MID(B453,4,2)="09","Ramadan",IF(AND(MID(B453,4,2)="12",VALUE(LEFT(B453,2))&lt;=9),"Adha Season","Normal"))</f>
        <v>Normal</v>
      </c>
      <c r="D453" s="1" t="s">
        <v>45</v>
      </c>
      <c r="F453" s="4" t="s">
        <v>280</v>
      </c>
      <c r="G453" s="4">
        <v>30</v>
      </c>
      <c r="H453" s="4">
        <v>30</v>
      </c>
      <c r="I453" s="2">
        <f>grand[[#This Row],[number]]-grand[[#This Row],[received]]</f>
        <v>0</v>
      </c>
      <c r="J453" s="30"/>
      <c r="K453" s="9">
        <v>14675</v>
      </c>
      <c r="L453" s="9">
        <v>14190</v>
      </c>
      <c r="M453" s="2">
        <f>K453-L453</f>
        <v>485</v>
      </c>
      <c r="N453" s="9">
        <v>8825.4</v>
      </c>
      <c r="O453" s="9">
        <v>299</v>
      </c>
      <c r="P453" s="7">
        <f>grand[[#This Row],[total weight]]/grand[[#This Row],[received]]</f>
        <v>489.16666666666669</v>
      </c>
      <c r="Q453" s="7">
        <f>grand[[#This Row],[receiving weight]]/grand[[#This Row],[received]]</f>
        <v>473</v>
      </c>
      <c r="R453" s="7">
        <f>grand[[#This Row],[transportation loss ]]/grand[[#This Row],[received]]</f>
        <v>16.166666666666668</v>
      </c>
      <c r="S453" s="7">
        <f>grand[[#This Row],[ carcass weight]]/grand[[#This Row],[received]]</f>
        <v>294.18</v>
      </c>
      <c r="T453" s="7">
        <f>grand[[#This Row],[ kidneys fat quantity]]/grand[[#This Row],[received]]</f>
        <v>9.9666666666666668</v>
      </c>
      <c r="U453" s="4">
        <v>25</v>
      </c>
      <c r="V453" s="4">
        <v>0</v>
      </c>
      <c r="W453" s="4">
        <v>49.533333333333331</v>
      </c>
      <c r="X453" s="4">
        <v>10</v>
      </c>
      <c r="Y453" s="8">
        <v>8.5</v>
      </c>
      <c r="Z453" s="3">
        <f>grand[[#This Row],[av. Transportation loss]]/grand[[#This Row],[av.total weight]]</f>
        <v>3.3049403747870527E-2</v>
      </c>
      <c r="AA453" s="12">
        <f>AVERAGE((grand[[#This Row],[am]]/25),(grand[[#This Row],[pm]]/50))</f>
        <v>0.99533333333333329</v>
      </c>
      <c r="AB453" s="3">
        <f>grand[[#This Row],[ carcass weight]]/grand[[#This Row],[total weight]]</f>
        <v>0.60139011925042585</v>
      </c>
      <c r="AC453" s="6">
        <f>SUM(grand[[#This Row],[am]:[meat transportation]])/100</f>
        <v>0.93033333333333335</v>
      </c>
      <c r="AD453" s="2"/>
      <c r="AE453" s="2"/>
      <c r="AF453" s="2"/>
      <c r="AG453" s="2"/>
      <c r="AH453" s="2"/>
      <c r="AI453" s="2"/>
      <c r="AJ453" s="2">
        <v>11</v>
      </c>
      <c r="AK453" s="12">
        <f>grand[[#This Row],[accepted as exception]]/grand[[#This Row],[number]]</f>
        <v>0.36666666666666664</v>
      </c>
      <c r="AL453" s="2">
        <v>1</v>
      </c>
    </row>
    <row r="454" spans="1:38" hidden="1" x14ac:dyDescent="0.2">
      <c r="A454" s="11">
        <v>44485</v>
      </c>
      <c r="B454" s="53" t="s">
        <v>2709</v>
      </c>
      <c r="C454" s="52" t="str">
        <f>IF(MID(B454,4,2)="09","Ramadan",IF(AND(MID(B454,4,2)="12",VALUE(LEFT(B454,2))&lt;=9),"Adha Season","Normal"))</f>
        <v>Normal</v>
      </c>
      <c r="D454" s="2" t="s">
        <v>294</v>
      </c>
      <c r="E454" s="2"/>
      <c r="F454" s="4" t="s">
        <v>35</v>
      </c>
      <c r="G454" s="4">
        <v>25</v>
      </c>
      <c r="H454" s="4">
        <v>25</v>
      </c>
      <c r="I454" s="2">
        <f>grand[[#This Row],[number]]-grand[[#This Row],[received]]</f>
        <v>0</v>
      </c>
      <c r="J454" s="30"/>
      <c r="K454" s="9">
        <v>1206</v>
      </c>
      <c r="L454" s="9">
        <v>1170</v>
      </c>
      <c r="M454" s="2">
        <f>K454-L454</f>
        <v>36</v>
      </c>
      <c r="N454" s="9">
        <v>726.5</v>
      </c>
      <c r="O454" s="9">
        <v>0</v>
      </c>
      <c r="P454" s="7">
        <f>grand[[#This Row],[total weight]]/grand[[#This Row],[received]]</f>
        <v>48.24</v>
      </c>
      <c r="Q454" s="7">
        <f>grand[[#This Row],[receiving weight]]/grand[[#This Row],[received]]</f>
        <v>46.8</v>
      </c>
      <c r="R454" s="7">
        <f>grand[[#This Row],[transportation loss ]]/grand[[#This Row],[received]]</f>
        <v>1.44</v>
      </c>
      <c r="S454" s="7">
        <f>grand[[#This Row],[ carcass weight]]/grand[[#This Row],[received]]</f>
        <v>29.06</v>
      </c>
      <c r="T454" s="7">
        <f>grand[[#This Row],[ kidneys fat quantity]]/grand[[#This Row],[received]]</f>
        <v>0</v>
      </c>
      <c r="U454" s="4">
        <v>25</v>
      </c>
      <c r="V454" s="4">
        <v>0</v>
      </c>
      <c r="W454" s="4">
        <v>49.519999999999996</v>
      </c>
      <c r="X454" s="4">
        <v>10</v>
      </c>
      <c r="Y454" s="8">
        <v>8.5</v>
      </c>
      <c r="Z454" s="3">
        <f>grand[[#This Row],[av. Transportation loss]]/grand[[#This Row],[av.total weight]]</f>
        <v>2.9850746268656712E-2</v>
      </c>
      <c r="AA454" s="12">
        <f>AVERAGE((grand[[#This Row],[am]]/25),(grand[[#This Row],[pm]]/50))</f>
        <v>0.99519999999999997</v>
      </c>
      <c r="AB454" s="3">
        <f>grand[[#This Row],[ carcass weight]]/grand[[#This Row],[total weight]]</f>
        <v>0.60240464344941957</v>
      </c>
      <c r="AC454" s="6">
        <f>SUM(grand[[#This Row],[am]:[meat transportation]])/100</f>
        <v>0.93019999999999992</v>
      </c>
      <c r="AD454" s="2"/>
      <c r="AE454" s="2"/>
      <c r="AF454" s="2"/>
      <c r="AG454" s="2"/>
      <c r="AH454" s="2"/>
      <c r="AI454" s="2"/>
      <c r="AJ454" s="2"/>
      <c r="AK454" s="12">
        <f>grand[[#This Row],[accepted as exception]]/grand[[#This Row],[number]]</f>
        <v>0</v>
      </c>
    </row>
    <row r="455" spans="1:38" hidden="1" x14ac:dyDescent="0.2">
      <c r="A455" s="11">
        <v>44488</v>
      </c>
      <c r="B455" s="53" t="s">
        <v>2710</v>
      </c>
      <c r="C455" s="52" t="str">
        <f>IF(MID(B455,4,2)="09","Ramadan",IF(AND(MID(B455,4,2)="12",VALUE(LEFT(B455,2))&lt;=9),"Adha Season","Normal"))</f>
        <v>Normal</v>
      </c>
      <c r="D455" s="2" t="s">
        <v>350</v>
      </c>
      <c r="E455" s="2"/>
      <c r="F455" s="4" t="s">
        <v>328</v>
      </c>
      <c r="G455" s="1">
        <v>5</v>
      </c>
      <c r="H455" s="4">
        <v>5</v>
      </c>
      <c r="I455" s="2">
        <f>grand[[#This Row],[number]]-grand[[#This Row],[received]]</f>
        <v>0</v>
      </c>
      <c r="J455" s="30"/>
      <c r="K455" s="9">
        <v>140</v>
      </c>
      <c r="L455" s="9">
        <v>140</v>
      </c>
      <c r="M455" s="2">
        <f>K455-L455</f>
        <v>0</v>
      </c>
      <c r="N455" s="9">
        <v>78</v>
      </c>
      <c r="O455" s="9">
        <v>0</v>
      </c>
      <c r="P455" s="7">
        <f>grand[[#This Row],[total weight]]/grand[[#This Row],[received]]</f>
        <v>28</v>
      </c>
      <c r="Q455" s="7">
        <f>grand[[#This Row],[receiving weight]]/grand[[#This Row],[received]]</f>
        <v>28</v>
      </c>
      <c r="R455" s="7">
        <f>grand[[#This Row],[transportation loss ]]/grand[[#This Row],[received]]</f>
        <v>0</v>
      </c>
      <c r="S455" s="7">
        <f>grand[[#This Row],[ carcass weight]]/grand[[#This Row],[received]]</f>
        <v>15.6</v>
      </c>
      <c r="T455" s="7">
        <f>grand[[#This Row],[ kidneys fat quantity]]/grand[[#This Row],[received]]</f>
        <v>0</v>
      </c>
      <c r="U455" s="4">
        <v>24.8</v>
      </c>
      <c r="V455" s="4">
        <v>0</v>
      </c>
      <c r="W455" s="4">
        <v>48.4</v>
      </c>
      <c r="X455" s="4">
        <v>10</v>
      </c>
      <c r="Y455" s="8">
        <v>8.5</v>
      </c>
      <c r="Z455" s="3">
        <f>grand[[#This Row],[av. Transportation loss]]/grand[[#This Row],[av.total weight]]</f>
        <v>0</v>
      </c>
      <c r="AA455" s="12">
        <f>AVERAGE((grand[[#This Row],[am]]/25),(grand[[#This Row],[pm]]/50))</f>
        <v>0.98</v>
      </c>
      <c r="AB455" s="3">
        <f>grand[[#This Row],[ carcass weight]]/grand[[#This Row],[total weight]]</f>
        <v>0.55714285714285716</v>
      </c>
      <c r="AC455" s="6">
        <f>SUM(grand[[#This Row],[am]:[meat transportation]])/100</f>
        <v>0.91700000000000004</v>
      </c>
      <c r="AD455" s="2"/>
      <c r="AE455" s="2"/>
      <c r="AF455" s="2"/>
      <c r="AG455" s="2"/>
      <c r="AH455" s="2"/>
      <c r="AI455" s="2"/>
      <c r="AJ455" s="2"/>
      <c r="AK455" s="12">
        <f>grand[[#This Row],[accepted as exception]]/grand[[#This Row],[number]]</f>
        <v>0</v>
      </c>
    </row>
    <row r="456" spans="1:38" hidden="1" x14ac:dyDescent="0.2">
      <c r="A456" s="11">
        <v>44488</v>
      </c>
      <c r="B456" s="53" t="s">
        <v>2710</v>
      </c>
      <c r="C456" s="52" t="str">
        <f>IF(MID(B456,4,2)="09","Ramadan",IF(AND(MID(B456,4,2)="12",VALUE(LEFT(B456,2))&lt;=9),"Adha Season","Normal"))</f>
        <v>Normal</v>
      </c>
      <c r="D456" s="2" t="s">
        <v>294</v>
      </c>
      <c r="E456" s="2"/>
      <c r="F456" s="4" t="s">
        <v>328</v>
      </c>
      <c r="G456" s="4">
        <v>19</v>
      </c>
      <c r="H456" s="4">
        <v>19</v>
      </c>
      <c r="I456" s="2">
        <f>grand[[#This Row],[number]]-grand[[#This Row],[received]]</f>
        <v>0</v>
      </c>
      <c r="J456" s="30"/>
      <c r="K456" s="9">
        <v>864</v>
      </c>
      <c r="L456" s="9">
        <v>815</v>
      </c>
      <c r="M456" s="2">
        <f>K456-L456</f>
        <v>49</v>
      </c>
      <c r="N456" s="9">
        <v>495</v>
      </c>
      <c r="O456" s="9">
        <v>0</v>
      </c>
      <c r="P456" s="7">
        <f>grand[[#This Row],[total weight]]/grand[[#This Row],[received]]</f>
        <v>45.473684210526315</v>
      </c>
      <c r="Q456" s="7">
        <f>grand[[#This Row],[receiving weight]]/grand[[#This Row],[received]]</f>
        <v>42.89473684210526</v>
      </c>
      <c r="R456" s="7">
        <f>grand[[#This Row],[transportation loss ]]/grand[[#This Row],[received]]</f>
        <v>2.5789473684210527</v>
      </c>
      <c r="S456" s="7">
        <f>grand[[#This Row],[ carcass weight]]/grand[[#This Row],[received]]</f>
        <v>26.05263157894737</v>
      </c>
      <c r="T456" s="7">
        <f>grand[[#This Row],[ kidneys fat quantity]]/grand[[#This Row],[received]]</f>
        <v>0</v>
      </c>
      <c r="U456" s="4">
        <v>24.8</v>
      </c>
      <c r="V456" s="4">
        <v>0</v>
      </c>
      <c r="W456" s="4">
        <v>48.4</v>
      </c>
      <c r="X456" s="4">
        <v>10</v>
      </c>
      <c r="Y456" s="8">
        <v>8.5</v>
      </c>
      <c r="Z456" s="3">
        <f>grand[[#This Row],[av. Transportation loss]]/grand[[#This Row],[av.total weight]]</f>
        <v>5.6712962962962965E-2</v>
      </c>
      <c r="AA456" s="12">
        <f>AVERAGE((grand[[#This Row],[am]]/25),(grand[[#This Row],[pm]]/50))</f>
        <v>0.98</v>
      </c>
      <c r="AB456" s="3">
        <f>grand[[#This Row],[ carcass weight]]/grand[[#This Row],[total weight]]</f>
        <v>0.57291666666666663</v>
      </c>
      <c r="AC456" s="6">
        <f>SUM(grand[[#This Row],[am]:[meat transportation]])/100</f>
        <v>0.91700000000000004</v>
      </c>
      <c r="AD456" s="2"/>
      <c r="AE456" s="2"/>
      <c r="AF456" s="2"/>
      <c r="AG456" s="2"/>
      <c r="AH456" s="2"/>
      <c r="AI456" s="2"/>
      <c r="AJ456" s="2"/>
      <c r="AK456" s="12">
        <f>grand[[#This Row],[accepted as exception]]/grand[[#This Row],[number]]</f>
        <v>0</v>
      </c>
      <c r="AL456" s="2">
        <v>2</v>
      </c>
    </row>
    <row r="457" spans="1:38" hidden="1" x14ac:dyDescent="0.2">
      <c r="A457" s="11">
        <v>44490</v>
      </c>
      <c r="B457" s="53" t="s">
        <v>2711</v>
      </c>
      <c r="C457" s="52" t="str">
        <f>IF(MID(B457,4,2)="09","Ramadan",IF(AND(MID(B457,4,2)="12",VALUE(LEFT(B457,2))&lt;=9),"Adha Season","Normal"))</f>
        <v>Normal</v>
      </c>
      <c r="D457" s="1" t="s">
        <v>45</v>
      </c>
      <c r="F457" s="4" t="s">
        <v>46</v>
      </c>
      <c r="G457" s="4">
        <v>36</v>
      </c>
      <c r="H457" s="4">
        <v>36</v>
      </c>
      <c r="I457" s="2">
        <f>grand[[#This Row],[number]]-grand[[#This Row],[received]]</f>
        <v>0</v>
      </c>
      <c r="J457" s="30"/>
      <c r="K457" s="9">
        <v>15580</v>
      </c>
      <c r="L457" s="9">
        <v>15010</v>
      </c>
      <c r="M457" s="2">
        <f>K457-L457</f>
        <v>570</v>
      </c>
      <c r="N457" s="9">
        <v>9348.1</v>
      </c>
      <c r="O457" s="9">
        <v>229</v>
      </c>
      <c r="P457" s="7">
        <f>grand[[#This Row],[total weight]]/grand[[#This Row],[received]]</f>
        <v>432.77777777777777</v>
      </c>
      <c r="Q457" s="7">
        <f>grand[[#This Row],[receiving weight]]/grand[[#This Row],[received]]</f>
        <v>416.94444444444446</v>
      </c>
      <c r="R457" s="7">
        <f>grand[[#This Row],[transportation loss ]]/grand[[#This Row],[received]]</f>
        <v>15.833333333333334</v>
      </c>
      <c r="S457" s="7">
        <f>grand[[#This Row],[ carcass weight]]/grand[[#This Row],[received]]</f>
        <v>259.66944444444448</v>
      </c>
      <c r="T457" s="7">
        <f>grand[[#This Row],[ kidneys fat quantity]]/grand[[#This Row],[received]]</f>
        <v>6.3611111111111107</v>
      </c>
      <c r="U457" s="4">
        <v>25</v>
      </c>
      <c r="V457" s="4">
        <v>0</v>
      </c>
      <c r="W457" s="4">
        <v>49.774999999999999</v>
      </c>
      <c r="X457" s="4">
        <v>10</v>
      </c>
      <c r="Y457" s="8">
        <v>8.5</v>
      </c>
      <c r="Z457" s="3">
        <f>grand[[#This Row],[av. Transportation loss]]/grand[[#This Row],[av.total weight]]</f>
        <v>3.6585365853658541E-2</v>
      </c>
      <c r="AA457" s="12">
        <f>AVERAGE((grand[[#This Row],[am]]/25),(grand[[#This Row],[pm]]/50))</f>
        <v>0.99774999999999991</v>
      </c>
      <c r="AB457" s="3">
        <f>grand[[#This Row],[ carcass weight]]/grand[[#This Row],[total weight]]</f>
        <v>0.6000064184852375</v>
      </c>
      <c r="AC457" s="6">
        <f>SUM(grand[[#This Row],[am]:[meat transportation]])/100</f>
        <v>0.93275000000000008</v>
      </c>
      <c r="AD457" s="2"/>
      <c r="AE457" s="2"/>
      <c r="AF457" s="2"/>
      <c r="AG457" s="2"/>
      <c r="AH457" s="2"/>
      <c r="AI457" s="2"/>
      <c r="AJ457" s="2">
        <f>0+1</f>
        <v>1</v>
      </c>
      <c r="AK457" s="12">
        <f>grand[[#This Row],[accepted as exception]]/grand[[#This Row],[number]]</f>
        <v>2.7777777777777776E-2</v>
      </c>
      <c r="AL457" s="2">
        <v>7</v>
      </c>
    </row>
    <row r="458" spans="1:38" hidden="1" x14ac:dyDescent="0.2">
      <c r="A458" s="11">
        <v>44493</v>
      </c>
      <c r="B458" s="53" t="s">
        <v>1587</v>
      </c>
      <c r="C458" s="52" t="str">
        <f>IF(MID(B458,4,2)="09","Ramadan",IF(AND(MID(B458,4,2)="12",VALUE(LEFT(B458,2))&lt;=9),"Adha Season","Normal"))</f>
        <v>Normal</v>
      </c>
      <c r="D458" s="2" t="s">
        <v>294</v>
      </c>
      <c r="E458" s="2"/>
      <c r="F458" s="4" t="s">
        <v>35</v>
      </c>
      <c r="G458" s="4">
        <v>25</v>
      </c>
      <c r="H458" s="4">
        <v>25</v>
      </c>
      <c r="I458" s="2">
        <f>grand[[#This Row],[number]]-grand[[#This Row],[received]]</f>
        <v>0</v>
      </c>
      <c r="J458" s="30"/>
      <c r="K458" s="9">
        <v>1202</v>
      </c>
      <c r="L458" s="9">
        <v>1150</v>
      </c>
      <c r="M458" s="2">
        <f>K458-L458</f>
        <v>52</v>
      </c>
      <c r="N458" s="9">
        <v>688</v>
      </c>
      <c r="O458" s="9">
        <v>0</v>
      </c>
      <c r="P458" s="7">
        <f>grand[[#This Row],[total weight]]/grand[[#This Row],[received]]</f>
        <v>48.08</v>
      </c>
      <c r="Q458" s="7">
        <f>grand[[#This Row],[receiving weight]]/grand[[#This Row],[received]]</f>
        <v>46</v>
      </c>
      <c r="R458" s="7">
        <f>grand[[#This Row],[transportation loss ]]/grand[[#This Row],[received]]</f>
        <v>2.08</v>
      </c>
      <c r="S458" s="7">
        <f>grand[[#This Row],[ carcass weight]]/grand[[#This Row],[received]]</f>
        <v>27.52</v>
      </c>
      <c r="T458" s="7">
        <f>grand[[#This Row],[ kidneys fat quantity]]/grand[[#This Row],[received]]</f>
        <v>0</v>
      </c>
      <c r="U458" s="4">
        <v>25</v>
      </c>
      <c r="V458" s="4">
        <v>0</v>
      </c>
      <c r="W458" s="4">
        <v>49.32</v>
      </c>
      <c r="X458" s="4">
        <v>10</v>
      </c>
      <c r="Y458" s="8">
        <v>8.5</v>
      </c>
      <c r="Z458" s="3">
        <f>grand[[#This Row],[av. Transportation loss]]/grand[[#This Row],[av.total weight]]</f>
        <v>4.3261231281198007E-2</v>
      </c>
      <c r="AA458" s="12">
        <f>AVERAGE((grand[[#This Row],[am]]/25),(grand[[#This Row],[pm]]/50))</f>
        <v>0.99320000000000008</v>
      </c>
      <c r="AB458" s="3">
        <f>grand[[#This Row],[ carcass weight]]/grand[[#This Row],[total weight]]</f>
        <v>0.57237936772046594</v>
      </c>
      <c r="AC458" s="6">
        <f>SUM(grand[[#This Row],[am]:[meat transportation]])/100</f>
        <v>0.92819999999999991</v>
      </c>
      <c r="AD458" s="2"/>
      <c r="AE458" s="2"/>
      <c r="AF458" s="2"/>
      <c r="AG458" s="2"/>
      <c r="AH458" s="2"/>
      <c r="AI458" s="2"/>
      <c r="AJ458" s="2"/>
      <c r="AK458" s="12">
        <f>grand[[#This Row],[accepted as exception]]/grand[[#This Row],[number]]</f>
        <v>0</v>
      </c>
      <c r="AL458" s="2">
        <v>8.5</v>
      </c>
    </row>
    <row r="459" spans="1:38" hidden="1" x14ac:dyDescent="0.2">
      <c r="A459" s="11">
        <v>44493</v>
      </c>
      <c r="B459" s="53" t="s">
        <v>1587</v>
      </c>
      <c r="C459" s="52" t="str">
        <f>IF(MID(B459,4,2)="09","Ramadan",IF(AND(MID(B459,4,2)="12",VALUE(LEFT(B459,2))&lt;=9),"Adha Season","Normal"))</f>
        <v>Normal</v>
      </c>
      <c r="D459" s="1" t="s">
        <v>45</v>
      </c>
      <c r="F459" s="4" t="s">
        <v>39</v>
      </c>
      <c r="G459" s="4">
        <v>40</v>
      </c>
      <c r="H459" s="4">
        <v>40</v>
      </c>
      <c r="I459" s="2">
        <f>grand[[#This Row],[number]]-grand[[#This Row],[received]]</f>
        <v>0</v>
      </c>
      <c r="J459" s="30"/>
      <c r="K459" s="9">
        <v>16987</v>
      </c>
      <c r="L459" s="9">
        <v>16180</v>
      </c>
      <c r="M459" s="2">
        <f>K459-L459</f>
        <v>807</v>
      </c>
      <c r="N459" s="9">
        <v>10487.6</v>
      </c>
      <c r="O459" s="9">
        <v>397</v>
      </c>
      <c r="P459" s="7">
        <f>grand[[#This Row],[total weight]]/grand[[#This Row],[received]]</f>
        <v>424.67500000000001</v>
      </c>
      <c r="Q459" s="7">
        <f>grand[[#This Row],[receiving weight]]/grand[[#This Row],[received]]</f>
        <v>404.5</v>
      </c>
      <c r="R459" s="7">
        <f>grand[[#This Row],[transportation loss ]]/grand[[#This Row],[received]]</f>
        <v>20.175000000000001</v>
      </c>
      <c r="S459" s="7">
        <f>grand[[#This Row],[ carcass weight]]/grand[[#This Row],[received]]</f>
        <v>262.19</v>
      </c>
      <c r="T459" s="7">
        <f>grand[[#This Row],[ kidneys fat quantity]]/grand[[#This Row],[received]]</f>
        <v>9.9250000000000007</v>
      </c>
      <c r="U459" s="4">
        <v>25</v>
      </c>
      <c r="V459" s="4">
        <v>0</v>
      </c>
      <c r="W459" s="4">
        <v>50</v>
      </c>
      <c r="X459" s="4">
        <v>10</v>
      </c>
      <c r="Y459" s="8">
        <v>8.5</v>
      </c>
      <c r="Z459" s="3">
        <f>grand[[#This Row],[av. Transportation loss]]/grand[[#This Row],[av.total weight]]</f>
        <v>4.7506917054217931E-2</v>
      </c>
      <c r="AA459" s="12">
        <f>AVERAGE((grand[[#This Row],[am]]/25),(grand[[#This Row],[pm]]/50))</f>
        <v>1</v>
      </c>
      <c r="AB459" s="3">
        <f>grand[[#This Row],[ carcass weight]]/grand[[#This Row],[total weight]]</f>
        <v>0.6173897686466121</v>
      </c>
      <c r="AC459" s="6">
        <f>SUM(grand[[#This Row],[am]:[meat transportation]])/100</f>
        <v>0.93500000000000005</v>
      </c>
      <c r="AD459" s="2"/>
      <c r="AE459" s="2"/>
      <c r="AF459" s="2"/>
      <c r="AG459" s="2"/>
      <c r="AH459" s="2"/>
      <c r="AI459" s="2"/>
      <c r="AJ459" s="2">
        <v>1</v>
      </c>
      <c r="AK459" s="12">
        <f>grand[[#This Row],[accepted as exception]]/grand[[#This Row],[number]]</f>
        <v>2.5000000000000001E-2</v>
      </c>
    </row>
    <row r="460" spans="1:38" hidden="1" x14ac:dyDescent="0.2">
      <c r="A460" s="11">
        <v>44495</v>
      </c>
      <c r="B460" s="53" t="s">
        <v>2713</v>
      </c>
      <c r="C460" s="52" t="str">
        <f>IF(MID(B460,4,2)="09","Ramadan",IF(AND(MID(B460,4,2)="12",VALUE(LEFT(B460,2))&lt;=9),"Adha Season","Normal"))</f>
        <v>Normal</v>
      </c>
      <c r="D460" s="1" t="s">
        <v>45</v>
      </c>
      <c r="F460" s="4" t="s">
        <v>39</v>
      </c>
      <c r="G460" s="4">
        <v>18</v>
      </c>
      <c r="H460" s="4">
        <v>18</v>
      </c>
      <c r="I460" s="2">
        <f>grand[[#This Row],[number]]-grand[[#This Row],[received]]</f>
        <v>0</v>
      </c>
      <c r="J460" s="30"/>
      <c r="K460" s="9">
        <v>7965</v>
      </c>
      <c r="L460" s="9">
        <v>7640</v>
      </c>
      <c r="M460" s="2">
        <f>K460-L460</f>
        <v>325</v>
      </c>
      <c r="N460" s="9">
        <v>5007.1000000000004</v>
      </c>
      <c r="O460" s="9">
        <v>158.19999999999999</v>
      </c>
      <c r="P460" s="7">
        <f>grand[[#This Row],[total weight]]/grand[[#This Row],[received]]</f>
        <v>442.5</v>
      </c>
      <c r="Q460" s="7">
        <f>grand[[#This Row],[receiving weight]]/grand[[#This Row],[received]]</f>
        <v>424.44444444444446</v>
      </c>
      <c r="R460" s="7">
        <f>grand[[#This Row],[transportation loss ]]/grand[[#This Row],[received]]</f>
        <v>18.055555555555557</v>
      </c>
      <c r="S460" s="7">
        <f>grand[[#This Row],[ carcass weight]]/grand[[#This Row],[received]]</f>
        <v>278.17222222222222</v>
      </c>
      <c r="T460" s="7">
        <f>grand[[#This Row],[ kidneys fat quantity]]/grand[[#This Row],[received]]</f>
        <v>8.7888888888888879</v>
      </c>
      <c r="U460" s="4">
        <v>25</v>
      </c>
      <c r="V460" s="4">
        <v>0</v>
      </c>
      <c r="W460" s="4">
        <v>49.722222222222221</v>
      </c>
      <c r="X460" s="4">
        <v>10</v>
      </c>
      <c r="Y460" s="8">
        <v>8.5</v>
      </c>
      <c r="Z460" s="3">
        <f>grand[[#This Row],[av. Transportation loss]]/grand[[#This Row],[av.total weight]]</f>
        <v>4.0803515379786569E-2</v>
      </c>
      <c r="AA460" s="12">
        <f>AVERAGE((grand[[#This Row],[am]]/25),(grand[[#This Row],[pm]]/50))</f>
        <v>0.99722222222222223</v>
      </c>
      <c r="AB460" s="3">
        <f>grand[[#This Row],[ carcass weight]]/grand[[#This Row],[total weight]]</f>
        <v>0.62863779033270561</v>
      </c>
      <c r="AC460" s="6">
        <f>SUM(grand[[#This Row],[am]:[meat transportation]])/100</f>
        <v>0.93222222222222229</v>
      </c>
      <c r="AD460" s="2"/>
      <c r="AE460" s="2"/>
      <c r="AF460" s="2"/>
      <c r="AG460" s="2"/>
      <c r="AH460" s="2"/>
      <c r="AI460" s="2"/>
      <c r="AJ460" s="2">
        <v>0</v>
      </c>
      <c r="AK460" s="12">
        <f>grand[[#This Row],[accepted as exception]]/grand[[#This Row],[number]]</f>
        <v>0</v>
      </c>
    </row>
    <row r="461" spans="1:38" hidden="1" x14ac:dyDescent="0.2">
      <c r="A461" s="11">
        <v>44497</v>
      </c>
      <c r="B461" s="53" t="s">
        <v>2714</v>
      </c>
      <c r="C461" s="52" t="str">
        <f>IF(MID(B461,4,2)="09","Ramadan",IF(AND(MID(B461,4,2)="12",VALUE(LEFT(B461,2))&lt;=9),"Adha Season","Normal"))</f>
        <v>Normal</v>
      </c>
      <c r="D461" s="2" t="s">
        <v>350</v>
      </c>
      <c r="E461" s="2"/>
      <c r="F461" s="4" t="s">
        <v>328</v>
      </c>
      <c r="G461" s="1">
        <v>5</v>
      </c>
      <c r="H461" s="4">
        <v>5</v>
      </c>
      <c r="I461" s="2">
        <f>grand[[#This Row],[number]]-grand[[#This Row],[received]]</f>
        <v>0</v>
      </c>
      <c r="J461" s="30"/>
      <c r="K461" s="9">
        <v>135</v>
      </c>
      <c r="L461" s="9">
        <v>121</v>
      </c>
      <c r="M461" s="2">
        <f>K461-L461</f>
        <v>14</v>
      </c>
      <c r="N461" s="9">
        <v>72.3</v>
      </c>
      <c r="O461" s="9">
        <v>0</v>
      </c>
      <c r="P461" s="7">
        <f>grand[[#This Row],[total weight]]/grand[[#This Row],[received]]</f>
        <v>27</v>
      </c>
      <c r="Q461" s="7">
        <f>grand[[#This Row],[receiving weight]]/grand[[#This Row],[received]]</f>
        <v>24.2</v>
      </c>
      <c r="R461" s="7">
        <f>grand[[#This Row],[transportation loss ]]/grand[[#This Row],[received]]</f>
        <v>2.8</v>
      </c>
      <c r="S461" s="7">
        <f>grand[[#This Row],[ carcass weight]]/grand[[#This Row],[received]]</f>
        <v>14.459999999999999</v>
      </c>
      <c r="T461" s="7">
        <f>grand[[#This Row],[ kidneys fat quantity]]/grand[[#This Row],[received]]</f>
        <v>0</v>
      </c>
      <c r="U461" s="4">
        <v>25</v>
      </c>
      <c r="V461" s="4">
        <v>0</v>
      </c>
      <c r="W461" s="4">
        <v>48.428571428571423</v>
      </c>
      <c r="X461" s="4">
        <v>10</v>
      </c>
      <c r="Y461" s="8">
        <v>8.5</v>
      </c>
      <c r="Z461" s="3">
        <f>grand[[#This Row],[av. Transportation loss]]/grand[[#This Row],[av.total weight]]</f>
        <v>0.1037037037037037</v>
      </c>
      <c r="AA461" s="12">
        <f>AVERAGE((grand[[#This Row],[am]]/25),(grand[[#This Row],[pm]]/50))</f>
        <v>0.98428571428571421</v>
      </c>
      <c r="AB461" s="3">
        <f>grand[[#This Row],[ carcass weight]]/grand[[#This Row],[total weight]]</f>
        <v>0.53555555555555556</v>
      </c>
      <c r="AC461" s="6">
        <f>SUM(grand[[#This Row],[am]:[meat transportation]])/100</f>
        <v>0.91928571428571415</v>
      </c>
      <c r="AD461" s="2"/>
      <c r="AE461" s="2"/>
      <c r="AF461" s="2"/>
      <c r="AG461" s="2"/>
      <c r="AH461" s="2"/>
      <c r="AI461" s="2"/>
      <c r="AJ461" s="2"/>
      <c r="AK461" s="12">
        <f>grand[[#This Row],[accepted as exception]]/grand[[#This Row],[number]]</f>
        <v>0</v>
      </c>
    </row>
    <row r="462" spans="1:38" hidden="1" x14ac:dyDescent="0.2">
      <c r="A462" s="11">
        <v>44497</v>
      </c>
      <c r="B462" s="53" t="s">
        <v>2714</v>
      </c>
      <c r="C462" s="52" t="str">
        <f>IF(MID(B462,4,2)="09","Ramadan",IF(AND(MID(B462,4,2)="12",VALUE(LEFT(B462,2))&lt;=9),"Adha Season","Normal"))</f>
        <v>Normal</v>
      </c>
      <c r="D462" s="2" t="s">
        <v>294</v>
      </c>
      <c r="E462" s="2"/>
      <c r="F462" s="4" t="s">
        <v>328</v>
      </c>
      <c r="G462" s="1">
        <v>23</v>
      </c>
      <c r="H462" s="4">
        <v>23</v>
      </c>
      <c r="I462" s="2">
        <f>grand[[#This Row],[number]]-grand[[#This Row],[received]]</f>
        <v>0</v>
      </c>
      <c r="J462" s="30"/>
      <c r="K462" s="9">
        <v>1078</v>
      </c>
      <c r="L462" s="9">
        <v>1029</v>
      </c>
      <c r="M462" s="2">
        <f>K462-L462</f>
        <v>49</v>
      </c>
      <c r="N462" s="9">
        <v>617.29999999999995</v>
      </c>
      <c r="O462" s="9">
        <v>0</v>
      </c>
      <c r="P462" s="7">
        <f>grand[[#This Row],[total weight]]/grand[[#This Row],[received]]</f>
        <v>46.869565217391305</v>
      </c>
      <c r="Q462" s="7">
        <f>grand[[#This Row],[receiving weight]]/grand[[#This Row],[received]]</f>
        <v>44.739130434782609</v>
      </c>
      <c r="R462" s="7">
        <f>grand[[#This Row],[transportation loss ]]/grand[[#This Row],[received]]</f>
        <v>2.1304347826086958</v>
      </c>
      <c r="S462" s="7">
        <f>grand[[#This Row],[ carcass weight]]/grand[[#This Row],[received]]</f>
        <v>26.839130434782607</v>
      </c>
      <c r="T462" s="7">
        <f>grand[[#This Row],[ kidneys fat quantity]]/grand[[#This Row],[received]]</f>
        <v>0</v>
      </c>
      <c r="U462" s="4">
        <v>25</v>
      </c>
      <c r="V462" s="4">
        <v>0</v>
      </c>
      <c r="W462" s="4">
        <v>48.428571428571423</v>
      </c>
      <c r="X462" s="4">
        <v>10</v>
      </c>
      <c r="Y462" s="8">
        <v>8.5</v>
      </c>
      <c r="Z462" s="3">
        <f>grand[[#This Row],[av. Transportation loss]]/grand[[#This Row],[av.total weight]]</f>
        <v>4.5454545454545456E-2</v>
      </c>
      <c r="AA462" s="12">
        <f>AVERAGE((grand[[#This Row],[am]]/25),(grand[[#This Row],[pm]]/50))</f>
        <v>0.98428571428571421</v>
      </c>
      <c r="AB462" s="3">
        <f>grand[[#This Row],[ carcass weight]]/grand[[#This Row],[total weight]]</f>
        <v>0.57263450834879404</v>
      </c>
      <c r="AC462" s="6">
        <f>SUM(grand[[#This Row],[am]:[meat transportation]])/100</f>
        <v>0.91928571428571415</v>
      </c>
      <c r="AD462" s="2"/>
      <c r="AE462" s="2"/>
      <c r="AF462" s="2"/>
      <c r="AG462" s="2"/>
      <c r="AH462" s="2"/>
      <c r="AI462" s="2"/>
      <c r="AJ462" s="2"/>
      <c r="AK462" s="12">
        <f>grand[[#This Row],[accepted as exception]]/grand[[#This Row],[number]]</f>
        <v>0</v>
      </c>
      <c r="AL462" s="2">
        <v>19.5</v>
      </c>
    </row>
    <row r="463" spans="1:38" hidden="1" x14ac:dyDescent="0.2">
      <c r="A463" s="11">
        <v>44497</v>
      </c>
      <c r="B463" s="53" t="s">
        <v>2714</v>
      </c>
      <c r="C463" s="52" t="str">
        <f>IF(MID(B463,4,2)="09","Ramadan",IF(AND(MID(B463,4,2)="12",VALUE(LEFT(B463,2))&lt;=9),"Adha Season","Normal"))</f>
        <v>Normal</v>
      </c>
      <c r="D463" s="1" t="s">
        <v>45</v>
      </c>
      <c r="F463" s="4" t="s">
        <v>46</v>
      </c>
      <c r="G463" s="1">
        <v>48</v>
      </c>
      <c r="H463" s="4">
        <v>48</v>
      </c>
      <c r="I463" s="2">
        <f>grand[[#This Row],[number]]-grand[[#This Row],[received]]</f>
        <v>0</v>
      </c>
      <c r="J463" s="30"/>
      <c r="K463" s="9">
        <v>20632</v>
      </c>
      <c r="L463" s="9">
        <v>20315</v>
      </c>
      <c r="M463" s="2">
        <f>K463-L463</f>
        <v>317</v>
      </c>
      <c r="N463" s="9">
        <v>12378.5</v>
      </c>
      <c r="O463" s="9">
        <v>335</v>
      </c>
      <c r="P463" s="7">
        <f>grand[[#This Row],[total weight]]/grand[[#This Row],[received]]</f>
        <v>429.83333333333331</v>
      </c>
      <c r="Q463" s="7">
        <f>grand[[#This Row],[receiving weight]]/grand[[#This Row],[received]]</f>
        <v>423.22916666666669</v>
      </c>
      <c r="R463" s="7">
        <f>grand[[#This Row],[transportation loss ]]/grand[[#This Row],[received]]</f>
        <v>6.604166666666667</v>
      </c>
      <c r="S463" s="7">
        <f>grand[[#This Row],[ carcass weight]]/grand[[#This Row],[received]]</f>
        <v>257.88541666666669</v>
      </c>
      <c r="T463" s="7">
        <f>grand[[#This Row],[ kidneys fat quantity]]/grand[[#This Row],[received]]</f>
        <v>6.979166666666667</v>
      </c>
      <c r="U463" s="4">
        <v>25</v>
      </c>
      <c r="V463" s="4">
        <v>0</v>
      </c>
      <c r="W463" s="4">
        <v>49.8125</v>
      </c>
      <c r="X463" s="4">
        <v>10</v>
      </c>
      <c r="Y463" s="8">
        <v>8.5</v>
      </c>
      <c r="Z463" s="3">
        <f>grand[[#This Row],[av. Transportation loss]]/grand[[#This Row],[av.total weight]]</f>
        <v>1.536448235750291E-2</v>
      </c>
      <c r="AA463" s="12">
        <f>AVERAGE((grand[[#This Row],[am]]/25),(grand[[#This Row],[pm]]/50))</f>
        <v>0.99812499999999993</v>
      </c>
      <c r="AB463" s="3">
        <f>grand[[#This Row],[ carcass weight]]/grand[[#This Row],[total weight]]</f>
        <v>0.59996607212097708</v>
      </c>
      <c r="AC463" s="6">
        <f>SUM(grand[[#This Row],[am]:[meat transportation]])/100</f>
        <v>0.93312499999999998</v>
      </c>
      <c r="AD463" s="2"/>
      <c r="AE463" s="2"/>
      <c r="AF463" s="2"/>
      <c r="AG463" s="2"/>
      <c r="AH463" s="2"/>
      <c r="AI463" s="2"/>
      <c r="AJ463" s="2">
        <f>5+1</f>
        <v>6</v>
      </c>
      <c r="AK463" s="12">
        <f>grand[[#This Row],[accepted as exception]]/grand[[#This Row],[number]]</f>
        <v>0.125</v>
      </c>
      <c r="AL463" s="2">
        <v>0.5</v>
      </c>
    </row>
    <row r="464" spans="1:38" hidden="1" x14ac:dyDescent="0.2">
      <c r="A464" s="11">
        <v>44499</v>
      </c>
      <c r="B464" s="53" t="s">
        <v>2715</v>
      </c>
      <c r="C464" s="52" t="str">
        <f>IF(MID(B464,4,2)="09","Ramadan",IF(AND(MID(B464,4,2)="12",VALUE(LEFT(B464,2))&lt;=9),"Adha Season","Normal"))</f>
        <v>Normal</v>
      </c>
      <c r="D464" s="2" t="s">
        <v>294</v>
      </c>
      <c r="E464" s="2"/>
      <c r="F464" s="4" t="s">
        <v>35</v>
      </c>
      <c r="G464" s="1">
        <v>20</v>
      </c>
      <c r="H464" s="4">
        <v>20</v>
      </c>
      <c r="I464" s="2">
        <f>grand[[#This Row],[number]]-grand[[#This Row],[received]]</f>
        <v>0</v>
      </c>
      <c r="J464" s="30"/>
      <c r="K464" s="9">
        <v>1056</v>
      </c>
      <c r="L464" s="9">
        <v>1025</v>
      </c>
      <c r="M464" s="2">
        <f>K464-L464</f>
        <v>31</v>
      </c>
      <c r="N464" s="9">
        <v>621.1</v>
      </c>
      <c r="O464" s="9">
        <v>0</v>
      </c>
      <c r="P464" s="7">
        <f>grand[[#This Row],[total weight]]/grand[[#This Row],[received]]</f>
        <v>52.8</v>
      </c>
      <c r="Q464" s="7">
        <f>grand[[#This Row],[receiving weight]]/grand[[#This Row],[received]]</f>
        <v>51.25</v>
      </c>
      <c r="R464" s="7">
        <f>grand[[#This Row],[transportation loss ]]/grand[[#This Row],[received]]</f>
        <v>1.55</v>
      </c>
      <c r="S464" s="7">
        <f>grand[[#This Row],[ carcass weight]]/grand[[#This Row],[received]]</f>
        <v>31.055</v>
      </c>
      <c r="T464" s="7">
        <f>grand[[#This Row],[ kidneys fat quantity]]/grand[[#This Row],[received]]</f>
        <v>0</v>
      </c>
      <c r="U464" s="4">
        <v>25</v>
      </c>
      <c r="V464" s="4">
        <v>0</v>
      </c>
      <c r="W464" s="4">
        <v>49.75</v>
      </c>
      <c r="X464" s="4">
        <v>10</v>
      </c>
      <c r="Y464" s="8">
        <v>8.5</v>
      </c>
      <c r="Z464" s="3">
        <f>grand[[#This Row],[av. Transportation loss]]/grand[[#This Row],[av.total weight]]</f>
        <v>2.9356060606060608E-2</v>
      </c>
      <c r="AA464" s="12">
        <f>AVERAGE((grand[[#This Row],[am]]/25),(grand[[#This Row],[pm]]/50))</f>
        <v>0.99750000000000005</v>
      </c>
      <c r="AB464" s="3">
        <f>grand[[#This Row],[ carcass weight]]/grand[[#This Row],[total weight]]</f>
        <v>0.58816287878787876</v>
      </c>
      <c r="AC464" s="6">
        <f>SUM(grand[[#This Row],[am]:[meat transportation]])/100</f>
        <v>0.9325</v>
      </c>
      <c r="AD464" s="2"/>
      <c r="AE464" s="2"/>
      <c r="AF464" s="2"/>
      <c r="AG464" s="2"/>
      <c r="AH464" s="2"/>
      <c r="AI464" s="2"/>
      <c r="AJ464" s="2"/>
      <c r="AK464" s="12">
        <f>grand[[#This Row],[accepted as exception]]/grand[[#This Row],[number]]</f>
        <v>0</v>
      </c>
    </row>
    <row r="465" spans="1:38" hidden="1" x14ac:dyDescent="0.2">
      <c r="A465" s="11">
        <v>44499</v>
      </c>
      <c r="B465" s="53" t="s">
        <v>2715</v>
      </c>
      <c r="C465" s="52" t="str">
        <f>IF(MID(B465,4,2)="09","Ramadan",IF(AND(MID(B465,4,2)="12",VALUE(LEFT(B465,2))&lt;=9),"Adha Season","Normal"))</f>
        <v>Normal</v>
      </c>
      <c r="D465" s="1" t="s">
        <v>45</v>
      </c>
      <c r="F465" s="4" t="s">
        <v>41</v>
      </c>
      <c r="G465" s="1">
        <v>8</v>
      </c>
      <c r="H465" s="4">
        <v>8</v>
      </c>
      <c r="I465" s="2">
        <f>grand[[#This Row],[number]]-grand[[#This Row],[received]]</f>
        <v>0</v>
      </c>
      <c r="J465" s="30"/>
      <c r="K465" s="9">
        <v>3435</v>
      </c>
      <c r="L465" s="9">
        <v>3350</v>
      </c>
      <c r="M465" s="2">
        <f>K465-L465</f>
        <v>85</v>
      </c>
      <c r="N465" s="9">
        <v>2061.1</v>
      </c>
      <c r="O465" s="9">
        <v>76</v>
      </c>
      <c r="P465" s="7">
        <f>grand[[#This Row],[total weight]]/grand[[#This Row],[received]]</f>
        <v>429.375</v>
      </c>
      <c r="Q465" s="7">
        <f>grand[[#This Row],[receiving weight]]/grand[[#This Row],[received]]</f>
        <v>418.75</v>
      </c>
      <c r="R465" s="7">
        <f>grand[[#This Row],[transportation loss ]]/grand[[#This Row],[received]]</f>
        <v>10.625</v>
      </c>
      <c r="S465" s="7">
        <f>grand[[#This Row],[ carcass weight]]/grand[[#This Row],[received]]</f>
        <v>257.63749999999999</v>
      </c>
      <c r="T465" s="7">
        <f>grand[[#This Row],[ kidneys fat quantity]]/grand[[#This Row],[received]]</f>
        <v>9.5</v>
      </c>
      <c r="U465" s="4">
        <v>24</v>
      </c>
      <c r="V465" s="4">
        <v>0</v>
      </c>
      <c r="W465" s="4">
        <v>50</v>
      </c>
      <c r="X465" s="4">
        <v>10</v>
      </c>
      <c r="Y465" s="8">
        <v>8.5</v>
      </c>
      <c r="Z465" s="3">
        <f>grand[[#This Row],[av. Transportation loss]]/grand[[#This Row],[av.total weight]]</f>
        <v>2.4745269286754003E-2</v>
      </c>
      <c r="AA465" s="12">
        <f>AVERAGE((grand[[#This Row],[am]]/25),(grand[[#This Row],[pm]]/50))</f>
        <v>0.98</v>
      </c>
      <c r="AB465" s="3">
        <f>grand[[#This Row],[ carcass weight]]/grand[[#This Row],[total weight]]</f>
        <v>0.60002911208151377</v>
      </c>
      <c r="AC465" s="6">
        <f>SUM(grand[[#This Row],[am]:[meat transportation]])/100</f>
        <v>0.92500000000000004</v>
      </c>
      <c r="AD465" s="2"/>
      <c r="AE465" s="2"/>
      <c r="AF465" s="2"/>
      <c r="AG465" s="2"/>
      <c r="AH465" s="2"/>
      <c r="AI465" s="2"/>
      <c r="AJ465" s="2">
        <v>1</v>
      </c>
      <c r="AK465" s="12">
        <f>grand[[#This Row],[accepted as exception]]/grand[[#This Row],[number]]</f>
        <v>0.125</v>
      </c>
    </row>
    <row r="466" spans="1:38" hidden="1" x14ac:dyDescent="0.2">
      <c r="A466" s="11">
        <v>44499</v>
      </c>
      <c r="B466" s="53" t="s">
        <v>2715</v>
      </c>
      <c r="C466" s="52" t="str">
        <f>IF(MID(B466,4,2)="09","Ramadan",IF(AND(MID(B466,4,2)="12",VALUE(LEFT(B466,2))&lt;=9),"Adha Season","Normal"))</f>
        <v>Normal</v>
      </c>
      <c r="D466" s="1" t="s">
        <v>45</v>
      </c>
      <c r="F466" s="4" t="s">
        <v>280</v>
      </c>
      <c r="G466" s="1">
        <v>22</v>
      </c>
      <c r="H466" s="4">
        <v>22</v>
      </c>
      <c r="I466" s="2">
        <f>grand[[#This Row],[number]]-grand[[#This Row],[received]]</f>
        <v>0</v>
      </c>
      <c r="J466" s="30"/>
      <c r="K466" s="9">
        <v>10656</v>
      </c>
      <c r="L466" s="9">
        <v>10300</v>
      </c>
      <c r="M466" s="2">
        <f>K466-L466</f>
        <v>356</v>
      </c>
      <c r="N466" s="9">
        <v>6394</v>
      </c>
      <c r="O466" s="9">
        <v>229</v>
      </c>
      <c r="P466" s="7">
        <f>grand[[#This Row],[total weight]]/grand[[#This Row],[received]]</f>
        <v>484.36363636363637</v>
      </c>
      <c r="Q466" s="7">
        <f>grand[[#This Row],[receiving weight]]/grand[[#This Row],[received]]</f>
        <v>468.18181818181819</v>
      </c>
      <c r="R466" s="7">
        <f>grand[[#This Row],[transportation loss ]]/grand[[#This Row],[received]]</f>
        <v>16.181818181818183</v>
      </c>
      <c r="S466" s="7">
        <f>grand[[#This Row],[ carcass weight]]/grand[[#This Row],[received]]</f>
        <v>290.63636363636363</v>
      </c>
      <c r="T466" s="7">
        <f>grand[[#This Row],[ kidneys fat quantity]]/grand[[#This Row],[received]]</f>
        <v>10.409090909090908</v>
      </c>
      <c r="U466" s="4">
        <v>24.772727272727273</v>
      </c>
      <c r="V466" s="4">
        <v>0</v>
      </c>
      <c r="W466" s="4">
        <v>49</v>
      </c>
      <c r="X466" s="4">
        <v>10</v>
      </c>
      <c r="Y466" s="8">
        <v>8.5</v>
      </c>
      <c r="Z466" s="3">
        <f>grand[[#This Row],[av. Transportation loss]]/grand[[#This Row],[av.total weight]]</f>
        <v>3.3408408408408412E-2</v>
      </c>
      <c r="AA466" s="12">
        <f>AVERAGE((grand[[#This Row],[am]]/25),(grand[[#This Row],[pm]]/50))</f>
        <v>0.98545454545454547</v>
      </c>
      <c r="AB466" s="3">
        <f>grand[[#This Row],[ carcass weight]]/grand[[#This Row],[total weight]]</f>
        <v>0.60003753753753752</v>
      </c>
      <c r="AC466" s="6">
        <f>SUM(grand[[#This Row],[am]:[meat transportation]])/100</f>
        <v>0.92272727272727284</v>
      </c>
      <c r="AD466" s="2"/>
      <c r="AE466" s="2"/>
      <c r="AF466" s="2"/>
      <c r="AG466" s="2"/>
      <c r="AH466" s="2"/>
      <c r="AI466" s="2"/>
      <c r="AJ466" s="2">
        <v>13</v>
      </c>
      <c r="AK466" s="12">
        <f>grand[[#This Row],[accepted as exception]]/grand[[#This Row],[number]]</f>
        <v>0.59090909090909094</v>
      </c>
      <c r="AL466" s="2">
        <v>56</v>
      </c>
    </row>
    <row r="467" spans="1:38" hidden="1" x14ac:dyDescent="0.2">
      <c r="A467" s="11">
        <v>44500</v>
      </c>
      <c r="B467" s="53" t="s">
        <v>1588</v>
      </c>
      <c r="C467" s="52" t="str">
        <f>IF(MID(B467,4,2)="09","Ramadan",IF(AND(MID(B467,4,2)="12",VALUE(LEFT(B467,2))&lt;=9),"Adha Season","Normal"))</f>
        <v>Normal</v>
      </c>
      <c r="D467" s="1" t="s">
        <v>45</v>
      </c>
      <c r="F467" s="4" t="s">
        <v>280</v>
      </c>
      <c r="G467" s="1">
        <v>18</v>
      </c>
      <c r="H467" s="4">
        <v>18</v>
      </c>
      <c r="I467" s="2">
        <f>grand[[#This Row],[number]]-grand[[#This Row],[received]]</f>
        <v>0</v>
      </c>
      <c r="J467" s="30"/>
      <c r="K467" s="9">
        <v>8783</v>
      </c>
      <c r="L467" s="9">
        <v>8600</v>
      </c>
      <c r="M467" s="2">
        <f>K467-L467</f>
        <v>183</v>
      </c>
      <c r="N467" s="9">
        <v>5269.7</v>
      </c>
      <c r="O467" s="9">
        <v>183</v>
      </c>
      <c r="P467" s="7">
        <f>grand[[#This Row],[total weight]]/grand[[#This Row],[received]]</f>
        <v>487.94444444444446</v>
      </c>
      <c r="Q467" s="7">
        <f>grand[[#This Row],[receiving weight]]/grand[[#This Row],[received]]</f>
        <v>477.77777777777777</v>
      </c>
      <c r="R467" s="7">
        <f>grand[[#This Row],[transportation loss ]]/grand[[#This Row],[received]]</f>
        <v>10.166666666666666</v>
      </c>
      <c r="S467" s="7">
        <f>grand[[#This Row],[ carcass weight]]/grand[[#This Row],[received]]</f>
        <v>292.76111111111112</v>
      </c>
      <c r="T467" s="7">
        <f>grand[[#This Row],[ kidneys fat quantity]]/grand[[#This Row],[received]]</f>
        <v>10.166666666666666</v>
      </c>
      <c r="U467" s="4">
        <v>25</v>
      </c>
      <c r="V467" s="4">
        <v>0</v>
      </c>
      <c r="W467" s="4">
        <v>49.444444444444443</v>
      </c>
      <c r="X467" s="4">
        <v>10</v>
      </c>
      <c r="Y467" s="8">
        <v>8.5</v>
      </c>
      <c r="Z467" s="3">
        <f>grand[[#This Row],[av. Transportation loss]]/grand[[#This Row],[av.total weight]]</f>
        <v>2.0835705339861094E-2</v>
      </c>
      <c r="AA467" s="12">
        <f>AVERAGE((grand[[#This Row],[am]]/25),(grand[[#This Row],[pm]]/50))</f>
        <v>0.99444444444444446</v>
      </c>
      <c r="AB467" s="3">
        <f>grand[[#This Row],[ carcass weight]]/grand[[#This Row],[total weight]]</f>
        <v>0.59998861436866668</v>
      </c>
      <c r="AC467" s="6">
        <f>SUM(grand[[#This Row],[am]:[meat transportation]])/100</f>
        <v>0.92944444444444441</v>
      </c>
      <c r="AD467" s="2"/>
      <c r="AE467" s="2"/>
      <c r="AF467" s="2"/>
      <c r="AG467" s="2"/>
      <c r="AH467" s="2"/>
      <c r="AI467" s="2"/>
      <c r="AJ467" s="2">
        <v>6</v>
      </c>
      <c r="AK467" s="12">
        <f>grand[[#This Row],[accepted as exception]]/grand[[#This Row],[number]]</f>
        <v>0.33333333333333331</v>
      </c>
      <c r="AL467" s="2">
        <v>74</v>
      </c>
    </row>
    <row r="468" spans="1:38" hidden="1" x14ac:dyDescent="0.2">
      <c r="A468" s="11">
        <v>44500</v>
      </c>
      <c r="B468" s="53" t="s">
        <v>1588</v>
      </c>
      <c r="C468" s="52" t="str">
        <f>IF(MID(B468,4,2)="09","Ramadan",IF(AND(MID(B468,4,2)="12",VALUE(LEFT(B468,2))&lt;=9),"Adha Season","Normal"))</f>
        <v>Normal</v>
      </c>
      <c r="D468" s="1" t="s">
        <v>45</v>
      </c>
      <c r="F468" s="4" t="s">
        <v>39</v>
      </c>
      <c r="G468" s="1">
        <v>27</v>
      </c>
      <c r="H468" s="4">
        <v>27</v>
      </c>
      <c r="I468" s="2">
        <f>grand[[#This Row],[number]]-grand[[#This Row],[received]]</f>
        <v>0</v>
      </c>
      <c r="J468" s="30"/>
      <c r="K468" s="9">
        <v>12306</v>
      </c>
      <c r="L468" s="9">
        <v>11720</v>
      </c>
      <c r="M468" s="2">
        <f>K468-L468</f>
        <v>586</v>
      </c>
      <c r="N468" s="9">
        <v>7571.7</v>
      </c>
      <c r="O468" s="9">
        <v>284</v>
      </c>
      <c r="P468" s="7">
        <f>grand[[#This Row],[total weight]]/grand[[#This Row],[received]]</f>
        <v>455.77777777777777</v>
      </c>
      <c r="Q468" s="7">
        <f>grand[[#This Row],[receiving weight]]/grand[[#This Row],[received]]</f>
        <v>434.07407407407408</v>
      </c>
      <c r="R468" s="7">
        <f>grand[[#This Row],[transportation loss ]]/grand[[#This Row],[received]]</f>
        <v>21.703703703703702</v>
      </c>
      <c r="S468" s="7">
        <f>grand[[#This Row],[ carcass weight]]/grand[[#This Row],[received]]</f>
        <v>280.43333333333334</v>
      </c>
      <c r="T468" s="7">
        <f>grand[[#This Row],[ kidneys fat quantity]]/grand[[#This Row],[received]]</f>
        <v>10.518518518518519</v>
      </c>
      <c r="U468" s="4">
        <v>20</v>
      </c>
      <c r="V468" s="4">
        <v>0</v>
      </c>
      <c r="W468" s="4">
        <v>49.925925925925924</v>
      </c>
      <c r="X468" s="4">
        <v>8.8888888888888893</v>
      </c>
      <c r="Y468" s="8">
        <v>8.5</v>
      </c>
      <c r="Z468" s="3">
        <f>grand[[#This Row],[av. Transportation loss]]/grand[[#This Row],[av.total weight]]</f>
        <v>4.7619047619047616E-2</v>
      </c>
      <c r="AA468" s="12">
        <f>AVERAGE((grand[[#This Row],[am]]/25),(grand[[#This Row],[pm]]/50))</f>
        <v>0.8992592592592592</v>
      </c>
      <c r="AB468" s="3">
        <f>grand[[#This Row],[ carcass weight]]/grand[[#This Row],[total weight]]</f>
        <v>0.61528522671867381</v>
      </c>
      <c r="AC468" s="6">
        <f>SUM(grand[[#This Row],[am]:[meat transportation]])/100</f>
        <v>0.87314814814814812</v>
      </c>
      <c r="AD468" s="2"/>
      <c r="AE468" s="2"/>
      <c r="AF468" s="2"/>
      <c r="AG468" s="2"/>
      <c r="AH468" s="2"/>
      <c r="AI468" s="2"/>
      <c r="AJ468" s="2">
        <v>2</v>
      </c>
      <c r="AK468" s="12">
        <f>grand[[#This Row],[accepted as exception]]/grand[[#This Row],[number]]</f>
        <v>7.407407407407407E-2</v>
      </c>
    </row>
    <row r="469" spans="1:38" hidden="1" x14ac:dyDescent="0.2">
      <c r="A469" s="11">
        <v>44502</v>
      </c>
      <c r="B469" s="53" t="s">
        <v>2716</v>
      </c>
      <c r="C469" s="52" t="str">
        <f>IF(MID(B469,4,2)="09","Ramadan",IF(AND(MID(B469,4,2)="12",VALUE(LEFT(B469,2))&lt;=9),"Adha Season","Normal"))</f>
        <v>Normal</v>
      </c>
      <c r="D469" s="1" t="s">
        <v>45</v>
      </c>
      <c r="F469" s="15" t="s">
        <v>39</v>
      </c>
      <c r="G469" s="1">
        <v>40</v>
      </c>
      <c r="H469" s="15">
        <v>40</v>
      </c>
      <c r="I469" s="1">
        <f>grand[[#This Row],[number]]-grand[[#This Row],[received]]</f>
        <v>0</v>
      </c>
      <c r="J469" s="30"/>
      <c r="K469" s="9">
        <v>16652</v>
      </c>
      <c r="L469" s="9">
        <v>15648</v>
      </c>
      <c r="M469" s="2">
        <f>K469-L469</f>
        <v>1004</v>
      </c>
      <c r="N469" s="9">
        <v>10138</v>
      </c>
      <c r="O469" s="9">
        <v>353</v>
      </c>
      <c r="P469" s="16">
        <f>grand[[#This Row],[total weight]]/grand[[#This Row],[received]]</f>
        <v>416.3</v>
      </c>
      <c r="Q469" s="16">
        <f>grand[[#This Row],[receiving weight]]/grand[[#This Row],[received]]</f>
        <v>391.2</v>
      </c>
      <c r="R469" s="16">
        <f>grand[[#This Row],[transportation loss ]]/grand[[#This Row],[received]]</f>
        <v>25.1</v>
      </c>
      <c r="S469" s="16">
        <f>grand[[#This Row],[ carcass weight]]/grand[[#This Row],[received]]</f>
        <v>253.45</v>
      </c>
      <c r="T469" s="16">
        <f>grand[[#This Row],[ kidneys fat quantity]]/grand[[#This Row],[received]]</f>
        <v>8.8249999999999993</v>
      </c>
      <c r="U469" s="15">
        <v>25</v>
      </c>
      <c r="V469" s="15">
        <v>0</v>
      </c>
      <c r="W469" s="15">
        <v>49.725000000000001</v>
      </c>
      <c r="X469" s="15">
        <v>10</v>
      </c>
      <c r="Y469" s="8">
        <v>8.5</v>
      </c>
      <c r="Z469" s="18">
        <f>grand[[#This Row],[av. Transportation loss]]/grand[[#This Row],[av.total weight]]</f>
        <v>6.0293057890944031E-2</v>
      </c>
      <c r="AA469" s="12">
        <f>AVERAGE((grand[[#This Row],[am]]/25),(grand[[#This Row],[pm]]/50))</f>
        <v>0.99724999999999997</v>
      </c>
      <c r="AB469" s="18">
        <f>grand[[#This Row],[ carcass weight]]/grand[[#This Row],[total weight]]</f>
        <v>0.60881575786692288</v>
      </c>
      <c r="AC469" s="19">
        <f>SUM(grand[[#This Row],[am]:[meat transportation]])/100</f>
        <v>0.93224999999999991</v>
      </c>
      <c r="AJ469" s="1">
        <v>2</v>
      </c>
      <c r="AK469" s="20">
        <f>grand[[#This Row],[accepted as exception]]/grand[[#This Row],[number]]</f>
        <v>0.05</v>
      </c>
      <c r="AL469">
        <v>0</v>
      </c>
    </row>
    <row r="470" spans="1:38" hidden="1" x14ac:dyDescent="0.2">
      <c r="A470" s="11">
        <v>44504</v>
      </c>
      <c r="B470" s="53" t="s">
        <v>2717</v>
      </c>
      <c r="C470" s="52" t="str">
        <f>IF(MID(B470,4,2)="09","Ramadan",IF(AND(MID(B470,4,2)="12",VALUE(LEFT(B470,2))&lt;=9),"Adha Season","Normal"))</f>
        <v>Normal</v>
      </c>
      <c r="D470" s="1" t="s">
        <v>45</v>
      </c>
      <c r="F470" s="4" t="s">
        <v>46</v>
      </c>
      <c r="G470" s="1">
        <v>54</v>
      </c>
      <c r="H470" s="15">
        <v>54</v>
      </c>
      <c r="I470" s="1">
        <f>grand[[#This Row],[number]]-grand[[#This Row],[received]]</f>
        <v>0</v>
      </c>
      <c r="J470" s="30"/>
      <c r="K470" s="9">
        <v>23680</v>
      </c>
      <c r="L470" s="9">
        <v>22655</v>
      </c>
      <c r="M470" s="2">
        <f>K470-L470</f>
        <v>1025</v>
      </c>
      <c r="N470" s="9">
        <v>14207.2</v>
      </c>
      <c r="O470" s="9">
        <v>464</v>
      </c>
      <c r="P470" s="16">
        <f>grand[[#This Row],[total weight]]/grand[[#This Row],[received]]</f>
        <v>438.51851851851853</v>
      </c>
      <c r="Q470" s="16">
        <f>grand[[#This Row],[receiving weight]]/grand[[#This Row],[received]]</f>
        <v>419.53703703703701</v>
      </c>
      <c r="R470" s="16">
        <f>grand[[#This Row],[transportation loss ]]/grand[[#This Row],[received]]</f>
        <v>18.981481481481481</v>
      </c>
      <c r="S470" s="16">
        <f>grand[[#This Row],[ carcass weight]]/grand[[#This Row],[received]]</f>
        <v>263.09629629629632</v>
      </c>
      <c r="T470" s="16">
        <f>grand[[#This Row],[ kidneys fat quantity]]/grand[[#This Row],[received]]</f>
        <v>8.5925925925925934</v>
      </c>
      <c r="U470" s="15">
        <v>22.5</v>
      </c>
      <c r="V470" s="15">
        <v>0</v>
      </c>
      <c r="W470" s="15">
        <v>49.5</v>
      </c>
      <c r="X470" s="15">
        <v>10</v>
      </c>
      <c r="Y470" s="8">
        <v>8.5</v>
      </c>
      <c r="Z470" s="18">
        <f>grand[[#This Row],[av. Transportation loss]]/grand[[#This Row],[av.total weight]]</f>
        <v>4.3285472972972971E-2</v>
      </c>
      <c r="AA470" s="12">
        <f>AVERAGE((grand[[#This Row],[am]]/25),(grand[[#This Row],[pm]]/50))</f>
        <v>0.94500000000000006</v>
      </c>
      <c r="AB470" s="18">
        <f>grand[[#This Row],[ carcass weight]]/grand[[#This Row],[total weight]]</f>
        <v>0.59996621621621626</v>
      </c>
      <c r="AC470" s="19">
        <f>SUM(grand[[#This Row],[am]:[meat transportation]])/100</f>
        <v>0.90500000000000003</v>
      </c>
      <c r="AJ470" s="1">
        <v>25</v>
      </c>
      <c r="AK470" s="20">
        <f>grand[[#This Row],[accepted as exception]]/grand[[#This Row],[number]]</f>
        <v>0.46296296296296297</v>
      </c>
      <c r="AL470">
        <v>6</v>
      </c>
    </row>
    <row r="471" spans="1:38" hidden="1" x14ac:dyDescent="0.2">
      <c r="A471" s="11">
        <v>44506</v>
      </c>
      <c r="B471" s="53" t="s">
        <v>2718</v>
      </c>
      <c r="C471" s="52" t="str">
        <f>IF(MID(B471,4,2)="09","Ramadan",IF(AND(MID(B471,4,2)="12",VALUE(LEFT(B471,2))&lt;=9),"Adha Season","Normal"))</f>
        <v>Normal</v>
      </c>
      <c r="D471" s="1" t="s">
        <v>45</v>
      </c>
      <c r="F471" s="15" t="s">
        <v>41</v>
      </c>
      <c r="G471" s="1">
        <v>17</v>
      </c>
      <c r="H471" s="15">
        <v>17</v>
      </c>
      <c r="I471" s="1">
        <f>grand[[#This Row],[number]]-grand[[#This Row],[received]]</f>
        <v>0</v>
      </c>
      <c r="J471" s="30"/>
      <c r="K471" s="9">
        <v>6022</v>
      </c>
      <c r="L471" s="9">
        <v>5925</v>
      </c>
      <c r="M471" s="2">
        <f>K471-L471</f>
        <v>97</v>
      </c>
      <c r="N471" s="9">
        <v>3613.2</v>
      </c>
      <c r="O471" s="9">
        <v>125</v>
      </c>
      <c r="P471" s="16">
        <f>grand[[#This Row],[total weight]]/grand[[#This Row],[received]]</f>
        <v>354.23529411764707</v>
      </c>
      <c r="Q471" s="16">
        <f>grand[[#This Row],[receiving weight]]/grand[[#This Row],[received]]</f>
        <v>348.52941176470586</v>
      </c>
      <c r="R471" s="16">
        <f>grand[[#This Row],[transportation loss ]]/grand[[#This Row],[received]]</f>
        <v>5.7058823529411766</v>
      </c>
      <c r="S471" s="16">
        <f>grand[[#This Row],[ carcass weight]]/grand[[#This Row],[received]]</f>
        <v>212.54117647058823</v>
      </c>
      <c r="T471" s="16">
        <f>grand[[#This Row],[ kidneys fat quantity]]/grand[[#This Row],[received]]</f>
        <v>7.3529411764705879</v>
      </c>
      <c r="U471" s="15">
        <v>25</v>
      </c>
      <c r="V471" s="15">
        <v>0</v>
      </c>
      <c r="W471" s="15">
        <v>49.271493212669682</v>
      </c>
      <c r="X471" s="15">
        <v>9.4117647058823533</v>
      </c>
      <c r="Y471" s="8">
        <v>8.5</v>
      </c>
      <c r="Z471" s="18">
        <f>grand[[#This Row],[av. Transportation loss]]/grand[[#This Row],[av.total weight]]</f>
        <v>1.6107605446695449E-2</v>
      </c>
      <c r="AA471" s="12">
        <f>AVERAGE((grand[[#This Row],[am]]/25),(grand[[#This Row],[pm]]/50))</f>
        <v>0.99271493212669681</v>
      </c>
      <c r="AB471" s="18">
        <f>grand[[#This Row],[ carcass weight]]/grand[[#This Row],[total weight]]</f>
        <v>0.6</v>
      </c>
      <c r="AC471" s="19">
        <f>SUM(grand[[#This Row],[am]:[meat transportation]])/100</f>
        <v>0.92183257918552031</v>
      </c>
      <c r="AJ471" s="1">
        <v>0</v>
      </c>
      <c r="AK471" s="20">
        <f>grand[[#This Row],[accepted as exception]]/grand[[#This Row],[number]]</f>
        <v>0</v>
      </c>
      <c r="AL471">
        <v>3</v>
      </c>
    </row>
    <row r="472" spans="1:38" hidden="1" x14ac:dyDescent="0.2">
      <c r="A472" s="11">
        <v>44506</v>
      </c>
      <c r="B472" s="53" t="s">
        <v>2718</v>
      </c>
      <c r="C472" s="52" t="str">
        <f>IF(MID(B472,4,2)="09","Ramadan",IF(AND(MID(B472,4,2)="12",VALUE(LEFT(B472,2))&lt;=9),"Adha Season","Normal"))</f>
        <v>Normal</v>
      </c>
      <c r="D472" s="2" t="s">
        <v>294</v>
      </c>
      <c r="E472" s="2"/>
      <c r="F472" s="15" t="s">
        <v>35</v>
      </c>
      <c r="G472" s="1">
        <v>27</v>
      </c>
      <c r="H472" s="15">
        <v>27</v>
      </c>
      <c r="I472" s="1">
        <f>grand[[#This Row],[number]]-grand[[#This Row],[received]]</f>
        <v>0</v>
      </c>
      <c r="J472" s="30"/>
      <c r="K472" s="9">
        <v>1334</v>
      </c>
      <c r="L472" s="9">
        <v>1305</v>
      </c>
      <c r="M472" s="2">
        <f>K472-L472</f>
        <v>29</v>
      </c>
      <c r="N472" s="9">
        <v>803</v>
      </c>
      <c r="O472" s="9">
        <v>0</v>
      </c>
      <c r="P472" s="16">
        <f>grand[[#This Row],[total weight]]/grand[[#This Row],[received]]</f>
        <v>49.407407407407405</v>
      </c>
      <c r="Q472" s="16">
        <f>grand[[#This Row],[receiving weight]]/grand[[#This Row],[received]]</f>
        <v>48.333333333333336</v>
      </c>
      <c r="R472" s="16">
        <f>grand[[#This Row],[transportation loss ]]/grand[[#This Row],[received]]</f>
        <v>1.0740740740740742</v>
      </c>
      <c r="S472" s="16">
        <f>grand[[#This Row],[ carcass weight]]/grand[[#This Row],[received]]</f>
        <v>29.74074074074074</v>
      </c>
      <c r="T472" s="16">
        <f>grand[[#This Row],[ kidneys fat quantity]]/grand[[#This Row],[received]]</f>
        <v>0</v>
      </c>
      <c r="U472" s="15">
        <v>25</v>
      </c>
      <c r="V472" s="15">
        <v>0</v>
      </c>
      <c r="W472" s="15">
        <v>49.777777777777779</v>
      </c>
      <c r="X472" s="15">
        <v>10</v>
      </c>
      <c r="Y472" s="8">
        <v>8.5</v>
      </c>
      <c r="Z472" s="18">
        <f>grand[[#This Row],[av. Transportation loss]]/grand[[#This Row],[av.total weight]]</f>
        <v>2.1739130434782612E-2</v>
      </c>
      <c r="AA472" s="12">
        <f>AVERAGE((grand[[#This Row],[am]]/25),(grand[[#This Row],[pm]]/50))</f>
        <v>0.99777777777777776</v>
      </c>
      <c r="AB472" s="18">
        <f>grand[[#This Row],[ carcass weight]]/grand[[#This Row],[total weight]]</f>
        <v>0.60194902548725637</v>
      </c>
      <c r="AC472" s="19">
        <f>SUM(grand[[#This Row],[am]:[meat transportation]])/100</f>
        <v>0.93277777777777771</v>
      </c>
      <c r="AK472" s="20">
        <f>grand[[#This Row],[accepted as exception]]/grand[[#This Row],[number]]</f>
        <v>0</v>
      </c>
      <c r="AL472" s="1">
        <v>1</v>
      </c>
    </row>
    <row r="473" spans="1:38" hidden="1" x14ac:dyDescent="0.2">
      <c r="A473" s="11">
        <v>44507</v>
      </c>
      <c r="B473" s="53" t="s">
        <v>1589</v>
      </c>
      <c r="C473" s="52" t="str">
        <f>IF(MID(B473,4,2)="09","Ramadan",IF(AND(MID(B473,4,2)="12",VALUE(LEFT(B473,2))&lt;=9),"Adha Season","Normal"))</f>
        <v>Normal</v>
      </c>
      <c r="D473" s="1" t="s">
        <v>45</v>
      </c>
      <c r="F473" s="15" t="s">
        <v>280</v>
      </c>
      <c r="G473" s="1">
        <v>51</v>
      </c>
      <c r="H473" s="15">
        <v>51</v>
      </c>
      <c r="I473" s="1">
        <f>grand[[#This Row],[number]]-grand[[#This Row],[received]]</f>
        <v>0</v>
      </c>
      <c r="J473" s="30"/>
      <c r="K473" s="9">
        <v>22764</v>
      </c>
      <c r="L473" s="9">
        <v>21975</v>
      </c>
      <c r="M473" s="2">
        <f>K473-L473</f>
        <v>789</v>
      </c>
      <c r="N473" s="9">
        <v>13678.4</v>
      </c>
      <c r="O473" s="9">
        <v>436</v>
      </c>
      <c r="P473" s="16">
        <f>grand[[#This Row],[total weight]]/grand[[#This Row],[received]]</f>
        <v>446.35294117647061</v>
      </c>
      <c r="Q473" s="16">
        <f>grand[[#This Row],[receiving weight]]/grand[[#This Row],[received]]</f>
        <v>430.88235294117646</v>
      </c>
      <c r="R473" s="16">
        <f>grand[[#This Row],[transportation loss ]]/grand[[#This Row],[received]]</f>
        <v>15.470588235294118</v>
      </c>
      <c r="S473" s="16">
        <f>grand[[#This Row],[ carcass weight]]/grand[[#This Row],[received]]</f>
        <v>268.20392156862744</v>
      </c>
      <c r="T473" s="16">
        <f>grand[[#This Row],[ kidneys fat quantity]]/grand[[#This Row],[received]]</f>
        <v>8.5490196078431371</v>
      </c>
      <c r="U473" s="15">
        <v>25</v>
      </c>
      <c r="V473" s="15">
        <v>0</v>
      </c>
      <c r="W473" s="15">
        <v>49.725490196078432</v>
      </c>
      <c r="X473" s="15">
        <v>9.9019607843137258</v>
      </c>
      <c r="Y473" s="8">
        <v>8.5</v>
      </c>
      <c r="Z473" s="18">
        <f>grand[[#This Row],[av. Transportation loss]]/grand[[#This Row],[av.total weight]]</f>
        <v>3.4659989457037424E-2</v>
      </c>
      <c r="AA473" s="12">
        <f>AVERAGE((grand[[#This Row],[am]]/25),(grand[[#This Row],[pm]]/50))</f>
        <v>0.99725490196078437</v>
      </c>
      <c r="AB473" s="18">
        <f>grand[[#This Row],[ carcass weight]]/grand[[#This Row],[total weight]]</f>
        <v>0.60087858021437357</v>
      </c>
      <c r="AC473" s="19">
        <f>SUM(grand[[#This Row],[am]:[meat transportation]])/100</f>
        <v>0.93127450980392157</v>
      </c>
      <c r="AJ473" s="1">
        <v>9</v>
      </c>
      <c r="AK473" s="20">
        <f>grand[[#This Row],[accepted as exception]]/grand[[#This Row],[number]]</f>
        <v>0.17647058823529413</v>
      </c>
      <c r="AL473">
        <v>1.5</v>
      </c>
    </row>
    <row r="474" spans="1:38" hidden="1" x14ac:dyDescent="0.2">
      <c r="A474" s="11">
        <v>44511</v>
      </c>
      <c r="B474" s="53" t="s">
        <v>2720</v>
      </c>
      <c r="C474" s="52" t="str">
        <f>IF(MID(B474,4,2)="09","Ramadan",IF(AND(MID(B474,4,2)="12",VALUE(LEFT(B474,2))&lt;=9),"Adha Season","Normal"))</f>
        <v>Normal</v>
      </c>
      <c r="D474" s="2" t="s">
        <v>350</v>
      </c>
      <c r="F474" s="15" t="s">
        <v>328</v>
      </c>
      <c r="G474" s="1">
        <v>6</v>
      </c>
      <c r="H474" s="15">
        <v>6</v>
      </c>
      <c r="I474" s="1">
        <f>grand[[#This Row],[number]]-grand[[#This Row],[received]]</f>
        <v>0</v>
      </c>
      <c r="J474" s="30"/>
      <c r="K474" s="9">
        <v>152</v>
      </c>
      <c r="L474" s="9">
        <v>142</v>
      </c>
      <c r="M474" s="2">
        <f>K474-L474</f>
        <v>10</v>
      </c>
      <c r="N474" s="9">
        <v>70.8</v>
      </c>
      <c r="O474" s="9">
        <v>0</v>
      </c>
      <c r="P474" s="16">
        <f>grand[[#This Row],[total weight]]/grand[[#This Row],[received]]</f>
        <v>25.333333333333332</v>
      </c>
      <c r="Q474" s="16">
        <f>grand[[#This Row],[receiving weight]]/grand[[#This Row],[received]]</f>
        <v>23.666666666666668</v>
      </c>
      <c r="R474" s="16">
        <f>grand[[#This Row],[transportation loss ]]/grand[[#This Row],[received]]</f>
        <v>1.6666666666666667</v>
      </c>
      <c r="S474" s="16">
        <f>grand[[#This Row],[ carcass weight]]/grand[[#This Row],[received]]</f>
        <v>11.799999999999999</v>
      </c>
      <c r="T474" s="16">
        <f>grand[[#This Row],[ kidneys fat quantity]]/grand[[#This Row],[received]]</f>
        <v>0</v>
      </c>
      <c r="U474" s="15">
        <v>25</v>
      </c>
      <c r="V474" s="15">
        <v>0</v>
      </c>
      <c r="W474" s="15">
        <v>48.821428571428569</v>
      </c>
      <c r="X474" s="15">
        <v>10</v>
      </c>
      <c r="Y474" s="8">
        <v>8.5</v>
      </c>
      <c r="Z474" s="18">
        <f>grand[[#This Row],[av. Transportation loss]]/grand[[#This Row],[av.total weight]]</f>
        <v>6.5789473684210537E-2</v>
      </c>
      <c r="AA474" s="12">
        <f>AVERAGE((grand[[#This Row],[am]]/25),(grand[[#This Row],[pm]]/50))</f>
        <v>0.98821428571428571</v>
      </c>
      <c r="AB474" s="18">
        <f>grand[[#This Row],[ carcass weight]]/grand[[#This Row],[total weight]]</f>
        <v>0.46578947368421053</v>
      </c>
      <c r="AC474" s="19">
        <f>SUM(grand[[#This Row],[am]:[meat transportation]])/100</f>
        <v>0.92321428571428565</v>
      </c>
      <c r="AJ474" s="1">
        <v>0</v>
      </c>
      <c r="AK474" s="20">
        <f>grand[[#This Row],[accepted as exception]]/grand[[#This Row],[number]]</f>
        <v>0</v>
      </c>
      <c r="AL474" s="1">
        <v>1.8</v>
      </c>
    </row>
    <row r="475" spans="1:38" hidden="1" x14ac:dyDescent="0.2">
      <c r="A475" s="11">
        <v>44511</v>
      </c>
      <c r="B475" s="53" t="s">
        <v>2720</v>
      </c>
      <c r="C475" s="52" t="str">
        <f>IF(MID(B475,4,2)="09","Ramadan",IF(AND(MID(B475,4,2)="12",VALUE(LEFT(B475,2))&lt;=9),"Adha Season","Normal"))</f>
        <v>Normal</v>
      </c>
      <c r="D475" s="2" t="s">
        <v>294</v>
      </c>
      <c r="E475" s="2"/>
      <c r="F475" s="15" t="s">
        <v>328</v>
      </c>
      <c r="G475" s="1">
        <v>22</v>
      </c>
      <c r="H475" s="15">
        <v>22</v>
      </c>
      <c r="I475" s="1">
        <f>grand[[#This Row],[number]]-grand[[#This Row],[received]]</f>
        <v>0</v>
      </c>
      <c r="J475" s="30"/>
      <c r="K475" s="9">
        <v>1011</v>
      </c>
      <c r="L475" s="9">
        <v>968</v>
      </c>
      <c r="M475" s="2">
        <f>K475-L475</f>
        <v>43</v>
      </c>
      <c r="N475" s="9">
        <v>573.6</v>
      </c>
      <c r="O475" s="9">
        <v>0</v>
      </c>
      <c r="P475" s="16">
        <f>grand[[#This Row],[total weight]]/grand[[#This Row],[received]]</f>
        <v>45.954545454545453</v>
      </c>
      <c r="Q475" s="16">
        <f>grand[[#This Row],[receiving weight]]/grand[[#This Row],[received]]</f>
        <v>44</v>
      </c>
      <c r="R475" s="16">
        <f>grand[[#This Row],[transportation loss ]]/grand[[#This Row],[received]]</f>
        <v>1.9545454545454546</v>
      </c>
      <c r="S475" s="16">
        <f>grand[[#This Row],[ carcass weight]]/grand[[#This Row],[received]]</f>
        <v>26.072727272727274</v>
      </c>
      <c r="T475" s="16">
        <f>grand[[#This Row],[ kidneys fat quantity]]/grand[[#This Row],[received]]</f>
        <v>0</v>
      </c>
      <c r="U475" s="15">
        <v>25</v>
      </c>
      <c r="V475" s="15">
        <v>0</v>
      </c>
      <c r="W475" s="15">
        <v>48.821428571428569</v>
      </c>
      <c r="X475" s="15">
        <v>10</v>
      </c>
      <c r="Y475" s="8">
        <v>8.5</v>
      </c>
      <c r="Z475" s="18">
        <f>grand[[#This Row],[av. Transportation loss]]/grand[[#This Row],[av.total weight]]</f>
        <v>4.2532146389713157E-2</v>
      </c>
      <c r="AA475" s="12">
        <f>AVERAGE((grand[[#This Row],[am]]/25),(grand[[#This Row],[pm]]/50))</f>
        <v>0.98821428571428571</v>
      </c>
      <c r="AB475" s="18">
        <f>grand[[#This Row],[ carcass weight]]/grand[[#This Row],[total weight]]</f>
        <v>0.56735905044510393</v>
      </c>
      <c r="AC475" s="19">
        <f>SUM(grand[[#This Row],[am]:[meat transportation]])/100</f>
        <v>0.92321428571428565</v>
      </c>
      <c r="AJ475" s="1">
        <v>0</v>
      </c>
      <c r="AK475" s="20">
        <f>grand[[#This Row],[accepted as exception]]/grand[[#This Row],[number]]</f>
        <v>0</v>
      </c>
      <c r="AL475" s="1">
        <v>9.1999999999999993</v>
      </c>
    </row>
    <row r="476" spans="1:38" hidden="1" x14ac:dyDescent="0.2">
      <c r="A476" s="11">
        <v>44511</v>
      </c>
      <c r="B476" s="53" t="s">
        <v>2720</v>
      </c>
      <c r="C476" s="52" t="str">
        <f>IF(MID(B476,4,2)="09","Ramadan",IF(AND(MID(B476,4,2)="12",VALUE(LEFT(B476,2))&lt;=9),"Adha Season","Normal"))</f>
        <v>Normal</v>
      </c>
      <c r="D476" s="1" t="s">
        <v>45</v>
      </c>
      <c r="F476" s="4" t="s">
        <v>46</v>
      </c>
      <c r="G476" s="1">
        <v>45</v>
      </c>
      <c r="H476" s="15">
        <v>45</v>
      </c>
      <c r="I476" s="1">
        <f>grand[[#This Row],[number]]-grand[[#This Row],[received]]</f>
        <v>0</v>
      </c>
      <c r="J476" s="30"/>
      <c r="K476" s="9">
        <v>18477</v>
      </c>
      <c r="L476" s="9">
        <v>17850</v>
      </c>
      <c r="M476" s="2">
        <f>K476-L476</f>
        <v>627</v>
      </c>
      <c r="N476" s="9">
        <v>11086.4</v>
      </c>
      <c r="O476" s="9">
        <v>308</v>
      </c>
      <c r="P476" s="16">
        <f>grand[[#This Row],[total weight]]/grand[[#This Row],[received]]</f>
        <v>410.6</v>
      </c>
      <c r="Q476" s="16">
        <f>grand[[#This Row],[receiving weight]]/grand[[#This Row],[received]]</f>
        <v>396.66666666666669</v>
      </c>
      <c r="R476" s="16">
        <f>grand[[#This Row],[transportation loss ]]/grand[[#This Row],[received]]</f>
        <v>13.933333333333334</v>
      </c>
      <c r="S476" s="16">
        <f>grand[[#This Row],[ carcass weight]]/grand[[#This Row],[received]]</f>
        <v>246.36444444444444</v>
      </c>
      <c r="T476" s="16">
        <f>grand[[#This Row],[ kidneys fat quantity]]/grand[[#This Row],[received]]</f>
        <v>6.8444444444444441</v>
      </c>
      <c r="U476" s="15">
        <v>25</v>
      </c>
      <c r="V476" s="15">
        <v>0</v>
      </c>
      <c r="W476" s="15">
        <v>49.844444444444441</v>
      </c>
      <c r="X476" s="15">
        <v>10</v>
      </c>
      <c r="Y476" s="8">
        <v>8.5</v>
      </c>
      <c r="Z476" s="18">
        <f>grand[[#This Row],[av. Transportation loss]]/grand[[#This Row],[av.total weight]]</f>
        <v>3.3934080207825942E-2</v>
      </c>
      <c r="AA476" s="12">
        <f>AVERAGE((grand[[#This Row],[am]]/25),(grand[[#This Row],[pm]]/50))</f>
        <v>0.99844444444444447</v>
      </c>
      <c r="AB476" s="18">
        <f>grand[[#This Row],[ carcass weight]]/grand[[#This Row],[total weight]]</f>
        <v>0.60001082426800889</v>
      </c>
      <c r="AC476" s="19">
        <f>SUM(grand[[#This Row],[am]:[meat transportation]])/100</f>
        <v>0.9334444444444443</v>
      </c>
      <c r="AJ476" s="1">
        <v>10</v>
      </c>
      <c r="AK476" s="20">
        <f>grand[[#This Row],[accepted as exception]]/grand[[#This Row],[number]]</f>
        <v>0.22222222222222221</v>
      </c>
      <c r="AL476">
        <v>2.5</v>
      </c>
    </row>
    <row r="477" spans="1:38" hidden="1" x14ac:dyDescent="0.2">
      <c r="A477" s="11">
        <v>44513</v>
      </c>
      <c r="B477" s="53" t="s">
        <v>2721</v>
      </c>
      <c r="C477" s="52" t="str">
        <f>IF(MID(B477,4,2)="09","Ramadan",IF(AND(MID(B477,4,2)="12",VALUE(LEFT(B477,2))&lt;=9),"Adha Season","Normal"))</f>
        <v>Normal</v>
      </c>
      <c r="D477" s="1" t="s">
        <v>45</v>
      </c>
      <c r="F477" s="15" t="s">
        <v>41</v>
      </c>
      <c r="G477" s="1">
        <v>16</v>
      </c>
      <c r="H477" s="15">
        <v>16</v>
      </c>
      <c r="I477" s="1">
        <f>grand[[#This Row],[number]]-grand[[#This Row],[received]]</f>
        <v>0</v>
      </c>
      <c r="J477" s="30"/>
      <c r="K477" s="9">
        <v>7695</v>
      </c>
      <c r="L477" s="9">
        <v>7540</v>
      </c>
      <c r="M477" s="2">
        <f>K477-L477</f>
        <v>155</v>
      </c>
      <c r="N477" s="9">
        <v>4616.8</v>
      </c>
      <c r="O477" s="9">
        <v>126</v>
      </c>
      <c r="P477" s="16">
        <f>grand[[#This Row],[total weight]]/grand[[#This Row],[received]]</f>
        <v>480.9375</v>
      </c>
      <c r="Q477" s="16">
        <f>grand[[#This Row],[receiving weight]]/grand[[#This Row],[received]]</f>
        <v>471.25</v>
      </c>
      <c r="R477" s="16">
        <f>grand[[#This Row],[transportation loss ]]/grand[[#This Row],[received]]</f>
        <v>9.6875</v>
      </c>
      <c r="S477" s="16">
        <f>grand[[#This Row],[ carcass weight]]/grand[[#This Row],[received]]</f>
        <v>288.55</v>
      </c>
      <c r="T477" s="16">
        <f>grand[[#This Row],[ kidneys fat quantity]]/grand[[#This Row],[received]]</f>
        <v>7.875</v>
      </c>
      <c r="U477" s="15">
        <v>25</v>
      </c>
      <c r="V477" s="15">
        <v>0</v>
      </c>
      <c r="W477" s="15">
        <v>49.4375</v>
      </c>
      <c r="X477" s="15">
        <v>10</v>
      </c>
      <c r="Y477" s="8">
        <v>8.5</v>
      </c>
      <c r="Z477" s="18">
        <f>grand[[#This Row],[av. Transportation loss]]/grand[[#This Row],[av.total weight]]</f>
        <v>2.014294996751137E-2</v>
      </c>
      <c r="AA477" s="12">
        <f>AVERAGE((grand[[#This Row],[am]]/25),(grand[[#This Row],[pm]]/50))</f>
        <v>0.99437500000000001</v>
      </c>
      <c r="AB477" s="18">
        <f>grand[[#This Row],[ carcass weight]]/grand[[#This Row],[total weight]]</f>
        <v>0.59997400909681609</v>
      </c>
      <c r="AC477" s="19">
        <f>SUM(grand[[#This Row],[am]:[meat transportation]])/100</f>
        <v>0.92937499999999995</v>
      </c>
      <c r="AJ477" s="1">
        <v>12</v>
      </c>
      <c r="AK477" s="20">
        <f>grand[[#This Row],[accepted as exception]]/grand[[#This Row],[number]]</f>
        <v>0.75</v>
      </c>
      <c r="AL477">
        <v>10</v>
      </c>
    </row>
    <row r="478" spans="1:38" hidden="1" x14ac:dyDescent="0.2">
      <c r="A478" s="11">
        <v>44514</v>
      </c>
      <c r="B478" s="53" t="s">
        <v>1590</v>
      </c>
      <c r="C478" s="52" t="str">
        <f>IF(MID(B478,4,2)="09","Ramadan",IF(AND(MID(B478,4,2)="12",VALUE(LEFT(B478,2))&lt;=9),"Adha Season","Normal"))</f>
        <v>Normal</v>
      </c>
      <c r="D478" s="1" t="s">
        <v>45</v>
      </c>
      <c r="F478" s="15" t="s">
        <v>41</v>
      </c>
      <c r="G478" s="1">
        <v>8</v>
      </c>
      <c r="H478" s="15">
        <v>8</v>
      </c>
      <c r="I478" s="1">
        <f>grand[[#This Row],[number]]-grand[[#This Row],[received]]</f>
        <v>0</v>
      </c>
      <c r="J478" s="30"/>
      <c r="K478" s="9">
        <v>3242</v>
      </c>
      <c r="L478" s="9">
        <v>3121</v>
      </c>
      <c r="M478" s="2">
        <f>K478-L478</f>
        <v>121</v>
      </c>
      <c r="N478" s="9">
        <v>1945.1</v>
      </c>
      <c r="O478" s="9">
        <v>56</v>
      </c>
      <c r="P478" s="16">
        <f>grand[[#This Row],[total weight]]/grand[[#This Row],[received]]</f>
        <v>405.25</v>
      </c>
      <c r="Q478" s="16">
        <f>grand[[#This Row],[receiving weight]]/grand[[#This Row],[received]]</f>
        <v>390.125</v>
      </c>
      <c r="R478" s="16">
        <f>grand[[#This Row],[transportation loss ]]/grand[[#This Row],[received]]</f>
        <v>15.125</v>
      </c>
      <c r="S478" s="16">
        <f>grand[[#This Row],[ carcass weight]]/grand[[#This Row],[received]]</f>
        <v>243.13749999999999</v>
      </c>
      <c r="T478" s="16">
        <f>grand[[#This Row],[ kidneys fat quantity]]/grand[[#This Row],[received]]</f>
        <v>7</v>
      </c>
      <c r="U478" s="15">
        <v>25</v>
      </c>
      <c r="V478" s="15">
        <v>0</v>
      </c>
      <c r="W478" s="15">
        <v>50</v>
      </c>
      <c r="X478" s="15">
        <v>10</v>
      </c>
      <c r="Y478" s="8">
        <v>8.5</v>
      </c>
      <c r="Z478" s="18">
        <f>grand[[#This Row],[av. Transportation loss]]/grand[[#This Row],[av.total weight]]</f>
        <v>3.7322640345465764E-2</v>
      </c>
      <c r="AA478" s="12">
        <f>AVERAGE((grand[[#This Row],[am]]/25),(grand[[#This Row],[pm]]/50))</f>
        <v>1</v>
      </c>
      <c r="AB478" s="18">
        <f>grand[[#This Row],[ carcass weight]]/grand[[#This Row],[total weight]]</f>
        <v>0.59996915484268964</v>
      </c>
      <c r="AC478" s="19">
        <f>SUM(grand[[#This Row],[am]:[meat transportation]])/100</f>
        <v>0.93500000000000005</v>
      </c>
      <c r="AJ478" s="1">
        <v>6</v>
      </c>
      <c r="AK478" s="20">
        <f>grand[[#This Row],[accepted as exception]]/grand[[#This Row],[number]]</f>
        <v>0.75</v>
      </c>
      <c r="AL478">
        <v>0</v>
      </c>
    </row>
    <row r="479" spans="1:38" hidden="1" x14ac:dyDescent="0.2">
      <c r="A479" s="11">
        <v>44516</v>
      </c>
      <c r="B479" s="53" t="s">
        <v>2722</v>
      </c>
      <c r="C479" s="52" t="str">
        <f>IF(MID(B479,4,2)="09","Ramadan",IF(AND(MID(B479,4,2)="12",VALUE(LEFT(B479,2))&lt;=9),"Adha Season","Normal"))</f>
        <v>Normal</v>
      </c>
      <c r="D479" s="1" t="s">
        <v>45</v>
      </c>
      <c r="F479" s="15" t="s">
        <v>282</v>
      </c>
      <c r="G479" s="1">
        <v>9</v>
      </c>
      <c r="H479" s="15">
        <v>9</v>
      </c>
      <c r="I479" s="1">
        <f>grand[[#This Row],[number]]-grand[[#This Row],[received]]</f>
        <v>0</v>
      </c>
      <c r="J479" s="30"/>
      <c r="K479" s="9">
        <v>3685</v>
      </c>
      <c r="L479" s="9">
        <v>3590</v>
      </c>
      <c r="M479" s="2">
        <f>K479-L479</f>
        <v>95</v>
      </c>
      <c r="N479" s="9">
        <v>2211.1</v>
      </c>
      <c r="O479" s="9">
        <v>66</v>
      </c>
      <c r="P479" s="16">
        <f>grand[[#This Row],[total weight]]/grand[[#This Row],[received]]</f>
        <v>409.44444444444446</v>
      </c>
      <c r="Q479" s="16">
        <f>grand[[#This Row],[receiving weight]]/grand[[#This Row],[received]]</f>
        <v>398.88888888888891</v>
      </c>
      <c r="R479" s="16">
        <f>grand[[#This Row],[transportation loss ]]/grand[[#This Row],[received]]</f>
        <v>10.555555555555555</v>
      </c>
      <c r="S479" s="16">
        <f>grand[[#This Row],[ carcass weight]]/grand[[#This Row],[received]]</f>
        <v>245.67777777777778</v>
      </c>
      <c r="T479" s="16">
        <f>grand[[#This Row],[ kidneys fat quantity]]/grand[[#This Row],[received]]</f>
        <v>7.333333333333333</v>
      </c>
      <c r="U479" s="15">
        <v>25</v>
      </c>
      <c r="V479" s="15">
        <v>0</v>
      </c>
      <c r="W479" s="15">
        <v>49.444444444444443</v>
      </c>
      <c r="X479" s="15">
        <v>10</v>
      </c>
      <c r="Y479" s="8">
        <v>8.5</v>
      </c>
      <c r="Z479" s="18">
        <f>grand[[#This Row],[av. Transportation loss]]/grand[[#This Row],[av.total weight]]</f>
        <v>2.5780189959294434E-2</v>
      </c>
      <c r="AA479" s="12">
        <f>AVERAGE((grand[[#This Row],[am]]/25),(grand[[#This Row],[pm]]/50))</f>
        <v>0.99444444444444446</v>
      </c>
      <c r="AB479" s="18">
        <f>grand[[#This Row],[ carcass weight]]/grand[[#This Row],[total weight]]</f>
        <v>0.60002713704206234</v>
      </c>
      <c r="AC479" s="19">
        <f>SUM(grand[[#This Row],[am]:[meat transportation]])/100</f>
        <v>0.92944444444444441</v>
      </c>
      <c r="AJ479" s="1">
        <v>4</v>
      </c>
      <c r="AK479" s="20">
        <f>grand[[#This Row],[accepted as exception]]/grand[[#This Row],[number]]</f>
        <v>0.44444444444444442</v>
      </c>
      <c r="AL479">
        <v>3</v>
      </c>
    </row>
    <row r="480" spans="1:38" hidden="1" x14ac:dyDescent="0.2">
      <c r="A480" s="11">
        <v>44518</v>
      </c>
      <c r="B480" s="53" t="s">
        <v>2723</v>
      </c>
      <c r="C480" s="52" t="str">
        <f>IF(MID(B480,4,2)="09","Ramadan",IF(AND(MID(B480,4,2)="12",VALUE(LEFT(B480,2))&lt;=9),"Adha Season","Normal"))</f>
        <v>Normal</v>
      </c>
      <c r="D480" s="1" t="s">
        <v>45</v>
      </c>
      <c r="F480" s="15" t="s">
        <v>41</v>
      </c>
      <c r="G480" s="1">
        <v>8</v>
      </c>
      <c r="H480" s="15">
        <v>8</v>
      </c>
      <c r="I480" s="1">
        <f>grand[[#This Row],[number]]-grand[[#This Row],[received]]</f>
        <v>0</v>
      </c>
      <c r="J480" s="30"/>
      <c r="K480" s="9">
        <v>3456</v>
      </c>
      <c r="L480" s="9">
        <v>3299</v>
      </c>
      <c r="M480" s="2">
        <f>K480-L480</f>
        <v>157</v>
      </c>
      <c r="N480" s="9">
        <v>2073.5</v>
      </c>
      <c r="O480" s="9">
        <v>67</v>
      </c>
      <c r="P480" s="16">
        <f>grand[[#This Row],[total weight]]/grand[[#This Row],[received]]</f>
        <v>432</v>
      </c>
      <c r="Q480" s="16">
        <f>grand[[#This Row],[receiving weight]]/grand[[#This Row],[received]]</f>
        <v>412.375</v>
      </c>
      <c r="R480" s="16">
        <f>grand[[#This Row],[transportation loss ]]/grand[[#This Row],[received]]</f>
        <v>19.625</v>
      </c>
      <c r="S480" s="16">
        <f>grand[[#This Row],[ carcass weight]]/grand[[#This Row],[received]]</f>
        <v>259.1875</v>
      </c>
      <c r="T480" s="16">
        <f>grand[[#This Row],[ kidneys fat quantity]]/grand[[#This Row],[received]]</f>
        <v>8.375</v>
      </c>
      <c r="U480" s="15">
        <v>25</v>
      </c>
      <c r="V480" s="15">
        <v>0</v>
      </c>
      <c r="W480" s="15">
        <v>50</v>
      </c>
      <c r="X480" s="15">
        <v>10</v>
      </c>
      <c r="Y480" s="8">
        <v>8.5</v>
      </c>
      <c r="Z480" s="18">
        <f>grand[[#This Row],[av. Transportation loss]]/grand[[#This Row],[av.total weight]]</f>
        <v>4.5428240740740741E-2</v>
      </c>
      <c r="AA480" s="12">
        <f>AVERAGE((grand[[#This Row],[am]]/25),(grand[[#This Row],[pm]]/50))</f>
        <v>1</v>
      </c>
      <c r="AB480" s="18">
        <f>grand[[#This Row],[ carcass weight]]/grand[[#This Row],[total weight]]</f>
        <v>0.59997106481481477</v>
      </c>
      <c r="AC480" s="19">
        <f>SUM(grand[[#This Row],[am]:[meat transportation]])/100</f>
        <v>0.93500000000000005</v>
      </c>
      <c r="AJ480" s="1">
        <v>2</v>
      </c>
      <c r="AK480" s="20">
        <f>grand[[#This Row],[accepted as exception]]/grand[[#This Row],[number]]</f>
        <v>0.25</v>
      </c>
      <c r="AL480">
        <v>0</v>
      </c>
    </row>
    <row r="481" spans="1:38" hidden="1" x14ac:dyDescent="0.2">
      <c r="A481" s="11">
        <v>44520</v>
      </c>
      <c r="B481" s="53" t="s">
        <v>2724</v>
      </c>
      <c r="C481" s="52" t="str">
        <f>IF(MID(B481,4,2)="09","Ramadan",IF(AND(MID(B481,4,2)="12",VALUE(LEFT(B481,2))&lt;=9),"Adha Season","Normal"))</f>
        <v>Normal</v>
      </c>
      <c r="D481" s="1" t="s">
        <v>45</v>
      </c>
      <c r="F481" s="15" t="s">
        <v>43</v>
      </c>
      <c r="G481" s="1">
        <v>31</v>
      </c>
      <c r="H481" s="15">
        <v>31</v>
      </c>
      <c r="I481" s="1">
        <f>grand[[#This Row],[number]]-grand[[#This Row],[received]]</f>
        <v>0</v>
      </c>
      <c r="J481" s="30"/>
      <c r="K481" s="9">
        <v>14891</v>
      </c>
      <c r="L481" s="9">
        <v>14445</v>
      </c>
      <c r="M481" s="2">
        <f>K481-L481</f>
        <v>446</v>
      </c>
      <c r="N481" s="9">
        <v>8966.4</v>
      </c>
      <c r="O481" s="9">
        <v>293</v>
      </c>
      <c r="P481" s="16">
        <f>grand[[#This Row],[total weight]]/grand[[#This Row],[received]]</f>
        <v>480.35483870967744</v>
      </c>
      <c r="Q481" s="16">
        <f>grand[[#This Row],[receiving weight]]/grand[[#This Row],[received]]</f>
        <v>465.96774193548384</v>
      </c>
      <c r="R481" s="16">
        <f>grand[[#This Row],[transportation loss ]]/grand[[#This Row],[received]]</f>
        <v>14.387096774193548</v>
      </c>
      <c r="S481" s="16">
        <f>grand[[#This Row],[ carcass weight]]/grand[[#This Row],[received]]</f>
        <v>289.23870967741937</v>
      </c>
      <c r="T481" s="16">
        <f>grand[[#This Row],[ kidneys fat quantity]]/grand[[#This Row],[received]]</f>
        <v>9.4516129032258061</v>
      </c>
      <c r="U481" s="15">
        <v>24.5</v>
      </c>
      <c r="V481" s="15">
        <v>0</v>
      </c>
      <c r="W481" s="15">
        <v>49.645161290322577</v>
      </c>
      <c r="X481" s="15">
        <v>10</v>
      </c>
      <c r="Y481" s="8">
        <v>8.5</v>
      </c>
      <c r="Z481" s="18">
        <f>grand[[#This Row],[av. Transportation loss]]/grand[[#This Row],[av.total weight]]</f>
        <v>2.99509771002619E-2</v>
      </c>
      <c r="AA481" s="12">
        <f>AVERAGE((grand[[#This Row],[am]]/25),(grand[[#This Row],[pm]]/50))</f>
        <v>0.98645161290322569</v>
      </c>
      <c r="AB481" s="18">
        <f>grand[[#This Row],[ carcass weight]]/grand[[#This Row],[total weight]]</f>
        <v>0.60213551809818011</v>
      </c>
      <c r="AC481" s="19">
        <f>SUM(grand[[#This Row],[am]:[meat transportation]])/100</f>
        <v>0.92645161290322575</v>
      </c>
      <c r="AJ481" s="1">
        <v>11</v>
      </c>
      <c r="AK481" s="20">
        <f>grand[[#This Row],[accepted as exception]]/grand[[#This Row],[number]]</f>
        <v>0.35483870967741937</v>
      </c>
      <c r="AL481">
        <v>0</v>
      </c>
    </row>
    <row r="482" spans="1:38" hidden="1" x14ac:dyDescent="0.2">
      <c r="A482" s="11">
        <v>44521</v>
      </c>
      <c r="B482" s="53" t="s">
        <v>1591</v>
      </c>
      <c r="C482" s="52" t="str">
        <f>IF(MID(B482,4,2)="09","Ramadan",IF(AND(MID(B482,4,2)="12",VALUE(LEFT(B482,2))&lt;=9),"Adha Season","Normal"))</f>
        <v>Normal</v>
      </c>
      <c r="D482" s="1" t="s">
        <v>45</v>
      </c>
      <c r="F482" s="15" t="s">
        <v>50</v>
      </c>
      <c r="G482" s="1">
        <v>38</v>
      </c>
      <c r="H482" s="15">
        <v>38</v>
      </c>
      <c r="I482" s="1">
        <f>grand[[#This Row],[number]]-grand[[#This Row],[received]]</f>
        <v>0</v>
      </c>
      <c r="J482" s="30"/>
      <c r="K482" s="9">
        <v>17011</v>
      </c>
      <c r="L482" s="9">
        <v>16225</v>
      </c>
      <c r="M482" s="2">
        <f>K482-L482</f>
        <v>786</v>
      </c>
      <c r="N482" s="9">
        <v>10617.6</v>
      </c>
      <c r="O482" s="9">
        <v>385</v>
      </c>
      <c r="P482" s="16">
        <f>grand[[#This Row],[total weight]]/grand[[#This Row],[received]]</f>
        <v>447.65789473684208</v>
      </c>
      <c r="Q482" s="16">
        <f>grand[[#This Row],[receiving weight]]/grand[[#This Row],[received]]</f>
        <v>426.9736842105263</v>
      </c>
      <c r="R482" s="16">
        <f>grand[[#This Row],[transportation loss ]]/grand[[#This Row],[received]]</f>
        <v>20.684210526315791</v>
      </c>
      <c r="S482" s="16">
        <f>grand[[#This Row],[ carcass weight]]/grand[[#This Row],[received]]</f>
        <v>279.41052631578947</v>
      </c>
      <c r="T482" s="16">
        <f>grand[[#This Row],[ kidneys fat quantity]]/grand[[#This Row],[received]]</f>
        <v>10.131578947368421</v>
      </c>
      <c r="U482" s="15">
        <v>25</v>
      </c>
      <c r="V482" s="15">
        <v>0</v>
      </c>
      <c r="W482" s="15">
        <v>49.368421052631575</v>
      </c>
      <c r="X482" s="15">
        <v>10</v>
      </c>
      <c r="Y482" s="8">
        <v>8.5</v>
      </c>
      <c r="Z482" s="18">
        <f>grand[[#This Row],[av. Transportation loss]]/grand[[#This Row],[av.total weight]]</f>
        <v>4.6205396508141795E-2</v>
      </c>
      <c r="AA482" s="12">
        <f>AVERAGE((grand[[#This Row],[am]]/25),(grand[[#This Row],[pm]]/50))</f>
        <v>0.99368421052631573</v>
      </c>
      <c r="AB482" s="18">
        <f>grand[[#This Row],[ carcass weight]]/grand[[#This Row],[total weight]]</f>
        <v>0.62416083710540238</v>
      </c>
      <c r="AC482" s="19">
        <f>SUM(grand[[#This Row],[am]:[meat transportation]])/100</f>
        <v>0.92868421052631578</v>
      </c>
      <c r="AJ482" s="1">
        <v>4</v>
      </c>
      <c r="AK482" s="20">
        <f>grand[[#This Row],[accepted as exception]]/grand[[#This Row],[number]]</f>
        <v>0.10526315789473684</v>
      </c>
      <c r="AL482">
        <v>20</v>
      </c>
    </row>
    <row r="483" spans="1:38" hidden="1" x14ac:dyDescent="0.2">
      <c r="A483" s="11">
        <v>44523</v>
      </c>
      <c r="B483" s="53" t="s">
        <v>2725</v>
      </c>
      <c r="C483" s="52" t="str">
        <f>IF(MID(B483,4,2)="09","Ramadan",IF(AND(MID(B483,4,2)="12",VALUE(LEFT(B483,2))&lt;=9),"Adha Season","Normal"))</f>
        <v>Normal</v>
      </c>
      <c r="D483" s="2" t="s">
        <v>294</v>
      </c>
      <c r="E483" s="2"/>
      <c r="F483" s="15" t="s">
        <v>280</v>
      </c>
      <c r="G483" s="1">
        <v>2</v>
      </c>
      <c r="H483" s="15">
        <v>2</v>
      </c>
      <c r="I483" s="1">
        <f>grand[[#This Row],[number]]-grand[[#This Row],[received]]</f>
        <v>0</v>
      </c>
      <c r="J483" s="30"/>
      <c r="K483" s="9">
        <v>82</v>
      </c>
      <c r="L483" s="9">
        <v>82</v>
      </c>
      <c r="M483" s="2">
        <f>K483-L483</f>
        <v>0</v>
      </c>
      <c r="N483" s="9">
        <v>46.5</v>
      </c>
      <c r="O483" s="9">
        <v>0</v>
      </c>
      <c r="P483" s="16">
        <f>grand[[#This Row],[total weight]]/grand[[#This Row],[received]]</f>
        <v>41</v>
      </c>
      <c r="Q483" s="16">
        <f>grand[[#This Row],[receiving weight]]/grand[[#This Row],[received]]</f>
        <v>41</v>
      </c>
      <c r="R483" s="16">
        <f>grand[[#This Row],[transportation loss ]]/grand[[#This Row],[received]]</f>
        <v>0</v>
      </c>
      <c r="S483" s="16">
        <f>grand[[#This Row],[ carcass weight]]/grand[[#This Row],[received]]</f>
        <v>23.25</v>
      </c>
      <c r="T483" s="16">
        <f>grand[[#This Row],[ kidneys fat quantity]]/grand[[#This Row],[received]]</f>
        <v>0</v>
      </c>
      <c r="U483" s="15">
        <v>25</v>
      </c>
      <c r="V483" s="15">
        <v>0</v>
      </c>
      <c r="W483" s="15">
        <v>43</v>
      </c>
      <c r="X483" s="15">
        <v>10</v>
      </c>
      <c r="Y483" s="8">
        <v>8.5</v>
      </c>
      <c r="Z483" s="18">
        <f>grand[[#This Row],[av. Transportation loss]]/grand[[#This Row],[av.total weight]]</f>
        <v>0</v>
      </c>
      <c r="AA483" s="12">
        <f>AVERAGE((grand[[#This Row],[am]]/25),(grand[[#This Row],[pm]]/50))</f>
        <v>0.92999999999999994</v>
      </c>
      <c r="AB483" s="18">
        <f>grand[[#This Row],[ carcass weight]]/grand[[#This Row],[total weight]]</f>
        <v>0.56707317073170727</v>
      </c>
      <c r="AC483" s="19">
        <f>SUM(grand[[#This Row],[am]:[meat transportation]])/100</f>
        <v>0.86499999999999999</v>
      </c>
      <c r="AK483" s="20">
        <f>grand[[#This Row],[accepted as exception]]/grand[[#This Row],[number]]</f>
        <v>0</v>
      </c>
      <c r="AL483" s="1">
        <v>0</v>
      </c>
    </row>
    <row r="484" spans="1:38" hidden="1" x14ac:dyDescent="0.2">
      <c r="A484" s="11">
        <v>44523</v>
      </c>
      <c r="B484" s="53" t="s">
        <v>2725</v>
      </c>
      <c r="C484" s="52" t="str">
        <f>IF(MID(B484,4,2)="09","Ramadan",IF(AND(MID(B484,4,2)="12",VALUE(LEFT(B484,2))&lt;=9),"Adha Season","Normal"))</f>
        <v>Normal</v>
      </c>
      <c r="D484" s="1" t="s">
        <v>45</v>
      </c>
      <c r="F484" s="15" t="s">
        <v>41</v>
      </c>
      <c r="G484" s="1">
        <v>16</v>
      </c>
      <c r="H484" s="15">
        <v>16</v>
      </c>
      <c r="I484" s="1">
        <f>grand[[#This Row],[number]]-grand[[#This Row],[received]]</f>
        <v>0</v>
      </c>
      <c r="J484" s="30"/>
      <c r="K484" s="9">
        <v>7002</v>
      </c>
      <c r="L484" s="9">
        <v>6790</v>
      </c>
      <c r="M484" s="2">
        <f>K484-L484</f>
        <v>212</v>
      </c>
      <c r="N484" s="9">
        <v>4201.3999999999996</v>
      </c>
      <c r="O484" s="9">
        <v>141</v>
      </c>
      <c r="P484" s="16">
        <f>grand[[#This Row],[total weight]]/grand[[#This Row],[received]]</f>
        <v>437.625</v>
      </c>
      <c r="Q484" s="16">
        <f>grand[[#This Row],[receiving weight]]/grand[[#This Row],[received]]</f>
        <v>424.375</v>
      </c>
      <c r="R484" s="16">
        <f>grand[[#This Row],[transportation loss ]]/grand[[#This Row],[received]]</f>
        <v>13.25</v>
      </c>
      <c r="S484" s="16">
        <f>grand[[#This Row],[ carcass weight]]/grand[[#This Row],[received]]</f>
        <v>262.58749999999998</v>
      </c>
      <c r="T484" s="16">
        <f>grand[[#This Row],[ kidneys fat quantity]]/grand[[#This Row],[received]]</f>
        <v>8.8125</v>
      </c>
      <c r="U484" s="15">
        <v>25</v>
      </c>
      <c r="V484" s="15">
        <v>0</v>
      </c>
      <c r="W484" s="15">
        <v>50</v>
      </c>
      <c r="X484" s="15">
        <v>10</v>
      </c>
      <c r="Y484" s="8">
        <v>8.5</v>
      </c>
      <c r="Z484" s="18">
        <f>grand[[#This Row],[av. Transportation loss]]/grand[[#This Row],[av.total weight]]</f>
        <v>3.0277063696086834E-2</v>
      </c>
      <c r="AA484" s="12">
        <f>AVERAGE((grand[[#This Row],[am]]/25),(grand[[#This Row],[pm]]/50))</f>
        <v>1</v>
      </c>
      <c r="AB484" s="18">
        <f>grand[[#This Row],[ carcass weight]]/grand[[#This Row],[total weight]]</f>
        <v>0.60002856326763776</v>
      </c>
      <c r="AC484" s="19">
        <f>SUM(grand[[#This Row],[am]:[meat transportation]])/100</f>
        <v>0.93500000000000005</v>
      </c>
      <c r="AJ484" s="1">
        <v>3</v>
      </c>
      <c r="AK484" s="20">
        <f>grand[[#This Row],[accepted as exception]]/grand[[#This Row],[number]]</f>
        <v>0.1875</v>
      </c>
      <c r="AL484">
        <v>8</v>
      </c>
    </row>
    <row r="485" spans="1:38" hidden="1" x14ac:dyDescent="0.2">
      <c r="A485" s="11">
        <v>44523</v>
      </c>
      <c r="B485" s="53" t="s">
        <v>2725</v>
      </c>
      <c r="C485" s="52" t="str">
        <f>IF(MID(B485,4,2)="09","Ramadan",IF(AND(MID(B485,4,2)="12",VALUE(LEFT(B485,2))&lt;=9),"Adha Season","Normal"))</f>
        <v>Normal</v>
      </c>
      <c r="D485" s="1" t="s">
        <v>45</v>
      </c>
      <c r="F485" s="15" t="s">
        <v>280</v>
      </c>
      <c r="G485" s="1">
        <v>15</v>
      </c>
      <c r="H485" s="15">
        <v>15</v>
      </c>
      <c r="I485" s="1">
        <f>grand[[#This Row],[number]]-grand[[#This Row],[received]]</f>
        <v>0</v>
      </c>
      <c r="J485" s="30"/>
      <c r="K485" s="9">
        <v>7220</v>
      </c>
      <c r="L485" s="9">
        <v>7165</v>
      </c>
      <c r="M485" s="2">
        <f>K485-L485</f>
        <v>55</v>
      </c>
      <c r="N485" s="9">
        <v>4401.8</v>
      </c>
      <c r="O485" s="9">
        <v>133</v>
      </c>
      <c r="P485" s="16">
        <f>grand[[#This Row],[total weight]]/grand[[#This Row],[received]]</f>
        <v>481.33333333333331</v>
      </c>
      <c r="Q485" s="16">
        <f>grand[[#This Row],[receiving weight]]/grand[[#This Row],[received]]</f>
        <v>477.66666666666669</v>
      </c>
      <c r="R485" s="16">
        <f>grand[[#This Row],[transportation loss ]]/grand[[#This Row],[received]]</f>
        <v>3.6666666666666665</v>
      </c>
      <c r="S485" s="16">
        <f>grand[[#This Row],[ carcass weight]]/grand[[#This Row],[received]]</f>
        <v>293.45333333333332</v>
      </c>
      <c r="T485" s="16">
        <f>grand[[#This Row],[ kidneys fat quantity]]/grand[[#This Row],[received]]</f>
        <v>8.8666666666666671</v>
      </c>
      <c r="U485" s="15">
        <v>25</v>
      </c>
      <c r="V485" s="15">
        <v>0</v>
      </c>
      <c r="W485" s="15">
        <v>50</v>
      </c>
      <c r="X485" s="15">
        <v>10</v>
      </c>
      <c r="Y485" s="8">
        <v>8.5</v>
      </c>
      <c r="Z485" s="18">
        <f>grand[[#This Row],[av. Transportation loss]]/grand[[#This Row],[av.total weight]]</f>
        <v>7.6177285318559558E-3</v>
      </c>
      <c r="AA485" s="12">
        <f>AVERAGE((grand[[#This Row],[am]]/25),(grand[[#This Row],[pm]]/50))</f>
        <v>1</v>
      </c>
      <c r="AB485" s="18">
        <f>grand[[#This Row],[ carcass weight]]/grand[[#This Row],[total weight]]</f>
        <v>0.60966759002770088</v>
      </c>
      <c r="AC485" s="19">
        <f>SUM(grand[[#This Row],[am]:[meat transportation]])/100</f>
        <v>0.93500000000000005</v>
      </c>
      <c r="AJ485" s="1">
        <v>5</v>
      </c>
      <c r="AK485" s="20">
        <f>grand[[#This Row],[accepted as exception]]/grand[[#This Row],[number]]</f>
        <v>0.33333333333333331</v>
      </c>
      <c r="AL485">
        <v>0</v>
      </c>
    </row>
    <row r="486" spans="1:38" hidden="1" x14ac:dyDescent="0.2">
      <c r="A486" s="11">
        <v>44525</v>
      </c>
      <c r="B486" s="53" t="s">
        <v>2726</v>
      </c>
      <c r="C486" s="52" t="str">
        <f>IF(MID(B486,4,2)="09","Ramadan",IF(AND(MID(B486,4,2)="12",VALUE(LEFT(B486,2))&lt;=9),"Adha Season","Normal"))</f>
        <v>Normal</v>
      </c>
      <c r="D486" s="2" t="s">
        <v>294</v>
      </c>
      <c r="E486" s="2"/>
      <c r="F486" s="15" t="s">
        <v>105</v>
      </c>
      <c r="G486" s="1">
        <v>25</v>
      </c>
      <c r="H486" s="15">
        <v>25</v>
      </c>
      <c r="I486" s="1">
        <f>grand[[#This Row],[number]]-grand[[#This Row],[received]]</f>
        <v>0</v>
      </c>
      <c r="J486" s="30"/>
      <c r="K486" s="9">
        <v>1351</v>
      </c>
      <c r="L486" s="9">
        <v>1351</v>
      </c>
      <c r="M486" s="2">
        <f>K486-L486</f>
        <v>0</v>
      </c>
      <c r="N486" s="9">
        <v>803.2</v>
      </c>
      <c r="O486" s="9">
        <v>0</v>
      </c>
      <c r="P486" s="16">
        <f>grand[[#This Row],[total weight]]/grand[[#This Row],[received]]</f>
        <v>54.04</v>
      </c>
      <c r="Q486" s="16">
        <f>grand[[#This Row],[receiving weight]]/grand[[#This Row],[received]]</f>
        <v>54.04</v>
      </c>
      <c r="R486" s="16">
        <f>grand[[#This Row],[transportation loss ]]/grand[[#This Row],[received]]</f>
        <v>0</v>
      </c>
      <c r="S486" s="16">
        <f>grand[[#This Row],[ carcass weight]]/grand[[#This Row],[received]]</f>
        <v>32.128</v>
      </c>
      <c r="T486" s="16">
        <f>grand[[#This Row],[ kidneys fat quantity]]/grand[[#This Row],[received]]</f>
        <v>0</v>
      </c>
      <c r="U486" s="15">
        <v>25</v>
      </c>
      <c r="V486" s="15">
        <v>0</v>
      </c>
      <c r="W486" s="15">
        <v>49.2</v>
      </c>
      <c r="X486" s="15">
        <v>10</v>
      </c>
      <c r="Y486" s="8">
        <v>8.5</v>
      </c>
      <c r="Z486" s="18">
        <f>grand[[#This Row],[av. Transportation loss]]/grand[[#This Row],[av.total weight]]</f>
        <v>0</v>
      </c>
      <c r="AA486" s="12">
        <f>AVERAGE((grand[[#This Row],[am]]/25),(grand[[#This Row],[pm]]/50))</f>
        <v>0.99199999999999999</v>
      </c>
      <c r="AB486" s="18">
        <f>grand[[#This Row],[ carcass weight]]/grand[[#This Row],[total weight]]</f>
        <v>0.59452257586972612</v>
      </c>
      <c r="AC486" s="19">
        <f>SUM(grand[[#This Row],[am]:[meat transportation]])/100</f>
        <v>0.92700000000000005</v>
      </c>
      <c r="AJ486" s="1">
        <v>0</v>
      </c>
      <c r="AK486" s="20">
        <f>grand[[#This Row],[accepted as exception]]/grand[[#This Row],[number]]</f>
        <v>0</v>
      </c>
      <c r="AL486" s="1">
        <v>2.8</v>
      </c>
    </row>
    <row r="487" spans="1:38" hidden="1" x14ac:dyDescent="0.2">
      <c r="A487" s="11">
        <v>44527</v>
      </c>
      <c r="B487" s="53" t="s">
        <v>2727</v>
      </c>
      <c r="C487" s="52" t="str">
        <f>IF(MID(B487,4,2)="09","Ramadan",IF(AND(MID(B487,4,2)="12",VALUE(LEFT(B487,2))&lt;=9),"Adha Season","Normal"))</f>
        <v>Normal</v>
      </c>
      <c r="D487" s="1" t="s">
        <v>45</v>
      </c>
      <c r="F487" s="15" t="s">
        <v>43</v>
      </c>
      <c r="G487" s="1">
        <v>8</v>
      </c>
      <c r="H487" s="15">
        <v>8</v>
      </c>
      <c r="I487" s="1">
        <f>grand[[#This Row],[number]]-grand[[#This Row],[received]]</f>
        <v>0</v>
      </c>
      <c r="J487" s="30"/>
      <c r="K487" s="9">
        <v>3562</v>
      </c>
      <c r="L487" s="9">
        <v>3402</v>
      </c>
      <c r="M487" s="2">
        <f>K487-L487</f>
        <v>160</v>
      </c>
      <c r="N487" s="9">
        <v>2137.1</v>
      </c>
      <c r="O487" s="9">
        <v>65</v>
      </c>
      <c r="P487" s="16">
        <f>grand[[#This Row],[total weight]]/grand[[#This Row],[received]]</f>
        <v>445.25</v>
      </c>
      <c r="Q487" s="16">
        <f>grand[[#This Row],[receiving weight]]/grand[[#This Row],[received]]</f>
        <v>425.25</v>
      </c>
      <c r="R487" s="16">
        <f>grand[[#This Row],[transportation loss ]]/grand[[#This Row],[received]]</f>
        <v>20</v>
      </c>
      <c r="S487" s="16">
        <f>grand[[#This Row],[ carcass weight]]/grand[[#This Row],[received]]</f>
        <v>267.13749999999999</v>
      </c>
      <c r="T487" s="16">
        <f>grand[[#This Row],[ kidneys fat quantity]]/grand[[#This Row],[received]]</f>
        <v>8.125</v>
      </c>
      <c r="U487" s="15">
        <v>25</v>
      </c>
      <c r="V487" s="15">
        <v>0</v>
      </c>
      <c r="W487" s="15">
        <v>48.25</v>
      </c>
      <c r="X487" s="15">
        <v>10</v>
      </c>
      <c r="Y487" s="8">
        <v>8.5</v>
      </c>
      <c r="Z487" s="18">
        <f>grand[[#This Row],[av. Transportation loss]]/grand[[#This Row],[av.total weight]]</f>
        <v>4.4918585064570464E-2</v>
      </c>
      <c r="AA487" s="12">
        <f>AVERAGE((grand[[#This Row],[am]]/25),(grand[[#This Row],[pm]]/50))</f>
        <v>0.98249999999999993</v>
      </c>
      <c r="AB487" s="18">
        <f>grand[[#This Row],[ carcass weight]]/grand[[#This Row],[total weight]]</f>
        <v>0.59997192588433457</v>
      </c>
      <c r="AC487" s="19">
        <f>SUM(grand[[#This Row],[am]:[meat transportation]])/100</f>
        <v>0.91749999999999998</v>
      </c>
      <c r="AJ487" s="1">
        <v>7</v>
      </c>
      <c r="AK487" s="20">
        <f>grand[[#This Row],[accepted as exception]]/grand[[#This Row],[number]]</f>
        <v>0.875</v>
      </c>
      <c r="AL487">
        <v>7</v>
      </c>
    </row>
    <row r="488" spans="1:38" hidden="1" x14ac:dyDescent="0.2">
      <c r="A488" s="11">
        <v>44527</v>
      </c>
      <c r="B488" s="53" t="s">
        <v>2727</v>
      </c>
      <c r="C488" s="52" t="str">
        <f>IF(MID(B488,4,2)="09","Ramadan",IF(AND(MID(B488,4,2)="12",VALUE(LEFT(B488,2))&lt;=9),"Adha Season","Normal"))</f>
        <v>Normal</v>
      </c>
      <c r="D488" s="1" t="s">
        <v>45</v>
      </c>
      <c r="F488" s="15" t="s">
        <v>280</v>
      </c>
      <c r="G488" s="1">
        <v>24</v>
      </c>
      <c r="H488" s="15">
        <v>24</v>
      </c>
      <c r="I488" s="1">
        <f>grand[[#This Row],[number]]-grand[[#This Row],[received]]</f>
        <v>0</v>
      </c>
      <c r="J488" s="30"/>
      <c r="K488" s="9">
        <v>11500</v>
      </c>
      <c r="L488" s="9">
        <v>11220</v>
      </c>
      <c r="M488" s="2">
        <f>K488-L488</f>
        <v>280</v>
      </c>
      <c r="N488" s="9">
        <v>7005.2</v>
      </c>
      <c r="O488" s="9">
        <v>260</v>
      </c>
      <c r="P488" s="16">
        <f>grand[[#This Row],[total weight]]/grand[[#This Row],[received]]</f>
        <v>479.16666666666669</v>
      </c>
      <c r="Q488" s="16">
        <f>grand[[#This Row],[receiving weight]]/grand[[#This Row],[received]]</f>
        <v>467.5</v>
      </c>
      <c r="R488" s="16">
        <f>grand[[#This Row],[transportation loss ]]/grand[[#This Row],[received]]</f>
        <v>11.666666666666666</v>
      </c>
      <c r="S488" s="16">
        <f>grand[[#This Row],[ carcass weight]]/grand[[#This Row],[received]]</f>
        <v>291.88333333333333</v>
      </c>
      <c r="T488" s="16">
        <f>grand[[#This Row],[ kidneys fat quantity]]/grand[[#This Row],[received]]</f>
        <v>10.833333333333334</v>
      </c>
      <c r="U488" s="15">
        <v>25</v>
      </c>
      <c r="V488" s="15">
        <v>0</v>
      </c>
      <c r="W488" s="15">
        <v>50</v>
      </c>
      <c r="X488" s="15">
        <v>10</v>
      </c>
      <c r="Y488" s="8">
        <v>8.5</v>
      </c>
      <c r="Z488" s="18">
        <f>grand[[#This Row],[av. Transportation loss]]/grand[[#This Row],[av.total weight]]</f>
        <v>2.4347826086956518E-2</v>
      </c>
      <c r="AA488" s="12">
        <f>AVERAGE((grand[[#This Row],[am]]/25),(grand[[#This Row],[pm]]/50))</f>
        <v>1</v>
      </c>
      <c r="AB488" s="18">
        <f>grand[[#This Row],[ carcass weight]]/grand[[#This Row],[total weight]]</f>
        <v>0.6091478260869565</v>
      </c>
      <c r="AC488" s="19">
        <f>SUM(grand[[#This Row],[am]:[meat transportation]])/100</f>
        <v>0.93500000000000005</v>
      </c>
      <c r="AJ488" s="1">
        <v>14</v>
      </c>
      <c r="AK488" s="20">
        <f>grand[[#This Row],[accepted as exception]]/grand[[#This Row],[number]]</f>
        <v>0.58333333333333337</v>
      </c>
      <c r="AL488">
        <v>0</v>
      </c>
    </row>
    <row r="489" spans="1:38" hidden="1" x14ac:dyDescent="0.2">
      <c r="A489" s="11">
        <v>44528</v>
      </c>
      <c r="B489" s="53" t="s">
        <v>1592</v>
      </c>
      <c r="C489" s="52" t="str">
        <f>IF(MID(B489,4,2)="09","Ramadan",IF(AND(MID(B489,4,2)="12",VALUE(LEFT(B489,2))&lt;=9),"Adha Season","Normal"))</f>
        <v>Normal</v>
      </c>
      <c r="D489" s="1" t="s">
        <v>45</v>
      </c>
      <c r="F489" s="15" t="s">
        <v>39</v>
      </c>
      <c r="G489" s="1">
        <v>28</v>
      </c>
      <c r="H489" s="15">
        <v>28</v>
      </c>
      <c r="I489" s="1">
        <f>grand[[#This Row],[number]]-grand[[#This Row],[received]]</f>
        <v>0</v>
      </c>
      <c r="J489" s="30"/>
      <c r="K489" s="9">
        <v>12276</v>
      </c>
      <c r="L489" s="9">
        <v>11685</v>
      </c>
      <c r="M489" s="2">
        <f>K489-L489</f>
        <v>591</v>
      </c>
      <c r="N489" s="9">
        <v>7662.1</v>
      </c>
      <c r="O489" s="9">
        <v>327</v>
      </c>
      <c r="P489" s="16">
        <f>grand[[#This Row],[total weight]]/grand[[#This Row],[received]]</f>
        <v>438.42857142857144</v>
      </c>
      <c r="Q489" s="16">
        <f>grand[[#This Row],[receiving weight]]/grand[[#This Row],[received]]</f>
        <v>417.32142857142856</v>
      </c>
      <c r="R489" s="16">
        <f>grand[[#This Row],[transportation loss ]]/grand[[#This Row],[received]]</f>
        <v>21.107142857142858</v>
      </c>
      <c r="S489" s="16">
        <f>grand[[#This Row],[ carcass weight]]/grand[[#This Row],[received]]</f>
        <v>273.6464285714286</v>
      </c>
      <c r="T489" s="16">
        <f>grand[[#This Row],[ kidneys fat quantity]]/grand[[#This Row],[received]]</f>
        <v>11.678571428571429</v>
      </c>
      <c r="U489" s="15">
        <v>25</v>
      </c>
      <c r="V489" s="15">
        <v>0</v>
      </c>
      <c r="W489" s="15">
        <v>49.821428571428569</v>
      </c>
      <c r="X489" s="15">
        <v>9</v>
      </c>
      <c r="Y489" s="8">
        <v>8.5</v>
      </c>
      <c r="Z489" s="18">
        <f>grand[[#This Row],[av. Transportation loss]]/grand[[#This Row],[av.total weight]]</f>
        <v>4.8142717497556206E-2</v>
      </c>
      <c r="AA489" s="12">
        <f>AVERAGE((grand[[#This Row],[am]]/25),(grand[[#This Row],[pm]]/50))</f>
        <v>0.99821428571428572</v>
      </c>
      <c r="AB489" s="18">
        <f>grand[[#This Row],[ carcass weight]]/grand[[#This Row],[total weight]]</f>
        <v>0.62415281850765725</v>
      </c>
      <c r="AC489" s="19">
        <f>SUM(grand[[#This Row],[am]:[meat transportation]])/100</f>
        <v>0.92321428571428565</v>
      </c>
      <c r="AJ489" s="1">
        <v>5</v>
      </c>
      <c r="AK489" s="20">
        <f>grand[[#This Row],[accepted as exception]]/grand[[#This Row],[number]]</f>
        <v>0.17857142857142858</v>
      </c>
      <c r="AL489">
        <v>1</v>
      </c>
    </row>
    <row r="490" spans="1:38" hidden="1" x14ac:dyDescent="0.2">
      <c r="A490" s="11">
        <v>44530</v>
      </c>
      <c r="B490" s="53" t="s">
        <v>2728</v>
      </c>
      <c r="C490" s="52" t="str">
        <f>IF(MID(B490,4,2)="09","Ramadan",IF(AND(MID(B490,4,2)="12",VALUE(LEFT(B490,2))&lt;=9),"Adha Season","Normal"))</f>
        <v>Normal</v>
      </c>
      <c r="D490" s="1" t="s">
        <v>45</v>
      </c>
      <c r="F490" s="15" t="s">
        <v>280</v>
      </c>
      <c r="G490" s="1">
        <v>8</v>
      </c>
      <c r="H490" s="15">
        <v>8</v>
      </c>
      <c r="I490" s="1">
        <f>grand[[#This Row],[number]]-grand[[#This Row],[received]]</f>
        <v>0</v>
      </c>
      <c r="J490" s="30"/>
      <c r="K490" s="9">
        <v>3400</v>
      </c>
      <c r="L490" s="9">
        <v>3305</v>
      </c>
      <c r="M490" s="2">
        <f>K490-L490</f>
        <v>95</v>
      </c>
      <c r="N490" s="9">
        <v>2077.3000000000002</v>
      </c>
      <c r="O490" s="9">
        <v>68</v>
      </c>
      <c r="P490" s="16">
        <f>grand[[#This Row],[total weight]]/grand[[#This Row],[received]]</f>
        <v>425</v>
      </c>
      <c r="Q490" s="16">
        <f>grand[[#This Row],[receiving weight]]/grand[[#This Row],[received]]</f>
        <v>413.125</v>
      </c>
      <c r="R490" s="16">
        <f>grand[[#This Row],[transportation loss ]]/grand[[#This Row],[received]]</f>
        <v>11.875</v>
      </c>
      <c r="S490" s="16">
        <f>grand[[#This Row],[ carcass weight]]/grand[[#This Row],[received]]</f>
        <v>259.66250000000002</v>
      </c>
      <c r="T490" s="16">
        <f>grand[[#This Row],[ kidneys fat quantity]]/grand[[#This Row],[received]]</f>
        <v>8.5</v>
      </c>
      <c r="U490" s="15">
        <v>25</v>
      </c>
      <c r="V490" s="15">
        <v>0</v>
      </c>
      <c r="W490" s="15">
        <v>50</v>
      </c>
      <c r="X490" s="15">
        <v>10</v>
      </c>
      <c r="Y490" s="8">
        <v>8.5</v>
      </c>
      <c r="Z490" s="18">
        <f>grand[[#This Row],[av. Transportation loss]]/grand[[#This Row],[av.total weight]]</f>
        <v>2.7941176470588237E-2</v>
      </c>
      <c r="AA490" s="12">
        <f>AVERAGE((grand[[#This Row],[am]]/25),(grand[[#This Row],[pm]]/50))</f>
        <v>1</v>
      </c>
      <c r="AB490" s="18">
        <f>grand[[#This Row],[ carcass weight]]/grand[[#This Row],[total weight]]</f>
        <v>0.61097058823529415</v>
      </c>
      <c r="AC490" s="19">
        <f>SUM(grand[[#This Row],[am]:[meat transportation]])/100</f>
        <v>0.93500000000000005</v>
      </c>
      <c r="AJ490" s="1">
        <v>2</v>
      </c>
      <c r="AK490" s="20">
        <f>grand[[#This Row],[accepted as exception]]/grand[[#This Row],[number]]</f>
        <v>0.25</v>
      </c>
      <c r="AL490">
        <v>0</v>
      </c>
    </row>
    <row r="491" spans="1:38" hidden="1" x14ac:dyDescent="0.2">
      <c r="A491" s="11">
        <v>44532</v>
      </c>
      <c r="B491" s="53" t="s">
        <v>2729</v>
      </c>
      <c r="C491" s="52" t="str">
        <f>IF(MID(B491,4,2)="09","Ramadan",IF(AND(MID(B491,4,2)="12",VALUE(LEFT(B491,2))&lt;=9),"Adha Season","Normal"))</f>
        <v>Normal</v>
      </c>
      <c r="D491" s="1" t="s">
        <v>45</v>
      </c>
      <c r="F491" s="4" t="s">
        <v>46</v>
      </c>
      <c r="G491" s="1">
        <v>45</v>
      </c>
      <c r="H491" s="15">
        <v>45</v>
      </c>
      <c r="I491" s="1">
        <f>grand[[#This Row],[number]]-grand[[#This Row],[received]]</f>
        <v>0</v>
      </c>
      <c r="J491" s="30"/>
      <c r="K491" s="9">
        <v>18369</v>
      </c>
      <c r="L491" s="9">
        <v>17650</v>
      </c>
      <c r="M491" s="2">
        <f>K491-L491</f>
        <v>719</v>
      </c>
      <c r="N491" s="9">
        <v>11020.9</v>
      </c>
      <c r="O491" s="9">
        <v>265</v>
      </c>
      <c r="P491" s="7">
        <f>grand[[#This Row],[total weight]]/grand[[#This Row],[received]]</f>
        <v>408.2</v>
      </c>
      <c r="Q491" s="7">
        <f>grand[[#This Row],[receiving weight]]/grand[[#This Row],[received]]</f>
        <v>392.22222222222223</v>
      </c>
      <c r="R491" s="7">
        <f>grand[[#This Row],[transportation loss ]]/grand[[#This Row],[received]]</f>
        <v>15.977777777777778</v>
      </c>
      <c r="S491" s="7">
        <f>grand[[#This Row],[ carcass weight]]/grand[[#This Row],[received]]</f>
        <v>244.90888888888887</v>
      </c>
      <c r="T491" s="7">
        <f>grand[[#This Row],[ kidneys fat quantity]]/grand[[#This Row],[received]]</f>
        <v>5.8888888888888893</v>
      </c>
      <c r="U491" s="15">
        <v>25</v>
      </c>
      <c r="V491" s="15">
        <v>0</v>
      </c>
      <c r="W491" s="15">
        <v>50</v>
      </c>
      <c r="X491" s="15">
        <v>10</v>
      </c>
      <c r="Y491" s="8">
        <v>8.5</v>
      </c>
      <c r="Z491" s="18">
        <f>grand[[#This Row],[av. Transportation loss]]/grand[[#This Row],[av.total weight]]</f>
        <v>3.9142032772606021E-2</v>
      </c>
      <c r="AA491" s="12">
        <f>AVERAGE((grand[[#This Row],[am]]/25),(grand[[#This Row],[pm]]/50))</f>
        <v>1</v>
      </c>
      <c r="AB491" s="3">
        <f>grand[[#This Row],[ carcass weight]]/grand[[#This Row],[total weight]]</f>
        <v>0.59997278022755729</v>
      </c>
      <c r="AC491" s="19">
        <f>SUM(grand[[#This Row],[am]:[meat transportation]])/100</f>
        <v>0.93500000000000005</v>
      </c>
      <c r="AJ491" s="1">
        <v>0</v>
      </c>
      <c r="AK491" s="20">
        <f>grand[[#This Row],[accepted as exception]]/grand[[#This Row],[number]]</f>
        <v>0</v>
      </c>
      <c r="AL491" s="1">
        <v>2</v>
      </c>
    </row>
    <row r="492" spans="1:38" hidden="1" x14ac:dyDescent="0.2">
      <c r="A492" s="11">
        <v>44532</v>
      </c>
      <c r="B492" s="53" t="s">
        <v>2729</v>
      </c>
      <c r="C492" s="52" t="str">
        <f>IF(MID(B492,4,2)="09","Ramadan",IF(AND(MID(B492,4,2)="12",VALUE(LEFT(B492,2))&lt;=9),"Adha Season","Normal"))</f>
        <v>Normal</v>
      </c>
      <c r="D492" s="2" t="s">
        <v>294</v>
      </c>
      <c r="E492" s="2"/>
      <c r="F492" s="4" t="s">
        <v>35</v>
      </c>
      <c r="G492" s="1">
        <v>25</v>
      </c>
      <c r="H492" s="15">
        <v>25</v>
      </c>
      <c r="I492" s="1">
        <f>grand[[#This Row],[number]]-grand[[#This Row],[received]]</f>
        <v>0</v>
      </c>
      <c r="J492" s="30"/>
      <c r="K492" s="9">
        <v>1308</v>
      </c>
      <c r="L492" s="9">
        <v>1280</v>
      </c>
      <c r="M492" s="2">
        <f>K492-L492</f>
        <v>28</v>
      </c>
      <c r="N492" s="9">
        <v>800.1</v>
      </c>
      <c r="O492" s="9">
        <v>0</v>
      </c>
      <c r="P492" s="7">
        <f>grand[[#This Row],[total weight]]/grand[[#This Row],[received]]</f>
        <v>52.32</v>
      </c>
      <c r="Q492" s="7">
        <f>grand[[#This Row],[receiving weight]]/grand[[#This Row],[received]]</f>
        <v>51.2</v>
      </c>
      <c r="R492" s="7">
        <f>grand[[#This Row],[transportation loss ]]/grand[[#This Row],[received]]</f>
        <v>1.1200000000000001</v>
      </c>
      <c r="S492" s="7">
        <f>grand[[#This Row],[ carcass weight]]/grand[[#This Row],[received]]</f>
        <v>32.003999999999998</v>
      </c>
      <c r="T492" s="7">
        <f>grand[[#This Row],[ kidneys fat quantity]]/grand[[#This Row],[received]]</f>
        <v>0</v>
      </c>
      <c r="U492" s="15">
        <v>22</v>
      </c>
      <c r="V492" s="15">
        <v>0</v>
      </c>
      <c r="W492" s="15">
        <v>46.5</v>
      </c>
      <c r="X492" s="15">
        <v>10</v>
      </c>
      <c r="Y492" s="8">
        <v>8.5</v>
      </c>
      <c r="Z492" s="18">
        <f>grand[[#This Row],[av. Transportation loss]]/grand[[#This Row],[av.total weight]]</f>
        <v>2.140672782874618E-2</v>
      </c>
      <c r="AA492" s="12">
        <f>AVERAGE((grand[[#This Row],[am]]/25),(grand[[#This Row],[pm]]/50))</f>
        <v>0.90500000000000003</v>
      </c>
      <c r="AB492" s="3">
        <f>grand[[#This Row],[ carcass weight]]/grand[[#This Row],[total weight]]</f>
        <v>0.61169724770642209</v>
      </c>
      <c r="AC492" s="19">
        <f>SUM(grand[[#This Row],[am]:[meat transportation]])/100</f>
        <v>0.87</v>
      </c>
      <c r="AD492" s="1" t="s">
        <v>188</v>
      </c>
      <c r="AJ492" s="1">
        <v>0</v>
      </c>
      <c r="AK492" s="20">
        <f>grand[[#This Row],[accepted as exception]]/grand[[#This Row],[number]]</f>
        <v>0</v>
      </c>
      <c r="AL492" s="1">
        <v>0.5</v>
      </c>
    </row>
    <row r="493" spans="1:38" hidden="1" x14ac:dyDescent="0.2">
      <c r="A493" s="11">
        <v>44534</v>
      </c>
      <c r="B493" s="53" t="s">
        <v>2730</v>
      </c>
      <c r="C493" s="52" t="str">
        <f>IF(MID(B493,4,2)="09","Ramadan",IF(AND(MID(B493,4,2)="12",VALUE(LEFT(B493,2))&lt;=9),"Adha Season","Normal"))</f>
        <v>Normal</v>
      </c>
      <c r="D493" s="1" t="s">
        <v>45</v>
      </c>
      <c r="F493" s="4" t="s">
        <v>41</v>
      </c>
      <c r="G493" s="1">
        <v>16</v>
      </c>
      <c r="H493" s="15">
        <v>16</v>
      </c>
      <c r="I493" s="1">
        <f>grand[[#This Row],[number]]-grand[[#This Row],[received]]</f>
        <v>0</v>
      </c>
      <c r="J493" s="30"/>
      <c r="K493" s="9">
        <v>6823</v>
      </c>
      <c r="L493" s="9">
        <v>6560</v>
      </c>
      <c r="M493" s="2">
        <f>K493-L493</f>
        <v>263</v>
      </c>
      <c r="N493" s="9">
        <v>4093.7</v>
      </c>
      <c r="O493" s="9">
        <v>127</v>
      </c>
      <c r="P493" s="7">
        <f>grand[[#This Row],[total weight]]/grand[[#This Row],[received]]</f>
        <v>426.4375</v>
      </c>
      <c r="Q493" s="7">
        <f>grand[[#This Row],[receiving weight]]/grand[[#This Row],[received]]</f>
        <v>410</v>
      </c>
      <c r="R493" s="7">
        <f>grand[[#This Row],[transportation loss ]]/grand[[#This Row],[received]]</f>
        <v>16.4375</v>
      </c>
      <c r="S493" s="7">
        <f>grand[[#This Row],[ carcass weight]]/grand[[#This Row],[received]]</f>
        <v>255.85624999999999</v>
      </c>
      <c r="T493" s="7">
        <f>grand[[#This Row],[ kidneys fat quantity]]/grand[[#This Row],[received]]</f>
        <v>7.9375</v>
      </c>
      <c r="U493" s="15">
        <v>25</v>
      </c>
      <c r="V493" s="15">
        <v>0</v>
      </c>
      <c r="W493" s="15">
        <v>49.5625</v>
      </c>
      <c r="X493" s="15">
        <v>10</v>
      </c>
      <c r="Y493" s="8">
        <v>8.5</v>
      </c>
      <c r="Z493" s="18">
        <f>grand[[#This Row],[av. Transportation loss]]/grand[[#This Row],[av.total weight]]</f>
        <v>3.8546094093507254E-2</v>
      </c>
      <c r="AA493" s="12">
        <f>AVERAGE((grand[[#This Row],[am]]/25),(grand[[#This Row],[pm]]/50))</f>
        <v>0.99562499999999998</v>
      </c>
      <c r="AB493" s="3">
        <f>grand[[#This Row],[ carcass weight]]/grand[[#This Row],[total weight]]</f>
        <v>0.59998534369045875</v>
      </c>
      <c r="AC493" s="19">
        <f>SUM(grand[[#This Row],[am]:[meat transportation]])/100</f>
        <v>0.93062500000000004</v>
      </c>
      <c r="AD493" s="1" t="s">
        <v>117</v>
      </c>
      <c r="AJ493" s="1">
        <v>5</v>
      </c>
      <c r="AK493" s="20">
        <f>grand[[#This Row],[accepted as exception]]/grand[[#This Row],[number]]</f>
        <v>0.3125</v>
      </c>
      <c r="AL493" s="1">
        <v>1</v>
      </c>
    </row>
    <row r="494" spans="1:38" hidden="1" x14ac:dyDescent="0.2">
      <c r="A494" s="11">
        <v>44534</v>
      </c>
      <c r="B494" s="53" t="s">
        <v>2730</v>
      </c>
      <c r="C494" s="52" t="str">
        <f>IF(MID(B494,4,2)="09","Ramadan",IF(AND(MID(B494,4,2)="12",VALUE(LEFT(B494,2))&lt;=9),"Adha Season","Normal"))</f>
        <v>Normal</v>
      </c>
      <c r="D494" s="1" t="s">
        <v>45</v>
      </c>
      <c r="F494" s="4" t="s">
        <v>43</v>
      </c>
      <c r="G494" s="1">
        <v>16</v>
      </c>
      <c r="H494" s="15">
        <v>16</v>
      </c>
      <c r="I494" s="1">
        <f>grand[[#This Row],[number]]-grand[[#This Row],[received]]</f>
        <v>0</v>
      </c>
      <c r="J494" s="30"/>
      <c r="K494" s="9">
        <v>7708</v>
      </c>
      <c r="L494" s="9">
        <v>7360</v>
      </c>
      <c r="M494" s="2">
        <f>K494-L494</f>
        <v>348</v>
      </c>
      <c r="N494" s="9">
        <v>4624.8999999999996</v>
      </c>
      <c r="O494" s="9">
        <v>155</v>
      </c>
      <c r="P494" s="7">
        <f>grand[[#This Row],[total weight]]/grand[[#This Row],[received]]</f>
        <v>481.75</v>
      </c>
      <c r="Q494" s="7">
        <f>grand[[#This Row],[receiving weight]]/grand[[#This Row],[received]]</f>
        <v>460</v>
      </c>
      <c r="R494" s="7">
        <f>grand[[#This Row],[transportation loss ]]/grand[[#This Row],[received]]</f>
        <v>21.75</v>
      </c>
      <c r="S494" s="7">
        <f>grand[[#This Row],[ carcass weight]]/grand[[#This Row],[received]]</f>
        <v>289.05624999999998</v>
      </c>
      <c r="T494" s="7">
        <f>grand[[#This Row],[ kidneys fat quantity]]/grand[[#This Row],[received]]</f>
        <v>9.6875</v>
      </c>
      <c r="U494" s="15">
        <v>25</v>
      </c>
      <c r="V494" s="15">
        <v>0</v>
      </c>
      <c r="W494" s="15">
        <v>50</v>
      </c>
      <c r="X494" s="15">
        <v>10</v>
      </c>
      <c r="Y494" s="8">
        <v>8.5</v>
      </c>
      <c r="Z494" s="18">
        <f>grand[[#This Row],[av. Transportation loss]]/grand[[#This Row],[av.total weight]]</f>
        <v>4.5147898287493514E-2</v>
      </c>
      <c r="AA494" s="12">
        <f>AVERAGE((grand[[#This Row],[am]]/25),(grand[[#This Row],[pm]]/50))</f>
        <v>1</v>
      </c>
      <c r="AB494" s="3">
        <f>grand[[#This Row],[ carcass weight]]/grand[[#This Row],[total weight]]</f>
        <v>0.60001297353399063</v>
      </c>
      <c r="AC494" s="19">
        <f>SUM(grand[[#This Row],[am]:[meat transportation]])/100</f>
        <v>0.93500000000000005</v>
      </c>
      <c r="AJ494" s="1">
        <v>3</v>
      </c>
      <c r="AK494" s="20">
        <f>grand[[#This Row],[accepted as exception]]/grand[[#This Row],[number]]</f>
        <v>0.1875</v>
      </c>
      <c r="AL494" s="1">
        <v>1</v>
      </c>
    </row>
    <row r="495" spans="1:38" hidden="1" x14ac:dyDescent="0.2">
      <c r="A495" s="11">
        <v>44539</v>
      </c>
      <c r="B495" s="53" t="s">
        <v>2732</v>
      </c>
      <c r="C495" s="52" t="str">
        <f>IF(MID(B495,4,2)="09","Ramadan",IF(AND(MID(B495,4,2)="12",VALUE(LEFT(B495,2))&lt;=9),"Adha Season","Normal"))</f>
        <v>Normal</v>
      </c>
      <c r="D495" s="1" t="s">
        <v>45</v>
      </c>
      <c r="F495" s="4" t="s">
        <v>46</v>
      </c>
      <c r="G495" s="1">
        <v>32</v>
      </c>
      <c r="H495" s="15">
        <v>32</v>
      </c>
      <c r="I495" s="1">
        <f>grand[[#This Row],[number]]-grand[[#This Row],[received]]</f>
        <v>0</v>
      </c>
      <c r="J495" s="30"/>
      <c r="K495" s="9">
        <v>12709</v>
      </c>
      <c r="L495" s="9">
        <v>12295</v>
      </c>
      <c r="M495" s="2">
        <f>K495-L495</f>
        <v>414</v>
      </c>
      <c r="N495" s="9">
        <v>7624.9</v>
      </c>
      <c r="O495" s="9">
        <v>193</v>
      </c>
      <c r="P495" s="7">
        <f>grand[[#This Row],[total weight]]/grand[[#This Row],[received]]</f>
        <v>397.15625</v>
      </c>
      <c r="Q495" s="7">
        <f>grand[[#This Row],[receiving weight]]/grand[[#This Row],[received]]</f>
        <v>384.21875</v>
      </c>
      <c r="R495" s="7">
        <f>grand[[#This Row],[transportation loss ]]/grand[[#This Row],[received]]</f>
        <v>12.9375</v>
      </c>
      <c r="S495" s="7">
        <f>grand[[#This Row],[ carcass weight]]/grand[[#This Row],[received]]</f>
        <v>238.27812499999999</v>
      </c>
      <c r="T495" s="7">
        <f>grand[[#This Row],[ kidneys fat quantity]]/grand[[#This Row],[received]]</f>
        <v>6.03125</v>
      </c>
      <c r="U495" s="15">
        <v>25</v>
      </c>
      <c r="V495" s="15">
        <v>0</v>
      </c>
      <c r="W495" s="15">
        <v>50</v>
      </c>
      <c r="X495" s="15">
        <v>10</v>
      </c>
      <c r="Y495" s="8">
        <v>8.5</v>
      </c>
      <c r="Z495" s="18">
        <f>grand[[#This Row],[av. Transportation loss]]/grand[[#This Row],[av.total weight]]</f>
        <v>3.2575340310016521E-2</v>
      </c>
      <c r="AA495" s="12">
        <f>AVERAGE((grand[[#This Row],[am]]/25),(grand[[#This Row],[pm]]/50))</f>
        <v>1</v>
      </c>
      <c r="AB495" s="3">
        <f>grand[[#This Row],[ carcass weight]]/grand[[#This Row],[total weight]]</f>
        <v>0.59996065780155794</v>
      </c>
      <c r="AC495" s="19">
        <f>SUM(grand[[#This Row],[am]:[meat transportation]])/100</f>
        <v>0.93500000000000005</v>
      </c>
      <c r="AJ495" s="1">
        <v>10</v>
      </c>
      <c r="AK495" s="20">
        <f>grand[[#This Row],[accepted as exception]]/grand[[#This Row],[number]]</f>
        <v>0.3125</v>
      </c>
      <c r="AL495" s="1"/>
    </row>
    <row r="496" spans="1:38" hidden="1" x14ac:dyDescent="0.2">
      <c r="A496" s="11">
        <v>44539</v>
      </c>
      <c r="B496" s="53" t="s">
        <v>2732</v>
      </c>
      <c r="C496" s="52" t="str">
        <f>IF(MID(B496,4,2)="09","Ramadan",IF(AND(MID(B496,4,2)="12",VALUE(LEFT(B496,2))&lt;=9),"Adha Season","Normal"))</f>
        <v>Normal</v>
      </c>
      <c r="D496" s="2" t="s">
        <v>294</v>
      </c>
      <c r="E496" s="2"/>
      <c r="F496" s="4" t="s">
        <v>35</v>
      </c>
      <c r="G496" s="1">
        <v>27</v>
      </c>
      <c r="H496" s="15">
        <v>27</v>
      </c>
      <c r="I496" s="1">
        <f>grand[[#This Row],[number]]-grand[[#This Row],[received]]</f>
        <v>0</v>
      </c>
      <c r="J496" s="30"/>
      <c r="K496" s="9">
        <v>1321</v>
      </c>
      <c r="L496" s="9">
        <v>1270</v>
      </c>
      <c r="M496" s="2">
        <f>K496-L496</f>
        <v>51</v>
      </c>
      <c r="N496" s="9">
        <v>801.2</v>
      </c>
      <c r="O496" s="9">
        <v>0</v>
      </c>
      <c r="P496" s="7">
        <f>grand[[#This Row],[total weight]]/grand[[#This Row],[received]]</f>
        <v>48.925925925925924</v>
      </c>
      <c r="Q496" s="7">
        <f>grand[[#This Row],[receiving weight]]/grand[[#This Row],[received]]</f>
        <v>47.037037037037038</v>
      </c>
      <c r="R496" s="7">
        <f>grand[[#This Row],[transportation loss ]]/grand[[#This Row],[received]]</f>
        <v>1.8888888888888888</v>
      </c>
      <c r="S496" s="7">
        <f>grand[[#This Row],[ carcass weight]]/grand[[#This Row],[received]]</f>
        <v>29.674074074074074</v>
      </c>
      <c r="T496" s="7">
        <f>grand[[#This Row],[ kidneys fat quantity]]/grand[[#This Row],[received]]</f>
        <v>0</v>
      </c>
      <c r="U496" s="15">
        <v>25</v>
      </c>
      <c r="V496" s="15">
        <v>0</v>
      </c>
      <c r="W496" s="15">
        <v>49.777777777777779</v>
      </c>
      <c r="X496" s="15">
        <v>10</v>
      </c>
      <c r="Y496" s="8">
        <v>8.5</v>
      </c>
      <c r="Z496" s="18">
        <f>grand[[#This Row],[av. Transportation loss]]/grand[[#This Row],[av.total weight]]</f>
        <v>3.8607115821347467E-2</v>
      </c>
      <c r="AA496" s="12">
        <f>AVERAGE((grand[[#This Row],[am]]/25),(grand[[#This Row],[pm]]/50))</f>
        <v>0.99777777777777776</v>
      </c>
      <c r="AB496" s="3">
        <f>grand[[#This Row],[ carcass weight]]/grand[[#This Row],[total weight]]</f>
        <v>0.60651021953065865</v>
      </c>
      <c r="AC496" s="19">
        <f>SUM(grand[[#This Row],[am]:[meat transportation]])/100</f>
        <v>0.93277777777777771</v>
      </c>
      <c r="AF496" s="1" t="s">
        <v>338</v>
      </c>
      <c r="AJ496" s="1">
        <v>0</v>
      </c>
      <c r="AK496" s="20">
        <f>grand[[#This Row],[accepted as exception]]/grand[[#This Row],[number]]</f>
        <v>0</v>
      </c>
      <c r="AL496" s="1"/>
    </row>
    <row r="497" spans="1:38" hidden="1" x14ac:dyDescent="0.2">
      <c r="A497" s="11">
        <v>44539</v>
      </c>
      <c r="B497" s="53" t="s">
        <v>2732</v>
      </c>
      <c r="C497" s="52" t="str">
        <f>IF(MID(B497,4,2)="09","Ramadan",IF(AND(MID(B497,4,2)="12",VALUE(LEFT(B497,2))&lt;=9),"Adha Season","Normal"))</f>
        <v>Normal</v>
      </c>
      <c r="D497" s="1" t="s">
        <v>45</v>
      </c>
      <c r="F497" s="4" t="s">
        <v>39</v>
      </c>
      <c r="G497" s="1">
        <v>16</v>
      </c>
      <c r="H497" s="15">
        <v>16</v>
      </c>
      <c r="I497" s="1">
        <f>grand[[#This Row],[number]]-grand[[#This Row],[received]]</f>
        <v>0</v>
      </c>
      <c r="J497" s="30"/>
      <c r="K497" s="9">
        <v>7314</v>
      </c>
      <c r="L497" s="9">
        <v>6915</v>
      </c>
      <c r="M497" s="2">
        <f>K497-L497</f>
        <v>399</v>
      </c>
      <c r="N497" s="9">
        <v>4539.2</v>
      </c>
      <c r="O497" s="9">
        <v>164</v>
      </c>
      <c r="P497" s="7">
        <f>grand[[#This Row],[total weight]]/grand[[#This Row],[received]]</f>
        <v>457.125</v>
      </c>
      <c r="Q497" s="7">
        <f>grand[[#This Row],[receiving weight]]/grand[[#This Row],[received]]</f>
        <v>432.1875</v>
      </c>
      <c r="R497" s="7">
        <f>grand[[#This Row],[transportation loss ]]/grand[[#This Row],[received]]</f>
        <v>24.9375</v>
      </c>
      <c r="S497" s="7">
        <f>grand[[#This Row],[ carcass weight]]/grand[[#This Row],[received]]</f>
        <v>283.7</v>
      </c>
      <c r="T497" s="7">
        <f>grand[[#This Row],[ kidneys fat quantity]]/grand[[#This Row],[received]]</f>
        <v>10.25</v>
      </c>
      <c r="U497" s="15">
        <v>25</v>
      </c>
      <c r="V497" s="15">
        <v>0</v>
      </c>
      <c r="W497" s="15">
        <v>49.84375</v>
      </c>
      <c r="X497" s="15">
        <v>10</v>
      </c>
      <c r="Y497" s="8">
        <v>8.5</v>
      </c>
      <c r="Z497" s="18">
        <f>grand[[#This Row],[av. Transportation loss]]/grand[[#This Row],[av.total weight]]</f>
        <v>5.4552912223133715E-2</v>
      </c>
      <c r="AA497" s="12">
        <f>AVERAGE((grand[[#This Row],[am]]/25),(grand[[#This Row],[pm]]/50))</f>
        <v>0.99843749999999998</v>
      </c>
      <c r="AB497" s="3">
        <f>grand[[#This Row],[ carcass weight]]/grand[[#This Row],[total weight]]</f>
        <v>0.62061799289034725</v>
      </c>
      <c r="AC497" s="19">
        <f>SUM(grand[[#This Row],[am]:[meat transportation]])/100</f>
        <v>0.93343750000000003</v>
      </c>
      <c r="AD497" s="1" t="s">
        <v>72</v>
      </c>
      <c r="AJ497" s="1">
        <v>0</v>
      </c>
      <c r="AK497" s="20">
        <f>grand[[#This Row],[accepted as exception]]/grand[[#This Row],[number]]</f>
        <v>0</v>
      </c>
      <c r="AL497" s="1"/>
    </row>
    <row r="498" spans="1:38" hidden="1" x14ac:dyDescent="0.2">
      <c r="A498" s="11">
        <v>44541</v>
      </c>
      <c r="B498" s="53" t="s">
        <v>2733</v>
      </c>
      <c r="C498" s="52" t="str">
        <f>IF(MID(B498,4,2)="09","Ramadan",IF(AND(MID(B498,4,2)="12",VALUE(LEFT(B498,2))&lt;=9),"Adha Season","Normal"))</f>
        <v>Normal</v>
      </c>
      <c r="D498" s="1" t="s">
        <v>45</v>
      </c>
      <c r="F498" s="4" t="s">
        <v>333</v>
      </c>
      <c r="G498" s="1">
        <v>16</v>
      </c>
      <c r="H498" s="15">
        <v>16</v>
      </c>
      <c r="I498" s="1">
        <f>grand[[#This Row],[number]]-grand[[#This Row],[received]]</f>
        <v>0</v>
      </c>
      <c r="J498" s="30"/>
      <c r="K498" s="9">
        <v>6816</v>
      </c>
      <c r="L498" s="9">
        <v>6535</v>
      </c>
      <c r="M498" s="2">
        <f>K498-L498</f>
        <v>281</v>
      </c>
      <c r="N498" s="9">
        <v>4111.6000000000004</v>
      </c>
      <c r="O498" s="9">
        <v>143</v>
      </c>
      <c r="P498" s="7">
        <f>grand[[#This Row],[total weight]]/grand[[#This Row],[received]]</f>
        <v>426</v>
      </c>
      <c r="Q498" s="7">
        <f>grand[[#This Row],[receiving weight]]/grand[[#This Row],[received]]</f>
        <v>408.4375</v>
      </c>
      <c r="R498" s="7">
        <f>grand[[#This Row],[transportation loss ]]/grand[[#This Row],[received]]</f>
        <v>17.5625</v>
      </c>
      <c r="S498" s="7">
        <f>grand[[#This Row],[ carcass weight]]/grand[[#This Row],[received]]</f>
        <v>256.97500000000002</v>
      </c>
      <c r="T498" s="7">
        <f>grand[[#This Row],[ kidneys fat quantity]]/grand[[#This Row],[received]]</f>
        <v>8.9375</v>
      </c>
      <c r="U498" s="15">
        <v>25</v>
      </c>
      <c r="V498" s="15">
        <v>0</v>
      </c>
      <c r="W498" s="15">
        <v>49.125</v>
      </c>
      <c r="X498" s="15">
        <v>10</v>
      </c>
      <c r="Y498" s="8">
        <v>8.5</v>
      </c>
      <c r="Z498" s="18">
        <f>grand[[#This Row],[av. Transportation loss]]/grand[[#This Row],[av.total weight]]</f>
        <v>4.1226525821596242E-2</v>
      </c>
      <c r="AA498" s="12">
        <f>AVERAGE((grand[[#This Row],[am]]/25),(grand[[#This Row],[pm]]/50))</f>
        <v>0.99124999999999996</v>
      </c>
      <c r="AB498" s="3">
        <f>grand[[#This Row],[ carcass weight]]/grand[[#This Row],[total weight]]</f>
        <v>0.60322769953051647</v>
      </c>
      <c r="AC498" s="19">
        <f>SUM(grand[[#This Row],[am]:[meat transportation]])/100</f>
        <v>0.92625000000000002</v>
      </c>
      <c r="AD498" s="1" t="s">
        <v>339</v>
      </c>
      <c r="AJ498" s="1">
        <v>2</v>
      </c>
      <c r="AK498" s="20">
        <f>grand[[#This Row],[accepted as exception]]/grand[[#This Row],[number]]</f>
        <v>0.125</v>
      </c>
      <c r="AL498" s="1">
        <v>7.5</v>
      </c>
    </row>
    <row r="499" spans="1:38" hidden="1" x14ac:dyDescent="0.2">
      <c r="A499" s="11">
        <v>44542</v>
      </c>
      <c r="B499" s="53" t="s">
        <v>1594</v>
      </c>
      <c r="C499" s="52" t="str">
        <f>IF(MID(B499,4,2)="09","Ramadan",IF(AND(MID(B499,4,2)="12",VALUE(LEFT(B499,2))&lt;=9),"Adha Season","Normal"))</f>
        <v>Normal</v>
      </c>
      <c r="D499" s="1" t="s">
        <v>45</v>
      </c>
      <c r="F499" s="4" t="s">
        <v>280</v>
      </c>
      <c r="G499" s="1">
        <v>30</v>
      </c>
      <c r="H499" s="15">
        <v>30</v>
      </c>
      <c r="I499" s="1">
        <f>grand[[#This Row],[number]]-grand[[#This Row],[received]]</f>
        <v>0</v>
      </c>
      <c r="J499" s="30"/>
      <c r="K499" s="9">
        <v>14200</v>
      </c>
      <c r="L499" s="9">
        <v>13780</v>
      </c>
      <c r="M499" s="2">
        <f>K499-L499</f>
        <v>420</v>
      </c>
      <c r="N499" s="9">
        <v>8715.6</v>
      </c>
      <c r="O499" s="9">
        <v>286</v>
      </c>
      <c r="P499" s="7">
        <f>grand[[#This Row],[total weight]]/grand[[#This Row],[received]]</f>
        <v>473.33333333333331</v>
      </c>
      <c r="Q499" s="7">
        <f>grand[[#This Row],[receiving weight]]/grand[[#This Row],[received]]</f>
        <v>459.33333333333331</v>
      </c>
      <c r="R499" s="7">
        <f>grand[[#This Row],[transportation loss ]]/grand[[#This Row],[received]]</f>
        <v>14</v>
      </c>
      <c r="S499" s="7">
        <f>grand[[#This Row],[ carcass weight]]/grand[[#This Row],[received]]</f>
        <v>290.52000000000004</v>
      </c>
      <c r="T499" s="7">
        <f>grand[[#This Row],[ kidneys fat quantity]]/grand[[#This Row],[received]]</f>
        <v>9.5333333333333332</v>
      </c>
      <c r="U499" s="15">
        <v>25</v>
      </c>
      <c r="V499" s="15">
        <v>0</v>
      </c>
      <c r="W499" s="15">
        <v>49.766666666666673</v>
      </c>
      <c r="X499" s="15">
        <v>10</v>
      </c>
      <c r="Y499" s="8">
        <v>8.5</v>
      </c>
      <c r="Z499" s="18">
        <f>grand[[#This Row],[av. Transportation loss]]/grand[[#This Row],[av.total weight]]</f>
        <v>2.9577464788732397E-2</v>
      </c>
      <c r="AA499" s="12">
        <f>AVERAGE((grand[[#This Row],[am]]/25),(grand[[#This Row],[pm]]/50))</f>
        <v>0.9976666666666667</v>
      </c>
      <c r="AB499" s="3">
        <f>grand[[#This Row],[ carcass weight]]/grand[[#This Row],[total weight]]</f>
        <v>0.61377464788732394</v>
      </c>
      <c r="AC499" s="19">
        <f>SUM(grand[[#This Row],[am]:[meat transportation]])/100</f>
        <v>0.93266666666666675</v>
      </c>
      <c r="AD499" s="1" t="s">
        <v>97</v>
      </c>
      <c r="AJ499" s="1">
        <v>15</v>
      </c>
      <c r="AK499" s="20">
        <f>grand[[#This Row],[accepted as exception]]/grand[[#This Row],[number]]</f>
        <v>0.5</v>
      </c>
      <c r="AL499" s="1">
        <v>7</v>
      </c>
    </row>
    <row r="500" spans="1:38" hidden="1" x14ac:dyDescent="0.2">
      <c r="A500" s="11">
        <v>44546</v>
      </c>
      <c r="B500" s="53" t="s">
        <v>2735</v>
      </c>
      <c r="C500" s="52" t="str">
        <f>IF(MID(B500,4,2)="09","Ramadan",IF(AND(MID(B500,4,2)="12",VALUE(LEFT(B500,2))&lt;=9),"Adha Season","Normal"))</f>
        <v>Normal</v>
      </c>
      <c r="D500" s="2" t="s">
        <v>294</v>
      </c>
      <c r="E500" s="2"/>
      <c r="F500" s="4" t="s">
        <v>334</v>
      </c>
      <c r="G500" s="1">
        <v>30</v>
      </c>
      <c r="H500" s="15">
        <v>30</v>
      </c>
      <c r="I500" s="1">
        <f>grand[[#This Row],[number]]-grand[[#This Row],[received]]</f>
        <v>0</v>
      </c>
      <c r="J500" s="30"/>
      <c r="K500" s="9">
        <v>1322</v>
      </c>
      <c r="L500" s="9">
        <v>1250</v>
      </c>
      <c r="M500" s="2">
        <f>K500-L500</f>
        <v>72</v>
      </c>
      <c r="N500" s="9">
        <v>730.2</v>
      </c>
      <c r="O500" s="9">
        <v>0</v>
      </c>
      <c r="P500" s="7">
        <f>grand[[#This Row],[total weight]]/grand[[#This Row],[received]]</f>
        <v>44.06666666666667</v>
      </c>
      <c r="Q500" s="7">
        <f>grand[[#This Row],[receiving weight]]/grand[[#This Row],[received]]</f>
        <v>41.666666666666664</v>
      </c>
      <c r="R500" s="7">
        <f>grand[[#This Row],[transportation loss ]]/grand[[#This Row],[received]]</f>
        <v>2.4</v>
      </c>
      <c r="S500" s="7">
        <f>grand[[#This Row],[ carcass weight]]/grand[[#This Row],[received]]</f>
        <v>24.34</v>
      </c>
      <c r="T500" s="7">
        <f>grand[[#This Row],[ kidneys fat quantity]]/grand[[#This Row],[received]]</f>
        <v>0</v>
      </c>
      <c r="U500" s="15">
        <v>25</v>
      </c>
      <c r="V500" s="15">
        <v>0</v>
      </c>
      <c r="W500" s="15">
        <v>47.766666666666666</v>
      </c>
      <c r="X500" s="15">
        <v>10</v>
      </c>
      <c r="Y500" s="8">
        <v>8.5</v>
      </c>
      <c r="Z500" s="18">
        <f>grand[[#This Row],[av. Transportation loss]]/grand[[#This Row],[av.total weight]]</f>
        <v>5.4462934947049915E-2</v>
      </c>
      <c r="AA500" s="12">
        <f>AVERAGE((grand[[#This Row],[am]]/25),(grand[[#This Row],[pm]]/50))</f>
        <v>0.97766666666666668</v>
      </c>
      <c r="AB500" s="3">
        <f>grand[[#This Row],[ carcass weight]]/grand[[#This Row],[total weight]]</f>
        <v>0.55234493192133138</v>
      </c>
      <c r="AC500" s="19">
        <f>SUM(grand[[#This Row],[am]:[meat transportation]])/100</f>
        <v>0.91266666666666663</v>
      </c>
      <c r="AD500" s="1" t="s">
        <v>341</v>
      </c>
      <c r="AJ500" s="1">
        <v>0</v>
      </c>
      <c r="AK500" s="20">
        <f>grand[[#This Row],[accepted as exception]]/grand[[#This Row],[number]]</f>
        <v>0</v>
      </c>
      <c r="AL500" s="1">
        <v>8</v>
      </c>
    </row>
    <row r="501" spans="1:38" hidden="1" x14ac:dyDescent="0.2">
      <c r="A501" s="11">
        <v>44548</v>
      </c>
      <c r="B501" s="53" t="s">
        <v>2736</v>
      </c>
      <c r="C501" s="52" t="str">
        <f>IF(MID(B501,4,2)="09","Ramadan",IF(AND(MID(B501,4,2)="12",VALUE(LEFT(B501,2))&lt;=9),"Adha Season","Normal"))</f>
        <v>Normal</v>
      </c>
      <c r="D501" s="1" t="s">
        <v>45</v>
      </c>
      <c r="F501" s="4" t="s">
        <v>333</v>
      </c>
      <c r="G501" s="1">
        <v>16</v>
      </c>
      <c r="H501" s="15">
        <v>16</v>
      </c>
      <c r="I501" s="1">
        <f>grand[[#This Row],[number]]-grand[[#This Row],[received]]</f>
        <v>0</v>
      </c>
      <c r="J501" s="30"/>
      <c r="K501" s="9">
        <v>6612</v>
      </c>
      <c r="L501" s="9">
        <v>6460</v>
      </c>
      <c r="M501" s="2">
        <f>K501-L501</f>
        <v>152</v>
      </c>
      <c r="N501" s="9">
        <v>3967</v>
      </c>
      <c r="O501" s="9">
        <v>123</v>
      </c>
      <c r="P501" s="7">
        <f>grand[[#This Row],[total weight]]/grand[[#This Row],[received]]</f>
        <v>413.25</v>
      </c>
      <c r="Q501" s="7">
        <f>grand[[#This Row],[receiving weight]]/grand[[#This Row],[received]]</f>
        <v>403.75</v>
      </c>
      <c r="R501" s="7">
        <f>grand[[#This Row],[transportation loss ]]/grand[[#This Row],[received]]</f>
        <v>9.5</v>
      </c>
      <c r="S501" s="7">
        <f>grand[[#This Row],[ carcass weight]]/grand[[#This Row],[received]]</f>
        <v>247.9375</v>
      </c>
      <c r="T501" s="7">
        <f>grand[[#This Row],[ kidneys fat quantity]]/grand[[#This Row],[received]]</f>
        <v>7.6875</v>
      </c>
      <c r="U501" s="15">
        <v>25</v>
      </c>
      <c r="V501" s="15">
        <v>0</v>
      </c>
      <c r="W501" s="15">
        <v>49.875</v>
      </c>
      <c r="X501" s="15">
        <v>10</v>
      </c>
      <c r="Y501" s="8">
        <v>8.5</v>
      </c>
      <c r="Z501" s="18">
        <f>grand[[#This Row],[av. Transportation loss]]/grand[[#This Row],[av.total weight]]</f>
        <v>2.2988505747126436E-2</v>
      </c>
      <c r="AA501" s="12">
        <f>AVERAGE((grand[[#This Row],[am]]/25),(grand[[#This Row],[pm]]/50))</f>
        <v>0.99875000000000003</v>
      </c>
      <c r="AB501" s="3">
        <f>grand[[#This Row],[ carcass weight]]/grand[[#This Row],[total weight]]</f>
        <v>0.59996975196612223</v>
      </c>
      <c r="AC501" s="19">
        <f>SUM(grand[[#This Row],[am]:[meat transportation]])/100</f>
        <v>0.93374999999999997</v>
      </c>
      <c r="AF501" s="1" t="s">
        <v>82</v>
      </c>
      <c r="AJ501" s="1">
        <v>0</v>
      </c>
      <c r="AK501" s="20">
        <f>grand[[#This Row],[accepted as exception]]/grand[[#This Row],[number]]</f>
        <v>0</v>
      </c>
      <c r="AL501" s="1">
        <v>1.5</v>
      </c>
    </row>
    <row r="502" spans="1:38" hidden="1" x14ac:dyDescent="0.2">
      <c r="A502" s="11">
        <v>44549</v>
      </c>
      <c r="B502" s="53" t="s">
        <v>1595</v>
      </c>
      <c r="C502" s="52" t="str">
        <f>IF(MID(B502,4,2)="09","Ramadan",IF(AND(MID(B502,4,2)="12",VALUE(LEFT(B502,2))&lt;=9),"Adha Season","Normal"))</f>
        <v>Normal</v>
      </c>
      <c r="D502" s="1" t="s">
        <v>45</v>
      </c>
      <c r="F502" s="4" t="s">
        <v>280</v>
      </c>
      <c r="G502" s="1">
        <v>40</v>
      </c>
      <c r="H502" s="15">
        <v>40</v>
      </c>
      <c r="I502" s="1">
        <f>grand[[#This Row],[number]]-grand[[#This Row],[received]]</f>
        <v>0</v>
      </c>
      <c r="J502" s="30"/>
      <c r="K502" s="9">
        <v>18294</v>
      </c>
      <c r="L502" s="9">
        <v>17735</v>
      </c>
      <c r="M502" s="2">
        <f>K502-L502</f>
        <v>559</v>
      </c>
      <c r="N502" s="9">
        <v>11032.9</v>
      </c>
      <c r="O502" s="9">
        <v>394</v>
      </c>
      <c r="P502" s="7">
        <f>grand[[#This Row],[total weight]]/grand[[#This Row],[received]]</f>
        <v>457.35</v>
      </c>
      <c r="Q502" s="7">
        <f>grand[[#This Row],[receiving weight]]/grand[[#This Row],[received]]</f>
        <v>443.375</v>
      </c>
      <c r="R502" s="7">
        <f>grand[[#This Row],[transportation loss ]]/grand[[#This Row],[received]]</f>
        <v>13.975</v>
      </c>
      <c r="S502" s="7">
        <f>grand[[#This Row],[ carcass weight]]/grand[[#This Row],[received]]</f>
        <v>275.82249999999999</v>
      </c>
      <c r="T502" s="7">
        <f>grand[[#This Row],[ kidneys fat quantity]]/grand[[#This Row],[received]]</f>
        <v>9.85</v>
      </c>
      <c r="U502" s="15">
        <v>25</v>
      </c>
      <c r="V502" s="15">
        <v>0</v>
      </c>
      <c r="W502" s="15">
        <v>49.825000000000003</v>
      </c>
      <c r="X502" s="15">
        <v>10</v>
      </c>
      <c r="Y502" s="8">
        <v>8.5</v>
      </c>
      <c r="Z502" s="18">
        <f>grand[[#This Row],[av. Transportation loss]]/grand[[#This Row],[av.total weight]]</f>
        <v>3.0556466601071388E-2</v>
      </c>
      <c r="AA502" s="12">
        <f>AVERAGE((grand[[#This Row],[am]]/25),(grand[[#This Row],[pm]]/50))</f>
        <v>0.99825000000000008</v>
      </c>
      <c r="AB502" s="3">
        <f>grand[[#This Row],[ carcass weight]]/grand[[#This Row],[total weight]]</f>
        <v>0.60308844429867714</v>
      </c>
      <c r="AC502" s="19">
        <f>SUM(grand[[#This Row],[am]:[meat transportation]])/100</f>
        <v>0.93325000000000002</v>
      </c>
      <c r="AD502" s="1" t="s">
        <v>89</v>
      </c>
      <c r="AJ502" s="1">
        <v>18</v>
      </c>
      <c r="AK502" s="20">
        <f>grand[[#This Row],[accepted as exception]]/grand[[#This Row],[number]]</f>
        <v>0.45</v>
      </c>
      <c r="AL502" s="1"/>
    </row>
    <row r="503" spans="1:38" hidden="1" x14ac:dyDescent="0.2">
      <c r="A503" s="11">
        <v>44551</v>
      </c>
      <c r="B503" s="53" t="s">
        <v>2737</v>
      </c>
      <c r="C503" s="52" t="str">
        <f>IF(MID(B503,4,2)="09","Ramadan",IF(AND(MID(B503,4,2)="12",VALUE(LEFT(B503,2))&lt;=9),"Adha Season","Normal"))</f>
        <v>Normal</v>
      </c>
      <c r="D503" s="1" t="s">
        <v>45</v>
      </c>
      <c r="F503" s="4" t="s">
        <v>39</v>
      </c>
      <c r="G503" s="1">
        <v>40</v>
      </c>
      <c r="H503" s="15">
        <v>40</v>
      </c>
      <c r="I503" s="1">
        <f>grand[[#This Row],[number]]-grand[[#This Row],[received]]</f>
        <v>0</v>
      </c>
      <c r="J503" s="30"/>
      <c r="K503" s="9">
        <v>16744</v>
      </c>
      <c r="L503" s="9">
        <v>16115</v>
      </c>
      <c r="M503" s="2">
        <f>K503-L503</f>
        <v>629</v>
      </c>
      <c r="N503" s="9">
        <v>10643.3</v>
      </c>
      <c r="O503" s="9">
        <v>359</v>
      </c>
      <c r="P503" s="7">
        <f>grand[[#This Row],[total weight]]/grand[[#This Row],[received]]</f>
        <v>418.6</v>
      </c>
      <c r="Q503" s="7">
        <f>grand[[#This Row],[receiving weight]]/grand[[#This Row],[received]]</f>
        <v>402.875</v>
      </c>
      <c r="R503" s="7">
        <f>grand[[#This Row],[transportation loss ]]/grand[[#This Row],[received]]</f>
        <v>15.725</v>
      </c>
      <c r="S503" s="7">
        <f>grand[[#This Row],[ carcass weight]]/grand[[#This Row],[received]]</f>
        <v>266.08249999999998</v>
      </c>
      <c r="T503" s="7">
        <f>grand[[#This Row],[ kidneys fat quantity]]/grand[[#This Row],[received]]</f>
        <v>8.9749999999999996</v>
      </c>
      <c r="U503" s="15">
        <v>25</v>
      </c>
      <c r="V503" s="15">
        <v>0</v>
      </c>
      <c r="W503" s="15">
        <v>49.9</v>
      </c>
      <c r="X503" s="15">
        <v>10</v>
      </c>
      <c r="Y503" s="8">
        <v>8.5</v>
      </c>
      <c r="Z503" s="18">
        <f>grand[[#This Row],[av. Transportation loss]]/grand[[#This Row],[av.total weight]]</f>
        <v>3.7565695174390824E-2</v>
      </c>
      <c r="AA503" s="12">
        <f>AVERAGE((grand[[#This Row],[am]]/25),(grand[[#This Row],[pm]]/50))</f>
        <v>0.999</v>
      </c>
      <c r="AB503" s="3">
        <f>grand[[#This Row],[ carcass weight]]/grand[[#This Row],[total weight]]</f>
        <v>0.63564859053989486</v>
      </c>
      <c r="AC503" s="19">
        <f>SUM(grand[[#This Row],[am]:[meat transportation]])/100</f>
        <v>0.93400000000000005</v>
      </c>
      <c r="AF503" s="1" t="s">
        <v>221</v>
      </c>
      <c r="AJ503" s="1">
        <v>2</v>
      </c>
      <c r="AK503" s="20">
        <f>grand[[#This Row],[accepted as exception]]/grand[[#This Row],[number]]</f>
        <v>0.05</v>
      </c>
      <c r="AL503" s="1">
        <v>1</v>
      </c>
    </row>
    <row r="504" spans="1:38" hidden="1" x14ac:dyDescent="0.2">
      <c r="A504" s="11">
        <v>44553</v>
      </c>
      <c r="B504" s="53" t="s">
        <v>2738</v>
      </c>
      <c r="C504" s="52" t="str">
        <f>IF(MID(B504,4,2)="09","Ramadan",IF(AND(MID(B504,4,2)="12",VALUE(LEFT(B504,2))&lt;=9),"Adha Season","Normal"))</f>
        <v>Normal</v>
      </c>
      <c r="D504" s="2" t="s">
        <v>294</v>
      </c>
      <c r="E504" s="2"/>
      <c r="F504" s="4" t="s">
        <v>35</v>
      </c>
      <c r="G504" s="1">
        <v>25</v>
      </c>
      <c r="H504" s="15">
        <v>25</v>
      </c>
      <c r="I504" s="1">
        <f>grand[[#This Row],[number]]-grand[[#This Row],[received]]</f>
        <v>0</v>
      </c>
      <c r="J504" s="30"/>
      <c r="K504" s="9">
        <v>1315</v>
      </c>
      <c r="L504" s="9">
        <v>1320</v>
      </c>
      <c r="M504" s="2">
        <f>K504-L504</f>
        <v>-5</v>
      </c>
      <c r="N504" s="9">
        <v>824.5</v>
      </c>
      <c r="O504" s="9"/>
      <c r="P504" s="7">
        <f>grand[[#This Row],[total weight]]/grand[[#This Row],[received]]</f>
        <v>52.6</v>
      </c>
      <c r="Q504" s="7">
        <f>grand[[#This Row],[receiving weight]]/grand[[#This Row],[received]]</f>
        <v>52.8</v>
      </c>
      <c r="R504" s="7">
        <f>grand[[#This Row],[transportation loss ]]/grand[[#This Row],[received]]</f>
        <v>-0.2</v>
      </c>
      <c r="S504" s="7">
        <f>grand[[#This Row],[ carcass weight]]/grand[[#This Row],[received]]</f>
        <v>32.979999999999997</v>
      </c>
      <c r="T504" s="7">
        <f>grand[[#This Row],[ kidneys fat quantity]]/grand[[#This Row],[received]]</f>
        <v>0</v>
      </c>
      <c r="U504" s="15">
        <v>25</v>
      </c>
      <c r="V504" s="15">
        <v>0</v>
      </c>
      <c r="W504" s="15">
        <v>49.72</v>
      </c>
      <c r="X504" s="15">
        <v>10</v>
      </c>
      <c r="Y504" s="8">
        <v>8.5</v>
      </c>
      <c r="Z504" s="18">
        <f>grand[[#This Row],[av. Transportation loss]]/grand[[#This Row],[av.total weight]]</f>
        <v>-3.8022813688212928E-3</v>
      </c>
      <c r="AA504" s="12">
        <f>AVERAGE((grand[[#This Row],[am]]/25),(grand[[#This Row],[pm]]/50))</f>
        <v>0.99719999999999998</v>
      </c>
      <c r="AB504" s="3">
        <f>grand[[#This Row],[ carcass weight]]/grand[[#This Row],[total weight]]</f>
        <v>0.62699619771863113</v>
      </c>
      <c r="AC504" s="19">
        <f>SUM(grand[[#This Row],[am]:[meat transportation]])/100</f>
        <v>0.93220000000000003</v>
      </c>
      <c r="AD504" s="1" t="s">
        <v>97</v>
      </c>
      <c r="AJ504" s="1">
        <v>0</v>
      </c>
      <c r="AK504" s="20">
        <f>grand[[#This Row],[accepted as exception]]/grand[[#This Row],[number]]</f>
        <v>0</v>
      </c>
      <c r="AL504" s="1">
        <v>0.5</v>
      </c>
    </row>
    <row r="505" spans="1:38" hidden="1" x14ac:dyDescent="0.2">
      <c r="A505" s="11">
        <v>44556</v>
      </c>
      <c r="B505" s="53" t="s">
        <v>1596</v>
      </c>
      <c r="C505" s="52" t="str">
        <f>IF(MID(B505,4,2)="09","Ramadan",IF(AND(MID(B505,4,2)="12",VALUE(LEFT(B505,2))&lt;=9),"Adha Season","Normal"))</f>
        <v>Normal</v>
      </c>
      <c r="D505" s="1" t="s">
        <v>45</v>
      </c>
      <c r="F505" s="4" t="s">
        <v>280</v>
      </c>
      <c r="G505" s="1">
        <v>30</v>
      </c>
      <c r="H505" s="15">
        <v>30</v>
      </c>
      <c r="I505" s="1">
        <f>grand[[#This Row],[number]]-grand[[#This Row],[received]]</f>
        <v>0</v>
      </c>
      <c r="J505" s="30"/>
      <c r="K505" s="9">
        <v>14345</v>
      </c>
      <c r="L505" s="9">
        <v>13920</v>
      </c>
      <c r="M505" s="2">
        <f>K505-L505</f>
        <v>425</v>
      </c>
      <c r="N505" s="9">
        <v>8757.4</v>
      </c>
      <c r="O505" s="9">
        <v>314</v>
      </c>
      <c r="P505" s="7">
        <f>grand[[#This Row],[total weight]]/grand[[#This Row],[received]]</f>
        <v>478.16666666666669</v>
      </c>
      <c r="Q505" s="7">
        <f>grand[[#This Row],[receiving weight]]/grand[[#This Row],[received]]</f>
        <v>464</v>
      </c>
      <c r="R505" s="7">
        <f>grand[[#This Row],[transportation loss ]]/grand[[#This Row],[received]]</f>
        <v>14.166666666666666</v>
      </c>
      <c r="S505" s="7">
        <f>grand[[#This Row],[ carcass weight]]/grand[[#This Row],[received]]</f>
        <v>291.9133333333333</v>
      </c>
      <c r="T505" s="7">
        <f>grand[[#This Row],[ kidneys fat quantity]]/grand[[#This Row],[received]]</f>
        <v>10.466666666666667</v>
      </c>
      <c r="U505" s="15">
        <v>25</v>
      </c>
      <c r="V505" s="15">
        <v>0</v>
      </c>
      <c r="W505" s="15">
        <v>49.533333333333331</v>
      </c>
      <c r="X505" s="15">
        <v>10</v>
      </c>
      <c r="Y505" s="8">
        <v>8.5</v>
      </c>
      <c r="Z505" s="18">
        <f>grand[[#This Row],[av. Transportation loss]]/grand[[#This Row],[av.total weight]]</f>
        <v>2.9627047751829904E-2</v>
      </c>
      <c r="AA505" s="12">
        <f>AVERAGE((grand[[#This Row],[am]]/25),(grand[[#This Row],[pm]]/50))</f>
        <v>0.99533333333333329</v>
      </c>
      <c r="AB505" s="3">
        <f>grand[[#This Row],[ carcass weight]]/grand[[#This Row],[total weight]]</f>
        <v>0.61048448936911814</v>
      </c>
      <c r="AC505" s="19">
        <f>SUM(grand[[#This Row],[am]:[meat transportation]])/100</f>
        <v>0.93033333333333335</v>
      </c>
      <c r="AD505" s="1" t="s">
        <v>346</v>
      </c>
      <c r="AJ505" s="1">
        <v>13</v>
      </c>
      <c r="AK505" s="20">
        <f>grand[[#This Row],[accepted as exception]]/grand[[#This Row],[number]]</f>
        <v>0.43333333333333335</v>
      </c>
      <c r="AL505" s="1">
        <v>12</v>
      </c>
    </row>
    <row r="506" spans="1:38" hidden="1" x14ac:dyDescent="0.2">
      <c r="A506" s="11">
        <v>44560</v>
      </c>
      <c r="B506" s="53" t="s">
        <v>2741</v>
      </c>
      <c r="C506" s="52" t="str">
        <f>IF(MID(B506,4,2)="09","Ramadan",IF(AND(MID(B506,4,2)="12",VALUE(LEFT(B506,2))&lt;=9),"Adha Season","Normal"))</f>
        <v>Normal</v>
      </c>
      <c r="D506" s="2" t="s">
        <v>294</v>
      </c>
      <c r="E506" s="2"/>
      <c r="F506" s="4" t="s">
        <v>35</v>
      </c>
      <c r="G506" s="1">
        <v>27</v>
      </c>
      <c r="H506" s="15">
        <v>27</v>
      </c>
      <c r="I506" s="1">
        <f>grand[[#This Row],[number]]-grand[[#This Row],[received]]</f>
        <v>0</v>
      </c>
      <c r="J506" s="30"/>
      <c r="K506" s="9">
        <v>1356</v>
      </c>
      <c r="L506" s="9">
        <v>1325</v>
      </c>
      <c r="M506" s="2">
        <f>K506-L506</f>
        <v>31</v>
      </c>
      <c r="N506" s="9">
        <v>819.6</v>
      </c>
      <c r="O506" s="9"/>
      <c r="P506" s="7">
        <f>grand[[#This Row],[total weight]]/grand[[#This Row],[received]]</f>
        <v>50.222222222222221</v>
      </c>
      <c r="Q506" s="7">
        <f>grand[[#This Row],[receiving weight]]/grand[[#This Row],[received]]</f>
        <v>49.074074074074076</v>
      </c>
      <c r="R506" s="7">
        <f>grand[[#This Row],[transportation loss ]]/grand[[#This Row],[received]]</f>
        <v>1.1481481481481481</v>
      </c>
      <c r="S506" s="7">
        <f>grand[[#This Row],[ carcass weight]]/grand[[#This Row],[received]]</f>
        <v>30.355555555555558</v>
      </c>
      <c r="T506" s="7">
        <f>grand[[#This Row],[ kidneys fat quantity]]/grand[[#This Row],[received]]</f>
        <v>0</v>
      </c>
      <c r="U506" s="15">
        <v>25</v>
      </c>
      <c r="V506" s="15">
        <v>0</v>
      </c>
      <c r="W506" s="15">
        <v>49.555555555555557</v>
      </c>
      <c r="X506" s="15">
        <v>10</v>
      </c>
      <c r="Y506" s="8">
        <v>8.5</v>
      </c>
      <c r="Z506" s="18">
        <f>grand[[#This Row],[av. Transportation loss]]/grand[[#This Row],[av.total weight]]</f>
        <v>2.2861356932153392E-2</v>
      </c>
      <c r="AA506" s="12">
        <f>AVERAGE((grand[[#This Row],[am]]/25),(grand[[#This Row],[pm]]/50))</f>
        <v>0.99555555555555553</v>
      </c>
      <c r="AB506" s="3">
        <f>grand[[#This Row],[ carcass weight]]/grand[[#This Row],[total weight]]</f>
        <v>0.60442477876106193</v>
      </c>
      <c r="AC506" s="19">
        <f>SUM(grand[[#This Row],[am]:[meat transportation]])/100</f>
        <v>0.93055555555555558</v>
      </c>
      <c r="AD506" s="9"/>
      <c r="AF506" s="1" t="s">
        <v>349</v>
      </c>
      <c r="AJ506" s="1">
        <v>0</v>
      </c>
      <c r="AK506" s="20">
        <f>grand[[#This Row],[accepted as exception]]/grand[[#This Row],[number]]</f>
        <v>0</v>
      </c>
      <c r="AL506" s="1">
        <v>4</v>
      </c>
    </row>
    <row r="507" spans="1:38" hidden="1" x14ac:dyDescent="0.2">
      <c r="A507" s="11">
        <v>44562</v>
      </c>
      <c r="B507" s="53" t="s">
        <v>2742</v>
      </c>
      <c r="C507" s="52" t="str">
        <f>IF(MID(B507,4,2)="09","Ramadan",IF(AND(MID(B507,4,2)="12",VALUE(LEFT(B507,2))&lt;=9),"Adha Season","Normal"))</f>
        <v>Normal</v>
      </c>
      <c r="D507" s="1" t="s">
        <v>45</v>
      </c>
      <c r="E507" s="1" t="s">
        <v>481</v>
      </c>
      <c r="F507" s="4" t="s">
        <v>39</v>
      </c>
      <c r="G507" s="1">
        <v>32</v>
      </c>
      <c r="H507" s="15">
        <v>32</v>
      </c>
      <c r="I507" s="1">
        <f>grand[[#This Row],[number]]-grand[[#This Row],[received]]</f>
        <v>0</v>
      </c>
      <c r="J507" s="30"/>
      <c r="K507" s="9">
        <v>14867</v>
      </c>
      <c r="L507" s="9">
        <v>14145</v>
      </c>
      <c r="M507" s="2">
        <f>K507-L507</f>
        <v>722</v>
      </c>
      <c r="N507" s="9">
        <v>9311</v>
      </c>
      <c r="O507" s="9">
        <v>353</v>
      </c>
      <c r="P507" s="7">
        <f>grand[[#This Row],[total weight]]/grand[[#This Row],[received]]</f>
        <v>464.59375</v>
      </c>
      <c r="Q507" s="7">
        <f>grand[[#This Row],[receiving weight]]/grand[[#This Row],[received]]</f>
        <v>442.03125</v>
      </c>
      <c r="R507" s="7">
        <f>grand[[#This Row],[transportation loss ]]/grand[[#This Row],[received]]</f>
        <v>22.5625</v>
      </c>
      <c r="S507" s="7">
        <f>grand[[#This Row],[ carcass weight]]/grand[[#This Row],[received]]</f>
        <v>290.96875</v>
      </c>
      <c r="T507" s="7">
        <f>grand[[#This Row],[ kidneys fat quantity]]/grand[[#This Row],[received]]</f>
        <v>11.03125</v>
      </c>
      <c r="U507" s="15">
        <v>25</v>
      </c>
      <c r="V507" s="15">
        <v>0</v>
      </c>
      <c r="W507" s="15">
        <v>49.28125</v>
      </c>
      <c r="X507" s="15">
        <v>10</v>
      </c>
      <c r="Y507" s="8">
        <v>8.5</v>
      </c>
      <c r="Z507" s="18">
        <f>grand[[#This Row],[av. Transportation loss]]/grand[[#This Row],[av.total weight]]</f>
        <v>4.8563933544090943E-2</v>
      </c>
      <c r="AA507" s="12">
        <f>AVERAGE((grand[[#This Row],[am]]/25),(grand[[#This Row],[pm]]/50))</f>
        <v>0.99281249999999999</v>
      </c>
      <c r="AB507" s="3">
        <f>grand[[#This Row],[ carcass weight]]/grand[[#This Row],[total weight]]</f>
        <v>0.62628640613439157</v>
      </c>
      <c r="AC507" s="19">
        <f>SUM(grand[[#This Row],[am]:[meat transportation]])/100</f>
        <v>0.92781250000000004</v>
      </c>
      <c r="AD507" s="9" t="s">
        <v>351</v>
      </c>
      <c r="AF507" s="1" t="s">
        <v>55</v>
      </c>
      <c r="AJ507" s="1">
        <v>3</v>
      </c>
      <c r="AK507" s="20">
        <f>grand[[#This Row],[accepted as exception]]/grand[[#This Row],[number]]</f>
        <v>9.375E-2</v>
      </c>
      <c r="AL507" s="1">
        <v>4</v>
      </c>
    </row>
    <row r="508" spans="1:38" hidden="1" x14ac:dyDescent="0.2">
      <c r="A508" s="11">
        <v>44563</v>
      </c>
      <c r="B508" s="53" t="s">
        <v>1597</v>
      </c>
      <c r="C508" s="52" t="str">
        <f>IF(MID(B508,4,2)="09","Ramadan",IF(AND(MID(B508,4,2)="12",VALUE(LEFT(B508,2))&lt;=9),"Adha Season","Normal"))</f>
        <v>Normal</v>
      </c>
      <c r="D508" s="1" t="s">
        <v>45</v>
      </c>
      <c r="F508" s="4" t="s">
        <v>280</v>
      </c>
      <c r="G508" s="1">
        <v>29</v>
      </c>
      <c r="H508" s="15">
        <v>29</v>
      </c>
      <c r="I508" s="1">
        <f>grand[[#This Row],[number]]-grand[[#This Row],[received]]</f>
        <v>0</v>
      </c>
      <c r="J508" s="30"/>
      <c r="K508" s="9">
        <v>13449</v>
      </c>
      <c r="L508" s="9">
        <v>12955</v>
      </c>
      <c r="M508" s="2">
        <f>K508-L508</f>
        <v>494</v>
      </c>
      <c r="N508" s="9">
        <v>8257.4</v>
      </c>
      <c r="O508" s="9">
        <v>310</v>
      </c>
      <c r="P508" s="7">
        <f>grand[[#This Row],[total weight]]/grand[[#This Row],[received]]</f>
        <v>463.75862068965517</v>
      </c>
      <c r="Q508" s="7">
        <f>grand[[#This Row],[receiving weight]]/grand[[#This Row],[received]]</f>
        <v>446.72413793103448</v>
      </c>
      <c r="R508" s="7">
        <f>grand[[#This Row],[transportation loss ]]/grand[[#This Row],[received]]</f>
        <v>17.03448275862069</v>
      </c>
      <c r="S508" s="7">
        <f>grand[[#This Row],[ carcass weight]]/grand[[#This Row],[received]]</f>
        <v>284.73793103448276</v>
      </c>
      <c r="T508" s="7">
        <f>grand[[#This Row],[ kidneys fat quantity]]/grand[[#This Row],[received]]</f>
        <v>10.689655172413794</v>
      </c>
      <c r="U508" s="15">
        <v>25</v>
      </c>
      <c r="V508" s="15">
        <v>0</v>
      </c>
      <c r="W508" s="15">
        <v>49.275862068965509</v>
      </c>
      <c r="X508" s="15">
        <v>9.7931034482758612</v>
      </c>
      <c r="Y508" s="8">
        <v>8.5</v>
      </c>
      <c r="Z508" s="18">
        <f>grand[[#This Row],[av. Transportation loss]]/grand[[#This Row],[av.total weight]]</f>
        <v>3.673135549111458E-2</v>
      </c>
      <c r="AA508" s="12">
        <f>AVERAGE((grand[[#This Row],[am]]/25),(grand[[#This Row],[pm]]/50))</f>
        <v>0.99275862068965504</v>
      </c>
      <c r="AB508" s="3">
        <f>grand[[#This Row],[ carcass weight]]/grand[[#This Row],[total weight]]</f>
        <v>0.6139787344783999</v>
      </c>
      <c r="AC508" s="19">
        <f>SUM(grand[[#This Row],[am]:[meat transportation]])/100</f>
        <v>0.92568965517241364</v>
      </c>
      <c r="AD508" s="9" t="s">
        <v>352</v>
      </c>
      <c r="AF508" s="1" t="s">
        <v>345</v>
      </c>
      <c r="AJ508" s="1">
        <v>16</v>
      </c>
      <c r="AK508" s="20">
        <f>grand[[#This Row],[accepted as exception]]/grand[[#This Row],[number]]</f>
        <v>0.55172413793103448</v>
      </c>
      <c r="AL508" s="1">
        <v>9</v>
      </c>
    </row>
    <row r="509" spans="1:38" hidden="1" x14ac:dyDescent="0.2">
      <c r="A509" s="11">
        <v>44565</v>
      </c>
      <c r="B509" s="53" t="s">
        <v>2743</v>
      </c>
      <c r="C509" s="52" t="str">
        <f>IF(MID(B509,4,2)="09","Ramadan",IF(AND(MID(B509,4,2)="12",VALUE(LEFT(B509,2))&lt;=9),"Adha Season","Normal"))</f>
        <v>Normal</v>
      </c>
      <c r="D509" s="1" t="s">
        <v>45</v>
      </c>
      <c r="F509" s="4" t="s">
        <v>280</v>
      </c>
      <c r="G509" s="1">
        <v>8</v>
      </c>
      <c r="H509" s="15">
        <v>8</v>
      </c>
      <c r="I509" s="1">
        <f>grand[[#This Row],[number]]-grand[[#This Row],[received]]</f>
        <v>0</v>
      </c>
      <c r="J509" s="30"/>
      <c r="K509" s="9">
        <v>3870</v>
      </c>
      <c r="L509" s="9">
        <v>3760</v>
      </c>
      <c r="M509" s="2">
        <f>K509-L509</f>
        <v>110</v>
      </c>
      <c r="N509" s="9">
        <v>2342.4</v>
      </c>
      <c r="O509" s="9">
        <v>89</v>
      </c>
      <c r="P509" s="7">
        <f>grand[[#This Row],[total weight]]/grand[[#This Row],[received]]</f>
        <v>483.75</v>
      </c>
      <c r="Q509" s="7">
        <f>grand[[#This Row],[receiving weight]]/grand[[#This Row],[received]]</f>
        <v>470</v>
      </c>
      <c r="R509" s="7">
        <f>grand[[#This Row],[transportation loss ]]/grand[[#This Row],[received]]</f>
        <v>13.75</v>
      </c>
      <c r="S509" s="7">
        <f>grand[[#This Row],[ carcass weight]]/grand[[#This Row],[received]]</f>
        <v>292.8</v>
      </c>
      <c r="T509" s="7">
        <f>grand[[#This Row],[ kidneys fat quantity]]/grand[[#This Row],[received]]</f>
        <v>11.125</v>
      </c>
      <c r="U509" s="15">
        <v>25</v>
      </c>
      <c r="V509" s="15">
        <v>0</v>
      </c>
      <c r="W509" s="15">
        <v>49.125</v>
      </c>
      <c r="X509" s="15">
        <v>10</v>
      </c>
      <c r="Y509" s="8">
        <v>8.5</v>
      </c>
      <c r="Z509" s="18">
        <f>grand[[#This Row],[av. Transportation loss]]/grand[[#This Row],[av.total weight]]</f>
        <v>2.8423772609819122E-2</v>
      </c>
      <c r="AA509" s="12">
        <f>AVERAGE((grand[[#This Row],[am]]/25),(grand[[#This Row],[pm]]/50))</f>
        <v>0.99124999999999996</v>
      </c>
      <c r="AB509" s="3">
        <f>grand[[#This Row],[ carcass weight]]/grand[[#This Row],[total weight]]</f>
        <v>0.60527131782945742</v>
      </c>
      <c r="AC509" s="19">
        <f>SUM(grand[[#This Row],[am]:[meat transportation]])/100</f>
        <v>0.92625000000000002</v>
      </c>
      <c r="AD509" s="2"/>
      <c r="AJ509" s="1">
        <v>2</v>
      </c>
      <c r="AK509" s="20">
        <f>grand[[#This Row],[accepted as exception]]/grand[[#This Row],[number]]</f>
        <v>0.25</v>
      </c>
      <c r="AL509" s="1">
        <v>0</v>
      </c>
    </row>
    <row r="510" spans="1:38" hidden="1" x14ac:dyDescent="0.2">
      <c r="A510" s="11">
        <v>44565</v>
      </c>
      <c r="B510" s="53" t="s">
        <v>2743</v>
      </c>
      <c r="C510" s="52" t="str">
        <f>IF(MID(B510,4,2)="09","Ramadan",IF(AND(MID(B510,4,2)="12",VALUE(LEFT(B510,2))&lt;=9),"Adha Season","Normal"))</f>
        <v>Normal</v>
      </c>
      <c r="D510" s="2" t="s">
        <v>294</v>
      </c>
      <c r="F510" s="4" t="s">
        <v>35</v>
      </c>
      <c r="G510" s="1">
        <v>25</v>
      </c>
      <c r="H510" s="15">
        <v>25</v>
      </c>
      <c r="I510" s="1">
        <f>grand[[#This Row],[number]]-grand[[#This Row],[received]]</f>
        <v>0</v>
      </c>
      <c r="J510" s="30"/>
      <c r="K510" s="9">
        <v>1173</v>
      </c>
      <c r="L510" s="9">
        <v>1165</v>
      </c>
      <c r="M510" s="2">
        <f>K510-L510</f>
        <v>8</v>
      </c>
      <c r="N510" s="9">
        <v>718.8</v>
      </c>
      <c r="O510" s="9"/>
      <c r="P510" s="7">
        <f>grand[[#This Row],[total weight]]/grand[[#This Row],[received]]</f>
        <v>46.92</v>
      </c>
      <c r="Q510" s="7">
        <f>grand[[#This Row],[receiving weight]]/grand[[#This Row],[received]]</f>
        <v>46.6</v>
      </c>
      <c r="R510" s="7">
        <f>grand[[#This Row],[transportation loss ]]/grand[[#This Row],[received]]</f>
        <v>0.32</v>
      </c>
      <c r="S510" s="7">
        <f>grand[[#This Row],[ carcass weight]]/grand[[#This Row],[received]]</f>
        <v>28.751999999999999</v>
      </c>
      <c r="T510" s="7">
        <f>grand[[#This Row],[ kidneys fat quantity]]/grand[[#This Row],[received]]</f>
        <v>0</v>
      </c>
      <c r="U510" s="15">
        <v>25</v>
      </c>
      <c r="V510" s="15">
        <v>0</v>
      </c>
      <c r="W510" s="15">
        <v>49.72</v>
      </c>
      <c r="X510" s="15">
        <v>10</v>
      </c>
      <c r="Y510" s="8">
        <v>8.5</v>
      </c>
      <c r="Z510" s="18">
        <f>grand[[#This Row],[av. Transportation loss]]/grand[[#This Row],[av.total weight]]</f>
        <v>6.8201193520886615E-3</v>
      </c>
      <c r="AA510" s="12">
        <f>AVERAGE((grand[[#This Row],[am]]/25),(grand[[#This Row],[pm]]/50))</f>
        <v>0.99719999999999998</v>
      </c>
      <c r="AB510" s="3">
        <f>grand[[#This Row],[ carcass weight]]/grand[[#This Row],[total weight]]</f>
        <v>0.61278772378516622</v>
      </c>
      <c r="AC510" s="19">
        <f>SUM(grand[[#This Row],[am]:[meat transportation]])/100</f>
        <v>0.93220000000000003</v>
      </c>
      <c r="AD510" s="9" t="s">
        <v>97</v>
      </c>
      <c r="AJ510" s="1">
        <v>0</v>
      </c>
      <c r="AK510" s="20">
        <f>grand[[#This Row],[accepted as exception]]/grand[[#This Row],[number]]</f>
        <v>0</v>
      </c>
      <c r="AL510" s="1">
        <v>1</v>
      </c>
    </row>
    <row r="511" spans="1:38" hidden="1" x14ac:dyDescent="0.2">
      <c r="A511" s="11">
        <v>44565</v>
      </c>
      <c r="B511" s="53" t="s">
        <v>2743</v>
      </c>
      <c r="C511" s="52" t="str">
        <f>IF(MID(B511,4,2)="09","Ramadan",IF(AND(MID(B511,4,2)="12",VALUE(LEFT(B511,2))&lt;=9),"Adha Season","Normal"))</f>
        <v>Normal</v>
      </c>
      <c r="D511" s="1" t="s">
        <v>45</v>
      </c>
      <c r="E511" s="1" t="s">
        <v>481</v>
      </c>
      <c r="F511" s="4" t="s">
        <v>39</v>
      </c>
      <c r="G511" s="1">
        <v>32</v>
      </c>
      <c r="H511" s="15">
        <v>32</v>
      </c>
      <c r="I511" s="1">
        <f>grand[[#This Row],[number]]-grand[[#This Row],[received]]</f>
        <v>0</v>
      </c>
      <c r="J511" s="30"/>
      <c r="K511" s="9">
        <v>14765</v>
      </c>
      <c r="L511" s="9">
        <v>14025</v>
      </c>
      <c r="M511" s="2">
        <f>K511-L511</f>
        <v>740</v>
      </c>
      <c r="N511" s="9">
        <v>9156.7000000000007</v>
      </c>
      <c r="O511" s="9">
        <v>317</v>
      </c>
      <c r="P511" s="7">
        <f>grand[[#This Row],[total weight]]/grand[[#This Row],[received]]</f>
        <v>461.40625</v>
      </c>
      <c r="Q511" s="7">
        <f>grand[[#This Row],[receiving weight]]/grand[[#This Row],[received]]</f>
        <v>438.28125</v>
      </c>
      <c r="R511" s="7">
        <f>grand[[#This Row],[transportation loss ]]/grand[[#This Row],[received]]</f>
        <v>23.125</v>
      </c>
      <c r="S511" s="7">
        <f>grand[[#This Row],[ carcass weight]]/grand[[#This Row],[received]]</f>
        <v>286.14687500000002</v>
      </c>
      <c r="T511" s="7">
        <f>grand[[#This Row],[ kidneys fat quantity]]/grand[[#This Row],[received]]</f>
        <v>9.90625</v>
      </c>
      <c r="U511" s="15">
        <v>25</v>
      </c>
      <c r="V511" s="15">
        <v>0</v>
      </c>
      <c r="W511" s="15">
        <v>50</v>
      </c>
      <c r="X511" s="15">
        <v>9.6875</v>
      </c>
      <c r="Y511" s="8">
        <v>8.5</v>
      </c>
      <c r="Z511" s="18">
        <f>grand[[#This Row],[av. Transportation loss]]/grand[[#This Row],[av.total weight]]</f>
        <v>5.0118523535387739E-2</v>
      </c>
      <c r="AA511" s="12">
        <f>AVERAGE((grand[[#This Row],[am]]/25),(grand[[#This Row],[pm]]/50))</f>
        <v>1</v>
      </c>
      <c r="AB511" s="3">
        <f>grand[[#This Row],[ carcass weight]]/grand[[#This Row],[total weight]]</f>
        <v>0.62016254656281755</v>
      </c>
      <c r="AC511" s="19">
        <f>SUM(grand[[#This Row],[am]:[meat transportation]])/100</f>
        <v>0.93187500000000001</v>
      </c>
      <c r="AD511" s="2"/>
      <c r="AJ511" s="1">
        <v>4</v>
      </c>
      <c r="AK511" s="20">
        <f>grand[[#This Row],[accepted as exception]]/grand[[#This Row],[number]]</f>
        <v>0.125</v>
      </c>
      <c r="AL511" s="1">
        <v>3</v>
      </c>
    </row>
    <row r="512" spans="1:38" hidden="1" x14ac:dyDescent="0.2">
      <c r="A512" s="11">
        <v>44568</v>
      </c>
      <c r="B512" s="53" t="s">
        <v>1598</v>
      </c>
      <c r="C512" s="52" t="str">
        <f>IF(MID(B512,4,2)="09","Ramadan",IF(AND(MID(B512,4,2)="12",VALUE(LEFT(B512,2))&lt;=9),"Adha Season","Normal"))</f>
        <v>Normal</v>
      </c>
      <c r="D512" s="1" t="s">
        <v>45</v>
      </c>
      <c r="F512" s="4" t="s">
        <v>333</v>
      </c>
      <c r="G512" s="1">
        <v>32</v>
      </c>
      <c r="H512" s="15">
        <v>32</v>
      </c>
      <c r="I512" s="1">
        <f>grand[[#This Row],[number]]-grand[[#This Row],[received]]</f>
        <v>0</v>
      </c>
      <c r="J512" s="30"/>
      <c r="K512" s="9">
        <v>13265</v>
      </c>
      <c r="L512" s="9">
        <v>12770</v>
      </c>
      <c r="M512" s="2">
        <f>K512-L512</f>
        <v>495</v>
      </c>
      <c r="N512" s="9">
        <v>7958.4</v>
      </c>
      <c r="O512" s="9">
        <v>225</v>
      </c>
      <c r="P512" s="7">
        <f>grand[[#This Row],[total weight]]/grand[[#This Row],[received]]</f>
        <v>414.53125</v>
      </c>
      <c r="Q512" s="7">
        <f>grand[[#This Row],[receiving weight]]/grand[[#This Row],[received]]</f>
        <v>399.0625</v>
      </c>
      <c r="R512" s="7">
        <f>grand[[#This Row],[transportation loss ]]/grand[[#This Row],[received]]</f>
        <v>15.46875</v>
      </c>
      <c r="S512" s="7">
        <f>grand[[#This Row],[ carcass weight]]/grand[[#This Row],[received]]</f>
        <v>248.7</v>
      </c>
      <c r="T512" s="7">
        <f>grand[[#This Row],[ kidneys fat quantity]]/grand[[#This Row],[received]]</f>
        <v>7.03125</v>
      </c>
      <c r="U512" s="15">
        <v>25</v>
      </c>
      <c r="V512" s="15">
        <v>0</v>
      </c>
      <c r="W512" s="15">
        <v>50</v>
      </c>
      <c r="X512" s="15">
        <v>10</v>
      </c>
      <c r="Y512" s="8">
        <v>8.5</v>
      </c>
      <c r="Z512" s="18">
        <f>grand[[#This Row],[av. Transportation loss]]/grand[[#This Row],[av.total weight]]</f>
        <v>3.731624575951753E-2</v>
      </c>
      <c r="AA512" s="12">
        <f>AVERAGE((grand[[#This Row],[am]]/25),(grand[[#This Row],[pm]]/50))</f>
        <v>1</v>
      </c>
      <c r="AB512" s="3">
        <f>grand[[#This Row],[ carcass weight]]/grand[[#This Row],[total weight]]</f>
        <v>0.59995476818695814</v>
      </c>
      <c r="AC512" s="19">
        <f>SUM(grand[[#This Row],[am]:[meat transportation]])/100</f>
        <v>0.93500000000000005</v>
      </c>
      <c r="AD512" s="2"/>
      <c r="AJ512" s="1">
        <v>10</v>
      </c>
      <c r="AK512" s="20">
        <f>grand[[#This Row],[accepted as exception]]/grand[[#This Row],[number]]</f>
        <v>0.3125</v>
      </c>
      <c r="AL512" s="1">
        <v>0</v>
      </c>
    </row>
    <row r="513" spans="1:38" hidden="1" x14ac:dyDescent="0.2">
      <c r="A513" s="11">
        <v>44568</v>
      </c>
      <c r="B513" s="53" t="s">
        <v>1598</v>
      </c>
      <c r="C513" s="52" t="str">
        <f>IF(MID(B513,4,2)="09","Ramadan",IF(AND(MID(B513,4,2)="12",VALUE(LEFT(B513,2))&lt;=9),"Adha Season","Normal"))</f>
        <v>Normal</v>
      </c>
      <c r="D513" s="1" t="s">
        <v>45</v>
      </c>
      <c r="E513" s="1" t="s">
        <v>481</v>
      </c>
      <c r="F513" s="4" t="s">
        <v>39</v>
      </c>
      <c r="G513" s="1">
        <v>18</v>
      </c>
      <c r="H513" s="15">
        <v>18</v>
      </c>
      <c r="I513" s="1">
        <f>grand[[#This Row],[number]]-grand[[#This Row],[received]]</f>
        <v>0</v>
      </c>
      <c r="J513" s="30"/>
      <c r="K513" s="9">
        <v>8026</v>
      </c>
      <c r="L513" s="9">
        <v>7735</v>
      </c>
      <c r="M513" s="2">
        <f>K513-L513</f>
        <v>291</v>
      </c>
      <c r="N513" s="9">
        <v>5106.2</v>
      </c>
      <c r="O513" s="9">
        <v>179</v>
      </c>
      <c r="P513" s="7">
        <f>grand[[#This Row],[total weight]]/grand[[#This Row],[received]]</f>
        <v>445.88888888888891</v>
      </c>
      <c r="Q513" s="7">
        <f>grand[[#This Row],[receiving weight]]/grand[[#This Row],[received]]</f>
        <v>429.72222222222223</v>
      </c>
      <c r="R513" s="7">
        <f>grand[[#This Row],[transportation loss ]]/grand[[#This Row],[received]]</f>
        <v>16.166666666666668</v>
      </c>
      <c r="S513" s="7">
        <f>grand[[#This Row],[ carcass weight]]/grand[[#This Row],[received]]</f>
        <v>283.67777777777775</v>
      </c>
      <c r="T513" s="7">
        <f>grand[[#This Row],[ kidneys fat quantity]]/grand[[#This Row],[received]]</f>
        <v>9.9444444444444446</v>
      </c>
      <c r="U513" s="15">
        <v>25</v>
      </c>
      <c r="V513" s="15">
        <v>0</v>
      </c>
      <c r="W513" s="15">
        <v>49.5</v>
      </c>
      <c r="X513" s="15">
        <v>10</v>
      </c>
      <c r="Y513" s="8">
        <v>8.5</v>
      </c>
      <c r="Z513" s="18">
        <f>grand[[#This Row],[av. Transportation loss]]/grand[[#This Row],[av.total weight]]</f>
        <v>3.6257164216297037E-2</v>
      </c>
      <c r="AA513" s="12">
        <f>AVERAGE((grand[[#This Row],[am]]/25),(grand[[#This Row],[pm]]/50))</f>
        <v>0.995</v>
      </c>
      <c r="AB513" s="3">
        <f>grand[[#This Row],[ carcass weight]]/grand[[#This Row],[total weight]]</f>
        <v>0.63620732618988285</v>
      </c>
      <c r="AC513" s="19">
        <f>SUM(grand[[#This Row],[am]:[meat transportation]])/100</f>
        <v>0.93</v>
      </c>
      <c r="AD513" s="9" t="s">
        <v>188</v>
      </c>
      <c r="AF513" s="1" t="s">
        <v>97</v>
      </c>
      <c r="AJ513" s="1">
        <v>3</v>
      </c>
      <c r="AK513" s="20">
        <f>grand[[#This Row],[accepted as exception]]/grand[[#This Row],[number]]</f>
        <v>0.16666666666666666</v>
      </c>
      <c r="AL513" s="1">
        <v>0</v>
      </c>
    </row>
    <row r="514" spans="1:38" hidden="1" x14ac:dyDescent="0.2">
      <c r="A514" s="11">
        <v>44570</v>
      </c>
      <c r="B514" s="53" t="s">
        <v>2745</v>
      </c>
      <c r="C514" s="52" t="str">
        <f>IF(MID(B514,4,2)="09","Ramadan",IF(AND(MID(B514,4,2)="12",VALUE(LEFT(B514,2))&lt;=9),"Adha Season","Normal"))</f>
        <v>Normal</v>
      </c>
      <c r="D514" s="1" t="s">
        <v>45</v>
      </c>
      <c r="F514" s="4" t="s">
        <v>43</v>
      </c>
      <c r="G514" s="1">
        <v>8</v>
      </c>
      <c r="H514" s="15">
        <v>8</v>
      </c>
      <c r="I514" s="1">
        <f>grand[[#This Row],[number]]-grand[[#This Row],[received]]</f>
        <v>0</v>
      </c>
      <c r="J514" s="30"/>
      <c r="K514" s="9">
        <v>4105</v>
      </c>
      <c r="L514" s="9">
        <v>3975</v>
      </c>
      <c r="M514" s="2">
        <f>K514-L514</f>
        <v>130</v>
      </c>
      <c r="N514" s="9">
        <v>2463</v>
      </c>
      <c r="O514" s="9">
        <v>83</v>
      </c>
      <c r="P514" s="7">
        <f>grand[[#This Row],[total weight]]/grand[[#This Row],[received]]</f>
        <v>513.125</v>
      </c>
      <c r="Q514" s="7">
        <f>grand[[#This Row],[receiving weight]]/grand[[#This Row],[received]]</f>
        <v>496.875</v>
      </c>
      <c r="R514" s="7">
        <f>grand[[#This Row],[transportation loss ]]/grand[[#This Row],[received]]</f>
        <v>16.25</v>
      </c>
      <c r="S514" s="7">
        <f>grand[[#This Row],[ carcass weight]]/grand[[#This Row],[received]]</f>
        <v>307.875</v>
      </c>
      <c r="T514" s="7">
        <f>grand[[#This Row],[ kidneys fat quantity]]/grand[[#This Row],[received]]</f>
        <v>10.375</v>
      </c>
      <c r="U514" s="15">
        <v>25</v>
      </c>
      <c r="V514" s="15">
        <v>0</v>
      </c>
      <c r="W514" s="15">
        <v>50</v>
      </c>
      <c r="X514" s="15">
        <v>10</v>
      </c>
      <c r="Y514" s="8">
        <v>8.5</v>
      </c>
      <c r="Z514" s="18">
        <f>grand[[#This Row],[av. Transportation loss]]/grand[[#This Row],[av.total weight]]</f>
        <v>3.1668696711327646E-2</v>
      </c>
      <c r="AA514" s="12">
        <f>AVERAGE((grand[[#This Row],[am]]/25),(grand[[#This Row],[pm]]/50))</f>
        <v>1</v>
      </c>
      <c r="AB514" s="3">
        <f>grand[[#This Row],[ carcass weight]]/grand[[#This Row],[total weight]]</f>
        <v>0.6</v>
      </c>
      <c r="AC514" s="19">
        <f>SUM(grand[[#This Row],[am]:[meat transportation]])/100</f>
        <v>0.93500000000000005</v>
      </c>
      <c r="AD514" s="9"/>
      <c r="AJ514" s="1">
        <v>3</v>
      </c>
      <c r="AK514" s="20">
        <f>grand[[#This Row],[accepted as exception]]/grand[[#This Row],[number]]</f>
        <v>0.375</v>
      </c>
      <c r="AL514" s="1">
        <v>0</v>
      </c>
    </row>
    <row r="515" spans="1:38" hidden="1" x14ac:dyDescent="0.2">
      <c r="A515" s="11">
        <v>44570</v>
      </c>
      <c r="B515" s="53" t="s">
        <v>2745</v>
      </c>
      <c r="C515" s="52" t="str">
        <f>IF(MID(B515,4,2)="09","Ramadan",IF(AND(MID(B515,4,2)="12",VALUE(LEFT(B515,2))&lt;=9),"Adha Season","Normal"))</f>
        <v>Normal</v>
      </c>
      <c r="D515" s="2" t="s">
        <v>294</v>
      </c>
      <c r="F515" s="4" t="s">
        <v>35</v>
      </c>
      <c r="G515" s="1">
        <v>25</v>
      </c>
      <c r="H515" s="15">
        <v>25</v>
      </c>
      <c r="I515" s="1">
        <f>grand[[#This Row],[number]]-grand[[#This Row],[received]]</f>
        <v>0</v>
      </c>
      <c r="J515" s="30"/>
      <c r="K515" s="9">
        <v>1112</v>
      </c>
      <c r="L515" s="9">
        <v>1110</v>
      </c>
      <c r="M515" s="2">
        <f>K515-L515</f>
        <v>2</v>
      </c>
      <c r="N515" s="9">
        <v>674.3</v>
      </c>
      <c r="O515" s="9">
        <v>0</v>
      </c>
      <c r="P515" s="7">
        <f>grand[[#This Row],[total weight]]/grand[[#This Row],[received]]</f>
        <v>44.48</v>
      </c>
      <c r="Q515" s="7">
        <f>grand[[#This Row],[receiving weight]]/grand[[#This Row],[received]]</f>
        <v>44.4</v>
      </c>
      <c r="R515" s="7">
        <f>grand[[#This Row],[transportation loss ]]/grand[[#This Row],[received]]</f>
        <v>0.08</v>
      </c>
      <c r="S515" s="7">
        <f>grand[[#This Row],[ carcass weight]]/grand[[#This Row],[received]]</f>
        <v>26.971999999999998</v>
      </c>
      <c r="T515" s="7">
        <f>grand[[#This Row],[ kidneys fat quantity]]/grand[[#This Row],[received]]</f>
        <v>0</v>
      </c>
      <c r="U515" s="15">
        <v>25</v>
      </c>
      <c r="V515" s="15">
        <v>0</v>
      </c>
      <c r="W515" s="15">
        <v>49.12</v>
      </c>
      <c r="X515" s="15">
        <v>10</v>
      </c>
      <c r="Y515" s="8">
        <v>8.5</v>
      </c>
      <c r="Z515" s="18">
        <f>grand[[#This Row],[av. Transportation loss]]/grand[[#This Row],[av.total weight]]</f>
        <v>1.7985611510791368E-3</v>
      </c>
      <c r="AA515" s="12">
        <f>AVERAGE((grand[[#This Row],[am]]/25),(grand[[#This Row],[pm]]/50))</f>
        <v>0.99119999999999997</v>
      </c>
      <c r="AB515" s="3">
        <f>grand[[#This Row],[ carcass weight]]/grand[[#This Row],[total weight]]</f>
        <v>0.60638489208633084</v>
      </c>
      <c r="AC515" s="19">
        <f>SUM(grand[[#This Row],[am]:[meat transportation]])/100</f>
        <v>0.92620000000000002</v>
      </c>
      <c r="AD515" s="2"/>
      <c r="AJ515" s="1">
        <v>0</v>
      </c>
      <c r="AK515" s="20">
        <f>grand[[#This Row],[accepted as exception]]/grand[[#This Row],[number]]</f>
        <v>0</v>
      </c>
      <c r="AL515" s="1">
        <v>3</v>
      </c>
    </row>
    <row r="516" spans="1:38" hidden="1" x14ac:dyDescent="0.2">
      <c r="A516" s="11">
        <v>44576</v>
      </c>
      <c r="B516" s="53" t="s">
        <v>2748</v>
      </c>
      <c r="C516" s="52" t="str">
        <f>IF(MID(B516,4,2)="09","Ramadan",IF(AND(MID(B516,4,2)="12",VALUE(LEFT(B516,2))&lt;=9),"Adha Season","Normal"))</f>
        <v>Normal</v>
      </c>
      <c r="D516" s="2" t="s">
        <v>294</v>
      </c>
      <c r="F516" s="4" t="s">
        <v>35</v>
      </c>
      <c r="G516" s="1">
        <v>26</v>
      </c>
      <c r="H516" s="15">
        <v>26</v>
      </c>
      <c r="I516" s="1">
        <f>grand[[#This Row],[number]]-grand[[#This Row],[received]]</f>
        <v>0</v>
      </c>
      <c r="J516" s="30"/>
      <c r="K516" s="9">
        <v>1338</v>
      </c>
      <c r="L516" s="9">
        <v>1310</v>
      </c>
      <c r="M516" s="2">
        <f>K516-L516</f>
        <v>28</v>
      </c>
      <c r="N516" s="9">
        <v>790.4</v>
      </c>
      <c r="O516" s="9"/>
      <c r="P516" s="7">
        <f>grand[[#This Row],[total weight]]/grand[[#This Row],[received]]</f>
        <v>51.46153846153846</v>
      </c>
      <c r="Q516" s="7">
        <f>grand[[#This Row],[receiving weight]]/grand[[#This Row],[received]]</f>
        <v>50.384615384615387</v>
      </c>
      <c r="R516" s="7">
        <f>grand[[#This Row],[transportation loss ]]/grand[[#This Row],[received]]</f>
        <v>1.0769230769230769</v>
      </c>
      <c r="S516" s="7">
        <f>grand[[#This Row],[ carcass weight]]/grand[[#This Row],[received]]</f>
        <v>30.4</v>
      </c>
      <c r="T516" s="7">
        <f>grand[[#This Row],[ kidneys fat quantity]]/grand[[#This Row],[received]]</f>
        <v>0</v>
      </c>
      <c r="U516" s="15">
        <v>25</v>
      </c>
      <c r="V516" s="15">
        <v>0</v>
      </c>
      <c r="W516" s="15">
        <v>48.923076923076927</v>
      </c>
      <c r="X516" s="15">
        <v>10</v>
      </c>
      <c r="Y516" s="8">
        <v>8.5</v>
      </c>
      <c r="Z516" s="18">
        <f>grand[[#This Row],[av. Transportation loss]]/grand[[#This Row],[av.total weight]]</f>
        <v>2.0926756352765322E-2</v>
      </c>
      <c r="AA516" s="12">
        <f>AVERAGE((grand[[#This Row],[am]]/25),(grand[[#This Row],[pm]]/50))</f>
        <v>0.98923076923076925</v>
      </c>
      <c r="AB516" s="3">
        <f>grand[[#This Row],[ carcass weight]]/grand[[#This Row],[total weight]]</f>
        <v>0.59073243647234674</v>
      </c>
      <c r="AC516" s="19">
        <f>SUM(grand[[#This Row],[am]:[meat transportation]])/100</f>
        <v>0.9242307692307693</v>
      </c>
      <c r="AD516" s="9" t="s">
        <v>356</v>
      </c>
      <c r="AJ516" s="1">
        <v>0</v>
      </c>
      <c r="AK516" s="20">
        <f>grand[[#This Row],[accepted as exception]]/grand[[#This Row],[number]]</f>
        <v>0</v>
      </c>
      <c r="AL516" s="1">
        <v>7.5</v>
      </c>
    </row>
    <row r="517" spans="1:38" hidden="1" x14ac:dyDescent="0.2">
      <c r="A517" s="11">
        <v>44576</v>
      </c>
      <c r="B517" s="53" t="s">
        <v>2748</v>
      </c>
      <c r="C517" s="52" t="str">
        <f>IF(MID(B517,4,2)="09","Ramadan",IF(AND(MID(B517,4,2)="12",VALUE(LEFT(B517,2))&lt;=9),"Adha Season","Normal"))</f>
        <v>Normal</v>
      </c>
      <c r="D517" s="1" t="s">
        <v>45</v>
      </c>
      <c r="F517" s="4" t="s">
        <v>43</v>
      </c>
      <c r="G517" s="1">
        <v>8</v>
      </c>
      <c r="H517" s="15">
        <v>8</v>
      </c>
      <c r="I517" s="1">
        <f>grand[[#This Row],[number]]-grand[[#This Row],[received]]</f>
        <v>0</v>
      </c>
      <c r="J517" s="30"/>
      <c r="K517" s="9">
        <v>3695</v>
      </c>
      <c r="L517" s="9">
        <v>3675</v>
      </c>
      <c r="M517" s="2">
        <f>K517-L517</f>
        <v>20</v>
      </c>
      <c r="N517" s="9">
        <v>2217.3000000000002</v>
      </c>
      <c r="O517" s="9">
        <v>66</v>
      </c>
      <c r="P517" s="7">
        <f>grand[[#This Row],[total weight]]/grand[[#This Row],[received]]</f>
        <v>461.875</v>
      </c>
      <c r="Q517" s="7">
        <f>grand[[#This Row],[receiving weight]]/grand[[#This Row],[received]]</f>
        <v>459.375</v>
      </c>
      <c r="R517" s="7">
        <f>grand[[#This Row],[transportation loss ]]/grand[[#This Row],[received]]</f>
        <v>2.5</v>
      </c>
      <c r="S517" s="7">
        <f>grand[[#This Row],[ carcass weight]]/grand[[#This Row],[received]]</f>
        <v>277.16250000000002</v>
      </c>
      <c r="T517" s="7">
        <f>grand[[#This Row],[ kidneys fat quantity]]/grand[[#This Row],[received]]</f>
        <v>8.25</v>
      </c>
      <c r="U517" s="15">
        <v>25</v>
      </c>
      <c r="V517" s="15">
        <v>0</v>
      </c>
      <c r="W517" s="15">
        <v>48.75</v>
      </c>
      <c r="X517" s="15">
        <v>10</v>
      </c>
      <c r="Y517" s="8">
        <v>8.5</v>
      </c>
      <c r="Z517" s="18">
        <f>grand[[#This Row],[av. Transportation loss]]/grand[[#This Row],[av.total weight]]</f>
        <v>5.4127198917456026E-3</v>
      </c>
      <c r="AA517" s="12">
        <f>AVERAGE((grand[[#This Row],[am]]/25),(grand[[#This Row],[pm]]/50))</f>
        <v>0.98750000000000004</v>
      </c>
      <c r="AB517" s="3">
        <f>grand[[#This Row],[ carcass weight]]/grand[[#This Row],[total weight]]</f>
        <v>0.60008119079837619</v>
      </c>
      <c r="AC517" s="19">
        <f>SUM(grand[[#This Row],[am]:[meat transportation]])/100</f>
        <v>0.92249999999999999</v>
      </c>
      <c r="AD517" s="2" t="s">
        <v>355</v>
      </c>
      <c r="AJ517" s="1">
        <v>2</v>
      </c>
      <c r="AK517" s="20">
        <f>grand[[#This Row],[accepted as exception]]/grand[[#This Row],[number]]</f>
        <v>0.25</v>
      </c>
      <c r="AL517" s="1">
        <v>8</v>
      </c>
    </row>
    <row r="518" spans="1:38" hidden="1" x14ac:dyDescent="0.2">
      <c r="A518" s="11">
        <v>44577</v>
      </c>
      <c r="B518" s="53" t="s">
        <v>1599</v>
      </c>
      <c r="C518" s="52" t="str">
        <f>IF(MID(B518,4,2)="09","Ramadan",IF(AND(MID(B518,4,2)="12",VALUE(LEFT(B518,2))&lt;=9),"Adha Season","Normal"))</f>
        <v>Normal</v>
      </c>
      <c r="D518" s="1" t="s">
        <v>45</v>
      </c>
      <c r="F518" s="4" t="s">
        <v>333</v>
      </c>
      <c r="G518" s="1">
        <v>8</v>
      </c>
      <c r="H518" s="15">
        <v>8</v>
      </c>
      <c r="I518" s="1">
        <f>grand[[#This Row],[number]]-grand[[#This Row],[received]]</f>
        <v>0</v>
      </c>
      <c r="J518" s="30"/>
      <c r="K518" s="9">
        <v>3280</v>
      </c>
      <c r="L518" s="9">
        <v>3235</v>
      </c>
      <c r="M518" s="2">
        <f>K518-L518</f>
        <v>45</v>
      </c>
      <c r="N518" s="9">
        <v>1968</v>
      </c>
      <c r="O518" s="9">
        <v>61</v>
      </c>
      <c r="P518" s="7">
        <f>grand[[#This Row],[total weight]]/grand[[#This Row],[received]]</f>
        <v>410</v>
      </c>
      <c r="Q518" s="7">
        <f>grand[[#This Row],[receiving weight]]/grand[[#This Row],[received]]</f>
        <v>404.375</v>
      </c>
      <c r="R518" s="7">
        <f>grand[[#This Row],[transportation loss ]]/grand[[#This Row],[received]]</f>
        <v>5.625</v>
      </c>
      <c r="S518" s="7">
        <f>grand[[#This Row],[ carcass weight]]/grand[[#This Row],[received]]</f>
        <v>246</v>
      </c>
      <c r="T518" s="7">
        <f>grand[[#This Row],[ kidneys fat quantity]]/grand[[#This Row],[received]]</f>
        <v>7.625</v>
      </c>
      <c r="U518" s="15">
        <v>25</v>
      </c>
      <c r="V518" s="15">
        <v>0</v>
      </c>
      <c r="W518" s="15">
        <v>50</v>
      </c>
      <c r="X518" s="15">
        <v>10</v>
      </c>
      <c r="Y518" s="8">
        <v>8.5</v>
      </c>
      <c r="Z518" s="18">
        <f>grand[[#This Row],[av. Transportation loss]]/grand[[#This Row],[av.total weight]]</f>
        <v>1.3719512195121951E-2</v>
      </c>
      <c r="AA518" s="12">
        <f>AVERAGE((grand[[#This Row],[am]]/25),(grand[[#This Row],[pm]]/50))</f>
        <v>1</v>
      </c>
      <c r="AB518" s="3">
        <f>grand[[#This Row],[ carcass weight]]/grand[[#This Row],[total weight]]</f>
        <v>0.6</v>
      </c>
      <c r="AC518" s="19">
        <f>SUM(grand[[#This Row],[am]:[meat transportation]])/100</f>
        <v>0.93500000000000005</v>
      </c>
      <c r="AD518" s="2"/>
      <c r="AJ518" s="1">
        <v>4</v>
      </c>
      <c r="AK518" s="20">
        <f>grand[[#This Row],[accepted as exception]]/grand[[#This Row],[number]]</f>
        <v>0.5</v>
      </c>
      <c r="AL518" s="1">
        <v>1</v>
      </c>
    </row>
    <row r="519" spans="1:38" hidden="1" x14ac:dyDescent="0.2">
      <c r="A519" s="11">
        <v>44577</v>
      </c>
      <c r="B519" s="53" t="s">
        <v>1599</v>
      </c>
      <c r="C519" s="52" t="str">
        <f>IF(MID(B519,4,2)="09","Ramadan",IF(AND(MID(B519,4,2)="12",VALUE(LEFT(B519,2))&lt;=9),"Adha Season","Normal"))</f>
        <v>Normal</v>
      </c>
      <c r="D519" s="1" t="s">
        <v>45</v>
      </c>
      <c r="F519" s="4" t="s">
        <v>280</v>
      </c>
      <c r="G519" s="1">
        <v>35</v>
      </c>
      <c r="H519" s="15">
        <v>35</v>
      </c>
      <c r="I519" s="1">
        <f>grand[[#This Row],[number]]-grand[[#This Row],[received]]</f>
        <v>0</v>
      </c>
      <c r="J519" s="30"/>
      <c r="K519" s="9">
        <v>16773</v>
      </c>
      <c r="L519" s="9">
        <v>16340</v>
      </c>
      <c r="M519" s="2">
        <f>K519-L519</f>
        <v>433</v>
      </c>
      <c r="N519" s="9">
        <v>10230.799999999999</v>
      </c>
      <c r="O519" s="9">
        <v>332</v>
      </c>
      <c r="P519" s="7">
        <f>grand[[#This Row],[total weight]]/grand[[#This Row],[received]]</f>
        <v>479.22857142857146</v>
      </c>
      <c r="Q519" s="7">
        <f>grand[[#This Row],[receiving weight]]/grand[[#This Row],[received]]</f>
        <v>466.85714285714283</v>
      </c>
      <c r="R519" s="7">
        <f>grand[[#This Row],[transportation loss ]]/grand[[#This Row],[received]]</f>
        <v>12.371428571428572</v>
      </c>
      <c r="S519" s="7">
        <f>grand[[#This Row],[ carcass weight]]/grand[[#This Row],[received]]</f>
        <v>292.30857142857138</v>
      </c>
      <c r="T519" s="7">
        <f>grand[[#This Row],[ kidneys fat quantity]]/grand[[#This Row],[received]]</f>
        <v>9.4857142857142858</v>
      </c>
      <c r="U519" s="15">
        <v>25</v>
      </c>
      <c r="V519" s="15">
        <v>0</v>
      </c>
      <c r="W519" s="15">
        <v>49</v>
      </c>
      <c r="X519" s="15">
        <v>9.8571428571428577</v>
      </c>
      <c r="Y519" s="8">
        <v>8.5</v>
      </c>
      <c r="Z519" s="18">
        <f>grand[[#This Row],[av. Transportation loss]]/grand[[#This Row],[av.total weight]]</f>
        <v>2.5815298396232041E-2</v>
      </c>
      <c r="AA519" s="12">
        <f>AVERAGE((grand[[#This Row],[am]]/25),(grand[[#This Row],[pm]]/50))</f>
        <v>0.99</v>
      </c>
      <c r="AB519" s="3">
        <f>grand[[#This Row],[ carcass weight]]/grand[[#This Row],[total weight]]</f>
        <v>0.60995647767244976</v>
      </c>
      <c r="AC519" s="19">
        <f>SUM(grand[[#This Row],[am]:[meat transportation]])/100</f>
        <v>0.9235714285714286</v>
      </c>
      <c r="AD519" s="9" t="s">
        <v>357</v>
      </c>
      <c r="AJ519" s="1">
        <v>12</v>
      </c>
      <c r="AK519" s="20">
        <f>grand[[#This Row],[accepted as exception]]/grand[[#This Row],[number]]</f>
        <v>0.34285714285714286</v>
      </c>
      <c r="AL519" s="1">
        <v>8.5</v>
      </c>
    </row>
    <row r="520" spans="1:38" hidden="1" x14ac:dyDescent="0.2">
      <c r="A520" s="11">
        <v>44581</v>
      </c>
      <c r="B520" s="53" t="s">
        <v>2750</v>
      </c>
      <c r="C520" s="52" t="str">
        <f>IF(MID(B520,4,2)="09","Ramadan",IF(AND(MID(B520,4,2)="12",VALUE(LEFT(B520,2))&lt;=9),"Adha Season","Normal"))</f>
        <v>Normal</v>
      </c>
      <c r="D520" s="1" t="s">
        <v>45</v>
      </c>
      <c r="F520" s="4" t="s">
        <v>46</v>
      </c>
      <c r="G520" s="1">
        <v>40</v>
      </c>
      <c r="H520" s="15">
        <v>40</v>
      </c>
      <c r="I520" s="1">
        <f>grand[[#This Row],[number]]-grand[[#This Row],[received]]</f>
        <v>0</v>
      </c>
      <c r="J520" s="30"/>
      <c r="K520" s="9">
        <v>17582</v>
      </c>
      <c r="L520" s="9">
        <v>16725</v>
      </c>
      <c r="M520" s="2">
        <f>K520-L520</f>
        <v>857</v>
      </c>
      <c r="N520" s="9">
        <v>10549</v>
      </c>
      <c r="O520" s="9">
        <v>325</v>
      </c>
      <c r="P520" s="7">
        <f>grand[[#This Row],[total weight]]/grand[[#This Row],[received]]</f>
        <v>439.55</v>
      </c>
      <c r="Q520" s="7">
        <f>grand[[#This Row],[receiving weight]]/grand[[#This Row],[received]]</f>
        <v>418.125</v>
      </c>
      <c r="R520" s="7">
        <f>grand[[#This Row],[transportation loss ]]/grand[[#This Row],[received]]</f>
        <v>21.425000000000001</v>
      </c>
      <c r="S520" s="7">
        <f>grand[[#This Row],[ carcass weight]]/grand[[#This Row],[received]]</f>
        <v>263.72500000000002</v>
      </c>
      <c r="T520" s="7">
        <f>grand[[#This Row],[ kidneys fat quantity]]/grand[[#This Row],[received]]</f>
        <v>8.125</v>
      </c>
      <c r="U520" s="15">
        <v>23.75</v>
      </c>
      <c r="V520" s="15">
        <v>0</v>
      </c>
      <c r="W520" s="15">
        <v>49.074999999999996</v>
      </c>
      <c r="X520" s="15">
        <v>10</v>
      </c>
      <c r="Y520" s="8">
        <v>8.5</v>
      </c>
      <c r="Z520" s="18">
        <f>grand[[#This Row],[av. Transportation loss]]/grand[[#This Row],[av.total weight]]</f>
        <v>4.8743032647025369E-2</v>
      </c>
      <c r="AA520" s="12">
        <f>AVERAGE((grand[[#This Row],[am]]/25),(grand[[#This Row],[pm]]/50))</f>
        <v>0.96574999999999989</v>
      </c>
      <c r="AB520" s="3">
        <f>grand[[#This Row],[ carcass weight]]/grand[[#This Row],[total weight]]</f>
        <v>0.59998862472983738</v>
      </c>
      <c r="AC520" s="19">
        <f>SUM(grand[[#This Row],[am]:[meat transportation]])/100</f>
        <v>0.9132499999999999</v>
      </c>
      <c r="AD520" s="2" t="s">
        <v>358</v>
      </c>
      <c r="AJ520" s="1">
        <f>8+25</f>
        <v>33</v>
      </c>
      <c r="AK520" s="20">
        <f>grand[[#This Row],[accepted as exception]]/grand[[#This Row],[number]]</f>
        <v>0.82499999999999996</v>
      </c>
      <c r="AL520" s="1">
        <v>20</v>
      </c>
    </row>
    <row r="521" spans="1:38" hidden="1" x14ac:dyDescent="0.2">
      <c r="A521" s="11">
        <v>44583</v>
      </c>
      <c r="B521" s="53" t="s">
        <v>2751</v>
      </c>
      <c r="C521" s="52" t="str">
        <f>IF(MID(B521,4,2)="09","Ramadan",IF(AND(MID(B521,4,2)="12",VALUE(LEFT(B521,2))&lt;=9),"Adha Season","Normal"))</f>
        <v>Normal</v>
      </c>
      <c r="D521" s="2" t="s">
        <v>294</v>
      </c>
      <c r="F521" s="4" t="s">
        <v>35</v>
      </c>
      <c r="G521" s="1">
        <v>28</v>
      </c>
      <c r="H521" s="15">
        <v>28</v>
      </c>
      <c r="I521" s="1">
        <f>grand[[#This Row],[number]]-grand[[#This Row],[received]]</f>
        <v>0</v>
      </c>
      <c r="J521" s="30"/>
      <c r="K521" s="9">
        <v>1406</v>
      </c>
      <c r="L521" s="9">
        <v>1380</v>
      </c>
      <c r="M521" s="2">
        <f>K521-L521</f>
        <v>26</v>
      </c>
      <c r="N521" s="9">
        <v>837.1</v>
      </c>
      <c r="O521" s="9"/>
      <c r="P521" s="7">
        <f>grand[[#This Row],[total weight]]/grand[[#This Row],[received]]</f>
        <v>50.214285714285715</v>
      </c>
      <c r="Q521" s="7">
        <f>grand[[#This Row],[receiving weight]]/grand[[#This Row],[received]]</f>
        <v>49.285714285714285</v>
      </c>
      <c r="R521" s="7">
        <f>grand[[#This Row],[transportation loss ]]/grand[[#This Row],[received]]</f>
        <v>0.9285714285714286</v>
      </c>
      <c r="S521" s="7">
        <f>grand[[#This Row],[ carcass weight]]/grand[[#This Row],[received]]</f>
        <v>29.896428571428572</v>
      </c>
      <c r="T521" s="7">
        <f>grand[[#This Row],[ kidneys fat quantity]]/grand[[#This Row],[received]]</f>
        <v>0</v>
      </c>
      <c r="U521" s="15">
        <v>25</v>
      </c>
      <c r="V521" s="15">
        <v>0</v>
      </c>
      <c r="W521" s="15">
        <v>49.25</v>
      </c>
      <c r="X521" s="15">
        <v>10</v>
      </c>
      <c r="Y521" s="8">
        <v>8.5</v>
      </c>
      <c r="Z521" s="18">
        <f>grand[[#This Row],[av. Transportation loss]]/grand[[#This Row],[av.total weight]]</f>
        <v>1.849217638691323E-2</v>
      </c>
      <c r="AA521" s="12">
        <f>AVERAGE((grand[[#This Row],[am]]/25),(grand[[#This Row],[pm]]/50))</f>
        <v>0.99249999999999994</v>
      </c>
      <c r="AB521" s="3">
        <f>grand[[#This Row],[ carcass weight]]/grand[[#This Row],[total weight]]</f>
        <v>0.59537695590327167</v>
      </c>
      <c r="AC521" s="19">
        <f>SUM(grand[[#This Row],[am]:[meat transportation]])/100</f>
        <v>0.92749999999999999</v>
      </c>
      <c r="AD521" s="9" t="s">
        <v>360</v>
      </c>
      <c r="AJ521" s="1">
        <v>0</v>
      </c>
      <c r="AK521" s="20">
        <f>grand[[#This Row],[accepted as exception]]/grand[[#This Row],[number]]</f>
        <v>0</v>
      </c>
      <c r="AL521" s="1">
        <v>5</v>
      </c>
    </row>
    <row r="522" spans="1:38" hidden="1" x14ac:dyDescent="0.2">
      <c r="A522" s="11">
        <v>44584</v>
      </c>
      <c r="B522" s="53" t="s">
        <v>1600</v>
      </c>
      <c r="C522" s="52" t="str">
        <f>IF(MID(B522,4,2)="09","Ramadan",IF(AND(MID(B522,4,2)="12",VALUE(LEFT(B522,2))&lt;=9),"Adha Season","Normal"))</f>
        <v>Normal</v>
      </c>
      <c r="D522" s="1" t="s">
        <v>45</v>
      </c>
      <c r="F522" s="4" t="s">
        <v>333</v>
      </c>
      <c r="G522" s="1">
        <v>9</v>
      </c>
      <c r="H522" s="15">
        <v>9</v>
      </c>
      <c r="I522" s="1">
        <f>grand[[#This Row],[number]]-grand[[#This Row],[received]]</f>
        <v>0</v>
      </c>
      <c r="J522" s="30"/>
      <c r="K522" s="9">
        <v>4144</v>
      </c>
      <c r="L522" s="9">
        <v>4080</v>
      </c>
      <c r="M522" s="2">
        <f>K522-L522</f>
        <v>64</v>
      </c>
      <c r="N522" s="9">
        <v>2561.8000000000002</v>
      </c>
      <c r="O522" s="9">
        <v>94</v>
      </c>
      <c r="P522" s="7">
        <f>grand[[#This Row],[total weight]]/grand[[#This Row],[received]]</f>
        <v>460.44444444444446</v>
      </c>
      <c r="Q522" s="7">
        <f>grand[[#This Row],[receiving weight]]/grand[[#This Row],[received]]</f>
        <v>453.33333333333331</v>
      </c>
      <c r="R522" s="7">
        <f>grand[[#This Row],[transportation loss ]]/grand[[#This Row],[received]]</f>
        <v>7.1111111111111107</v>
      </c>
      <c r="S522" s="7">
        <f>grand[[#This Row],[ carcass weight]]/grand[[#This Row],[received]]</f>
        <v>284.64444444444445</v>
      </c>
      <c r="T522" s="7">
        <f>grand[[#This Row],[ kidneys fat quantity]]/grand[[#This Row],[received]]</f>
        <v>10.444444444444445</v>
      </c>
      <c r="U522" s="15">
        <v>25</v>
      </c>
      <c r="V522" s="15">
        <v>0</v>
      </c>
      <c r="W522" s="15">
        <v>50</v>
      </c>
      <c r="X522" s="15">
        <v>10</v>
      </c>
      <c r="Y522" s="8">
        <v>8.5</v>
      </c>
      <c r="Z522" s="18">
        <f>grand[[#This Row],[av. Transportation loss]]/grand[[#This Row],[av.total weight]]</f>
        <v>1.5444015444015443E-2</v>
      </c>
      <c r="AA522" s="12">
        <f>AVERAGE((grand[[#This Row],[am]]/25),(grand[[#This Row],[pm]]/50))</f>
        <v>1</v>
      </c>
      <c r="AB522" s="3">
        <f>grand[[#This Row],[ carcass weight]]/grand[[#This Row],[total weight]]</f>
        <v>0.61819498069498069</v>
      </c>
      <c r="AC522" s="19">
        <f>SUM(grand[[#This Row],[am]:[meat transportation]])/100</f>
        <v>0.93500000000000005</v>
      </c>
      <c r="AD522" s="9"/>
      <c r="AJ522" s="1">
        <v>1</v>
      </c>
      <c r="AK522" s="20">
        <f>grand[[#This Row],[accepted as exception]]/grand[[#This Row],[number]]</f>
        <v>0.1111111111111111</v>
      </c>
      <c r="AL522" s="1">
        <v>0</v>
      </c>
    </row>
    <row r="523" spans="1:38" hidden="1" x14ac:dyDescent="0.2">
      <c r="A523" s="11">
        <v>44588</v>
      </c>
      <c r="B523" s="53" t="s">
        <v>2753</v>
      </c>
      <c r="C523" s="52" t="str">
        <f>IF(MID(B523,4,2)="09","Ramadan",IF(AND(MID(B523,4,2)="12",VALUE(LEFT(B523,2))&lt;=9),"Adha Season","Normal"))</f>
        <v>Normal</v>
      </c>
      <c r="D523" s="1" t="s">
        <v>45</v>
      </c>
      <c r="F523" s="4" t="s">
        <v>46</v>
      </c>
      <c r="G523" s="1">
        <v>40</v>
      </c>
      <c r="H523" s="15">
        <v>40</v>
      </c>
      <c r="I523" s="1">
        <f>grand[[#This Row],[number]]-grand[[#This Row],[received]]</f>
        <v>0</v>
      </c>
      <c r="J523" s="30"/>
      <c r="K523" s="9">
        <v>20611</v>
      </c>
      <c r="L523" s="9">
        <v>19635</v>
      </c>
      <c r="M523" s="2">
        <f>K523-L523</f>
        <v>976</v>
      </c>
      <c r="N523" s="9">
        <v>12366.1</v>
      </c>
      <c r="O523" s="9">
        <v>445</v>
      </c>
      <c r="P523" s="7">
        <f>grand[[#This Row],[total weight]]/grand[[#This Row],[received]]</f>
        <v>515.27499999999998</v>
      </c>
      <c r="Q523" s="7">
        <f>grand[[#This Row],[receiving weight]]/grand[[#This Row],[received]]</f>
        <v>490.875</v>
      </c>
      <c r="R523" s="7">
        <f>grand[[#This Row],[transportation loss ]]/grand[[#This Row],[received]]</f>
        <v>24.4</v>
      </c>
      <c r="S523" s="7">
        <f>grand[[#This Row],[ carcass weight]]/grand[[#This Row],[received]]</f>
        <v>309.15250000000003</v>
      </c>
      <c r="T523" s="7">
        <f>grand[[#This Row],[ kidneys fat quantity]]/grand[[#This Row],[received]]</f>
        <v>11.125</v>
      </c>
      <c r="U523" s="15">
        <v>25</v>
      </c>
      <c r="V523" s="15">
        <v>0</v>
      </c>
      <c r="W523" s="15">
        <v>48.274999999999999</v>
      </c>
      <c r="X523" s="15">
        <v>10</v>
      </c>
      <c r="Y523" s="8">
        <v>8.5</v>
      </c>
      <c r="Z523" s="18">
        <f>grand[[#This Row],[av. Transportation loss]]/grand[[#This Row],[av.total weight]]</f>
        <v>4.7353355004609188E-2</v>
      </c>
      <c r="AA523" s="12">
        <f>AVERAGE((grand[[#This Row],[am]]/25),(grand[[#This Row],[pm]]/50))</f>
        <v>0.98275000000000001</v>
      </c>
      <c r="AB523" s="3">
        <f>grand[[#This Row],[ carcass weight]]/grand[[#This Row],[total weight]]</f>
        <v>0.59997574110911656</v>
      </c>
      <c r="AC523" s="19">
        <f>SUM(grand[[#This Row],[am]:[meat transportation]])/100</f>
        <v>0.91775000000000007</v>
      </c>
      <c r="AD523" s="9" t="s">
        <v>364</v>
      </c>
      <c r="AJ523" s="1">
        <v>24</v>
      </c>
      <c r="AK523" s="20">
        <f>grand[[#This Row],[accepted as exception]]/grand[[#This Row],[number]]</f>
        <v>0.6</v>
      </c>
      <c r="AL523" s="1">
        <v>11</v>
      </c>
    </row>
    <row r="524" spans="1:38" hidden="1" x14ac:dyDescent="0.2">
      <c r="A524" s="11">
        <v>44590</v>
      </c>
      <c r="B524" s="53" t="s">
        <v>2754</v>
      </c>
      <c r="C524" s="52" t="str">
        <f>IF(MID(B524,4,2)="09","Ramadan",IF(AND(MID(B524,4,2)="12",VALUE(LEFT(B524,2))&lt;=9),"Adha Season","Normal"))</f>
        <v>Normal</v>
      </c>
      <c r="D524" s="1" t="s">
        <v>45</v>
      </c>
      <c r="F524" s="4" t="s">
        <v>280</v>
      </c>
      <c r="G524" s="1">
        <v>36</v>
      </c>
      <c r="H524" s="15">
        <v>36</v>
      </c>
      <c r="I524" s="1">
        <f>grand[[#This Row],[number]]-grand[[#This Row],[received]]</f>
        <v>0</v>
      </c>
      <c r="J524" s="30"/>
      <c r="K524" s="9">
        <v>15370</v>
      </c>
      <c r="L524" s="9">
        <v>14915</v>
      </c>
      <c r="M524" s="2">
        <f>K524-L524</f>
        <v>455</v>
      </c>
      <c r="N524" s="9">
        <v>9222.4</v>
      </c>
      <c r="O524" s="9">
        <v>313</v>
      </c>
      <c r="P524" s="7">
        <f>grand[[#This Row],[total weight]]/grand[[#This Row],[received]]</f>
        <v>426.94444444444446</v>
      </c>
      <c r="Q524" s="7">
        <f>grand[[#This Row],[receiving weight]]/grand[[#This Row],[received]]</f>
        <v>414.30555555555554</v>
      </c>
      <c r="R524" s="7">
        <f>grand[[#This Row],[transportation loss ]]/grand[[#This Row],[received]]</f>
        <v>12.638888888888889</v>
      </c>
      <c r="S524" s="7">
        <f>grand[[#This Row],[ carcass weight]]/grand[[#This Row],[received]]</f>
        <v>256.17777777777775</v>
      </c>
      <c r="T524" s="7">
        <f>grand[[#This Row],[ kidneys fat quantity]]/grand[[#This Row],[received]]</f>
        <v>8.6944444444444446</v>
      </c>
      <c r="U524" s="15">
        <v>25</v>
      </c>
      <c r="V524" s="15">
        <v>0</v>
      </c>
      <c r="W524" s="15">
        <v>49.416666666666671</v>
      </c>
      <c r="X524" s="15">
        <v>10</v>
      </c>
      <c r="Y524" s="8">
        <v>8.5</v>
      </c>
      <c r="Z524" s="18">
        <f>grand[[#This Row],[av. Transportation loss]]/grand[[#This Row],[av.total weight]]</f>
        <v>2.9603122966818479E-2</v>
      </c>
      <c r="AA524" s="12">
        <f>AVERAGE((grand[[#This Row],[am]]/25),(grand[[#This Row],[pm]]/50))</f>
        <v>0.99416666666666664</v>
      </c>
      <c r="AB524" s="3">
        <f>grand[[#This Row],[ carcass weight]]/grand[[#This Row],[total weight]]</f>
        <v>0.60002602472348732</v>
      </c>
      <c r="AC524" s="19">
        <f>SUM(grand[[#This Row],[am]:[meat transportation]])/100</f>
        <v>0.9291666666666667</v>
      </c>
      <c r="AD524" s="9" t="s">
        <v>365</v>
      </c>
      <c r="AJ524" s="1">
        <v>3</v>
      </c>
      <c r="AK524" s="20">
        <f>grand[[#This Row],[accepted as exception]]/grand[[#This Row],[number]]</f>
        <v>8.3333333333333329E-2</v>
      </c>
      <c r="AL524" s="1">
        <v>4</v>
      </c>
    </row>
    <row r="525" spans="1:38" hidden="1" x14ac:dyDescent="0.2">
      <c r="A525" s="11">
        <v>44590</v>
      </c>
      <c r="B525" s="53" t="s">
        <v>2754</v>
      </c>
      <c r="C525" s="52" t="str">
        <f>IF(MID(B525,4,2)="09","Ramadan",IF(AND(MID(B525,4,2)="12",VALUE(LEFT(B525,2))&lt;=9),"Adha Season","Normal"))</f>
        <v>Normal</v>
      </c>
      <c r="D525" s="2" t="s">
        <v>294</v>
      </c>
      <c r="F525" s="4" t="s">
        <v>35</v>
      </c>
      <c r="G525" s="1">
        <v>30</v>
      </c>
      <c r="H525" s="15">
        <v>30</v>
      </c>
      <c r="I525" s="1">
        <f>grand[[#This Row],[number]]-grand[[#This Row],[received]]</f>
        <v>0</v>
      </c>
      <c r="J525" s="30"/>
      <c r="K525" s="9">
        <v>1532</v>
      </c>
      <c r="L525" s="9">
        <v>1510</v>
      </c>
      <c r="M525" s="2">
        <f>K525-L525</f>
        <v>22</v>
      </c>
      <c r="N525" s="9">
        <v>942.8</v>
      </c>
      <c r="O525" s="9">
        <v>0</v>
      </c>
      <c r="P525" s="7">
        <f>grand[[#This Row],[total weight]]/grand[[#This Row],[received]]</f>
        <v>51.06666666666667</v>
      </c>
      <c r="Q525" s="7">
        <f>grand[[#This Row],[receiving weight]]/grand[[#This Row],[received]]</f>
        <v>50.333333333333336</v>
      </c>
      <c r="R525" s="7">
        <f>grand[[#This Row],[transportation loss ]]/grand[[#This Row],[received]]</f>
        <v>0.73333333333333328</v>
      </c>
      <c r="S525" s="7">
        <f>grand[[#This Row],[ carcass weight]]/grand[[#This Row],[received]]</f>
        <v>31.426666666666666</v>
      </c>
      <c r="T525" s="7">
        <f>grand[[#This Row],[ kidneys fat quantity]]/grand[[#This Row],[received]]</f>
        <v>0</v>
      </c>
      <c r="U525" s="15">
        <v>25</v>
      </c>
      <c r="V525" s="15">
        <v>0</v>
      </c>
      <c r="W525" s="15">
        <v>48.966666666666669</v>
      </c>
      <c r="X525" s="15">
        <v>10</v>
      </c>
      <c r="Y525" s="8">
        <v>8.5</v>
      </c>
      <c r="Z525" s="18">
        <f>grand[[#This Row],[av. Transportation loss]]/grand[[#This Row],[av.total weight]]</f>
        <v>1.4360313315926892E-2</v>
      </c>
      <c r="AA525" s="12">
        <f>AVERAGE((grand[[#This Row],[am]]/25),(grand[[#This Row],[pm]]/50))</f>
        <v>0.98966666666666669</v>
      </c>
      <c r="AB525" s="3">
        <f>grand[[#This Row],[ carcass weight]]/grand[[#This Row],[total weight]]</f>
        <v>0.61540469973890333</v>
      </c>
      <c r="AC525" s="19">
        <f>SUM(grand[[#This Row],[am]:[meat transportation]])/100</f>
        <v>0.92466666666666664</v>
      </c>
      <c r="AD525" s="9" t="s">
        <v>366</v>
      </c>
      <c r="AJ525" s="1">
        <v>0</v>
      </c>
      <c r="AK525" s="20">
        <f>grand[[#This Row],[accepted as exception]]/grand[[#This Row],[number]]</f>
        <v>0</v>
      </c>
      <c r="AL525" s="1">
        <v>9</v>
      </c>
    </row>
    <row r="526" spans="1:38" hidden="1" x14ac:dyDescent="0.2">
      <c r="A526" s="11">
        <v>44598</v>
      </c>
      <c r="B526" s="53" t="s">
        <v>1602</v>
      </c>
      <c r="C526" s="52" t="str">
        <f>IF(MID(B526,4,2)="09","Ramadan",IF(AND(MID(B526,4,2)="12",VALUE(LEFT(B526,2))&lt;=9),"Adha Season","Normal"))</f>
        <v>Normal</v>
      </c>
      <c r="D526" s="1" t="s">
        <v>45</v>
      </c>
      <c r="F526" s="4" t="s">
        <v>280</v>
      </c>
      <c r="G526" s="1">
        <v>48</v>
      </c>
      <c r="H526" s="15">
        <v>48</v>
      </c>
      <c r="I526" s="1">
        <f>grand[[#This Row],[number]]-grand[[#This Row],[received]]</f>
        <v>0</v>
      </c>
      <c r="J526" s="30"/>
      <c r="K526" s="9">
        <v>21466</v>
      </c>
      <c r="L526" s="9">
        <v>20670</v>
      </c>
      <c r="M526" s="2">
        <f>K526-L526</f>
        <v>796</v>
      </c>
      <c r="N526" s="9">
        <v>13004.8</v>
      </c>
      <c r="O526" s="9">
        <v>433</v>
      </c>
      <c r="P526" s="7">
        <f>grand[[#This Row],[total weight]]/grand[[#This Row],[received]]</f>
        <v>447.20833333333331</v>
      </c>
      <c r="Q526" s="7">
        <f>grand[[#This Row],[receiving weight]]/grand[[#This Row],[received]]</f>
        <v>430.625</v>
      </c>
      <c r="R526" s="7">
        <f>grand[[#This Row],[transportation loss ]]/grand[[#This Row],[received]]</f>
        <v>16.583333333333332</v>
      </c>
      <c r="S526" s="7">
        <f>grand[[#This Row],[ carcass weight]]/grand[[#This Row],[received]]</f>
        <v>270.93333333333334</v>
      </c>
      <c r="T526" s="7">
        <f>grand[[#This Row],[ kidneys fat quantity]]/grand[[#This Row],[received]]</f>
        <v>9.0208333333333339</v>
      </c>
      <c r="U526" s="15">
        <v>25</v>
      </c>
      <c r="V526" s="15">
        <v>0</v>
      </c>
      <c r="W526" s="15">
        <v>49.479166666666664</v>
      </c>
      <c r="X526" s="15">
        <v>10</v>
      </c>
      <c r="Y526" s="8">
        <v>8.5</v>
      </c>
      <c r="Z526" s="18">
        <f>grand[[#This Row],[av. Transportation loss]]/grand[[#This Row],[av.total weight]]</f>
        <v>3.7081896953321529E-2</v>
      </c>
      <c r="AA526" s="12">
        <f>AVERAGE((grand[[#This Row],[am]]/25),(grand[[#This Row],[pm]]/50))</f>
        <v>0.99479166666666663</v>
      </c>
      <c r="AB526" s="3">
        <f>grand[[#This Row],[ carcass weight]]/grand[[#This Row],[total weight]]</f>
        <v>0.60583247926954253</v>
      </c>
      <c r="AC526" s="19">
        <f>SUM(grand[[#This Row],[am]:[meat transportation]])/100</f>
        <v>0.92979166666666657</v>
      </c>
      <c r="AD526" s="9" t="s">
        <v>373</v>
      </c>
      <c r="AJ526" s="1">
        <v>11</v>
      </c>
      <c r="AK526" s="20">
        <f>grand[[#This Row],[accepted as exception]]/grand[[#This Row],[number]]</f>
        <v>0.22916666666666666</v>
      </c>
      <c r="AL526" s="1">
        <v>45</v>
      </c>
    </row>
    <row r="527" spans="1:38" hidden="1" x14ac:dyDescent="0.2">
      <c r="A527" s="11">
        <v>44600</v>
      </c>
      <c r="B527" s="53" t="s">
        <v>2758</v>
      </c>
      <c r="C527" s="52" t="str">
        <f>IF(MID(B527,4,2)="09","Ramadan",IF(AND(MID(B527,4,2)="12",VALUE(LEFT(B527,2))&lt;=9),"Adha Season","Normal"))</f>
        <v>Normal</v>
      </c>
      <c r="D527" s="1" t="s">
        <v>45</v>
      </c>
      <c r="E527" s="1" t="s">
        <v>481</v>
      </c>
      <c r="F527" s="4" t="s">
        <v>50</v>
      </c>
      <c r="G527" s="1">
        <v>38</v>
      </c>
      <c r="H527" s="15">
        <v>38</v>
      </c>
      <c r="I527" s="1">
        <f>grand[[#This Row],[number]]-grand[[#This Row],[received]]</f>
        <v>0</v>
      </c>
      <c r="J527" s="30"/>
      <c r="K527" s="9">
        <v>16574</v>
      </c>
      <c r="L527" s="9">
        <v>15635</v>
      </c>
      <c r="M527" s="2">
        <f>K527-L527</f>
        <v>939</v>
      </c>
      <c r="N527" s="9">
        <v>10143.5</v>
      </c>
      <c r="O527" s="9">
        <v>349</v>
      </c>
      <c r="P527" s="7">
        <f>grand[[#This Row],[total weight]]/grand[[#This Row],[received]]</f>
        <v>436.15789473684208</v>
      </c>
      <c r="Q527" s="7">
        <f>grand[[#This Row],[receiving weight]]/grand[[#This Row],[received]]</f>
        <v>411.44736842105266</v>
      </c>
      <c r="R527" s="7">
        <f>grand[[#This Row],[transportation loss ]]/grand[[#This Row],[received]]</f>
        <v>24.710526315789473</v>
      </c>
      <c r="S527" s="7">
        <f>grand[[#This Row],[ carcass weight]]/grand[[#This Row],[received]]</f>
        <v>266.93421052631578</v>
      </c>
      <c r="T527" s="7">
        <f>grand[[#This Row],[ kidneys fat quantity]]/grand[[#This Row],[received]]</f>
        <v>9.1842105263157894</v>
      </c>
      <c r="U527" s="15">
        <v>25</v>
      </c>
      <c r="V527" s="15">
        <v>0</v>
      </c>
      <c r="W527" s="15">
        <v>49.94736842105263</v>
      </c>
      <c r="X527" s="15">
        <v>10</v>
      </c>
      <c r="Y527" s="8">
        <v>8.5</v>
      </c>
      <c r="Z527" s="18">
        <f>grand[[#This Row],[av. Transportation loss]]/grand[[#This Row],[av.total weight]]</f>
        <v>5.6655001810063957E-2</v>
      </c>
      <c r="AA527" s="12">
        <f>AVERAGE((grand[[#This Row],[am]]/25),(grand[[#This Row],[pm]]/50))</f>
        <v>0.99947368421052629</v>
      </c>
      <c r="AB527" s="3">
        <f>grand[[#This Row],[ carcass weight]]/grand[[#This Row],[total weight]]</f>
        <v>0.6120127911186195</v>
      </c>
      <c r="AC527" s="19">
        <f>SUM(grand[[#This Row],[am]:[meat transportation]])/100</f>
        <v>0.93447368421052635</v>
      </c>
      <c r="AD527" s="9"/>
      <c r="AJ527" s="1">
        <v>0</v>
      </c>
      <c r="AK527" s="20">
        <f>grand[[#This Row],[accepted as exception]]/grand[[#This Row],[number]]</f>
        <v>0</v>
      </c>
      <c r="AL527" s="1">
        <v>0</v>
      </c>
    </row>
    <row r="528" spans="1:38" hidden="1" x14ac:dyDescent="0.2">
      <c r="A528" s="11">
        <v>44602</v>
      </c>
      <c r="B528" s="53" t="s">
        <v>2759</v>
      </c>
      <c r="C528" s="52" t="str">
        <f>IF(MID(B528,4,2)="09","Ramadan",IF(AND(MID(B528,4,2)="12",VALUE(LEFT(B528,2))&lt;=9),"Adha Season","Normal"))</f>
        <v>Normal</v>
      </c>
      <c r="D528" s="1" t="s">
        <v>45</v>
      </c>
      <c r="F528" s="4" t="s">
        <v>46</v>
      </c>
      <c r="G528" s="1">
        <v>48</v>
      </c>
      <c r="H528" s="15">
        <v>48</v>
      </c>
      <c r="I528" s="1">
        <f>grand[[#This Row],[number]]-grand[[#This Row],[received]]</f>
        <v>0</v>
      </c>
      <c r="J528" s="30"/>
      <c r="K528" s="9">
        <v>21895</v>
      </c>
      <c r="L528" s="9">
        <v>20580</v>
      </c>
      <c r="M528" s="2">
        <f>K528-L528</f>
        <v>1315</v>
      </c>
      <c r="N528" s="9">
        <v>13137</v>
      </c>
      <c r="O528" s="9">
        <v>510</v>
      </c>
      <c r="P528" s="7">
        <f>grand[[#This Row],[total weight]]/grand[[#This Row],[received]]</f>
        <v>456.14583333333331</v>
      </c>
      <c r="Q528" s="7">
        <f>grand[[#This Row],[receiving weight]]/grand[[#This Row],[received]]</f>
        <v>428.75</v>
      </c>
      <c r="R528" s="7">
        <f>grand[[#This Row],[transportation loss ]]/grand[[#This Row],[received]]</f>
        <v>27.395833333333332</v>
      </c>
      <c r="S528" s="7">
        <f>grand[[#This Row],[ carcass weight]]/grand[[#This Row],[received]]</f>
        <v>273.6875</v>
      </c>
      <c r="T528" s="7">
        <f>grand[[#This Row],[ kidneys fat quantity]]/grand[[#This Row],[received]]</f>
        <v>10.625</v>
      </c>
      <c r="U528" s="15">
        <v>25</v>
      </c>
      <c r="V528" s="15">
        <v>0</v>
      </c>
      <c r="W528" s="15">
        <v>49.916666666666671</v>
      </c>
      <c r="X528" s="15">
        <v>10</v>
      </c>
      <c r="Y528" s="8">
        <v>8.5</v>
      </c>
      <c r="Z528" s="18">
        <f>grand[[#This Row],[av. Transportation loss]]/grand[[#This Row],[av.total weight]]</f>
        <v>6.0059374286366748E-2</v>
      </c>
      <c r="AA528" s="12">
        <f>AVERAGE((grand[[#This Row],[am]]/25),(grand[[#This Row],[pm]]/50))</f>
        <v>0.99916666666666676</v>
      </c>
      <c r="AB528" s="3">
        <f>grand[[#This Row],[ carcass weight]]/grand[[#This Row],[total weight]]</f>
        <v>0.6</v>
      </c>
      <c r="AC528" s="19">
        <f>SUM(grand[[#This Row],[am]:[meat transportation]])/100</f>
        <v>0.9341666666666667</v>
      </c>
      <c r="AD528" s="9"/>
      <c r="AJ528" s="1">
        <v>13</v>
      </c>
      <c r="AK528" s="20">
        <f>grand[[#This Row],[accepted as exception]]/grand[[#This Row],[number]]</f>
        <v>0.27083333333333331</v>
      </c>
      <c r="AL528" s="1">
        <v>2</v>
      </c>
    </row>
    <row r="529" spans="1:38" hidden="1" x14ac:dyDescent="0.2">
      <c r="A529" s="11">
        <v>44604</v>
      </c>
      <c r="B529" s="53" t="s">
        <v>2760</v>
      </c>
      <c r="C529" s="52" t="str">
        <f>IF(MID(B529,4,2)="09","Ramadan",IF(AND(MID(B529,4,2)="12",VALUE(LEFT(B529,2))&lt;=9),"Adha Season","Normal"))</f>
        <v>Normal</v>
      </c>
      <c r="D529" s="2" t="s">
        <v>294</v>
      </c>
      <c r="F529" s="4" t="s">
        <v>105</v>
      </c>
      <c r="G529" s="1">
        <v>28</v>
      </c>
      <c r="H529" s="15">
        <v>28</v>
      </c>
      <c r="I529" s="1">
        <f>grand[[#This Row],[number]]-grand[[#This Row],[received]]</f>
        <v>0</v>
      </c>
      <c r="J529" s="30"/>
      <c r="K529" s="9">
        <v>1486</v>
      </c>
      <c r="L529" s="9">
        <v>1430</v>
      </c>
      <c r="M529" s="2">
        <f>K529-L529</f>
        <v>56</v>
      </c>
      <c r="N529" s="9">
        <v>846.8</v>
      </c>
      <c r="O529" s="9"/>
      <c r="P529" s="7">
        <f>grand[[#This Row],[total weight]]/grand[[#This Row],[received]]</f>
        <v>53.071428571428569</v>
      </c>
      <c r="Q529" s="7">
        <f>grand[[#This Row],[receiving weight]]/grand[[#This Row],[received]]</f>
        <v>51.071428571428569</v>
      </c>
      <c r="R529" s="7">
        <f>grand[[#This Row],[transportation loss ]]/grand[[#This Row],[received]]</f>
        <v>2</v>
      </c>
      <c r="S529" s="7">
        <f>grand[[#This Row],[ carcass weight]]/grand[[#This Row],[received]]</f>
        <v>30.24285714285714</v>
      </c>
      <c r="T529" s="7">
        <f>grand[[#This Row],[ kidneys fat quantity]]/grand[[#This Row],[received]]</f>
        <v>0</v>
      </c>
      <c r="U529" s="15">
        <v>25</v>
      </c>
      <c r="V529" s="15">
        <v>0</v>
      </c>
      <c r="W529" s="15">
        <v>47.892857142857139</v>
      </c>
      <c r="X529" s="15">
        <v>10</v>
      </c>
      <c r="Y529" s="8">
        <v>8.5</v>
      </c>
      <c r="Z529" s="18">
        <f>grand[[#This Row],[av. Transportation loss]]/grand[[#This Row],[av.total weight]]</f>
        <v>3.7685060565275909E-2</v>
      </c>
      <c r="AA529" s="12">
        <f>AVERAGE((grand[[#This Row],[am]]/25),(grand[[#This Row],[pm]]/50))</f>
        <v>0.97892857142857137</v>
      </c>
      <c r="AB529" s="3">
        <f>grand[[#This Row],[ carcass weight]]/grand[[#This Row],[total weight]]</f>
        <v>0.56985195154777923</v>
      </c>
      <c r="AC529" s="19">
        <f>SUM(grand[[#This Row],[am]:[meat transportation]])/100</f>
        <v>0.91392857142857142</v>
      </c>
      <c r="AD529" s="9" t="s">
        <v>374</v>
      </c>
      <c r="AJ529" s="1">
        <v>0</v>
      </c>
      <c r="AK529" s="20">
        <f>grand[[#This Row],[accepted as exception]]/grand[[#This Row],[number]]</f>
        <v>0</v>
      </c>
      <c r="AL529" s="1">
        <v>13.6</v>
      </c>
    </row>
    <row r="530" spans="1:38" hidden="1" x14ac:dyDescent="0.2">
      <c r="A530" s="11">
        <v>44607</v>
      </c>
      <c r="B530" s="53" t="s">
        <v>2761</v>
      </c>
      <c r="C530" s="52" t="str">
        <f>IF(MID(B530,4,2)="09","Ramadan",IF(AND(MID(B530,4,2)="12",VALUE(LEFT(B530,2))&lt;=9),"Adha Season","Normal"))</f>
        <v>Normal</v>
      </c>
      <c r="D530" s="1" t="s">
        <v>45</v>
      </c>
      <c r="E530" s="1" t="s">
        <v>481</v>
      </c>
      <c r="F530" s="4" t="s">
        <v>50</v>
      </c>
      <c r="G530" s="1">
        <v>32</v>
      </c>
      <c r="H530" s="15">
        <v>32</v>
      </c>
      <c r="I530" s="1">
        <f>grand[[#This Row],[number]]-grand[[#This Row],[received]]</f>
        <v>0</v>
      </c>
      <c r="J530" s="30"/>
      <c r="K530" s="9">
        <v>15212</v>
      </c>
      <c r="L530" s="9">
        <v>14395</v>
      </c>
      <c r="M530" s="2">
        <f>K530-L530</f>
        <v>817</v>
      </c>
      <c r="N530" s="9">
        <v>9454.7000000000007</v>
      </c>
      <c r="O530" s="9">
        <v>368</v>
      </c>
      <c r="P530" s="7">
        <f>grand[[#This Row],[total weight]]/grand[[#This Row],[received]]</f>
        <v>475.375</v>
      </c>
      <c r="Q530" s="7">
        <f>grand[[#This Row],[receiving weight]]/grand[[#This Row],[received]]</f>
        <v>449.84375</v>
      </c>
      <c r="R530" s="7">
        <f>grand[[#This Row],[transportation loss ]]/grand[[#This Row],[received]]</f>
        <v>25.53125</v>
      </c>
      <c r="S530" s="7">
        <f>grand[[#This Row],[ carcass weight]]/grand[[#This Row],[received]]</f>
        <v>295.45937500000002</v>
      </c>
      <c r="T530" s="7">
        <f>grand[[#This Row],[ kidneys fat quantity]]/grand[[#This Row],[received]]</f>
        <v>11.5</v>
      </c>
      <c r="U530" s="15">
        <v>25</v>
      </c>
      <c r="V530" s="15">
        <v>0</v>
      </c>
      <c r="W530" s="15">
        <v>49.5625</v>
      </c>
      <c r="X530" s="15">
        <v>10</v>
      </c>
      <c r="Y530" s="8">
        <v>8.5</v>
      </c>
      <c r="Z530" s="18">
        <f>grand[[#This Row],[av. Transportation loss]]/grand[[#This Row],[av.total weight]]</f>
        <v>5.370759926373915E-2</v>
      </c>
      <c r="AA530" s="12">
        <f>AVERAGE((grand[[#This Row],[am]]/25),(grand[[#This Row],[pm]]/50))</f>
        <v>0.99562499999999998</v>
      </c>
      <c r="AB530" s="3">
        <f>grand[[#This Row],[ carcass weight]]/grand[[#This Row],[total weight]]</f>
        <v>0.62152905600841446</v>
      </c>
      <c r="AC530" s="19">
        <f>SUM(grand[[#This Row],[am]:[meat transportation]])/100</f>
        <v>0.93062500000000004</v>
      </c>
      <c r="AD530" s="9" t="s">
        <v>379</v>
      </c>
      <c r="AJ530" s="1">
        <v>4</v>
      </c>
      <c r="AK530" s="20">
        <f>grand[[#This Row],[accepted as exception]]/grand[[#This Row],[number]]</f>
        <v>0.125</v>
      </c>
      <c r="AL530" s="1">
        <v>5.5</v>
      </c>
    </row>
    <row r="531" spans="1:38" hidden="1" x14ac:dyDescent="0.2">
      <c r="A531" s="11">
        <v>44611</v>
      </c>
      <c r="B531" s="53" t="s">
        <v>2763</v>
      </c>
      <c r="C531" s="52" t="str">
        <f>IF(MID(B531,4,2)="09","Ramadan",IF(AND(MID(B531,4,2)="12",VALUE(LEFT(B531,2))&lt;=9),"Adha Season","Normal"))</f>
        <v>Normal</v>
      </c>
      <c r="D531" s="2" t="s">
        <v>294</v>
      </c>
      <c r="F531" s="4" t="s">
        <v>105</v>
      </c>
      <c r="G531" s="1">
        <v>26</v>
      </c>
      <c r="H531" s="15">
        <v>26</v>
      </c>
      <c r="I531" s="1">
        <f>grand[[#This Row],[number]]-grand[[#This Row],[received]]</f>
        <v>0</v>
      </c>
      <c r="J531" s="30"/>
      <c r="K531" s="9">
        <v>1177</v>
      </c>
      <c r="L531" s="9">
        <v>1160</v>
      </c>
      <c r="M531" s="2">
        <f>K531-L531</f>
        <v>17</v>
      </c>
      <c r="N531" s="9">
        <v>680.5</v>
      </c>
      <c r="O531" s="9"/>
      <c r="P531" s="7">
        <f>grand[[#This Row],[total weight]]/grand[[#This Row],[received]]</f>
        <v>45.269230769230766</v>
      </c>
      <c r="Q531" s="7">
        <f>grand[[#This Row],[receiving weight]]/grand[[#This Row],[received]]</f>
        <v>44.615384615384613</v>
      </c>
      <c r="R531" s="7">
        <f>grand[[#This Row],[transportation loss ]]/grand[[#This Row],[received]]</f>
        <v>0.65384615384615385</v>
      </c>
      <c r="S531" s="7">
        <f>grand[[#This Row],[ carcass weight]]/grand[[#This Row],[received]]</f>
        <v>26.173076923076923</v>
      </c>
      <c r="T531" s="7">
        <f>grand[[#This Row],[ kidneys fat quantity]]/grand[[#This Row],[received]]</f>
        <v>0</v>
      </c>
      <c r="U531" s="15">
        <v>25</v>
      </c>
      <c r="V531" s="15">
        <v>0</v>
      </c>
      <c r="W531" s="15">
        <v>48.807692307692314</v>
      </c>
      <c r="X531" s="15">
        <v>10</v>
      </c>
      <c r="Y531" s="8">
        <v>8.5</v>
      </c>
      <c r="Z531" s="18">
        <f>grand[[#This Row],[av. Transportation loss]]/grand[[#This Row],[av.total weight]]</f>
        <v>1.4443500424808837E-2</v>
      </c>
      <c r="AA531" s="12">
        <f>AVERAGE((grand[[#This Row],[am]]/25),(grand[[#This Row],[pm]]/50))</f>
        <v>0.98807692307692307</v>
      </c>
      <c r="AB531" s="3">
        <f>grand[[#This Row],[ carcass weight]]/grand[[#This Row],[total weight]]</f>
        <v>0.57816482582837725</v>
      </c>
      <c r="AC531" s="19">
        <f>SUM(grand[[#This Row],[am]:[meat transportation]])/100</f>
        <v>0.92307692307692324</v>
      </c>
      <c r="AD531" s="9" t="s">
        <v>381</v>
      </c>
      <c r="AJ531" s="1">
        <v>0</v>
      </c>
      <c r="AK531" s="20">
        <f>grand[[#This Row],[accepted as exception]]/grand[[#This Row],[number]]</f>
        <v>0</v>
      </c>
      <c r="AL531" s="1">
        <v>10</v>
      </c>
    </row>
    <row r="532" spans="1:38" hidden="1" x14ac:dyDescent="0.2">
      <c r="A532" s="11">
        <v>44611</v>
      </c>
      <c r="B532" s="53" t="s">
        <v>2763</v>
      </c>
      <c r="C532" s="52" t="str">
        <f>IF(MID(B532,4,2)="09","Ramadan",IF(AND(MID(B532,4,2)="12",VALUE(LEFT(B532,2))&lt;=9),"Adha Season","Normal"))</f>
        <v>Normal</v>
      </c>
      <c r="D532" s="1" t="s">
        <v>45</v>
      </c>
      <c r="E532" s="1" t="s">
        <v>481</v>
      </c>
      <c r="F532" s="4" t="s">
        <v>50</v>
      </c>
      <c r="G532" s="1">
        <v>29</v>
      </c>
      <c r="H532" s="15">
        <v>29</v>
      </c>
      <c r="I532" s="1">
        <f>grand[[#This Row],[number]]-grand[[#This Row],[received]]</f>
        <v>0</v>
      </c>
      <c r="J532" s="30"/>
      <c r="K532" s="9">
        <v>13349</v>
      </c>
      <c r="L532" s="9">
        <v>12600</v>
      </c>
      <c r="M532" s="2">
        <f>K532-L532</f>
        <v>749</v>
      </c>
      <c r="N532" s="9">
        <v>8356.2000000000007</v>
      </c>
      <c r="O532" s="9">
        <v>283.5</v>
      </c>
      <c r="P532" s="7">
        <f>grand[[#This Row],[total weight]]/grand[[#This Row],[received]]</f>
        <v>460.31034482758622</v>
      </c>
      <c r="Q532" s="7">
        <f>grand[[#This Row],[receiving weight]]/grand[[#This Row],[received]]</f>
        <v>434.48275862068965</v>
      </c>
      <c r="R532" s="7">
        <f>grand[[#This Row],[transportation loss ]]/grand[[#This Row],[received]]</f>
        <v>25.827586206896552</v>
      </c>
      <c r="S532" s="7">
        <f>grand[[#This Row],[ carcass weight]]/grand[[#This Row],[received]]</f>
        <v>288.14482758620693</v>
      </c>
      <c r="T532" s="7">
        <f>grand[[#This Row],[ kidneys fat quantity]]/grand[[#This Row],[received]]</f>
        <v>9.7758620689655178</v>
      </c>
      <c r="U532" s="15">
        <v>25</v>
      </c>
      <c r="V532" s="15">
        <v>0</v>
      </c>
      <c r="W532" s="15">
        <v>50</v>
      </c>
      <c r="X532" s="15">
        <v>10</v>
      </c>
      <c r="Y532" s="8">
        <v>8.5</v>
      </c>
      <c r="Z532" s="18">
        <f>grand[[#This Row],[av. Transportation loss]]/grand[[#This Row],[av.total weight]]</f>
        <v>5.6109071840587305E-2</v>
      </c>
      <c r="AA532" s="12">
        <f>AVERAGE((grand[[#This Row],[am]]/25),(grand[[#This Row],[pm]]/50))</f>
        <v>1</v>
      </c>
      <c r="AB532" s="3">
        <f>grand[[#This Row],[ carcass weight]]/grand[[#This Row],[total weight]]</f>
        <v>0.62597947411791155</v>
      </c>
      <c r="AC532" s="19">
        <f>SUM(grand[[#This Row],[am]:[meat transportation]])/100</f>
        <v>0.93500000000000005</v>
      </c>
      <c r="AD532" s="9"/>
      <c r="AJ532" s="1">
        <v>1</v>
      </c>
      <c r="AK532" s="20">
        <f>grand[[#This Row],[accepted as exception]]/grand[[#This Row],[number]]</f>
        <v>3.4482758620689655E-2</v>
      </c>
      <c r="AL532" s="1">
        <v>0</v>
      </c>
    </row>
    <row r="533" spans="1:38" hidden="1" x14ac:dyDescent="0.2">
      <c r="A533" s="11">
        <v>44616</v>
      </c>
      <c r="B533" s="53" t="s">
        <v>2765</v>
      </c>
      <c r="C533" s="52" t="str">
        <f>IF(MID(B533,4,2)="09","Ramadan",IF(AND(MID(B533,4,2)="12",VALUE(LEFT(B533,2))&lt;=9),"Adha Season","Normal"))</f>
        <v>Normal</v>
      </c>
      <c r="D533" s="1" t="s">
        <v>45</v>
      </c>
      <c r="F533" s="4" t="s">
        <v>46</v>
      </c>
      <c r="G533" s="1">
        <v>37</v>
      </c>
      <c r="H533" s="15">
        <v>37</v>
      </c>
      <c r="I533" s="1">
        <f>grand[[#This Row],[number]]-grand[[#This Row],[received]]</f>
        <v>0</v>
      </c>
      <c r="J533" s="30"/>
      <c r="K533" s="9">
        <v>15952</v>
      </c>
      <c r="L533" s="9">
        <v>15220</v>
      </c>
      <c r="M533" s="2">
        <f>K533-L533</f>
        <v>732</v>
      </c>
      <c r="N533" s="9">
        <v>9571.6</v>
      </c>
      <c r="O533" s="9">
        <v>296</v>
      </c>
      <c r="P533" s="7">
        <f>grand[[#This Row],[total weight]]/grand[[#This Row],[received]]</f>
        <v>431.13513513513516</v>
      </c>
      <c r="Q533" s="7">
        <f>grand[[#This Row],[receiving weight]]/grand[[#This Row],[received]]</f>
        <v>411.35135135135135</v>
      </c>
      <c r="R533" s="7">
        <f>grand[[#This Row],[transportation loss ]]/grand[[#This Row],[received]]</f>
        <v>19.783783783783782</v>
      </c>
      <c r="S533" s="7">
        <f>grand[[#This Row],[ carcass weight]]/grand[[#This Row],[received]]</f>
        <v>258.69189189189188</v>
      </c>
      <c r="T533" s="7">
        <f>grand[[#This Row],[ kidneys fat quantity]]/grand[[#This Row],[received]]</f>
        <v>8</v>
      </c>
      <c r="U533" s="15">
        <v>25</v>
      </c>
      <c r="V533" s="15">
        <v>0</v>
      </c>
      <c r="W533" s="15">
        <v>49.621621621621628</v>
      </c>
      <c r="X533" s="15">
        <v>10</v>
      </c>
      <c r="Y533" s="8">
        <v>8.5</v>
      </c>
      <c r="Z533" s="18">
        <f>grand[[#This Row],[av. Transportation loss]]/grand[[#This Row],[av.total weight]]</f>
        <v>4.5887662988966897E-2</v>
      </c>
      <c r="AA533" s="12">
        <f>AVERAGE((grand[[#This Row],[am]]/25),(grand[[#This Row],[pm]]/50))</f>
        <v>0.99621621621621625</v>
      </c>
      <c r="AB533" s="3">
        <f>grand[[#This Row],[ carcass weight]]/grand[[#This Row],[total weight]]</f>
        <v>0.60002507522567705</v>
      </c>
      <c r="AC533" s="19">
        <f>SUM(grand[[#This Row],[am]:[meat transportation]])/100</f>
        <v>0.93121621621621631</v>
      </c>
      <c r="AD533" s="9" t="s">
        <v>346</v>
      </c>
      <c r="AJ533" s="1">
        <v>2</v>
      </c>
      <c r="AK533" s="20">
        <f>grand[[#This Row],[accepted as exception]]/grand[[#This Row],[number]]</f>
        <v>5.4054054054054057E-2</v>
      </c>
      <c r="AL533" s="1">
        <v>8</v>
      </c>
    </row>
    <row r="534" spans="1:38" hidden="1" x14ac:dyDescent="0.2">
      <c r="A534" s="11">
        <v>44618</v>
      </c>
      <c r="B534" s="53" t="s">
        <v>2766</v>
      </c>
      <c r="C534" s="52" t="str">
        <f>IF(MID(B534,4,2)="09","Ramadan",IF(AND(MID(B534,4,2)="12",VALUE(LEFT(B534,2))&lt;=9),"Adha Season","Normal"))</f>
        <v>Normal</v>
      </c>
      <c r="D534" s="1" t="s">
        <v>45</v>
      </c>
      <c r="F534" s="4" t="s">
        <v>43</v>
      </c>
      <c r="G534" s="1">
        <v>29</v>
      </c>
      <c r="H534" s="15">
        <v>29</v>
      </c>
      <c r="I534" s="1">
        <f>grand[[#This Row],[number]]-grand[[#This Row],[received]]</f>
        <v>0</v>
      </c>
      <c r="J534" s="30"/>
      <c r="K534" s="9">
        <v>14200</v>
      </c>
      <c r="L534" s="9">
        <v>13855</v>
      </c>
      <c r="M534" s="2">
        <f>K534-L534</f>
        <v>345</v>
      </c>
      <c r="N534" s="9">
        <v>8519.7999999999993</v>
      </c>
      <c r="O534" s="9">
        <v>276</v>
      </c>
      <c r="P534" s="7">
        <f>grand[[#This Row],[total weight]]/grand[[#This Row],[received]]</f>
        <v>489.65517241379308</v>
      </c>
      <c r="Q534" s="7">
        <f>grand[[#This Row],[receiving weight]]/grand[[#This Row],[received]]</f>
        <v>477.75862068965517</v>
      </c>
      <c r="R534" s="7">
        <f>grand[[#This Row],[transportation loss ]]/grand[[#This Row],[received]]</f>
        <v>11.896551724137931</v>
      </c>
      <c r="S534" s="7">
        <f>grand[[#This Row],[ carcass weight]]/grand[[#This Row],[received]]</f>
        <v>293.78620689655168</v>
      </c>
      <c r="T534" s="7">
        <f>grand[[#This Row],[ kidneys fat quantity]]/grand[[#This Row],[received]]</f>
        <v>9.5172413793103452</v>
      </c>
      <c r="U534" s="15">
        <v>24.310344827586206</v>
      </c>
      <c r="V534" s="15">
        <v>0</v>
      </c>
      <c r="W534" s="15">
        <v>49.517241379310342</v>
      </c>
      <c r="X534" s="15">
        <v>10</v>
      </c>
      <c r="Y534" s="8">
        <v>8.5</v>
      </c>
      <c r="Z534" s="18">
        <f>grand[[#This Row],[av. Transportation loss]]/grand[[#This Row],[av.total weight]]</f>
        <v>2.4295774647887323E-2</v>
      </c>
      <c r="AA534" s="12">
        <f>AVERAGE((grand[[#This Row],[am]]/25),(grand[[#This Row],[pm]]/50))</f>
        <v>0.9813793103448275</v>
      </c>
      <c r="AB534" s="3">
        <f>grand[[#This Row],[ carcass weight]]/grand[[#This Row],[total weight]]</f>
        <v>0.59998591549295766</v>
      </c>
      <c r="AC534" s="19">
        <f>SUM(grand[[#This Row],[am]:[meat transportation]])/100</f>
        <v>0.92327586206896539</v>
      </c>
      <c r="AD534" s="9" t="s">
        <v>384</v>
      </c>
      <c r="AJ534" s="1">
        <v>16</v>
      </c>
      <c r="AK534" s="20">
        <f>grand[[#This Row],[accepted as exception]]/grand[[#This Row],[number]]</f>
        <v>0.55172413793103448</v>
      </c>
      <c r="AL534" s="1">
        <v>0</v>
      </c>
    </row>
    <row r="535" spans="1:38" hidden="1" x14ac:dyDescent="0.2">
      <c r="A535" s="11">
        <v>44619</v>
      </c>
      <c r="B535" s="53" t="s">
        <v>1605</v>
      </c>
      <c r="C535" s="52" t="str">
        <f>IF(MID(B535,4,2)="09","Ramadan",IF(AND(MID(B535,4,2)="12",VALUE(LEFT(B535,2))&lt;=9),"Adha Season","Normal"))</f>
        <v>Normal</v>
      </c>
      <c r="D535" s="1" t="s">
        <v>45</v>
      </c>
      <c r="F535" s="4" t="s">
        <v>280</v>
      </c>
      <c r="G535" s="1">
        <v>42</v>
      </c>
      <c r="H535" s="15">
        <v>42</v>
      </c>
      <c r="I535" s="1">
        <f>grand[[#This Row],[number]]-grand[[#This Row],[received]]</f>
        <v>0</v>
      </c>
      <c r="J535" s="30"/>
      <c r="K535" s="9">
        <v>19480</v>
      </c>
      <c r="L535" s="9">
        <v>18885</v>
      </c>
      <c r="M535" s="2">
        <f>K535-L535</f>
        <v>595</v>
      </c>
      <c r="N535" s="9">
        <v>11816.7</v>
      </c>
      <c r="O535" s="9">
        <v>429</v>
      </c>
      <c r="P535" s="7">
        <f>grand[[#This Row],[total weight]]/grand[[#This Row],[received]]</f>
        <v>463.8095238095238</v>
      </c>
      <c r="Q535" s="7">
        <f>grand[[#This Row],[receiving weight]]/grand[[#This Row],[received]]</f>
        <v>449.64285714285717</v>
      </c>
      <c r="R535" s="7">
        <f>grand[[#This Row],[transportation loss ]]/grand[[#This Row],[received]]</f>
        <v>14.166666666666666</v>
      </c>
      <c r="S535" s="7">
        <f>grand[[#This Row],[ carcass weight]]/grand[[#This Row],[received]]</f>
        <v>281.35000000000002</v>
      </c>
      <c r="T535" s="7">
        <f>grand[[#This Row],[ kidneys fat quantity]]/grand[[#This Row],[received]]</f>
        <v>10.214285714285714</v>
      </c>
      <c r="U535" s="15">
        <v>25</v>
      </c>
      <c r="V535" s="15">
        <v>0</v>
      </c>
      <c r="W535" s="15">
        <v>49.285714285714285</v>
      </c>
      <c r="X535" s="15">
        <v>10</v>
      </c>
      <c r="Y535" s="8">
        <v>8.5</v>
      </c>
      <c r="Z535" s="18">
        <f>grand[[#This Row],[av. Transportation loss]]/grand[[#This Row],[av.total weight]]</f>
        <v>3.0544147843942503E-2</v>
      </c>
      <c r="AA535" s="12">
        <f>AVERAGE((grand[[#This Row],[am]]/25),(grand[[#This Row],[pm]]/50))</f>
        <v>0.99285714285714288</v>
      </c>
      <c r="AB535" s="3">
        <f>grand[[#This Row],[ carcass weight]]/grand[[#This Row],[total weight]]</f>
        <v>0.60660677618069814</v>
      </c>
      <c r="AC535" s="19">
        <f>SUM(grand[[#This Row],[am]:[meat transportation]])/100</f>
        <v>0.92785714285714282</v>
      </c>
      <c r="AD535" s="9" t="s">
        <v>89</v>
      </c>
      <c r="AJ535" s="1">
        <v>13</v>
      </c>
      <c r="AK535" s="20">
        <f>grand[[#This Row],[accepted as exception]]/grand[[#This Row],[number]]</f>
        <v>0.30952380952380953</v>
      </c>
      <c r="AL535" s="1">
        <v>10</v>
      </c>
    </row>
    <row r="536" spans="1:38" hidden="1" x14ac:dyDescent="0.2">
      <c r="A536" s="11">
        <v>44621</v>
      </c>
      <c r="B536" s="53" t="s">
        <v>2767</v>
      </c>
      <c r="C536" s="52" t="str">
        <f>IF(MID(B536,4,2)="09","Ramadan",IF(AND(MID(B536,4,2)="12",VALUE(LEFT(B536,2))&lt;=9),"Adha Season","Normal"))</f>
        <v>Normal</v>
      </c>
      <c r="D536" s="1" t="s">
        <v>45</v>
      </c>
      <c r="F536" s="4" t="s">
        <v>43</v>
      </c>
      <c r="G536" s="1">
        <v>19</v>
      </c>
      <c r="H536" s="15">
        <v>19</v>
      </c>
      <c r="I536" s="1">
        <f>grand[[#This Row],[number]]-grand[[#This Row],[received]]</f>
        <v>0</v>
      </c>
      <c r="J536" s="30"/>
      <c r="K536" s="9">
        <v>10075</v>
      </c>
      <c r="L536" s="9">
        <v>9800</v>
      </c>
      <c r="M536" s="2">
        <f>K536-L536</f>
        <v>275</v>
      </c>
      <c r="N536" s="9">
        <v>6044.7</v>
      </c>
      <c r="O536" s="9">
        <v>235</v>
      </c>
      <c r="P536" s="7">
        <f>grand[[#This Row],[total weight]]/grand[[#This Row],[received]]</f>
        <v>530.26315789473688</v>
      </c>
      <c r="Q536" s="7">
        <f>grand[[#This Row],[receiving weight]]/grand[[#This Row],[received]]</f>
        <v>515.78947368421052</v>
      </c>
      <c r="R536" s="7">
        <f>grand[[#This Row],[transportation loss ]]/grand[[#This Row],[received]]</f>
        <v>14.473684210526315</v>
      </c>
      <c r="S536" s="7">
        <f>grand[[#This Row],[ carcass weight]]/grand[[#This Row],[received]]</f>
        <v>318.14210526315787</v>
      </c>
      <c r="T536" s="7">
        <f>grand[[#This Row],[ kidneys fat quantity]]/grand[[#This Row],[received]]</f>
        <v>12.368421052631579</v>
      </c>
      <c r="U536" s="15">
        <v>23.684210526315788</v>
      </c>
      <c r="V536" s="15">
        <v>0</v>
      </c>
      <c r="W536" s="15">
        <v>49.263157894736842</v>
      </c>
      <c r="X536" s="15">
        <v>10</v>
      </c>
      <c r="Y536" s="8">
        <v>8.5</v>
      </c>
      <c r="Z536" s="18">
        <f>grand[[#This Row],[av. Transportation loss]]/grand[[#This Row],[av.total weight]]</f>
        <v>2.7295285359801486E-2</v>
      </c>
      <c r="AA536" s="12">
        <f>AVERAGE((grand[[#This Row],[am]]/25),(grand[[#This Row],[pm]]/50))</f>
        <v>0.96631578947368424</v>
      </c>
      <c r="AB536" s="3">
        <f>grand[[#This Row],[ carcass weight]]/grand[[#This Row],[total weight]]</f>
        <v>0.599970223325062</v>
      </c>
      <c r="AC536" s="19">
        <f>SUM(grand[[#This Row],[am]:[meat transportation]])/100</f>
        <v>0.91447368421052633</v>
      </c>
      <c r="AD536" s="2" t="s">
        <v>71</v>
      </c>
      <c r="AJ536" s="1">
        <f>13+5</f>
        <v>18</v>
      </c>
      <c r="AK536" s="20">
        <f>grand[[#This Row],[accepted as exception]]/grand[[#This Row],[number]]</f>
        <v>0.94736842105263153</v>
      </c>
      <c r="AL536" s="1">
        <v>20</v>
      </c>
    </row>
    <row r="537" spans="1:38" hidden="1" x14ac:dyDescent="0.2">
      <c r="A537" s="11">
        <v>44625</v>
      </c>
      <c r="B537" s="53" t="s">
        <v>2769</v>
      </c>
      <c r="C537" s="52" t="str">
        <f>IF(MID(B537,4,2)="09","Ramadan",IF(AND(MID(B537,4,2)="12",VALUE(LEFT(B537,2))&lt;=9),"Adha Season","Normal"))</f>
        <v>Normal</v>
      </c>
      <c r="D537" s="2" t="s">
        <v>294</v>
      </c>
      <c r="F537" s="4" t="s">
        <v>105</v>
      </c>
      <c r="G537" s="1">
        <v>27</v>
      </c>
      <c r="H537" s="15">
        <v>27</v>
      </c>
      <c r="I537" s="1">
        <f>grand[[#This Row],[number]]-grand[[#This Row],[received]]</f>
        <v>0</v>
      </c>
      <c r="J537" s="30"/>
      <c r="K537" s="9">
        <v>1323</v>
      </c>
      <c r="L537" s="9">
        <v>1285</v>
      </c>
      <c r="M537" s="2">
        <f>K537-L537</f>
        <v>38</v>
      </c>
      <c r="N537" s="9">
        <v>781.3</v>
      </c>
      <c r="O537" s="9">
        <v>0</v>
      </c>
      <c r="P537" s="7">
        <f>grand[[#This Row],[total weight]]/grand[[#This Row],[received]]</f>
        <v>49</v>
      </c>
      <c r="Q537" s="7">
        <f>grand[[#This Row],[receiving weight]]/grand[[#This Row],[received]]</f>
        <v>47.592592592592595</v>
      </c>
      <c r="R537" s="7">
        <f>grand[[#This Row],[transportation loss ]]/grand[[#This Row],[received]]</f>
        <v>1.4074074074074074</v>
      </c>
      <c r="S537" s="7">
        <f>grand[[#This Row],[ carcass weight]]/grand[[#This Row],[received]]</f>
        <v>28.937037037037037</v>
      </c>
      <c r="T537" s="7">
        <f>grand[[#This Row],[ kidneys fat quantity]]/grand[[#This Row],[received]]</f>
        <v>0</v>
      </c>
      <c r="U537" s="15">
        <v>25</v>
      </c>
      <c r="V537" s="15">
        <v>0</v>
      </c>
      <c r="W537" s="15">
        <v>50</v>
      </c>
      <c r="X537" s="15">
        <v>10</v>
      </c>
      <c r="Y537" s="8">
        <v>8.5</v>
      </c>
      <c r="Z537" s="18">
        <f>grand[[#This Row],[av. Transportation loss]]/grand[[#This Row],[av.total weight]]</f>
        <v>2.872260015117158E-2</v>
      </c>
      <c r="AA537" s="12">
        <f>AVERAGE((grand[[#This Row],[am]]/25),(grand[[#This Row],[pm]]/50))</f>
        <v>1</v>
      </c>
      <c r="AB537" s="3">
        <f>grand[[#This Row],[ carcass weight]]/grand[[#This Row],[total weight]]</f>
        <v>0.59055177626606192</v>
      </c>
      <c r="AC537" s="19">
        <f>SUM(grand[[#This Row],[am]:[meat transportation]])/100</f>
        <v>0.93500000000000005</v>
      </c>
      <c r="AD537" s="2"/>
      <c r="AJ537" s="1">
        <v>0</v>
      </c>
      <c r="AK537" s="20">
        <f>grand[[#This Row],[accepted as exception]]/grand[[#This Row],[number]]</f>
        <v>0</v>
      </c>
      <c r="AL537" s="1"/>
    </row>
    <row r="538" spans="1:38" hidden="1" x14ac:dyDescent="0.2">
      <c r="A538" s="11">
        <v>44625</v>
      </c>
      <c r="B538" s="53" t="s">
        <v>2769</v>
      </c>
      <c r="C538" s="52" t="str">
        <f>IF(MID(B538,4,2)="09","Ramadan",IF(AND(MID(B538,4,2)="12",VALUE(LEFT(B538,2))&lt;=9),"Adha Season","Normal"))</f>
        <v>Normal</v>
      </c>
      <c r="D538" s="1" t="s">
        <v>45</v>
      </c>
      <c r="F538" s="4" t="s">
        <v>43</v>
      </c>
      <c r="G538" s="1">
        <v>41</v>
      </c>
      <c r="H538" s="15">
        <v>41</v>
      </c>
      <c r="I538" s="1">
        <f>grand[[#This Row],[number]]-grand[[#This Row],[received]]</f>
        <v>0</v>
      </c>
      <c r="J538" s="30"/>
      <c r="K538" s="9">
        <v>20000</v>
      </c>
      <c r="L538" s="9">
        <v>19555</v>
      </c>
      <c r="M538" s="2">
        <f>K538-L538</f>
        <v>445</v>
      </c>
      <c r="N538" s="9">
        <v>12000.2</v>
      </c>
      <c r="O538" s="9">
        <v>422</v>
      </c>
      <c r="P538" s="7">
        <f>grand[[#This Row],[total weight]]/grand[[#This Row],[received]]</f>
        <v>487.80487804878049</v>
      </c>
      <c r="Q538" s="7">
        <f>grand[[#This Row],[receiving weight]]/grand[[#This Row],[received]]</f>
        <v>476.95121951219511</v>
      </c>
      <c r="R538" s="7">
        <f>grand[[#This Row],[transportation loss ]]/grand[[#This Row],[received]]</f>
        <v>10.853658536585366</v>
      </c>
      <c r="S538" s="7">
        <f>grand[[#This Row],[ carcass weight]]/grand[[#This Row],[received]]</f>
        <v>292.68780487804878</v>
      </c>
      <c r="T538" s="7">
        <f>grand[[#This Row],[ kidneys fat quantity]]/grand[[#This Row],[received]]</f>
        <v>10.292682926829269</v>
      </c>
      <c r="U538" s="15">
        <v>24.512195121951219</v>
      </c>
      <c r="V538" s="15">
        <v>0</v>
      </c>
      <c r="W538" s="15">
        <v>49.487804878048784</v>
      </c>
      <c r="X538" s="15">
        <v>9.7560975609756095</v>
      </c>
      <c r="Y538" s="8">
        <v>8.5</v>
      </c>
      <c r="Z538" s="18">
        <f>grand[[#This Row],[av. Transportation loss]]/grand[[#This Row],[av.total weight]]</f>
        <v>2.2249999999999999E-2</v>
      </c>
      <c r="AA538" s="12">
        <f>AVERAGE((grand[[#This Row],[am]]/25),(grand[[#This Row],[pm]]/50))</f>
        <v>0.98512195121951218</v>
      </c>
      <c r="AB538" s="3">
        <f>grand[[#This Row],[ carcass weight]]/grand[[#This Row],[total weight]]</f>
        <v>0.60001000000000004</v>
      </c>
      <c r="AC538" s="19">
        <f>SUM(grand[[#This Row],[am]:[meat transportation]])/100</f>
        <v>0.92256097560975603</v>
      </c>
      <c r="AD538" s="9" t="s">
        <v>385</v>
      </c>
      <c r="AJ538" s="1">
        <f>11+4</f>
        <v>15</v>
      </c>
      <c r="AK538" s="20">
        <f>grand[[#This Row],[accepted as exception]]/grand[[#This Row],[number]]</f>
        <v>0.36585365853658536</v>
      </c>
      <c r="AL538" s="1">
        <v>5</v>
      </c>
    </row>
    <row r="539" spans="1:38" hidden="1" x14ac:dyDescent="0.2">
      <c r="A539" s="11">
        <v>44626</v>
      </c>
      <c r="B539" s="53" t="s">
        <v>1606</v>
      </c>
      <c r="C539" s="52" t="str">
        <f>IF(MID(B539,4,2)="09","Ramadan",IF(AND(MID(B539,4,2)="12",VALUE(LEFT(B539,2))&lt;=9),"Adha Season","Normal"))</f>
        <v>Normal</v>
      </c>
      <c r="D539" s="1" t="s">
        <v>45</v>
      </c>
      <c r="F539" s="4" t="s">
        <v>280</v>
      </c>
      <c r="G539" s="1">
        <v>49</v>
      </c>
      <c r="H539" s="15">
        <v>49</v>
      </c>
      <c r="I539" s="1">
        <f>grand[[#This Row],[number]]-grand[[#This Row],[received]]</f>
        <v>0</v>
      </c>
      <c r="J539" s="30"/>
      <c r="K539" s="9">
        <v>24211</v>
      </c>
      <c r="L539" s="9">
        <v>23715</v>
      </c>
      <c r="M539" s="2">
        <f>K539-L539</f>
        <v>496</v>
      </c>
      <c r="N539" s="9">
        <v>14714</v>
      </c>
      <c r="O539" s="9">
        <v>570</v>
      </c>
      <c r="P539" s="7">
        <f>grand[[#This Row],[total weight]]/grand[[#This Row],[received]]</f>
        <v>494.10204081632651</v>
      </c>
      <c r="Q539" s="7">
        <f>grand[[#This Row],[receiving weight]]/grand[[#This Row],[received]]</f>
        <v>483.9795918367347</v>
      </c>
      <c r="R539" s="7">
        <f>grand[[#This Row],[transportation loss ]]/grand[[#This Row],[received]]</f>
        <v>10.122448979591837</v>
      </c>
      <c r="S539" s="7">
        <f>grand[[#This Row],[ carcass weight]]/grand[[#This Row],[received]]</f>
        <v>300.28571428571428</v>
      </c>
      <c r="T539" s="7">
        <f>grand[[#This Row],[ kidneys fat quantity]]/grand[[#This Row],[received]]</f>
        <v>11.63265306122449</v>
      </c>
      <c r="U539" s="15">
        <v>25</v>
      </c>
      <c r="V539" s="15">
        <v>0</v>
      </c>
      <c r="W539" s="15">
        <v>49.877551020408163</v>
      </c>
      <c r="X539" s="15">
        <v>10</v>
      </c>
      <c r="Y539" s="8">
        <v>8.5</v>
      </c>
      <c r="Z539" s="18">
        <f>grand[[#This Row],[av. Transportation loss]]/grand[[#This Row],[av.total weight]]</f>
        <v>2.0486555697823306E-2</v>
      </c>
      <c r="AA539" s="12">
        <f>AVERAGE((grand[[#This Row],[am]]/25),(grand[[#This Row],[pm]]/50))</f>
        <v>0.99877551020408162</v>
      </c>
      <c r="AB539" s="3">
        <f>grand[[#This Row],[ carcass weight]]/grand[[#This Row],[total weight]]</f>
        <v>0.60774028334228247</v>
      </c>
      <c r="AC539" s="19">
        <f>SUM(grand[[#This Row],[am]:[meat transportation]])/100</f>
        <v>0.93377551020408167</v>
      </c>
      <c r="AD539" s="9" t="s">
        <v>386</v>
      </c>
      <c r="AJ539" s="1">
        <v>11</v>
      </c>
      <c r="AK539" s="20">
        <f>grand[[#This Row],[accepted as exception]]/grand[[#This Row],[number]]</f>
        <v>0.22448979591836735</v>
      </c>
      <c r="AL539" s="1">
        <v>3.5</v>
      </c>
    </row>
    <row r="540" spans="1:38" hidden="1" x14ac:dyDescent="0.2">
      <c r="A540" s="11">
        <v>44630</v>
      </c>
      <c r="B540" s="53" t="s">
        <v>2771</v>
      </c>
      <c r="C540" s="52" t="str">
        <f>IF(MID(B540,4,2)="09","Ramadan",IF(AND(MID(B540,4,2)="12",VALUE(LEFT(B540,2))&lt;=9),"Adha Season","Normal"))</f>
        <v>Normal</v>
      </c>
      <c r="D540" s="1" t="s">
        <v>45</v>
      </c>
      <c r="F540" s="4" t="s">
        <v>46</v>
      </c>
      <c r="G540" s="1">
        <v>52</v>
      </c>
      <c r="H540" s="15">
        <v>52</v>
      </c>
      <c r="I540" s="1">
        <f>grand[[#This Row],[number]]-grand[[#This Row],[received]]</f>
        <v>0</v>
      </c>
      <c r="J540" s="30"/>
      <c r="K540" s="9">
        <v>23370</v>
      </c>
      <c r="L540" s="9">
        <v>21740</v>
      </c>
      <c r="M540" s="2">
        <f>K540-L540</f>
        <v>1630</v>
      </c>
      <c r="N540" s="9">
        <v>14022.8</v>
      </c>
      <c r="O540" s="9">
        <v>468</v>
      </c>
      <c r="P540" s="7">
        <f>grand[[#This Row],[total weight]]/grand[[#This Row],[received]]</f>
        <v>449.42307692307691</v>
      </c>
      <c r="Q540" s="7">
        <f>grand[[#This Row],[receiving weight]]/grand[[#This Row],[received]]</f>
        <v>418.07692307692309</v>
      </c>
      <c r="R540" s="7">
        <f>grand[[#This Row],[transportation loss ]]/grand[[#This Row],[received]]</f>
        <v>31.346153846153847</v>
      </c>
      <c r="S540" s="7">
        <f>grand[[#This Row],[ carcass weight]]/grand[[#This Row],[received]]</f>
        <v>269.66923076923075</v>
      </c>
      <c r="T540" s="7">
        <f>grand[[#This Row],[ kidneys fat quantity]]/grand[[#This Row],[received]]</f>
        <v>9</v>
      </c>
      <c r="U540" s="15">
        <v>25</v>
      </c>
      <c r="V540" s="15">
        <v>0</v>
      </c>
      <c r="W540" s="15">
        <v>49.788461538461533</v>
      </c>
      <c r="X540" s="17">
        <v>10</v>
      </c>
      <c r="Y540" s="8">
        <v>8.5</v>
      </c>
      <c r="Z540" s="18">
        <f>grand[[#This Row],[av. Transportation loss]]/grand[[#This Row],[av.total weight]]</f>
        <v>6.9747539580658963E-2</v>
      </c>
      <c r="AA540" s="12">
        <f>AVERAGE((grand[[#This Row],[am]]/25),(grand[[#This Row],[pm]]/50))</f>
        <v>0.99788461538461526</v>
      </c>
      <c r="AB540" s="3">
        <f>grand[[#This Row],[ carcass weight]]/grand[[#This Row],[total weight]]</f>
        <v>0.60003423192126659</v>
      </c>
      <c r="AC540" s="19">
        <f>SUM(grand[[#This Row],[am]:[meat transportation]])/100</f>
        <v>0.93288461538461531</v>
      </c>
      <c r="AD540" s="2" t="s">
        <v>117</v>
      </c>
      <c r="AJ540" s="1">
        <v>4</v>
      </c>
      <c r="AK540" s="20">
        <f>grand[[#This Row],[accepted as exception]]/grand[[#This Row],[number]]</f>
        <v>7.6923076923076927E-2</v>
      </c>
      <c r="AL540" s="1">
        <v>0</v>
      </c>
    </row>
    <row r="541" spans="1:38" hidden="1" x14ac:dyDescent="0.2">
      <c r="A541" s="11">
        <v>44632</v>
      </c>
      <c r="B541" s="53" t="s">
        <v>2772</v>
      </c>
      <c r="C541" s="52" t="str">
        <f>IF(MID(B541,4,2)="09","Ramadan",IF(AND(MID(B541,4,2)="12",VALUE(LEFT(B541,2))&lt;=9),"Adha Season","Normal"))</f>
        <v>Normal</v>
      </c>
      <c r="D541" s="2" t="s">
        <v>294</v>
      </c>
      <c r="F541" s="4" t="s">
        <v>35</v>
      </c>
      <c r="G541" s="1">
        <v>26</v>
      </c>
      <c r="H541" s="15">
        <v>26</v>
      </c>
      <c r="I541" s="1">
        <f>grand[[#This Row],[number]]-grand[[#This Row],[received]]</f>
        <v>0</v>
      </c>
      <c r="J541" s="30"/>
      <c r="K541" s="9">
        <v>1246</v>
      </c>
      <c r="L541" s="9">
        <v>1205</v>
      </c>
      <c r="M541" s="2">
        <f>K541-L541</f>
        <v>41</v>
      </c>
      <c r="N541" s="9">
        <v>739.5</v>
      </c>
      <c r="O541" s="9">
        <v>0</v>
      </c>
      <c r="P541" s="7">
        <f>grand[[#This Row],[total weight]]/grand[[#This Row],[received]]</f>
        <v>47.92307692307692</v>
      </c>
      <c r="Q541" s="7">
        <f>grand[[#This Row],[receiving weight]]/grand[[#This Row],[received]]</f>
        <v>46.346153846153847</v>
      </c>
      <c r="R541" s="7">
        <f>grand[[#This Row],[transportation loss ]]/grand[[#This Row],[received]]</f>
        <v>1.5769230769230769</v>
      </c>
      <c r="S541" s="7">
        <f>grand[[#This Row],[ carcass weight]]/grand[[#This Row],[received]]</f>
        <v>28.442307692307693</v>
      </c>
      <c r="T541" s="7">
        <f>grand[[#This Row],[ kidneys fat quantity]]/grand[[#This Row],[received]]</f>
        <v>0</v>
      </c>
      <c r="U541" s="15">
        <v>25</v>
      </c>
      <c r="V541" s="15">
        <v>0</v>
      </c>
      <c r="W541" s="15">
        <v>49.230769230769226</v>
      </c>
      <c r="X541" s="17">
        <v>10</v>
      </c>
      <c r="Y541" s="8">
        <v>8.5</v>
      </c>
      <c r="Z541" s="18">
        <f>grand[[#This Row],[av. Transportation loss]]/grand[[#This Row],[av.total weight]]</f>
        <v>3.2905296950240769E-2</v>
      </c>
      <c r="AA541" s="12">
        <f>AVERAGE((grand[[#This Row],[am]]/25),(grand[[#This Row],[pm]]/50))</f>
        <v>0.99230769230769234</v>
      </c>
      <c r="AB541" s="3">
        <f>grand[[#This Row],[ carcass weight]]/grand[[#This Row],[total weight]]</f>
        <v>0.5934991974317817</v>
      </c>
      <c r="AC541" s="19">
        <f>SUM(grand[[#This Row],[am]:[meat transportation]])/100</f>
        <v>0.92730769230769228</v>
      </c>
      <c r="AD541" s="9" t="s">
        <v>192</v>
      </c>
      <c r="AJ541" s="1">
        <v>0</v>
      </c>
      <c r="AK541" s="20">
        <f>grand[[#This Row],[accepted as exception]]/grand[[#This Row],[number]]</f>
        <v>0</v>
      </c>
      <c r="AL541" s="1">
        <v>1.5</v>
      </c>
    </row>
    <row r="542" spans="1:38" hidden="1" x14ac:dyDescent="0.2">
      <c r="A542" s="11">
        <v>44633</v>
      </c>
      <c r="B542" s="53" t="s">
        <v>1607</v>
      </c>
      <c r="C542" s="52" t="str">
        <f>IF(MID(B542,4,2)="09","Ramadan",IF(AND(MID(B542,4,2)="12",VALUE(LEFT(B542,2))&lt;=9),"Adha Season","Normal"))</f>
        <v>Normal</v>
      </c>
      <c r="D542" s="1" t="s">
        <v>45</v>
      </c>
      <c r="F542" s="4" t="s">
        <v>43</v>
      </c>
      <c r="G542" s="1">
        <v>7</v>
      </c>
      <c r="H542" s="15">
        <v>7</v>
      </c>
      <c r="I542" s="1">
        <f>grand[[#This Row],[number]]-grand[[#This Row],[received]]</f>
        <v>0</v>
      </c>
      <c r="J542" s="30"/>
      <c r="K542" s="9">
        <v>3310</v>
      </c>
      <c r="L542" s="9">
        <v>3215</v>
      </c>
      <c r="M542" s="2">
        <f>K542-L542</f>
        <v>95</v>
      </c>
      <c r="N542" s="9">
        <v>1993.3</v>
      </c>
      <c r="O542" s="9">
        <v>80</v>
      </c>
      <c r="P542" s="7">
        <f>grand[[#This Row],[total weight]]/grand[[#This Row],[received]]</f>
        <v>472.85714285714283</v>
      </c>
      <c r="Q542" s="7">
        <f>grand[[#This Row],[receiving weight]]/grand[[#This Row],[received]]</f>
        <v>459.28571428571428</v>
      </c>
      <c r="R542" s="7">
        <f>grand[[#This Row],[transportation loss ]]/grand[[#This Row],[received]]</f>
        <v>13.571428571428571</v>
      </c>
      <c r="S542" s="7">
        <f>grand[[#This Row],[ carcass weight]]/grand[[#This Row],[received]]</f>
        <v>284.75714285714287</v>
      </c>
      <c r="T542" s="7">
        <f>grand[[#This Row],[ kidneys fat quantity]]/grand[[#This Row],[received]]</f>
        <v>11.428571428571429</v>
      </c>
      <c r="U542" s="15">
        <v>25</v>
      </c>
      <c r="V542" s="15">
        <v>0</v>
      </c>
      <c r="W542" s="15">
        <v>50</v>
      </c>
      <c r="X542" s="15">
        <v>10</v>
      </c>
      <c r="Y542" s="8">
        <v>8.5</v>
      </c>
      <c r="Z542" s="18">
        <f>grand[[#This Row],[av. Transportation loss]]/grand[[#This Row],[av.total weight]]</f>
        <v>2.8700906344410877E-2</v>
      </c>
      <c r="AA542" s="12">
        <f>AVERAGE((grand[[#This Row],[am]]/25),(grand[[#This Row],[pm]]/50))</f>
        <v>1</v>
      </c>
      <c r="AB542" s="3">
        <f>grand[[#This Row],[ carcass weight]]/grand[[#This Row],[total weight]]</f>
        <v>0.6022054380664652</v>
      </c>
      <c r="AC542" s="19">
        <f>SUM(grand[[#This Row],[am]:[meat transportation]])/100</f>
        <v>0.93500000000000005</v>
      </c>
      <c r="AD542" s="2"/>
      <c r="AJ542" s="1">
        <v>6</v>
      </c>
      <c r="AK542" s="20">
        <f>grand[[#This Row],[accepted as exception]]/grand[[#This Row],[number]]</f>
        <v>0.8571428571428571</v>
      </c>
      <c r="AL542" s="1">
        <v>0</v>
      </c>
    </row>
    <row r="543" spans="1:38" hidden="1" x14ac:dyDescent="0.2">
      <c r="A543" s="11">
        <v>44635</v>
      </c>
      <c r="B543" s="53" t="s">
        <v>2773</v>
      </c>
      <c r="C543" s="52" t="str">
        <f>IF(MID(B543,4,2)="09","Ramadan",IF(AND(MID(B543,4,2)="12",VALUE(LEFT(B543,2))&lt;=9),"Adha Season","Normal"))</f>
        <v>Normal</v>
      </c>
      <c r="D543" s="1" t="s">
        <v>45</v>
      </c>
      <c r="F543" s="4" t="s">
        <v>280</v>
      </c>
      <c r="G543" s="1">
        <v>8</v>
      </c>
      <c r="H543" s="9">
        <v>8</v>
      </c>
      <c r="I543" s="1">
        <f>grand[[#This Row],[number]]-grand[[#This Row],[received]]</f>
        <v>0</v>
      </c>
      <c r="J543" s="30"/>
      <c r="K543" s="9">
        <v>3475</v>
      </c>
      <c r="L543" s="9">
        <v>3360</v>
      </c>
      <c r="M543" s="2">
        <f>K543-L543</f>
        <v>115</v>
      </c>
      <c r="N543" s="9">
        <v>2094.1</v>
      </c>
      <c r="O543" s="9">
        <v>64</v>
      </c>
      <c r="P543" s="7">
        <f>grand[[#This Row],[total weight]]/grand[[#This Row],[received]]</f>
        <v>434.375</v>
      </c>
      <c r="Q543" s="7">
        <f>grand[[#This Row],[receiving weight]]/grand[[#This Row],[received]]</f>
        <v>420</v>
      </c>
      <c r="R543" s="7">
        <f>grand[[#This Row],[transportation loss ]]/grand[[#This Row],[received]]</f>
        <v>14.375</v>
      </c>
      <c r="S543" s="7">
        <f>grand[[#This Row],[ carcass weight]]/grand[[#This Row],[received]]</f>
        <v>261.76249999999999</v>
      </c>
      <c r="T543" s="7">
        <f>grand[[#This Row],[ kidneys fat quantity]]/grand[[#This Row],[received]]</f>
        <v>8</v>
      </c>
      <c r="U543" s="15">
        <v>25</v>
      </c>
      <c r="V543" s="15">
        <v>0</v>
      </c>
      <c r="W543" s="15">
        <v>50</v>
      </c>
      <c r="X543" s="15">
        <v>10</v>
      </c>
      <c r="Y543" s="8">
        <v>8.5</v>
      </c>
      <c r="Z543" s="18">
        <f>grand[[#This Row],[av. Transportation loss]]/grand[[#This Row],[av.total weight]]</f>
        <v>3.3093525179856115E-2</v>
      </c>
      <c r="AA543" s="12">
        <f>AVERAGE((grand[[#This Row],[am]]/25),(grand[[#This Row],[pm]]/50))</f>
        <v>1</v>
      </c>
      <c r="AB543" s="3">
        <f>grand[[#This Row],[ carcass weight]]/grand[[#This Row],[total weight]]</f>
        <v>0.60261870503597115</v>
      </c>
      <c r="AC543" s="19">
        <f>SUM(grand[[#This Row],[am]:[meat transportation]])/100</f>
        <v>0.93500000000000005</v>
      </c>
      <c r="AD543" s="2"/>
      <c r="AJ543" s="1">
        <v>1</v>
      </c>
      <c r="AK543" s="20">
        <f>grand[[#This Row],[accepted as exception]]/grand[[#This Row],[number]]</f>
        <v>0.125</v>
      </c>
      <c r="AL543" s="1">
        <v>0</v>
      </c>
    </row>
    <row r="544" spans="1:38" hidden="1" x14ac:dyDescent="0.2">
      <c r="A544" s="11">
        <v>44635</v>
      </c>
      <c r="B544" s="53" t="s">
        <v>2773</v>
      </c>
      <c r="C544" s="52" t="str">
        <f>IF(MID(B544,4,2)="09","Ramadan",IF(AND(MID(B544,4,2)="12",VALUE(LEFT(B544,2))&lt;=9),"Adha Season","Normal"))</f>
        <v>Normal</v>
      </c>
      <c r="D544" s="1" t="s">
        <v>45</v>
      </c>
      <c r="E544" s="1" t="s">
        <v>481</v>
      </c>
      <c r="F544" s="4" t="s">
        <v>39</v>
      </c>
      <c r="G544" s="1">
        <v>36</v>
      </c>
      <c r="H544" s="9">
        <v>36</v>
      </c>
      <c r="I544" s="1">
        <f>grand[[#This Row],[number]]-grand[[#This Row],[received]]</f>
        <v>0</v>
      </c>
      <c r="J544" s="30"/>
      <c r="K544" s="9">
        <v>16745</v>
      </c>
      <c r="L544" s="9">
        <v>16105</v>
      </c>
      <c r="M544" s="2">
        <f>K544-L544</f>
        <v>640</v>
      </c>
      <c r="N544" s="9">
        <v>10436.700000000001</v>
      </c>
      <c r="O544" s="9">
        <v>434</v>
      </c>
      <c r="P544" s="7">
        <f>grand[[#This Row],[total weight]]/grand[[#This Row],[received]]</f>
        <v>465.13888888888891</v>
      </c>
      <c r="Q544" s="7">
        <f>grand[[#This Row],[receiving weight]]/grand[[#This Row],[received]]</f>
        <v>447.36111111111109</v>
      </c>
      <c r="R544" s="7">
        <f>grand[[#This Row],[transportation loss ]]/grand[[#This Row],[received]]</f>
        <v>17.777777777777779</v>
      </c>
      <c r="S544" s="7">
        <f>grand[[#This Row],[ carcass weight]]/grand[[#This Row],[received]]</f>
        <v>289.90833333333336</v>
      </c>
      <c r="T544" s="7">
        <f>grand[[#This Row],[ kidneys fat quantity]]/grand[[#This Row],[received]]</f>
        <v>12.055555555555555</v>
      </c>
      <c r="U544" s="15">
        <v>25</v>
      </c>
      <c r="V544" s="15">
        <v>0</v>
      </c>
      <c r="W544" s="15">
        <v>49.75</v>
      </c>
      <c r="X544" s="15">
        <v>10</v>
      </c>
      <c r="Y544" s="8">
        <v>8.5</v>
      </c>
      <c r="Z544" s="18">
        <f>grand[[#This Row],[av. Transportation loss]]/grand[[#This Row],[av.total weight]]</f>
        <v>3.8220364287847121E-2</v>
      </c>
      <c r="AA544" s="12">
        <f>AVERAGE((grand[[#This Row],[am]]/25),(grand[[#This Row],[pm]]/50))</f>
        <v>0.99750000000000005</v>
      </c>
      <c r="AB544" s="3">
        <f>grand[[#This Row],[ carcass weight]]/grand[[#This Row],[total weight]]</f>
        <v>0.62327261869214701</v>
      </c>
      <c r="AC544" s="19">
        <f>SUM(grand[[#This Row],[am]:[meat transportation]])/100</f>
        <v>0.9325</v>
      </c>
      <c r="AD544" s="2" t="s">
        <v>117</v>
      </c>
      <c r="AJ544" s="1">
        <v>5</v>
      </c>
      <c r="AK544" s="20">
        <f>grand[[#This Row],[accepted as exception]]/grand[[#This Row],[number]]</f>
        <v>0.1388888888888889</v>
      </c>
      <c r="AL544" s="1">
        <v>1.5</v>
      </c>
    </row>
    <row r="545" spans="1:38" hidden="1" x14ac:dyDescent="0.2">
      <c r="A545" s="11">
        <v>44637</v>
      </c>
      <c r="B545" s="53" t="s">
        <v>2774</v>
      </c>
      <c r="C545" s="52" t="str">
        <f>IF(MID(B545,4,2)="09","Ramadan",IF(AND(MID(B545,4,2)="12",VALUE(LEFT(B545,2))&lt;=9),"Adha Season","Normal"))</f>
        <v>Normal</v>
      </c>
      <c r="D545" s="2" t="s">
        <v>294</v>
      </c>
      <c r="F545" s="4" t="s">
        <v>46</v>
      </c>
      <c r="G545" s="1">
        <v>26</v>
      </c>
      <c r="H545" s="9">
        <v>26</v>
      </c>
      <c r="I545" s="1">
        <f>grand[[#This Row],[number]]-grand[[#This Row],[received]]</f>
        <v>0</v>
      </c>
      <c r="J545" s="30"/>
      <c r="K545" s="9">
        <v>1599</v>
      </c>
      <c r="L545" s="9">
        <v>1550</v>
      </c>
      <c r="M545" s="2">
        <f>K545-L545</f>
        <v>49</v>
      </c>
      <c r="N545" s="9">
        <v>916.4</v>
      </c>
      <c r="O545" s="9">
        <v>0</v>
      </c>
      <c r="P545" s="7">
        <f>grand[[#This Row],[total weight]]/grand[[#This Row],[received]]</f>
        <v>61.5</v>
      </c>
      <c r="Q545" s="7">
        <f>grand[[#This Row],[receiving weight]]/grand[[#This Row],[received]]</f>
        <v>59.615384615384613</v>
      </c>
      <c r="R545" s="7">
        <f>grand[[#This Row],[transportation loss ]]/grand[[#This Row],[received]]</f>
        <v>1.8846153846153846</v>
      </c>
      <c r="S545" s="7">
        <f>grand[[#This Row],[ carcass weight]]/grand[[#This Row],[received]]</f>
        <v>35.246153846153845</v>
      </c>
      <c r="T545" s="7">
        <f>grand[[#This Row],[ kidneys fat quantity]]/grand[[#This Row],[received]]</f>
        <v>0</v>
      </c>
      <c r="U545" s="15">
        <v>25</v>
      </c>
      <c r="V545" s="15">
        <v>0</v>
      </c>
      <c r="W545" s="15">
        <v>48.653846153846146</v>
      </c>
      <c r="X545" s="15">
        <v>10</v>
      </c>
      <c r="Y545" s="8">
        <v>8.5</v>
      </c>
      <c r="Z545" s="18">
        <f>grand[[#This Row],[av. Transportation loss]]/grand[[#This Row],[av.total weight]]</f>
        <v>3.0644152595372107E-2</v>
      </c>
      <c r="AA545" s="12">
        <f>AVERAGE((grand[[#This Row],[am]]/25),(grand[[#This Row],[pm]]/50))</f>
        <v>0.98653846153846148</v>
      </c>
      <c r="AB545" s="3">
        <f>grand[[#This Row],[ carcass weight]]/grand[[#This Row],[total weight]]</f>
        <v>0.5731081926203877</v>
      </c>
      <c r="AC545" s="19">
        <f>SUM(grand[[#This Row],[am]:[meat transportation]])/100</f>
        <v>0.92153846153846142</v>
      </c>
      <c r="AD545" s="2" t="s">
        <v>391</v>
      </c>
      <c r="AJ545" s="1">
        <v>0</v>
      </c>
      <c r="AK545" s="20">
        <f>grand[[#This Row],[accepted as exception]]/grand[[#This Row],[number]]</f>
        <v>0</v>
      </c>
      <c r="AL545" s="1">
        <v>6</v>
      </c>
    </row>
    <row r="546" spans="1:38" hidden="1" x14ac:dyDescent="0.2">
      <c r="A546" s="11">
        <v>44639</v>
      </c>
      <c r="B546" s="53" t="s">
        <v>2775</v>
      </c>
      <c r="C546" s="52" t="str">
        <f>IF(MID(B546,4,2)="09","Ramadan",IF(AND(MID(B546,4,2)="12",VALUE(LEFT(B546,2))&lt;=9),"Adha Season","Normal"))</f>
        <v>Normal</v>
      </c>
      <c r="D546" s="1" t="s">
        <v>45</v>
      </c>
      <c r="F546" s="4" t="s">
        <v>43</v>
      </c>
      <c r="G546" s="1">
        <v>32</v>
      </c>
      <c r="H546" s="15">
        <v>32</v>
      </c>
      <c r="I546" s="1">
        <f>grand[[#This Row],[number]]-grand[[#This Row],[received]]</f>
        <v>0</v>
      </c>
      <c r="J546" s="30"/>
      <c r="K546" s="9">
        <v>15845</v>
      </c>
      <c r="L546" s="9">
        <v>15165</v>
      </c>
      <c r="M546" s="2">
        <f>K546-L546</f>
        <v>680</v>
      </c>
      <c r="N546" s="9">
        <v>9510.7999999999993</v>
      </c>
      <c r="O546" s="9">
        <v>337</v>
      </c>
      <c r="P546" s="7">
        <f>grand[[#This Row],[total weight]]/grand[[#This Row],[received]]</f>
        <v>495.15625</v>
      </c>
      <c r="Q546" s="7">
        <f>grand[[#This Row],[receiving weight]]/grand[[#This Row],[received]]</f>
        <v>473.90625</v>
      </c>
      <c r="R546" s="7">
        <f>grand[[#This Row],[transportation loss ]]/grand[[#This Row],[received]]</f>
        <v>21.25</v>
      </c>
      <c r="S546" s="7">
        <f>grand[[#This Row],[ carcass weight]]/grand[[#This Row],[received]]</f>
        <v>297.21249999999998</v>
      </c>
      <c r="T546" s="7">
        <f>grand[[#This Row],[ kidneys fat quantity]]/grand[[#This Row],[received]]</f>
        <v>10.53125</v>
      </c>
      <c r="U546" s="15">
        <v>24.21875</v>
      </c>
      <c r="V546" s="15">
        <v>0</v>
      </c>
      <c r="W546" s="15">
        <v>49.1875</v>
      </c>
      <c r="X546" s="15">
        <v>10</v>
      </c>
      <c r="Y546" s="8">
        <v>8.5</v>
      </c>
      <c r="Z546" s="18">
        <f>grand[[#This Row],[av. Transportation loss]]/grand[[#This Row],[av.total weight]]</f>
        <v>4.2915746292205743E-2</v>
      </c>
      <c r="AA546" s="12">
        <f>AVERAGE((grand[[#This Row],[am]]/25),(grand[[#This Row],[pm]]/50))</f>
        <v>0.97625000000000006</v>
      </c>
      <c r="AB546" s="3">
        <f>grand[[#This Row],[ carcass weight]]/grand[[#This Row],[total weight]]</f>
        <v>0.60023982328810344</v>
      </c>
      <c r="AC546" s="19">
        <f>SUM(grand[[#This Row],[am]:[meat transportation]])/100</f>
        <v>0.9190625</v>
      </c>
      <c r="AD546" s="9" t="s">
        <v>394</v>
      </c>
      <c r="AJ546" s="1">
        <v>17</v>
      </c>
      <c r="AK546" s="20">
        <f>grand[[#This Row],[accepted as exception]]/grand[[#This Row],[number]]</f>
        <v>0.53125</v>
      </c>
      <c r="AL546" s="1">
        <v>8</v>
      </c>
    </row>
    <row r="547" spans="1:38" hidden="1" x14ac:dyDescent="0.2">
      <c r="A547" s="11">
        <v>44640</v>
      </c>
      <c r="B547" s="53" t="s">
        <v>1608</v>
      </c>
      <c r="C547" s="52" t="str">
        <f>IF(MID(B547,4,2)="09","Ramadan",IF(AND(MID(B547,4,2)="12",VALUE(LEFT(B547,2))&lt;=9),"Adha Season","Normal"))</f>
        <v>Normal</v>
      </c>
      <c r="D547" s="1" t="s">
        <v>45</v>
      </c>
      <c r="F547" s="4" t="s">
        <v>280</v>
      </c>
      <c r="G547" s="1">
        <v>44</v>
      </c>
      <c r="H547" s="15">
        <v>44</v>
      </c>
      <c r="I547" s="1">
        <f>grand[[#This Row],[number]]-grand[[#This Row],[received]]</f>
        <v>0</v>
      </c>
      <c r="J547" s="30"/>
      <c r="K547" s="9">
        <v>20445</v>
      </c>
      <c r="L547" s="9">
        <v>19755</v>
      </c>
      <c r="M547" s="2">
        <f>K547-L547</f>
        <v>690</v>
      </c>
      <c r="N547" s="9">
        <v>12393.7</v>
      </c>
      <c r="O547" s="9">
        <v>425</v>
      </c>
      <c r="P547" s="7">
        <f>grand[[#This Row],[total weight]]/grand[[#This Row],[received]]</f>
        <v>464.65909090909093</v>
      </c>
      <c r="Q547" s="7">
        <f>grand[[#This Row],[receiving weight]]/grand[[#This Row],[received]]</f>
        <v>448.97727272727275</v>
      </c>
      <c r="R547" s="7">
        <f>grand[[#This Row],[transportation loss ]]/grand[[#This Row],[received]]</f>
        <v>15.681818181818182</v>
      </c>
      <c r="S547" s="7">
        <f>grand[[#This Row],[ carcass weight]]/grand[[#This Row],[received]]</f>
        <v>281.67500000000001</v>
      </c>
      <c r="T547" s="7">
        <f>grand[[#This Row],[ kidneys fat quantity]]/grand[[#This Row],[received]]</f>
        <v>9.6590909090909083</v>
      </c>
      <c r="U547" s="15">
        <v>25</v>
      </c>
      <c r="V547" s="15">
        <v>0</v>
      </c>
      <c r="W547" s="15">
        <v>49.494714587737846</v>
      </c>
      <c r="X547" s="15">
        <v>10</v>
      </c>
      <c r="Y547" s="8">
        <v>8.5</v>
      </c>
      <c r="Z547" s="18">
        <f>grand[[#This Row],[av. Transportation loss]]/grand[[#This Row],[av.total weight]]</f>
        <v>3.3749082905355832E-2</v>
      </c>
      <c r="AA547" s="12">
        <f>AVERAGE((grand[[#This Row],[am]]/25),(grand[[#This Row],[pm]]/50))</f>
        <v>0.99494714587737842</v>
      </c>
      <c r="AB547" s="3">
        <f>grand[[#This Row],[ carcass weight]]/grand[[#This Row],[total weight]]</f>
        <v>0.60619711420885303</v>
      </c>
      <c r="AC547" s="19">
        <f>SUM(grand[[#This Row],[am]:[meat transportation]])/100</f>
        <v>0.92994714587737848</v>
      </c>
      <c r="AD547" s="9" t="s">
        <v>89</v>
      </c>
      <c r="AJ547" s="1">
        <v>7</v>
      </c>
      <c r="AK547" s="20">
        <f>grand[[#This Row],[accepted as exception]]/grand[[#This Row],[number]]</f>
        <v>0.15909090909090909</v>
      </c>
      <c r="AL547" s="1">
        <v>4</v>
      </c>
    </row>
    <row r="548" spans="1:38" hidden="1" x14ac:dyDescent="0.2">
      <c r="A548" s="11">
        <v>44642</v>
      </c>
      <c r="B548" s="53" t="s">
        <v>2776</v>
      </c>
      <c r="C548" s="52" t="str">
        <f>IF(MID(B548,4,2)="09","Ramadan",IF(AND(MID(B548,4,2)="12",VALUE(LEFT(B548,2))&lt;=9),"Adha Season","Normal"))</f>
        <v>Normal</v>
      </c>
      <c r="D548" s="2" t="s">
        <v>294</v>
      </c>
      <c r="F548" s="4" t="s">
        <v>46</v>
      </c>
      <c r="G548" s="1">
        <v>26</v>
      </c>
      <c r="H548" s="15">
        <v>26</v>
      </c>
      <c r="I548" s="1">
        <f>grand[[#This Row],[number]]-grand[[#This Row],[received]]</f>
        <v>0</v>
      </c>
      <c r="J548" s="30"/>
      <c r="K548" s="9">
        <v>1520</v>
      </c>
      <c r="L548" s="9">
        <v>1410</v>
      </c>
      <c r="M548" s="2">
        <f>K548-L548</f>
        <v>110</v>
      </c>
      <c r="N548" s="9">
        <v>824.1</v>
      </c>
      <c r="O548" s="9">
        <v>0</v>
      </c>
      <c r="P548" s="7">
        <f>grand[[#This Row],[total weight]]/grand[[#This Row],[received]]</f>
        <v>58.46153846153846</v>
      </c>
      <c r="Q548" s="7">
        <f>grand[[#This Row],[receiving weight]]/grand[[#This Row],[received]]</f>
        <v>54.230769230769234</v>
      </c>
      <c r="R548" s="7">
        <f>grand[[#This Row],[transportation loss ]]/grand[[#This Row],[received]]</f>
        <v>4.2307692307692308</v>
      </c>
      <c r="S548" s="7">
        <f>grand[[#This Row],[ carcass weight]]/grand[[#This Row],[received]]</f>
        <v>31.696153846153848</v>
      </c>
      <c r="T548" s="7">
        <f>grand[[#This Row],[ kidneys fat quantity]]/grand[[#This Row],[received]]</f>
        <v>0</v>
      </c>
      <c r="U548" s="15">
        <v>25</v>
      </c>
      <c r="V548" s="15">
        <v>0</v>
      </c>
      <c r="W548" s="15">
        <v>49.769230769230774</v>
      </c>
      <c r="X548" s="15">
        <v>10</v>
      </c>
      <c r="Y548" s="8">
        <v>8.5</v>
      </c>
      <c r="Z548" s="18">
        <f>grand[[#This Row],[av. Transportation loss]]/grand[[#This Row],[av.total weight]]</f>
        <v>7.2368421052631582E-2</v>
      </c>
      <c r="AA548" s="12">
        <f>AVERAGE((grand[[#This Row],[am]]/25),(grand[[#This Row],[pm]]/50))</f>
        <v>0.99769230769230766</v>
      </c>
      <c r="AB548" s="3">
        <f>grand[[#This Row],[ carcass weight]]/grand[[#This Row],[total weight]]</f>
        <v>0.54217105263157894</v>
      </c>
      <c r="AC548" s="19">
        <f>SUM(grand[[#This Row],[am]:[meat transportation]])/100</f>
        <v>0.93269230769230771</v>
      </c>
      <c r="AD548" s="2"/>
      <c r="AJ548" s="1">
        <v>0</v>
      </c>
      <c r="AK548" s="20">
        <f>grand[[#This Row],[accepted as exception]]/grand[[#This Row],[number]]</f>
        <v>0</v>
      </c>
      <c r="AL548" s="1"/>
    </row>
    <row r="549" spans="1:38" hidden="1" x14ac:dyDescent="0.2">
      <c r="A549" s="11">
        <v>44646</v>
      </c>
      <c r="B549" s="53" t="s">
        <v>2778</v>
      </c>
      <c r="C549" s="52" t="str">
        <f>IF(MID(B549,4,2)="09","Ramadan",IF(AND(MID(B549,4,2)="12",VALUE(LEFT(B549,2))&lt;=9),"Adha Season","Normal"))</f>
        <v>Normal</v>
      </c>
      <c r="D549" s="1" t="s">
        <v>45</v>
      </c>
      <c r="E549" s="1" t="s">
        <v>481</v>
      </c>
      <c r="F549" s="4" t="s">
        <v>39</v>
      </c>
      <c r="G549" s="1">
        <v>43</v>
      </c>
      <c r="H549" s="15">
        <v>43</v>
      </c>
      <c r="I549" s="1">
        <f>grand[[#This Row],[number]]-grand[[#This Row],[received]]</f>
        <v>0</v>
      </c>
      <c r="J549" s="30"/>
      <c r="K549" s="9">
        <v>20478</v>
      </c>
      <c r="L549" s="9">
        <v>19365</v>
      </c>
      <c r="M549" s="2">
        <f>K549-L549</f>
        <v>1113</v>
      </c>
      <c r="N549" s="9">
        <v>12649.7</v>
      </c>
      <c r="O549" s="9">
        <v>445</v>
      </c>
      <c r="P549" s="7">
        <f>grand[[#This Row],[total weight]]/grand[[#This Row],[received]]</f>
        <v>476.23255813953489</v>
      </c>
      <c r="Q549" s="7">
        <f>grand[[#This Row],[receiving weight]]/grand[[#This Row],[received]]</f>
        <v>450.3488372093023</v>
      </c>
      <c r="R549" s="7">
        <f>grand[[#This Row],[transportation loss ]]/grand[[#This Row],[received]]</f>
        <v>25.88372093023256</v>
      </c>
      <c r="S549" s="7">
        <f>grand[[#This Row],[ carcass weight]]/grand[[#This Row],[received]]</f>
        <v>294.17906976744189</v>
      </c>
      <c r="T549" s="7">
        <f>grand[[#This Row],[ kidneys fat quantity]]/grand[[#This Row],[received]]</f>
        <v>10.348837209302326</v>
      </c>
      <c r="U549" s="15">
        <v>25</v>
      </c>
      <c r="V549" s="15">
        <v>0</v>
      </c>
      <c r="W549" s="15">
        <v>49.488372093023258</v>
      </c>
      <c r="X549" s="15">
        <v>10</v>
      </c>
      <c r="Y549" s="8">
        <v>8.5</v>
      </c>
      <c r="Z549" s="18">
        <f>grand[[#This Row],[av. Transportation loss]]/grand[[#This Row],[av.total weight]]</f>
        <v>5.4351010840902436E-2</v>
      </c>
      <c r="AA549" s="12">
        <f>AVERAGE((grand[[#This Row],[am]]/25),(grand[[#This Row],[pm]]/50))</f>
        <v>0.99488372093023258</v>
      </c>
      <c r="AB549" s="3">
        <f>grand[[#This Row],[ carcass weight]]/grand[[#This Row],[total weight]]</f>
        <v>0.61772145717355209</v>
      </c>
      <c r="AC549" s="19">
        <f>SUM(grand[[#This Row],[am]:[meat transportation]])/100</f>
        <v>0.92988372093023264</v>
      </c>
      <c r="AD549" s="9" t="s">
        <v>397</v>
      </c>
      <c r="AJ549" s="1">
        <v>4</v>
      </c>
      <c r="AK549" s="20">
        <f>grand[[#This Row],[accepted as exception]]/grand[[#This Row],[number]]</f>
        <v>9.3023255813953487E-2</v>
      </c>
      <c r="AL549" s="1">
        <v>2.5</v>
      </c>
    </row>
    <row r="550" spans="1:38" hidden="1" x14ac:dyDescent="0.2">
      <c r="A550" s="11">
        <v>44647</v>
      </c>
      <c r="B550" s="53" t="s">
        <v>1609</v>
      </c>
      <c r="C550" s="52" t="str">
        <f>IF(MID(B550,4,2)="09","Ramadan",IF(AND(MID(B550,4,2)="12",VALUE(LEFT(B550,2))&lt;=9),"Adha Season","Normal"))</f>
        <v>Normal</v>
      </c>
      <c r="D550" s="2" t="s">
        <v>294</v>
      </c>
      <c r="F550" s="4" t="s">
        <v>35</v>
      </c>
      <c r="G550" s="1">
        <v>31</v>
      </c>
      <c r="H550" s="15">
        <v>31</v>
      </c>
      <c r="I550" s="1">
        <f>grand[[#This Row],[number]]-grand[[#This Row],[received]]</f>
        <v>0</v>
      </c>
      <c r="J550" s="30"/>
      <c r="K550" s="9">
        <v>1387</v>
      </c>
      <c r="L550" s="9">
        <v>1387</v>
      </c>
      <c r="M550" s="2">
        <f>K550-L550</f>
        <v>0</v>
      </c>
      <c r="N550" s="9">
        <v>773.3</v>
      </c>
      <c r="O550" s="9">
        <v>0</v>
      </c>
      <c r="P550" s="7">
        <f>grand[[#This Row],[total weight]]/grand[[#This Row],[received]]</f>
        <v>44.741935483870968</v>
      </c>
      <c r="Q550" s="7">
        <f>grand[[#This Row],[receiving weight]]/grand[[#This Row],[received]]</f>
        <v>44.741935483870968</v>
      </c>
      <c r="R550" s="7">
        <f>grand[[#This Row],[transportation loss ]]/grand[[#This Row],[received]]</f>
        <v>0</v>
      </c>
      <c r="S550" s="7">
        <f>grand[[#This Row],[ carcass weight]]/grand[[#This Row],[received]]</f>
        <v>24.945161290322581</v>
      </c>
      <c r="T550" s="7">
        <f>grand[[#This Row],[ kidneys fat quantity]]/grand[[#This Row],[received]]</f>
        <v>0</v>
      </c>
      <c r="U550" s="15">
        <v>25</v>
      </c>
      <c r="V550" s="15">
        <v>0</v>
      </c>
      <c r="W550" s="15">
        <v>49.225806451612904</v>
      </c>
      <c r="X550" s="15">
        <v>10</v>
      </c>
      <c r="Y550" s="8">
        <v>8.5</v>
      </c>
      <c r="Z550" s="18">
        <f>grand[[#This Row],[av. Transportation loss]]/grand[[#This Row],[av.total weight]]</f>
        <v>0</v>
      </c>
      <c r="AA550" s="12">
        <f>AVERAGE((grand[[#This Row],[am]]/25),(grand[[#This Row],[pm]]/50))</f>
        <v>0.99225806451612897</v>
      </c>
      <c r="AB550" s="3">
        <f>grand[[#This Row],[ carcass weight]]/grand[[#This Row],[total weight]]</f>
        <v>0.55753424657534245</v>
      </c>
      <c r="AC550" s="19">
        <f>SUM(grand[[#This Row],[am]:[meat transportation]])/100</f>
        <v>0.92725806451612902</v>
      </c>
      <c r="AD550" s="9" t="s">
        <v>398</v>
      </c>
      <c r="AJ550" s="1">
        <v>0</v>
      </c>
      <c r="AK550" s="20">
        <f>grand[[#This Row],[accepted as exception]]/grand[[#This Row],[number]]</f>
        <v>0</v>
      </c>
      <c r="AL550" s="1">
        <v>1.5</v>
      </c>
    </row>
    <row r="551" spans="1:38" hidden="1" x14ac:dyDescent="0.2">
      <c r="A551" s="11">
        <v>44651</v>
      </c>
      <c r="B551" s="53" t="s">
        <v>2780</v>
      </c>
      <c r="C551" s="52" t="str">
        <f>IF(MID(B551,4,2)="09","Ramadan",IF(AND(MID(B551,4,2)="12",VALUE(LEFT(B551,2))&lt;=9),"Adha Season","Normal"))</f>
        <v>Normal</v>
      </c>
      <c r="D551" s="2" t="s">
        <v>294</v>
      </c>
      <c r="F551" s="4" t="s">
        <v>46</v>
      </c>
      <c r="G551" s="1">
        <v>35</v>
      </c>
      <c r="H551" s="15">
        <v>35</v>
      </c>
      <c r="I551" s="1">
        <f>grand[[#This Row],[number]]-grand[[#This Row],[received]]</f>
        <v>0</v>
      </c>
      <c r="J551" s="30"/>
      <c r="K551" s="9">
        <v>1950</v>
      </c>
      <c r="L551" s="9">
        <v>1950</v>
      </c>
      <c r="M551" s="2">
        <f>K551-L551</f>
        <v>0</v>
      </c>
      <c r="N551" s="9">
        <v>1115.2</v>
      </c>
      <c r="O551" s="9">
        <v>0</v>
      </c>
      <c r="P551" s="7">
        <f>grand[[#This Row],[total weight]]/grand[[#This Row],[received]]</f>
        <v>55.714285714285715</v>
      </c>
      <c r="Q551" s="7">
        <f>grand[[#This Row],[receiving weight]]/grand[[#This Row],[received]]</f>
        <v>55.714285714285715</v>
      </c>
      <c r="R551" s="7">
        <f>grand[[#This Row],[transportation loss ]]/grand[[#This Row],[received]]</f>
        <v>0</v>
      </c>
      <c r="S551" s="7">
        <f>grand[[#This Row],[ carcass weight]]/grand[[#This Row],[received]]</f>
        <v>31.862857142857145</v>
      </c>
      <c r="T551" s="7">
        <f>grand[[#This Row],[ kidneys fat quantity]]/grand[[#This Row],[received]]</f>
        <v>0</v>
      </c>
      <c r="U551" s="15">
        <v>25</v>
      </c>
      <c r="V551" s="15">
        <v>0</v>
      </c>
      <c r="W551" s="15">
        <v>46.2</v>
      </c>
      <c r="X551" s="15">
        <v>10</v>
      </c>
      <c r="Y551" s="8">
        <v>8.5</v>
      </c>
      <c r="Z551" s="18">
        <f>grand[[#This Row],[av. Transportation loss]]/grand[[#This Row],[av.total weight]]</f>
        <v>0</v>
      </c>
      <c r="AA551" s="12">
        <f>AVERAGE((grand[[#This Row],[am]]/25),(grand[[#This Row],[pm]]/50))</f>
        <v>0.96199999999999997</v>
      </c>
      <c r="AB551" s="3">
        <f>grand[[#This Row],[ carcass weight]]/grand[[#This Row],[total weight]]</f>
        <v>0.57189743589743591</v>
      </c>
      <c r="AC551" s="19">
        <f>SUM(grand[[#This Row],[am]:[meat transportation]])/100</f>
        <v>0.89700000000000002</v>
      </c>
      <c r="AD551" s="9" t="s">
        <v>399</v>
      </c>
      <c r="AJ551" s="1">
        <v>0</v>
      </c>
      <c r="AK551" s="20">
        <f>grand[[#This Row],[accepted as exception]]/grand[[#This Row],[number]]</f>
        <v>0</v>
      </c>
      <c r="AL551" s="1">
        <v>33</v>
      </c>
    </row>
    <row r="552" spans="1:38" hidden="1" x14ac:dyDescent="0.2">
      <c r="A552" s="11">
        <v>44656</v>
      </c>
      <c r="B552" s="53" t="s">
        <v>1612</v>
      </c>
      <c r="C552" s="52" t="str">
        <f>IF(MID(B552,4,2)="09","Ramadan",IF(AND(MID(B552,4,2)="12",VALUE(LEFT(B552,2))&lt;=9),"Adha Season","Normal"))</f>
        <v>Ramadan</v>
      </c>
      <c r="D552" s="1" t="s">
        <v>45</v>
      </c>
      <c r="F552" s="4" t="s">
        <v>280</v>
      </c>
      <c r="G552" s="1">
        <v>16</v>
      </c>
      <c r="H552" s="15">
        <v>16</v>
      </c>
      <c r="I552" s="1">
        <f>grand[[#This Row],[number]]-grand[[#This Row],[received]]</f>
        <v>0</v>
      </c>
      <c r="J552" s="30"/>
      <c r="K552" s="9">
        <v>7780</v>
      </c>
      <c r="L552" s="9">
        <v>7365</v>
      </c>
      <c r="M552" s="2">
        <f>K552-L552</f>
        <v>415</v>
      </c>
      <c r="N552" s="9">
        <v>4668.2</v>
      </c>
      <c r="O552" s="9">
        <v>159</v>
      </c>
      <c r="P552" s="7">
        <f>grand[[#This Row],[total weight]]/grand[[#This Row],[received]]</f>
        <v>486.25</v>
      </c>
      <c r="Q552" s="7">
        <f>grand[[#This Row],[receiving weight]]/grand[[#This Row],[received]]</f>
        <v>460.3125</v>
      </c>
      <c r="R552" s="7">
        <f>grand[[#This Row],[transportation loss ]]/grand[[#This Row],[received]]</f>
        <v>25.9375</v>
      </c>
      <c r="S552" s="7">
        <f>grand[[#This Row],[ carcass weight]]/grand[[#This Row],[received]]</f>
        <v>291.76249999999999</v>
      </c>
      <c r="T552" s="7">
        <f>grand[[#This Row],[ kidneys fat quantity]]/grand[[#This Row],[received]]</f>
        <v>9.9375</v>
      </c>
      <c r="U552" s="15">
        <v>25</v>
      </c>
      <c r="V552" s="15">
        <v>0</v>
      </c>
      <c r="W552" s="15">
        <v>49.375</v>
      </c>
      <c r="X552" s="15">
        <v>10</v>
      </c>
      <c r="Y552" s="8">
        <v>8.5</v>
      </c>
      <c r="Z552" s="18">
        <f>grand[[#This Row],[av. Transportation loss]]/grand[[#This Row],[av.total weight]]</f>
        <v>5.3341902313624678E-2</v>
      </c>
      <c r="AA552" s="12">
        <f>AVERAGE((grand[[#This Row],[am]]/25),(grand[[#This Row],[pm]]/50))</f>
        <v>0.99375000000000002</v>
      </c>
      <c r="AB552" s="3">
        <f>grand[[#This Row],[ carcass weight]]/grand[[#This Row],[total weight]]</f>
        <v>0.60002570694087398</v>
      </c>
      <c r="AC552" s="19">
        <f>SUM(grand[[#This Row],[am]:[meat transportation]])/100</f>
        <v>0.92874999999999996</v>
      </c>
      <c r="AD552" s="2" t="s">
        <v>404</v>
      </c>
      <c r="AJ552" s="1">
        <v>0</v>
      </c>
      <c r="AK552" s="20"/>
      <c r="AL552" s="1">
        <v>5</v>
      </c>
    </row>
    <row r="553" spans="1:38" hidden="1" x14ac:dyDescent="0.2">
      <c r="A553" s="11">
        <v>44658</v>
      </c>
      <c r="B553" s="53" t="s">
        <v>1613</v>
      </c>
      <c r="C553" s="52" t="str">
        <f>IF(MID(B553,4,2)="09","Ramadan",IF(AND(MID(B553,4,2)="12",VALUE(LEFT(B553,2))&lt;=9),"Adha Season","Normal"))</f>
        <v>Ramadan</v>
      </c>
      <c r="D553" s="2" t="s">
        <v>294</v>
      </c>
      <c r="F553" s="4" t="s">
        <v>35</v>
      </c>
      <c r="G553" s="1">
        <v>30</v>
      </c>
      <c r="H553" s="15">
        <v>30</v>
      </c>
      <c r="I553" s="1">
        <f>grand[[#This Row],[number]]-grand[[#This Row],[received]]</f>
        <v>0</v>
      </c>
      <c r="J553" s="30"/>
      <c r="K553" s="9">
        <v>1392</v>
      </c>
      <c r="L553" s="9">
        <v>1315</v>
      </c>
      <c r="M553" s="2">
        <f>K553-L553</f>
        <v>77</v>
      </c>
      <c r="N553" s="9">
        <v>787.9</v>
      </c>
      <c r="O553" s="9"/>
      <c r="P553" s="7">
        <f>grand[[#This Row],[total weight]]/grand[[#This Row],[received]]</f>
        <v>46.4</v>
      </c>
      <c r="Q553" s="7">
        <f>grand[[#This Row],[receiving weight]]/grand[[#This Row],[received]]</f>
        <v>43.833333333333336</v>
      </c>
      <c r="R553" s="7">
        <f>grand[[#This Row],[transportation loss ]]/grand[[#This Row],[received]]</f>
        <v>2.5666666666666669</v>
      </c>
      <c r="S553" s="7">
        <f>grand[[#This Row],[ carcass weight]]/grand[[#This Row],[received]]</f>
        <v>26.263333333333332</v>
      </c>
      <c r="T553" s="7">
        <f>grand[[#This Row],[ kidneys fat quantity]]/grand[[#This Row],[received]]</f>
        <v>0</v>
      </c>
      <c r="U553" s="15">
        <v>25</v>
      </c>
      <c r="V553" s="15">
        <v>0</v>
      </c>
      <c r="W553" s="15">
        <v>49.566666666666663</v>
      </c>
      <c r="X553" s="15">
        <v>10</v>
      </c>
      <c r="Y553" s="8">
        <v>8.5</v>
      </c>
      <c r="Z553" s="18">
        <f>grand[[#This Row],[av. Transportation loss]]/grand[[#This Row],[av.total weight]]</f>
        <v>5.5316091954022997E-2</v>
      </c>
      <c r="AA553" s="12">
        <f>AVERAGE((grand[[#This Row],[am]]/25),(grand[[#This Row],[pm]]/50))</f>
        <v>0.9956666666666667</v>
      </c>
      <c r="AB553" s="3">
        <f>grand[[#This Row],[ carcass weight]]/grand[[#This Row],[total weight]]</f>
        <v>0.56602011494252868</v>
      </c>
      <c r="AC553" s="19">
        <f>SUM(grand[[#This Row],[am]:[meat transportation]])/100</f>
        <v>0.93066666666666664</v>
      </c>
      <c r="AD553" s="2" t="s">
        <v>113</v>
      </c>
      <c r="AJ553" s="1">
        <v>0</v>
      </c>
      <c r="AK553" s="20"/>
      <c r="AL553" s="1">
        <v>0</v>
      </c>
    </row>
    <row r="554" spans="1:38" hidden="1" x14ac:dyDescent="0.2">
      <c r="A554" s="11">
        <v>44661</v>
      </c>
      <c r="B554" s="53" t="s">
        <v>1615</v>
      </c>
      <c r="C554" s="52" t="str">
        <f>IF(MID(B554,4,2)="09","Ramadan",IF(AND(MID(B554,4,2)="12",VALUE(LEFT(B554,2))&lt;=9),"Adha Season","Normal"))</f>
        <v>Ramadan</v>
      </c>
      <c r="D554" s="1" t="s">
        <v>45</v>
      </c>
      <c r="F554" s="4" t="s">
        <v>280</v>
      </c>
      <c r="G554" s="1">
        <v>45</v>
      </c>
      <c r="H554" s="15">
        <v>45</v>
      </c>
      <c r="I554" s="1">
        <f>grand[[#This Row],[number]]-grand[[#This Row],[received]]</f>
        <v>0</v>
      </c>
      <c r="J554" s="30"/>
      <c r="K554" s="9">
        <v>21200</v>
      </c>
      <c r="L554" s="9">
        <v>20635</v>
      </c>
      <c r="M554" s="2">
        <f>K554-L554</f>
        <v>565</v>
      </c>
      <c r="N554" s="9">
        <v>12831.4</v>
      </c>
      <c r="O554" s="9">
        <v>483</v>
      </c>
      <c r="P554" s="7">
        <f>grand[[#This Row],[total weight]]/grand[[#This Row],[received]]</f>
        <v>471.11111111111109</v>
      </c>
      <c r="Q554" s="7">
        <f>grand[[#This Row],[receiving weight]]/grand[[#This Row],[received]]</f>
        <v>458.55555555555554</v>
      </c>
      <c r="R554" s="7">
        <f>grand[[#This Row],[transportation loss ]]/grand[[#This Row],[received]]</f>
        <v>12.555555555555555</v>
      </c>
      <c r="S554" s="7">
        <f>grand[[#This Row],[ carcass weight]]/grand[[#This Row],[received]]</f>
        <v>285.14222222222219</v>
      </c>
      <c r="T554" s="7">
        <f>grand[[#This Row],[ kidneys fat quantity]]/grand[[#This Row],[received]]</f>
        <v>10.733333333333333</v>
      </c>
      <c r="U554" s="15">
        <v>25</v>
      </c>
      <c r="V554" s="15">
        <v>0</v>
      </c>
      <c r="W554" s="15">
        <v>49.466666666666661</v>
      </c>
      <c r="X554" s="15">
        <v>10</v>
      </c>
      <c r="Y554" s="8">
        <v>8.5</v>
      </c>
      <c r="Z554" s="18">
        <f>grand[[#This Row],[av. Transportation loss]]/grand[[#This Row],[av.total weight]]</f>
        <v>2.6650943396226416E-2</v>
      </c>
      <c r="AA554" s="12">
        <f>AVERAGE((grand[[#This Row],[am]]/25),(grand[[#This Row],[pm]]/50))</f>
        <v>0.99466666666666659</v>
      </c>
      <c r="AB554" s="3">
        <f>grand[[#This Row],[ carcass weight]]/grand[[#This Row],[total weight]]</f>
        <v>0.60525471698113209</v>
      </c>
      <c r="AC554" s="19">
        <f>SUM(grand[[#This Row],[am]:[meat transportation]])/100</f>
        <v>0.92966666666666664</v>
      </c>
      <c r="AD554" s="9" t="s">
        <v>407</v>
      </c>
      <c r="AJ554" s="1">
        <v>4</v>
      </c>
      <c r="AK554" s="20"/>
      <c r="AL554" s="1">
        <v>11</v>
      </c>
    </row>
    <row r="555" spans="1:38" hidden="1" x14ac:dyDescent="0.2">
      <c r="A555" s="11">
        <v>44665</v>
      </c>
      <c r="B555" s="53" t="s">
        <v>1617</v>
      </c>
      <c r="C555" s="52" t="str">
        <f>IF(MID(B555,4,2)="09","Ramadan",IF(AND(MID(B555,4,2)="12",VALUE(LEFT(B555,2))&lt;=9),"Adha Season","Normal"))</f>
        <v>Ramadan</v>
      </c>
      <c r="D555" s="2" t="s">
        <v>294</v>
      </c>
      <c r="F555" s="4" t="s">
        <v>35</v>
      </c>
      <c r="G555" s="1">
        <v>30</v>
      </c>
      <c r="H555" s="15">
        <v>30</v>
      </c>
      <c r="I555" s="1">
        <f>grand[[#This Row],[number]]-grand[[#This Row],[received]]</f>
        <v>0</v>
      </c>
      <c r="J555" s="30"/>
      <c r="K555" s="9">
        <v>1486</v>
      </c>
      <c r="L555" s="9">
        <v>1415</v>
      </c>
      <c r="M555" s="2">
        <f>K555-L555</f>
        <v>71</v>
      </c>
      <c r="N555" s="9">
        <v>837.6</v>
      </c>
      <c r="O555" s="9"/>
      <c r="P555" s="7">
        <f>grand[[#This Row],[total weight]]/grand[[#This Row],[received]]</f>
        <v>49.533333333333331</v>
      </c>
      <c r="Q555" s="7">
        <f>grand[[#This Row],[receiving weight]]/grand[[#This Row],[received]]</f>
        <v>47.166666666666664</v>
      </c>
      <c r="R555" s="7">
        <f>grand[[#This Row],[transportation loss ]]/grand[[#This Row],[received]]</f>
        <v>2.3666666666666667</v>
      </c>
      <c r="S555" s="7">
        <f>grand[[#This Row],[ carcass weight]]/grand[[#This Row],[received]]</f>
        <v>27.92</v>
      </c>
      <c r="T555" s="7">
        <f>grand[[#This Row],[ kidneys fat quantity]]/grand[[#This Row],[received]]</f>
        <v>0</v>
      </c>
      <c r="U555" s="15">
        <v>25</v>
      </c>
      <c r="V555" s="15">
        <v>0</v>
      </c>
      <c r="W555" s="15">
        <v>49.8</v>
      </c>
      <c r="X555" s="15">
        <v>10</v>
      </c>
      <c r="Y555" s="8">
        <v>8.5</v>
      </c>
      <c r="Z555" s="18">
        <f>grand[[#This Row],[av. Transportation loss]]/grand[[#This Row],[av.total weight]]</f>
        <v>4.7779273216689101E-2</v>
      </c>
      <c r="AA555" s="12">
        <f>AVERAGE((grand[[#This Row],[am]]/25),(grand[[#This Row],[pm]]/50))</f>
        <v>0.998</v>
      </c>
      <c r="AB555" s="3">
        <f>grand[[#This Row],[ carcass weight]]/grand[[#This Row],[total weight]]</f>
        <v>0.56366083445491255</v>
      </c>
      <c r="AC555" s="19">
        <f>SUM(grand[[#This Row],[am]:[meat transportation]])/100</f>
        <v>0.93299999999999994</v>
      </c>
      <c r="AD555" s="2"/>
      <c r="AJ555" s="1">
        <v>0</v>
      </c>
      <c r="AK555" s="20"/>
      <c r="AL555" s="1">
        <v>0</v>
      </c>
    </row>
    <row r="556" spans="1:38" hidden="1" x14ac:dyDescent="0.2">
      <c r="A556" s="11">
        <v>44665</v>
      </c>
      <c r="B556" s="53" t="s">
        <v>1617</v>
      </c>
      <c r="C556" s="52" t="str">
        <f>IF(MID(B556,4,2)="09","Ramadan",IF(AND(MID(B556,4,2)="12",VALUE(LEFT(B556,2))&lt;=9),"Adha Season","Normal"))</f>
        <v>Ramadan</v>
      </c>
      <c r="D556" s="1" t="s">
        <v>45</v>
      </c>
      <c r="F556" s="4" t="s">
        <v>46</v>
      </c>
      <c r="G556" s="1">
        <v>43</v>
      </c>
      <c r="H556" s="15">
        <v>43</v>
      </c>
      <c r="I556" s="1">
        <f>grand[[#This Row],[number]]-grand[[#This Row],[received]]</f>
        <v>0</v>
      </c>
      <c r="J556" s="30"/>
      <c r="K556" s="9">
        <v>21600</v>
      </c>
      <c r="L556" s="9">
        <v>20380</v>
      </c>
      <c r="M556" s="2">
        <f>K556-L556</f>
        <v>1220</v>
      </c>
      <c r="N556" s="9">
        <v>12981.4</v>
      </c>
      <c r="O556" s="9">
        <v>352</v>
      </c>
      <c r="P556" s="7">
        <f>grand[[#This Row],[total weight]]/grand[[#This Row],[received]]</f>
        <v>502.32558139534882</v>
      </c>
      <c r="Q556" s="7">
        <f>grand[[#This Row],[receiving weight]]/grand[[#This Row],[received]]</f>
        <v>473.95348837209303</v>
      </c>
      <c r="R556" s="7">
        <f>grand[[#This Row],[transportation loss ]]/grand[[#This Row],[received]]</f>
        <v>28.372093023255815</v>
      </c>
      <c r="S556" s="7">
        <f>grand[[#This Row],[ carcass weight]]/grand[[#This Row],[received]]</f>
        <v>301.89302325581394</v>
      </c>
      <c r="T556" s="7">
        <f>grand[[#This Row],[ kidneys fat quantity]]/grand[[#This Row],[received]]</f>
        <v>8.1860465116279073</v>
      </c>
      <c r="U556" s="15">
        <v>24.767441860465116</v>
      </c>
      <c r="V556" s="15">
        <v>0</v>
      </c>
      <c r="W556" s="15">
        <v>49.813953488372093</v>
      </c>
      <c r="X556" s="15">
        <v>10</v>
      </c>
      <c r="Y556" s="8">
        <v>8.5</v>
      </c>
      <c r="Z556" s="18">
        <f>grand[[#This Row],[av. Transportation loss]]/grand[[#This Row],[av.total weight]]</f>
        <v>5.6481481481481487E-2</v>
      </c>
      <c r="AA556" s="12">
        <f>AVERAGE((grand[[#This Row],[am]]/25),(grand[[#This Row],[pm]]/50))</f>
        <v>0.99348837209302321</v>
      </c>
      <c r="AB556" s="3">
        <f>grand[[#This Row],[ carcass weight]]/grand[[#This Row],[total weight]]</f>
        <v>0.60099074074074077</v>
      </c>
      <c r="AC556" s="19">
        <f>SUM(grand[[#This Row],[am]:[meat transportation]])/100</f>
        <v>0.93081395348837204</v>
      </c>
      <c r="AD556" s="2" t="s">
        <v>401</v>
      </c>
      <c r="AJ556" s="1">
        <v>0</v>
      </c>
      <c r="AK556" s="20"/>
      <c r="AL556" s="1">
        <v>1</v>
      </c>
    </row>
    <row r="557" spans="1:38" hidden="1" x14ac:dyDescent="0.2">
      <c r="A557" s="11">
        <v>44667</v>
      </c>
      <c r="B557" s="53" t="s">
        <v>1618</v>
      </c>
      <c r="C557" s="52" t="str">
        <f>IF(MID(B557,4,2)="09","Ramadan",IF(AND(MID(B557,4,2)="12",VALUE(LEFT(B557,2))&lt;=9),"Adha Season","Normal"))</f>
        <v>Ramadan</v>
      </c>
      <c r="D557" s="1" t="s">
        <v>45</v>
      </c>
      <c r="F557" s="4" t="s">
        <v>46</v>
      </c>
      <c r="G557" s="1">
        <v>27</v>
      </c>
      <c r="H557" s="15">
        <v>27</v>
      </c>
      <c r="I557" s="1">
        <f>grand[[#This Row],[number]]-grand[[#This Row],[received]]</f>
        <v>0</v>
      </c>
      <c r="J557" s="30"/>
      <c r="K557" s="9">
        <v>11003</v>
      </c>
      <c r="L557" s="9">
        <v>10570</v>
      </c>
      <c r="M557" s="2">
        <f>K557-L557</f>
        <v>433</v>
      </c>
      <c r="N557" s="9">
        <v>6601.6</v>
      </c>
      <c r="O557" s="9">
        <v>187</v>
      </c>
      <c r="P557" s="7">
        <f>grand[[#This Row],[total weight]]/grand[[#This Row],[received]]</f>
        <v>407.51851851851853</v>
      </c>
      <c r="Q557" s="7">
        <f>grand[[#This Row],[receiving weight]]/grand[[#This Row],[received]]</f>
        <v>391.48148148148147</v>
      </c>
      <c r="R557" s="7">
        <f>grand[[#This Row],[transportation loss ]]/grand[[#This Row],[received]]</f>
        <v>16.037037037037038</v>
      </c>
      <c r="S557" s="7">
        <f>grand[[#This Row],[ carcass weight]]/grand[[#This Row],[received]]</f>
        <v>244.50370370370371</v>
      </c>
      <c r="T557" s="7">
        <f>grand[[#This Row],[ kidneys fat quantity]]/grand[[#This Row],[received]]</f>
        <v>6.9259259259259256</v>
      </c>
      <c r="U557" s="15">
        <v>25</v>
      </c>
      <c r="V557" s="15">
        <v>0</v>
      </c>
      <c r="W557" s="15">
        <v>48.592592592592595</v>
      </c>
      <c r="X557" s="15">
        <v>10</v>
      </c>
      <c r="Y557" s="8">
        <v>8.5</v>
      </c>
      <c r="Z557" s="18">
        <f>grand[[#This Row],[av. Transportation loss]]/grand[[#This Row],[av.total weight]]</f>
        <v>3.9352903753521767E-2</v>
      </c>
      <c r="AA557" s="12">
        <f>AVERAGE((grand[[#This Row],[am]]/25),(grand[[#This Row],[pm]]/50))</f>
        <v>0.98592592592592587</v>
      </c>
      <c r="AB557" s="3">
        <f>grand[[#This Row],[ carcass weight]]/grand[[#This Row],[total weight]]</f>
        <v>0.59998182313914394</v>
      </c>
      <c r="AC557" s="19">
        <f>SUM(grand[[#This Row],[am]:[meat transportation]])/100</f>
        <v>0.92092592592592593</v>
      </c>
      <c r="AD557" s="9" t="s">
        <v>409</v>
      </c>
      <c r="AJ557" s="1">
        <v>0</v>
      </c>
      <c r="AK557" s="20"/>
      <c r="AL557" s="1">
        <v>49.5</v>
      </c>
    </row>
    <row r="558" spans="1:38" hidden="1" x14ac:dyDescent="0.2">
      <c r="A558" s="11">
        <v>44672</v>
      </c>
      <c r="B558" s="53" t="s">
        <v>1621</v>
      </c>
      <c r="C558" s="52" t="str">
        <f>IF(MID(B558,4,2)="09","Ramadan",IF(AND(MID(B558,4,2)="12",VALUE(LEFT(B558,2))&lt;=9),"Adha Season","Normal"))</f>
        <v>Ramadan</v>
      </c>
      <c r="D558" s="1" t="s">
        <v>45</v>
      </c>
      <c r="F558" s="4" t="s">
        <v>46</v>
      </c>
      <c r="G558" s="1">
        <v>46</v>
      </c>
      <c r="H558" s="15">
        <v>46</v>
      </c>
      <c r="I558" s="1">
        <f>grand[[#This Row],[number]]-grand[[#This Row],[received]]</f>
        <v>0</v>
      </c>
      <c r="J558" s="30"/>
      <c r="K558" s="9">
        <v>21827</v>
      </c>
      <c r="L558" s="9">
        <v>20815</v>
      </c>
      <c r="M558" s="2">
        <f>K558-L558</f>
        <v>1012</v>
      </c>
      <c r="N558" s="9">
        <v>13096.5</v>
      </c>
      <c r="O558" s="9">
        <v>417</v>
      </c>
      <c r="P558" s="7">
        <f>grand[[#This Row],[total weight]]/grand[[#This Row],[received]]</f>
        <v>474.5</v>
      </c>
      <c r="Q558" s="7">
        <f>grand[[#This Row],[receiving weight]]/grand[[#This Row],[received]]</f>
        <v>452.5</v>
      </c>
      <c r="R558" s="7">
        <f>grand[[#This Row],[transportation loss ]]/grand[[#This Row],[received]]</f>
        <v>22</v>
      </c>
      <c r="S558" s="7">
        <f>grand[[#This Row],[ carcass weight]]/grand[[#This Row],[received]]</f>
        <v>284.70652173913044</v>
      </c>
      <c r="T558" s="7">
        <f>grand[[#This Row],[ kidneys fat quantity]]/grand[[#This Row],[received]]</f>
        <v>9.0652173913043477</v>
      </c>
      <c r="U558" s="15">
        <v>25</v>
      </c>
      <c r="V558" s="15">
        <v>0</v>
      </c>
      <c r="W558" s="15">
        <v>49.586956521739125</v>
      </c>
      <c r="X558" s="15">
        <v>10</v>
      </c>
      <c r="Y558" s="8">
        <v>8.5</v>
      </c>
      <c r="Z558" s="18">
        <f>grand[[#This Row],[av. Transportation loss]]/grand[[#This Row],[av.total weight]]</f>
        <v>4.6364594309799792E-2</v>
      </c>
      <c r="AA558" s="12">
        <f>AVERAGE((grand[[#This Row],[am]]/25),(grand[[#This Row],[pm]]/50))</f>
        <v>0.99586956521739123</v>
      </c>
      <c r="AB558" s="3">
        <f>grand[[#This Row],[ carcass weight]]/grand[[#This Row],[total weight]]</f>
        <v>0.60001374444495348</v>
      </c>
      <c r="AC558" s="19">
        <f>SUM(grand[[#This Row],[am]:[meat transportation]])/100</f>
        <v>0.93086956521739128</v>
      </c>
      <c r="AD558" s="9" t="s">
        <v>346</v>
      </c>
      <c r="AJ558" s="1">
        <v>12</v>
      </c>
      <c r="AK558" s="20"/>
      <c r="AL558" s="1">
        <v>8</v>
      </c>
    </row>
    <row r="559" spans="1:38" hidden="1" x14ac:dyDescent="0.2">
      <c r="A559" s="11">
        <v>44674</v>
      </c>
      <c r="B559" s="53" t="s">
        <v>1622</v>
      </c>
      <c r="C559" s="52" t="str">
        <f>IF(MID(B559,4,2)="09","Ramadan",IF(AND(MID(B559,4,2)="12",VALUE(LEFT(B559,2))&lt;=9),"Adha Season","Normal"))</f>
        <v>Ramadan</v>
      </c>
      <c r="D559" s="2" t="s">
        <v>294</v>
      </c>
      <c r="F559" s="4" t="s">
        <v>46</v>
      </c>
      <c r="G559" s="1">
        <v>25</v>
      </c>
      <c r="H559" s="15">
        <v>25</v>
      </c>
      <c r="I559" s="1">
        <f>grand[[#This Row],[number]]-grand[[#This Row],[received]]</f>
        <v>0</v>
      </c>
      <c r="J559" s="30"/>
      <c r="K559" s="9">
        <v>1630</v>
      </c>
      <c r="L559" s="9">
        <v>1505</v>
      </c>
      <c r="M559" s="2">
        <f>K559-L559</f>
        <v>125</v>
      </c>
      <c r="N559" s="9">
        <v>919.3</v>
      </c>
      <c r="O559" s="9"/>
      <c r="P559" s="7">
        <f>grand[[#This Row],[total weight]]/grand[[#This Row],[received]]</f>
        <v>65.2</v>
      </c>
      <c r="Q559" s="7">
        <f>grand[[#This Row],[receiving weight]]/grand[[#This Row],[received]]</f>
        <v>60.2</v>
      </c>
      <c r="R559" s="7">
        <f>grand[[#This Row],[transportation loss ]]/grand[[#This Row],[received]]</f>
        <v>5</v>
      </c>
      <c r="S559" s="7">
        <f>grand[[#This Row],[ carcass weight]]/grand[[#This Row],[received]]</f>
        <v>36.771999999999998</v>
      </c>
      <c r="T559" s="7">
        <f>grand[[#This Row],[ kidneys fat quantity]]/grand[[#This Row],[received]]</f>
        <v>0</v>
      </c>
      <c r="U559" s="15">
        <v>25</v>
      </c>
      <c r="V559" s="15">
        <v>0</v>
      </c>
      <c r="W559" s="15">
        <v>49.04</v>
      </c>
      <c r="X559" s="15">
        <v>10</v>
      </c>
      <c r="Y559" s="8">
        <v>8.5</v>
      </c>
      <c r="Z559" s="18">
        <f>grand[[#This Row],[av. Transportation loss]]/grand[[#This Row],[av.total weight]]</f>
        <v>7.6687116564417179E-2</v>
      </c>
      <c r="AA559" s="12">
        <f>AVERAGE((grand[[#This Row],[am]]/25),(grand[[#This Row],[pm]]/50))</f>
        <v>0.99039999999999995</v>
      </c>
      <c r="AB559" s="3">
        <f>grand[[#This Row],[ carcass weight]]/grand[[#This Row],[total weight]]</f>
        <v>0.56398773006134961</v>
      </c>
      <c r="AC559" s="19">
        <f>SUM(grand[[#This Row],[am]:[meat transportation]])/100</f>
        <v>0.92539999999999989</v>
      </c>
      <c r="AD559" s="2" t="s">
        <v>413</v>
      </c>
      <c r="AJ559" s="1">
        <v>0</v>
      </c>
      <c r="AK559" s="20"/>
      <c r="AL559" s="1">
        <v>5.5</v>
      </c>
    </row>
    <row r="560" spans="1:38" hidden="1" x14ac:dyDescent="0.2">
      <c r="A560" s="11">
        <v>44674</v>
      </c>
      <c r="B560" s="53" t="s">
        <v>1622</v>
      </c>
      <c r="C560" s="52" t="str">
        <f>IF(MID(B560,4,2)="09","Ramadan",IF(AND(MID(B560,4,2)="12",VALUE(LEFT(B560,2))&lt;=9),"Adha Season","Normal"))</f>
        <v>Ramadan</v>
      </c>
      <c r="D560" s="1" t="s">
        <v>45</v>
      </c>
      <c r="E560" s="1" t="s">
        <v>481</v>
      </c>
      <c r="F560" s="4" t="s">
        <v>39</v>
      </c>
      <c r="G560" s="1">
        <v>37</v>
      </c>
      <c r="H560" s="15">
        <v>37</v>
      </c>
      <c r="I560" s="1">
        <f>grand[[#This Row],[number]]-grand[[#This Row],[received]]</f>
        <v>0</v>
      </c>
      <c r="J560" s="30"/>
      <c r="K560" s="9">
        <v>17552</v>
      </c>
      <c r="L560" s="9">
        <v>16901</v>
      </c>
      <c r="M560" s="2">
        <f>K560-L560</f>
        <v>651</v>
      </c>
      <c r="N560" s="9">
        <v>10878</v>
      </c>
      <c r="O560" s="9">
        <v>400</v>
      </c>
      <c r="P560" s="7">
        <f>grand[[#This Row],[total weight]]/grand[[#This Row],[received]]</f>
        <v>474.37837837837839</v>
      </c>
      <c r="Q560" s="7">
        <f>grand[[#This Row],[receiving weight]]/grand[[#This Row],[received]]</f>
        <v>456.7837837837838</v>
      </c>
      <c r="R560" s="7">
        <f>grand[[#This Row],[transportation loss ]]/grand[[#This Row],[received]]</f>
        <v>17.594594594594593</v>
      </c>
      <c r="S560" s="7">
        <f>grand[[#This Row],[ carcass weight]]/grand[[#This Row],[received]]</f>
        <v>294</v>
      </c>
      <c r="T560" s="7">
        <f>grand[[#This Row],[ kidneys fat quantity]]/grand[[#This Row],[received]]</f>
        <v>10.810810810810811</v>
      </c>
      <c r="U560" s="15">
        <v>25</v>
      </c>
      <c r="V560" s="15">
        <v>0</v>
      </c>
      <c r="W560" s="15">
        <v>50</v>
      </c>
      <c r="X560" s="15">
        <v>9.8648648648648649</v>
      </c>
      <c r="Y560" s="8">
        <v>8.5</v>
      </c>
      <c r="Z560" s="18">
        <f>grand[[#This Row],[av. Transportation loss]]/grand[[#This Row],[av.total weight]]</f>
        <v>3.7089790337283497E-2</v>
      </c>
      <c r="AA560" s="12">
        <f>AVERAGE((grand[[#This Row],[am]]/25),(grand[[#This Row],[pm]]/50))</f>
        <v>1</v>
      </c>
      <c r="AB560" s="3">
        <f>grand[[#This Row],[ carcass weight]]/grand[[#This Row],[total weight]]</f>
        <v>0.61975843208751136</v>
      </c>
      <c r="AC560" s="19">
        <f>SUM(grand[[#This Row],[am]:[meat transportation]])/100</f>
        <v>0.93364864864864872</v>
      </c>
      <c r="AD560" s="2"/>
      <c r="AJ560" s="1">
        <v>9</v>
      </c>
      <c r="AK560" s="20"/>
      <c r="AL560" s="1">
        <v>0</v>
      </c>
    </row>
    <row r="561" spans="1:38" hidden="1" x14ac:dyDescent="0.2">
      <c r="A561" s="11">
        <v>44675</v>
      </c>
      <c r="B561" s="53" t="s">
        <v>1623</v>
      </c>
      <c r="C561" s="52" t="str">
        <f>IF(MID(B561,4,2)="09","Ramadan",IF(AND(MID(B561,4,2)="12",VALUE(LEFT(B561,2))&lt;=9),"Adha Season","Normal"))</f>
        <v>Ramadan</v>
      </c>
      <c r="D561" s="1" t="s">
        <v>45</v>
      </c>
      <c r="F561" s="4" t="s">
        <v>414</v>
      </c>
      <c r="G561" s="1">
        <v>8</v>
      </c>
      <c r="H561" s="15">
        <v>8</v>
      </c>
      <c r="I561" s="1">
        <f>grand[[#This Row],[number]]-grand[[#This Row],[received]]</f>
        <v>0</v>
      </c>
      <c r="J561" s="30"/>
      <c r="K561" s="9">
        <v>3006</v>
      </c>
      <c r="L561" s="9">
        <v>2935</v>
      </c>
      <c r="M561" s="2">
        <f>K561-L561</f>
        <v>71</v>
      </c>
      <c r="N561" s="9">
        <v>1803.7</v>
      </c>
      <c r="O561" s="9">
        <v>63</v>
      </c>
      <c r="P561" s="7">
        <f>grand[[#This Row],[total weight]]/grand[[#This Row],[received]]</f>
        <v>375.75</v>
      </c>
      <c r="Q561" s="7">
        <f>grand[[#This Row],[receiving weight]]/grand[[#This Row],[received]]</f>
        <v>366.875</v>
      </c>
      <c r="R561" s="7">
        <f>grand[[#This Row],[transportation loss ]]/grand[[#This Row],[received]]</f>
        <v>8.875</v>
      </c>
      <c r="S561" s="7">
        <f>grand[[#This Row],[ carcass weight]]/grand[[#This Row],[received]]</f>
        <v>225.46250000000001</v>
      </c>
      <c r="T561" s="7">
        <f>grand[[#This Row],[ kidneys fat quantity]]/grand[[#This Row],[received]]</f>
        <v>7.875</v>
      </c>
      <c r="U561" s="15">
        <v>25</v>
      </c>
      <c r="V561" s="15">
        <v>0</v>
      </c>
      <c r="W561" s="15">
        <v>49.125</v>
      </c>
      <c r="X561" s="15">
        <v>10</v>
      </c>
      <c r="Y561" s="8">
        <v>8.5</v>
      </c>
      <c r="Z561" s="18">
        <f>grand[[#This Row],[av. Transportation loss]]/grand[[#This Row],[av.total weight]]</f>
        <v>2.3619427811044577E-2</v>
      </c>
      <c r="AA561" s="12">
        <f>AVERAGE((grand[[#This Row],[am]]/25),(grand[[#This Row],[pm]]/50))</f>
        <v>0.99124999999999996</v>
      </c>
      <c r="AB561" s="3">
        <f>grand[[#This Row],[ carcass weight]]/grand[[#This Row],[total weight]]</f>
        <v>0.6000332667997339</v>
      </c>
      <c r="AC561" s="19">
        <f>SUM(grand[[#This Row],[am]:[meat transportation]])/100</f>
        <v>0.92625000000000002</v>
      </c>
      <c r="AD561" s="2" t="s">
        <v>97</v>
      </c>
      <c r="AJ561" s="1">
        <v>1</v>
      </c>
      <c r="AK561" s="20"/>
      <c r="AL561" s="1">
        <v>5</v>
      </c>
    </row>
    <row r="562" spans="1:38" hidden="1" x14ac:dyDescent="0.2">
      <c r="A562" s="11">
        <v>44675</v>
      </c>
      <c r="B562" s="53" t="s">
        <v>1623</v>
      </c>
      <c r="C562" s="52" t="str">
        <f>IF(MID(B562,4,2)="09","Ramadan",IF(AND(MID(B562,4,2)="12",VALUE(LEFT(B562,2))&lt;=9),"Adha Season","Normal"))</f>
        <v>Ramadan</v>
      </c>
      <c r="D562" s="1" t="s">
        <v>45</v>
      </c>
      <c r="F562" s="4" t="s">
        <v>280</v>
      </c>
      <c r="G562" s="1">
        <v>40</v>
      </c>
      <c r="H562" s="15">
        <v>40</v>
      </c>
      <c r="I562" s="1">
        <f>grand[[#This Row],[number]]-grand[[#This Row],[received]]</f>
        <v>0</v>
      </c>
      <c r="J562" s="30"/>
      <c r="K562" s="9">
        <v>18300</v>
      </c>
      <c r="L562" s="9">
        <v>17720</v>
      </c>
      <c r="M562" s="2">
        <f>K562-L562</f>
        <v>580</v>
      </c>
      <c r="N562" s="9">
        <v>10980.9</v>
      </c>
      <c r="O562" s="9">
        <v>338</v>
      </c>
      <c r="P562" s="7">
        <f>grand[[#This Row],[total weight]]/grand[[#This Row],[received]]</f>
        <v>457.5</v>
      </c>
      <c r="Q562" s="7">
        <f>grand[[#This Row],[receiving weight]]/grand[[#This Row],[received]]</f>
        <v>443</v>
      </c>
      <c r="R562" s="7">
        <f>grand[[#This Row],[transportation loss ]]/grand[[#This Row],[received]]</f>
        <v>14.5</v>
      </c>
      <c r="S562" s="7">
        <f>grand[[#This Row],[ carcass weight]]/grand[[#This Row],[received]]</f>
        <v>274.52249999999998</v>
      </c>
      <c r="T562" s="7">
        <f>grand[[#This Row],[ kidneys fat quantity]]/grand[[#This Row],[received]]</f>
        <v>8.4499999999999993</v>
      </c>
      <c r="U562" s="15">
        <v>25</v>
      </c>
      <c r="V562" s="15">
        <v>0</v>
      </c>
      <c r="W562" s="15">
        <v>49.35</v>
      </c>
      <c r="X562" s="15">
        <v>9.875</v>
      </c>
      <c r="Y562" s="8">
        <v>8.5</v>
      </c>
      <c r="Z562" s="18">
        <f>grand[[#This Row],[av. Transportation loss]]/grand[[#This Row],[av.total weight]]</f>
        <v>3.169398907103825E-2</v>
      </c>
      <c r="AA562" s="12">
        <f>AVERAGE((grand[[#This Row],[am]]/25),(grand[[#This Row],[pm]]/50))</f>
        <v>0.99350000000000005</v>
      </c>
      <c r="AB562" s="3">
        <f>grand[[#This Row],[ carcass weight]]/grand[[#This Row],[total weight]]</f>
        <v>0.6000491803278688</v>
      </c>
      <c r="AC562" s="19">
        <f>SUM(grand[[#This Row],[am]:[meat transportation]])/100</f>
        <v>0.92724999999999991</v>
      </c>
      <c r="AD562" s="9" t="s">
        <v>346</v>
      </c>
      <c r="AJ562" s="1">
        <v>5</v>
      </c>
      <c r="AK562" s="20"/>
      <c r="AL562" s="1">
        <v>11</v>
      </c>
    </row>
    <row r="563" spans="1:38" hidden="1" x14ac:dyDescent="0.2">
      <c r="A563" s="11">
        <v>44677</v>
      </c>
      <c r="B563" s="53" t="s">
        <v>1624</v>
      </c>
      <c r="C563" s="52" t="str">
        <f>IF(MID(B563,4,2)="09","Ramadan",IF(AND(MID(B563,4,2)="12",VALUE(LEFT(B563,2))&lt;=9),"Adha Season","Normal"))</f>
        <v>Ramadan</v>
      </c>
      <c r="D563" s="1" t="s">
        <v>45</v>
      </c>
      <c r="F563" s="4" t="s">
        <v>46</v>
      </c>
      <c r="G563" s="1">
        <v>3</v>
      </c>
      <c r="H563" s="15">
        <v>3</v>
      </c>
      <c r="I563" s="1">
        <f>grand[[#This Row],[number]]-grand[[#This Row],[received]]</f>
        <v>0</v>
      </c>
      <c r="J563" s="30"/>
      <c r="K563" s="9">
        <v>1555</v>
      </c>
      <c r="L563" s="9">
        <v>1405</v>
      </c>
      <c r="M563" s="2">
        <f>K563-L563</f>
        <v>150</v>
      </c>
      <c r="N563" s="9">
        <v>855.7</v>
      </c>
      <c r="O563" s="9"/>
      <c r="P563" s="7">
        <f>grand[[#This Row],[total weight]]/grand[[#This Row],[received]]</f>
        <v>518.33333333333337</v>
      </c>
      <c r="Q563" s="7">
        <f>grand[[#This Row],[receiving weight]]/grand[[#This Row],[received]]</f>
        <v>468.33333333333331</v>
      </c>
      <c r="R563" s="7">
        <f>grand[[#This Row],[transportation loss ]]/grand[[#This Row],[received]]</f>
        <v>50</v>
      </c>
      <c r="S563" s="7">
        <f>grand[[#This Row],[ carcass weight]]/grand[[#This Row],[received]]</f>
        <v>285.23333333333335</v>
      </c>
      <c r="T563" s="7">
        <f>grand[[#This Row],[ kidneys fat quantity]]/grand[[#This Row],[received]]</f>
        <v>0</v>
      </c>
      <c r="U563" s="15">
        <v>25</v>
      </c>
      <c r="V563" s="15">
        <v>0</v>
      </c>
      <c r="W563" s="15">
        <v>50</v>
      </c>
      <c r="X563" s="15">
        <v>10</v>
      </c>
      <c r="Y563" s="8">
        <v>8.5</v>
      </c>
      <c r="Z563" s="18">
        <f>grand[[#This Row],[av. Transportation loss]]/grand[[#This Row],[av.total weight]]</f>
        <v>9.6463022508038579E-2</v>
      </c>
      <c r="AA563" s="12">
        <f>AVERAGE((grand[[#This Row],[am]]/25),(grand[[#This Row],[pm]]/50))</f>
        <v>1</v>
      </c>
      <c r="AB563" s="3">
        <f>grand[[#This Row],[ carcass weight]]/grand[[#This Row],[total weight]]</f>
        <v>0.55028938906752412</v>
      </c>
      <c r="AC563" s="19">
        <f>SUM(grand[[#This Row],[am]:[meat transportation]])/100</f>
        <v>0.93500000000000005</v>
      </c>
      <c r="AD563" s="2"/>
      <c r="AJ563" s="1">
        <v>0</v>
      </c>
      <c r="AK563" s="20"/>
      <c r="AL563" s="1">
        <v>0</v>
      </c>
    </row>
    <row r="564" spans="1:38" hidden="1" x14ac:dyDescent="0.2">
      <c r="A564" s="11">
        <v>44677</v>
      </c>
      <c r="B564" s="53" t="s">
        <v>1624</v>
      </c>
      <c r="C564" s="52" t="str">
        <f>IF(MID(B564,4,2)="09","Ramadan",IF(AND(MID(B564,4,2)="12",VALUE(LEFT(B564,2))&lt;=9),"Adha Season","Normal"))</f>
        <v>Ramadan</v>
      </c>
      <c r="D564" s="1" t="s">
        <v>45</v>
      </c>
      <c r="E564" s="1" t="s">
        <v>481</v>
      </c>
      <c r="F564" s="4" t="s">
        <v>39</v>
      </c>
      <c r="G564" s="1">
        <v>34</v>
      </c>
      <c r="H564" s="15">
        <v>34</v>
      </c>
      <c r="I564" s="1">
        <f>grand[[#This Row],[number]]-grand[[#This Row],[received]]</f>
        <v>0</v>
      </c>
      <c r="J564" s="30"/>
      <c r="K564" s="9">
        <v>16277</v>
      </c>
      <c r="L564" s="9">
        <v>15365</v>
      </c>
      <c r="M564" s="2">
        <f>K564-L564</f>
        <v>912</v>
      </c>
      <c r="N564" s="9">
        <v>10154.1</v>
      </c>
      <c r="O564" s="9">
        <v>376</v>
      </c>
      <c r="P564" s="7">
        <f>grand[[#This Row],[total weight]]/grand[[#This Row],[received]]</f>
        <v>478.73529411764707</v>
      </c>
      <c r="Q564" s="7">
        <f>grand[[#This Row],[receiving weight]]/grand[[#This Row],[received]]</f>
        <v>451.91176470588238</v>
      </c>
      <c r="R564" s="7">
        <f>grand[[#This Row],[transportation loss ]]/grand[[#This Row],[received]]</f>
        <v>26.823529411764707</v>
      </c>
      <c r="S564" s="7">
        <f>grand[[#This Row],[ carcass weight]]/grand[[#This Row],[received]]</f>
        <v>298.65000000000003</v>
      </c>
      <c r="T564" s="7">
        <f>grand[[#This Row],[ kidneys fat quantity]]/grand[[#This Row],[received]]</f>
        <v>11.058823529411764</v>
      </c>
      <c r="U564" s="15">
        <v>25</v>
      </c>
      <c r="V564" s="15">
        <v>0</v>
      </c>
      <c r="W564" s="15">
        <v>49.5</v>
      </c>
      <c r="X564" s="15">
        <v>10</v>
      </c>
      <c r="Y564" s="8">
        <v>8.5</v>
      </c>
      <c r="Z564" s="18">
        <f>grand[[#This Row],[av. Transportation loss]]/grand[[#This Row],[av.total weight]]</f>
        <v>5.6029980954721385E-2</v>
      </c>
      <c r="AA564" s="12">
        <f>AVERAGE((grand[[#This Row],[am]]/25),(grand[[#This Row],[pm]]/50))</f>
        <v>0.995</v>
      </c>
      <c r="AB564" s="3">
        <f>grand[[#This Row],[ carcass weight]]/grand[[#This Row],[total weight]]</f>
        <v>0.62383117282054434</v>
      </c>
      <c r="AC564" s="19">
        <f>SUM(grand[[#This Row],[am]:[meat transportation]])/100</f>
        <v>0.93</v>
      </c>
      <c r="AD564" s="2"/>
      <c r="AJ564" s="1">
        <v>0</v>
      </c>
      <c r="AK564" s="20"/>
      <c r="AL564" s="1">
        <v>1</v>
      </c>
    </row>
    <row r="565" spans="1:38" hidden="1" x14ac:dyDescent="0.2">
      <c r="A565" s="11">
        <v>44679</v>
      </c>
      <c r="B565" s="53" t="s">
        <v>1625</v>
      </c>
      <c r="C565" s="52" t="str">
        <f>IF(MID(B565,4,2)="09","Ramadan",IF(AND(MID(B565,4,2)="12",VALUE(LEFT(B565,2))&lt;=9),"Adha Season","Normal"))</f>
        <v>Ramadan</v>
      </c>
      <c r="D565" s="1" t="s">
        <v>45</v>
      </c>
      <c r="F565" s="4" t="s">
        <v>46</v>
      </c>
      <c r="G565" s="1">
        <v>44</v>
      </c>
      <c r="H565" s="15">
        <v>44</v>
      </c>
      <c r="I565" s="1">
        <f>grand[[#This Row],[number]]-grand[[#This Row],[received]]</f>
        <v>0</v>
      </c>
      <c r="J565" s="30"/>
      <c r="K565" s="9">
        <v>23470</v>
      </c>
      <c r="L565" s="9">
        <v>21755</v>
      </c>
      <c r="M565" s="2">
        <f>K565-L565</f>
        <v>1715</v>
      </c>
      <c r="N565" s="9">
        <v>14082.1</v>
      </c>
      <c r="O565" s="9">
        <v>407</v>
      </c>
      <c r="P565" s="7">
        <f>grand[[#This Row],[total weight]]/grand[[#This Row],[received]]</f>
        <v>533.40909090909088</v>
      </c>
      <c r="Q565" s="7">
        <f>grand[[#This Row],[receiving weight]]/grand[[#This Row],[received]]</f>
        <v>494.43181818181819</v>
      </c>
      <c r="R565" s="7">
        <f>grand[[#This Row],[transportation loss ]]/grand[[#This Row],[received]]</f>
        <v>38.977272727272727</v>
      </c>
      <c r="S565" s="7">
        <f>grand[[#This Row],[ carcass weight]]/grand[[#This Row],[received]]</f>
        <v>320.04772727272729</v>
      </c>
      <c r="T565" s="7">
        <f>grand[[#This Row],[ kidneys fat quantity]]/grand[[#This Row],[received]]</f>
        <v>9.25</v>
      </c>
      <c r="U565" s="15">
        <v>20.272727272727273</v>
      </c>
      <c r="V565" s="15">
        <v>0</v>
      </c>
      <c r="W565" s="15">
        <v>49.659090909090907</v>
      </c>
      <c r="X565" s="15">
        <v>10</v>
      </c>
      <c r="Y565" s="8">
        <v>8.5</v>
      </c>
      <c r="Z565" s="18">
        <f>grand[[#This Row],[av. Transportation loss]]/grand[[#This Row],[av.total weight]]</f>
        <v>7.3072006817213472E-2</v>
      </c>
      <c r="AA565" s="12">
        <f>AVERAGE((grand[[#This Row],[am]]/25),(grand[[#This Row],[pm]]/50))</f>
        <v>0.90204545454545459</v>
      </c>
      <c r="AB565" s="3">
        <f>grand[[#This Row],[ carcass weight]]/grand[[#This Row],[total weight]]</f>
        <v>0.60000426075841506</v>
      </c>
      <c r="AC565" s="19">
        <f>SUM(grand[[#This Row],[am]:[meat transportation]])/100</f>
        <v>0.88431818181818189</v>
      </c>
      <c r="AD565" s="2"/>
      <c r="AJ565" s="1">
        <v>44</v>
      </c>
      <c r="AK565" s="20"/>
      <c r="AL565" s="1">
        <v>5</v>
      </c>
    </row>
    <row r="566" spans="1:38" hidden="1" x14ac:dyDescent="0.2">
      <c r="A566" s="11">
        <v>44681</v>
      </c>
      <c r="B566" s="53" t="s">
        <v>1626</v>
      </c>
      <c r="C566" s="52" t="str">
        <f>IF(MID(B566,4,2)="09","Ramadan",IF(AND(MID(B566,4,2)="12",VALUE(LEFT(B566,2))&lt;=9),"Adha Season","Normal"))</f>
        <v>Ramadan</v>
      </c>
      <c r="D566" s="2" t="s">
        <v>294</v>
      </c>
      <c r="F566" s="4" t="s">
        <v>35</v>
      </c>
      <c r="G566" s="1">
        <v>30</v>
      </c>
      <c r="H566" s="15">
        <v>30</v>
      </c>
      <c r="I566" s="1">
        <f>grand[[#This Row],[number]]-grand[[#This Row],[received]]</f>
        <v>0</v>
      </c>
      <c r="J566" s="30"/>
      <c r="K566" s="9">
        <v>1834</v>
      </c>
      <c r="L566" s="9">
        <v>1815</v>
      </c>
      <c r="M566" s="2">
        <f>K566-L566</f>
        <v>19</v>
      </c>
      <c r="N566" s="9">
        <v>1102.3</v>
      </c>
      <c r="O566" s="2"/>
      <c r="P566" s="7">
        <f>grand[[#This Row],[total weight]]/grand[[#This Row],[received]]</f>
        <v>61.133333333333333</v>
      </c>
      <c r="Q566" s="7">
        <f>grand[[#This Row],[receiving weight]]/grand[[#This Row],[received]]</f>
        <v>60.5</v>
      </c>
      <c r="R566" s="7">
        <f>grand[[#This Row],[transportation loss ]]/grand[[#This Row],[received]]</f>
        <v>0.6333333333333333</v>
      </c>
      <c r="S566" s="7">
        <f>grand[[#This Row],[ carcass weight]]/grand[[#This Row],[received]]</f>
        <v>36.743333333333332</v>
      </c>
      <c r="T566" s="7">
        <f>grand[[#This Row],[ kidneys fat quantity]]/grand[[#This Row],[received]]</f>
        <v>0</v>
      </c>
      <c r="U566" s="15">
        <v>25</v>
      </c>
      <c r="V566" s="15">
        <v>0</v>
      </c>
      <c r="W566" s="15">
        <v>47.4</v>
      </c>
      <c r="X566" s="15">
        <v>10</v>
      </c>
      <c r="Y566" s="8">
        <v>8.5</v>
      </c>
      <c r="Z566" s="18">
        <f>grand[[#This Row],[av. Transportation loss]]/grand[[#This Row],[av.total weight]]</f>
        <v>1.0359869138495093E-2</v>
      </c>
      <c r="AA566" s="12">
        <f>AVERAGE((grand[[#This Row],[am]]/25),(grand[[#This Row],[pm]]/50))</f>
        <v>0.97399999999999998</v>
      </c>
      <c r="AB566" s="3">
        <f>grand[[#This Row],[ carcass weight]]/grand[[#This Row],[total weight]]</f>
        <v>0.60103598691384952</v>
      </c>
      <c r="AC566" s="19">
        <f>SUM(grand[[#This Row],[am]:[meat transportation]])/100</f>
        <v>0.90900000000000003</v>
      </c>
      <c r="AD566" s="9" t="s">
        <v>416</v>
      </c>
      <c r="AJ566" s="1">
        <v>0</v>
      </c>
      <c r="AK566" s="20"/>
      <c r="AL566" s="1">
        <v>21</v>
      </c>
    </row>
    <row r="567" spans="1:38" hidden="1" x14ac:dyDescent="0.2">
      <c r="A567" s="11">
        <v>44686</v>
      </c>
      <c r="B567" s="53" t="s">
        <v>1628</v>
      </c>
      <c r="C567" s="52" t="str">
        <f>IF(MID(B567,4,2)="09","Ramadan",IF(AND(MID(B567,4,2)="12",VALUE(LEFT(B567,2))&lt;=9),"Adha Season","Normal"))</f>
        <v>Normal</v>
      </c>
      <c r="D567" s="1" t="s">
        <v>45</v>
      </c>
      <c r="F567" s="4" t="s">
        <v>46</v>
      </c>
      <c r="G567" s="1">
        <v>30</v>
      </c>
      <c r="H567" s="15">
        <v>30</v>
      </c>
      <c r="I567" s="1">
        <f>grand[[#This Row],[number]]-grand[[#This Row],[received]]</f>
        <v>0</v>
      </c>
      <c r="J567" s="30"/>
      <c r="K567" s="9">
        <v>16342</v>
      </c>
      <c r="L567" s="9">
        <v>16342</v>
      </c>
      <c r="M567" s="2">
        <f>K567-L567</f>
        <v>0</v>
      </c>
      <c r="N567" s="9">
        <v>9805.4</v>
      </c>
      <c r="O567" s="9">
        <v>339</v>
      </c>
      <c r="P567" s="7">
        <f>grand[[#This Row],[total weight]]/grand[[#This Row],[received]]</f>
        <v>544.73333333333335</v>
      </c>
      <c r="Q567" s="7">
        <f>grand[[#This Row],[receiving weight]]/grand[[#This Row],[received]]</f>
        <v>544.73333333333335</v>
      </c>
      <c r="R567" s="7">
        <f>grand[[#This Row],[transportation loss ]]/grand[[#This Row],[received]]</f>
        <v>0</v>
      </c>
      <c r="S567" s="7">
        <f>grand[[#This Row],[ carcass weight]]/grand[[#This Row],[received]]</f>
        <v>326.84666666666664</v>
      </c>
      <c r="T567" s="7">
        <f>grand[[#This Row],[ kidneys fat quantity]]/grand[[#This Row],[received]]</f>
        <v>11.3</v>
      </c>
      <c r="U567" s="15">
        <v>25</v>
      </c>
      <c r="V567" s="15">
        <v>0</v>
      </c>
      <c r="W567" s="15">
        <v>49.73</v>
      </c>
      <c r="X567" s="15">
        <v>9.8333333333333321</v>
      </c>
      <c r="Y567" s="8">
        <v>8.5</v>
      </c>
      <c r="Z567" s="18">
        <f>grand[[#This Row],[av. Transportation loss]]/grand[[#This Row],[av.total weight]]</f>
        <v>0</v>
      </c>
      <c r="AA567" s="12">
        <f>AVERAGE((grand[[#This Row],[am]]/25),(grand[[#This Row],[pm]]/50))</f>
        <v>0.99729999999999996</v>
      </c>
      <c r="AB567" s="3">
        <f>grand[[#This Row],[ carcass weight]]/grand[[#This Row],[total weight]]</f>
        <v>0.60001223840411211</v>
      </c>
      <c r="AC567" s="19">
        <f>SUM(grand[[#This Row],[am]:[meat transportation]])/100</f>
        <v>0.9306333333333332</v>
      </c>
      <c r="AD567" s="2" t="s">
        <v>419</v>
      </c>
      <c r="AJ567" s="1">
        <v>7</v>
      </c>
      <c r="AK567" s="20"/>
      <c r="AL567" s="1"/>
    </row>
    <row r="568" spans="1:38" hidden="1" x14ac:dyDescent="0.2">
      <c r="A568" s="11">
        <v>44688</v>
      </c>
      <c r="B568" s="53" t="s">
        <v>1629</v>
      </c>
      <c r="C568" s="52" t="str">
        <f>IF(MID(B568,4,2)="09","Ramadan",IF(AND(MID(B568,4,2)="12",VALUE(LEFT(B568,2))&lt;=9),"Adha Season","Normal"))</f>
        <v>Normal</v>
      </c>
      <c r="D568" s="2" t="s">
        <v>294</v>
      </c>
      <c r="F568" s="4" t="s">
        <v>35</v>
      </c>
      <c r="G568" s="1">
        <v>27</v>
      </c>
      <c r="H568" s="15">
        <v>27</v>
      </c>
      <c r="I568" s="1">
        <f>grand[[#This Row],[number]]-grand[[#This Row],[received]]</f>
        <v>0</v>
      </c>
      <c r="J568" s="30"/>
      <c r="K568" s="9">
        <v>1718</v>
      </c>
      <c r="L568" s="9">
        <v>1670</v>
      </c>
      <c r="M568" s="2">
        <f>K568-L568</f>
        <v>48</v>
      </c>
      <c r="N568" s="9">
        <v>1005.3</v>
      </c>
      <c r="O568" s="2"/>
      <c r="P568" s="7">
        <f>grand[[#This Row],[total weight]]/grand[[#This Row],[received]]</f>
        <v>63.629629629629626</v>
      </c>
      <c r="Q568" s="7">
        <f>grand[[#This Row],[receiving weight]]/grand[[#This Row],[received]]</f>
        <v>61.851851851851855</v>
      </c>
      <c r="R568" s="7">
        <f>grand[[#This Row],[transportation loss ]]/grand[[#This Row],[received]]</f>
        <v>1.7777777777777777</v>
      </c>
      <c r="S568" s="7">
        <f>grand[[#This Row],[ carcass weight]]/grand[[#This Row],[received]]</f>
        <v>37.233333333333334</v>
      </c>
      <c r="T568" s="7">
        <f>grand[[#This Row],[ kidneys fat quantity]]/grand[[#This Row],[received]]</f>
        <v>0</v>
      </c>
      <c r="U568" s="15">
        <v>25</v>
      </c>
      <c r="V568" s="15">
        <v>0</v>
      </c>
      <c r="W568" s="15">
        <v>48.592592592592595</v>
      </c>
      <c r="X568" s="15">
        <v>10</v>
      </c>
      <c r="Y568" s="8">
        <v>8.5</v>
      </c>
      <c r="Z568" s="18">
        <f>grand[[#This Row],[av. Transportation loss]]/grand[[#This Row],[av.total weight]]</f>
        <v>2.7939464493597205E-2</v>
      </c>
      <c r="AA568" s="12">
        <f>AVERAGE((grand[[#This Row],[am]]/25),(grand[[#This Row],[pm]]/50))</f>
        <v>0.98592592592592587</v>
      </c>
      <c r="AB568" s="3">
        <f>grand[[#This Row],[ carcass weight]]/grand[[#This Row],[total weight]]</f>
        <v>0.58515715948777647</v>
      </c>
      <c r="AC568" s="19">
        <f>SUM(grand[[#This Row],[am]:[meat transportation]])/100</f>
        <v>0.92092592592592593</v>
      </c>
      <c r="AD568" s="9" t="s">
        <v>420</v>
      </c>
      <c r="AJ568" s="1">
        <v>0</v>
      </c>
      <c r="AK568" s="20"/>
      <c r="AL568" s="1">
        <v>11.5</v>
      </c>
    </row>
    <row r="569" spans="1:38" hidden="1" x14ac:dyDescent="0.2">
      <c r="A569" s="11">
        <v>44688</v>
      </c>
      <c r="B569" s="53" t="s">
        <v>1629</v>
      </c>
      <c r="C569" s="52" t="str">
        <f>IF(MID(B569,4,2)="09","Ramadan",IF(AND(MID(B569,4,2)="12",VALUE(LEFT(B569,2))&lt;=9),"Adha Season","Normal"))</f>
        <v>Normal</v>
      </c>
      <c r="D569" s="1" t="s">
        <v>45</v>
      </c>
      <c r="F569" s="4" t="s">
        <v>46</v>
      </c>
      <c r="G569" s="1">
        <v>36</v>
      </c>
      <c r="H569" s="15">
        <v>36</v>
      </c>
      <c r="I569" s="1">
        <f>grand[[#This Row],[number]]-grand[[#This Row],[received]]</f>
        <v>0</v>
      </c>
      <c r="J569" s="30"/>
      <c r="K569" s="9">
        <v>19522</v>
      </c>
      <c r="L569" s="9">
        <v>17825</v>
      </c>
      <c r="M569" s="2">
        <f>K569-L569</f>
        <v>1697</v>
      </c>
      <c r="N569" s="9">
        <v>11713.8</v>
      </c>
      <c r="O569" s="9">
        <v>428</v>
      </c>
      <c r="P569" s="7">
        <f>grand[[#This Row],[total weight]]/grand[[#This Row],[received]]</f>
        <v>542.27777777777783</v>
      </c>
      <c r="Q569" s="7">
        <f>grand[[#This Row],[receiving weight]]/grand[[#This Row],[received]]</f>
        <v>495.13888888888891</v>
      </c>
      <c r="R569" s="7">
        <f>grand[[#This Row],[transportation loss ]]/grand[[#This Row],[received]]</f>
        <v>47.138888888888886</v>
      </c>
      <c r="S569" s="7">
        <f>grand[[#This Row],[ carcass weight]]/grand[[#This Row],[received]]</f>
        <v>325.38333333333333</v>
      </c>
      <c r="T569" s="7">
        <f>grand[[#This Row],[ kidneys fat quantity]]/grand[[#This Row],[received]]</f>
        <v>11.888888888888889</v>
      </c>
      <c r="U569" s="15">
        <v>25</v>
      </c>
      <c r="V569" s="15">
        <v>0</v>
      </c>
      <c r="W569" s="15">
        <v>49.805555555555557</v>
      </c>
      <c r="X569" s="15">
        <v>10</v>
      </c>
      <c r="Y569" s="8">
        <v>8.5</v>
      </c>
      <c r="Z569" s="18">
        <f>grand[[#This Row],[av. Transportation loss]]/grand[[#This Row],[av.total weight]]</f>
        <v>8.6927568896629434E-2</v>
      </c>
      <c r="AA569" s="12">
        <f>AVERAGE((grand[[#This Row],[am]]/25),(grand[[#This Row],[pm]]/50))</f>
        <v>0.99805555555555558</v>
      </c>
      <c r="AB569" s="3">
        <f>grand[[#This Row],[ carcass weight]]/grand[[#This Row],[total weight]]</f>
        <v>0.60003073455588563</v>
      </c>
      <c r="AC569" s="19">
        <f>SUM(grand[[#This Row],[am]:[meat transportation]])/100</f>
        <v>0.93305555555555553</v>
      </c>
      <c r="AD569" s="2"/>
      <c r="AJ569" s="1">
        <v>7</v>
      </c>
      <c r="AK569" s="20"/>
      <c r="AL569" s="1"/>
    </row>
    <row r="570" spans="1:38" hidden="1" x14ac:dyDescent="0.2">
      <c r="A570" s="11">
        <v>44689</v>
      </c>
      <c r="B570" s="53" t="s">
        <v>1630</v>
      </c>
      <c r="C570" s="52" t="str">
        <f>IF(MID(B570,4,2)="09","Ramadan",IF(AND(MID(B570,4,2)="12",VALUE(LEFT(B570,2))&lt;=9),"Adha Season","Normal"))</f>
        <v>Normal</v>
      </c>
      <c r="D570" s="1" t="s">
        <v>45</v>
      </c>
      <c r="F570" s="4" t="s">
        <v>280</v>
      </c>
      <c r="G570" s="1">
        <v>48</v>
      </c>
      <c r="H570" s="15">
        <v>48</v>
      </c>
      <c r="I570" s="1">
        <f>grand[[#This Row],[number]]-grand[[#This Row],[received]]</f>
        <v>0</v>
      </c>
      <c r="J570" s="30"/>
      <c r="K570" s="9">
        <v>22940</v>
      </c>
      <c r="L570" s="9">
        <v>22110</v>
      </c>
      <c r="M570" s="2">
        <f>K570-L570</f>
        <v>830</v>
      </c>
      <c r="N570" s="9">
        <v>13782.5</v>
      </c>
      <c r="O570" s="9">
        <v>477</v>
      </c>
      <c r="P570" s="7">
        <f>grand[[#This Row],[total weight]]/grand[[#This Row],[received]]</f>
        <v>477.91666666666669</v>
      </c>
      <c r="Q570" s="7">
        <f>grand[[#This Row],[receiving weight]]/grand[[#This Row],[received]]</f>
        <v>460.625</v>
      </c>
      <c r="R570" s="7">
        <f>grand[[#This Row],[transportation loss ]]/grand[[#This Row],[received]]</f>
        <v>17.291666666666668</v>
      </c>
      <c r="S570" s="7">
        <f>grand[[#This Row],[ carcass weight]]/grand[[#This Row],[received]]</f>
        <v>287.13541666666669</v>
      </c>
      <c r="T570" s="7">
        <f>grand[[#This Row],[ kidneys fat quantity]]/grand[[#This Row],[received]]</f>
        <v>9.9375</v>
      </c>
      <c r="U570" s="15">
        <v>24.791666666666668</v>
      </c>
      <c r="V570" s="15">
        <v>0</v>
      </c>
      <c r="W570" s="15">
        <v>49.791666666666664</v>
      </c>
      <c r="X570" s="15">
        <v>10</v>
      </c>
      <c r="Y570" s="8">
        <v>8.5</v>
      </c>
      <c r="Z570" s="18">
        <f>grand[[#This Row],[av. Transportation loss]]/grand[[#This Row],[av.total weight]]</f>
        <v>3.618134263295554E-2</v>
      </c>
      <c r="AA570" s="12">
        <f>AVERAGE((grand[[#This Row],[am]]/25),(grand[[#This Row],[pm]]/50))</f>
        <v>0.99374999999999991</v>
      </c>
      <c r="AB570" s="3">
        <f>grand[[#This Row],[ carcass weight]]/grand[[#This Row],[total weight]]</f>
        <v>0.60080645161290325</v>
      </c>
      <c r="AC570" s="19">
        <f>SUM(grand[[#This Row],[am]:[meat transportation]])/100</f>
        <v>0.93083333333333329</v>
      </c>
      <c r="AD570" s="9" t="s">
        <v>421</v>
      </c>
      <c r="AJ570" s="1">
        <v>12</v>
      </c>
      <c r="AK570" s="20"/>
      <c r="AL570" s="1"/>
    </row>
    <row r="571" spans="1:38" hidden="1" x14ac:dyDescent="0.2">
      <c r="A571" s="11">
        <v>44689</v>
      </c>
      <c r="B571" s="53" t="s">
        <v>1630</v>
      </c>
      <c r="C571" s="52" t="str">
        <f>IF(MID(B571,4,2)="09","Ramadan",IF(AND(MID(B571,4,2)="12",VALUE(LEFT(B571,2))&lt;=9),"Adha Season","Normal"))</f>
        <v>Normal</v>
      </c>
      <c r="D571" s="1" t="s">
        <v>45</v>
      </c>
      <c r="E571" s="1" t="s">
        <v>481</v>
      </c>
      <c r="F571" s="4" t="s">
        <v>39</v>
      </c>
      <c r="G571" s="1">
        <v>8</v>
      </c>
      <c r="H571" s="15">
        <v>8</v>
      </c>
      <c r="I571" s="1">
        <f>grand[[#This Row],[number]]-grand[[#This Row],[received]]</f>
        <v>0</v>
      </c>
      <c r="J571" s="30"/>
      <c r="K571" s="9">
        <v>3831</v>
      </c>
      <c r="L571" s="9">
        <v>3625</v>
      </c>
      <c r="M571" s="2">
        <f>K571-L571</f>
        <v>206</v>
      </c>
      <c r="N571" s="9">
        <v>2392</v>
      </c>
      <c r="O571" s="9">
        <v>88</v>
      </c>
      <c r="P571" s="7">
        <f>grand[[#This Row],[total weight]]/grand[[#This Row],[received]]</f>
        <v>478.875</v>
      </c>
      <c r="Q571" s="7">
        <f>grand[[#This Row],[receiving weight]]/grand[[#This Row],[received]]</f>
        <v>453.125</v>
      </c>
      <c r="R571" s="7">
        <f>grand[[#This Row],[transportation loss ]]/grand[[#This Row],[received]]</f>
        <v>25.75</v>
      </c>
      <c r="S571" s="7">
        <f>grand[[#This Row],[ carcass weight]]/grand[[#This Row],[received]]</f>
        <v>299</v>
      </c>
      <c r="T571" s="7">
        <f>grand[[#This Row],[ kidneys fat quantity]]/grand[[#This Row],[received]]</f>
        <v>11</v>
      </c>
      <c r="U571" s="15">
        <v>25</v>
      </c>
      <c r="V571" s="15">
        <v>0</v>
      </c>
      <c r="W571" s="15">
        <v>49.75</v>
      </c>
      <c r="X571" s="15">
        <v>10</v>
      </c>
      <c r="Y571" s="8">
        <v>8.5</v>
      </c>
      <c r="Z571" s="18">
        <f>grand[[#This Row],[av. Transportation loss]]/grand[[#This Row],[av.total weight]]</f>
        <v>5.3771861132863481E-2</v>
      </c>
      <c r="AA571" s="12">
        <f>AVERAGE((grand[[#This Row],[am]]/25),(grand[[#This Row],[pm]]/50))</f>
        <v>0.99750000000000005</v>
      </c>
      <c r="AB571" s="3">
        <f>grand[[#This Row],[ carcass weight]]/grand[[#This Row],[total weight]]</f>
        <v>0.62438005742625946</v>
      </c>
      <c r="AC571" s="19">
        <f>SUM(grand[[#This Row],[am]:[meat transportation]])/100</f>
        <v>0.9325</v>
      </c>
      <c r="AD571" s="2"/>
      <c r="AJ571" s="1">
        <v>0</v>
      </c>
      <c r="AK571" s="20"/>
      <c r="AL571" s="1">
        <v>1</v>
      </c>
    </row>
    <row r="572" spans="1:38" hidden="1" x14ac:dyDescent="0.2">
      <c r="A572" s="11">
        <v>44693</v>
      </c>
      <c r="B572" s="53" t="s">
        <v>1632</v>
      </c>
      <c r="C572" s="52" t="str">
        <f>IF(MID(B572,4,2)="09","Ramadan",IF(AND(MID(B572,4,2)="12",VALUE(LEFT(B572,2))&lt;=9),"Adha Season","Normal"))</f>
        <v>Normal</v>
      </c>
      <c r="D572" s="2" t="s">
        <v>294</v>
      </c>
      <c r="F572" s="4" t="s">
        <v>35</v>
      </c>
      <c r="G572" s="1">
        <v>27</v>
      </c>
      <c r="H572" s="15">
        <v>27</v>
      </c>
      <c r="I572" s="1">
        <f>grand[[#This Row],[number]]-grand[[#This Row],[received]]</f>
        <v>0</v>
      </c>
      <c r="J572" s="30"/>
      <c r="K572" s="9">
        <v>1771</v>
      </c>
      <c r="L572" s="9">
        <v>1750</v>
      </c>
      <c r="M572" s="2">
        <f>K572-L572</f>
        <v>21</v>
      </c>
      <c r="N572" s="9">
        <v>1060.5</v>
      </c>
      <c r="O572" s="2"/>
      <c r="P572" s="7">
        <f>grand[[#This Row],[total weight]]/grand[[#This Row],[received]]</f>
        <v>65.592592592592595</v>
      </c>
      <c r="Q572" s="7">
        <f>grand[[#This Row],[receiving weight]]/grand[[#This Row],[received]]</f>
        <v>64.81481481481481</v>
      </c>
      <c r="R572" s="7">
        <f>grand[[#This Row],[transportation loss ]]/grand[[#This Row],[received]]</f>
        <v>0.77777777777777779</v>
      </c>
      <c r="S572" s="7">
        <f>grand[[#This Row],[ carcass weight]]/grand[[#This Row],[received]]</f>
        <v>39.277777777777779</v>
      </c>
      <c r="T572" s="7">
        <f>grand[[#This Row],[ kidneys fat quantity]]/grand[[#This Row],[received]]</f>
        <v>0</v>
      </c>
      <c r="U572" s="15">
        <v>25</v>
      </c>
      <c r="V572" s="15">
        <v>0</v>
      </c>
      <c r="W572" s="15">
        <v>48.296296296296298</v>
      </c>
      <c r="X572" s="15">
        <v>10</v>
      </c>
      <c r="Y572" s="8">
        <v>8.5</v>
      </c>
      <c r="Z572" s="18">
        <f>grand[[#This Row],[av. Transportation loss]]/grand[[#This Row],[av.total weight]]</f>
        <v>1.1857707509881422E-2</v>
      </c>
      <c r="AA572" s="12">
        <f>AVERAGE((grand[[#This Row],[am]]/25),(grand[[#This Row],[pm]]/50))</f>
        <v>0.98296296296296304</v>
      </c>
      <c r="AB572" s="3">
        <f>grand[[#This Row],[ carcass weight]]/grand[[#This Row],[total weight]]</f>
        <v>0.59881422924901184</v>
      </c>
      <c r="AC572" s="19">
        <f>SUM(grand[[#This Row],[am]:[meat transportation]])/100</f>
        <v>0.91796296296296309</v>
      </c>
      <c r="AD572" s="2" t="s">
        <v>422</v>
      </c>
      <c r="AJ572" s="1">
        <v>0</v>
      </c>
      <c r="AK572" s="20"/>
      <c r="AL572" s="1">
        <v>23</v>
      </c>
    </row>
    <row r="573" spans="1:38" hidden="1" x14ac:dyDescent="0.2">
      <c r="A573" s="11">
        <v>44693</v>
      </c>
      <c r="B573" s="53" t="s">
        <v>1632</v>
      </c>
      <c r="C573" s="52" t="str">
        <f>IF(MID(B573,4,2)="09","Ramadan",IF(AND(MID(B573,4,2)="12",VALUE(LEFT(B573,2))&lt;=9),"Adha Season","Normal"))</f>
        <v>Normal</v>
      </c>
      <c r="D573" s="1" t="s">
        <v>45</v>
      </c>
      <c r="F573" s="4" t="s">
        <v>46</v>
      </c>
      <c r="G573" s="1">
        <v>42</v>
      </c>
      <c r="H573" s="15">
        <v>42</v>
      </c>
      <c r="I573" s="1">
        <f>grand[[#This Row],[number]]-grand[[#This Row],[received]]</f>
        <v>0</v>
      </c>
      <c r="J573" s="30"/>
      <c r="K573" s="9">
        <v>20225</v>
      </c>
      <c r="L573" s="9">
        <v>19535</v>
      </c>
      <c r="M573" s="2">
        <f>K573-L573</f>
        <v>690</v>
      </c>
      <c r="N573" s="9">
        <v>12134.1</v>
      </c>
      <c r="O573" s="9">
        <v>469</v>
      </c>
      <c r="P573" s="7">
        <f>grand[[#This Row],[total weight]]/grand[[#This Row],[received]]</f>
        <v>481.54761904761904</v>
      </c>
      <c r="Q573" s="7">
        <f>grand[[#This Row],[receiving weight]]/grand[[#This Row],[received]]</f>
        <v>465.11904761904759</v>
      </c>
      <c r="R573" s="7">
        <f>grand[[#This Row],[transportation loss ]]/grand[[#This Row],[received]]</f>
        <v>16.428571428571427</v>
      </c>
      <c r="S573" s="7">
        <f>grand[[#This Row],[ carcass weight]]/grand[[#This Row],[received]]</f>
        <v>288.90714285714284</v>
      </c>
      <c r="T573" s="7">
        <f>grand[[#This Row],[ kidneys fat quantity]]/grand[[#This Row],[received]]</f>
        <v>11.166666666666666</v>
      </c>
      <c r="U573" s="15">
        <v>24.761904761904763</v>
      </c>
      <c r="V573" s="15">
        <v>0</v>
      </c>
      <c r="W573" s="15">
        <v>49.523809523809518</v>
      </c>
      <c r="X573" s="15">
        <v>9.7619047619047628</v>
      </c>
      <c r="Y573" s="8">
        <v>8.5</v>
      </c>
      <c r="Z573" s="18">
        <f>grand[[#This Row],[av. Transportation loss]]/grand[[#This Row],[av.total weight]]</f>
        <v>3.4116192830655125E-2</v>
      </c>
      <c r="AA573" s="12">
        <f>AVERAGE((grand[[#This Row],[am]]/25),(grand[[#This Row],[pm]]/50))</f>
        <v>0.99047619047619051</v>
      </c>
      <c r="AB573" s="3">
        <f>grand[[#This Row],[ carcass weight]]/grand[[#This Row],[total weight]]</f>
        <v>0.59995550061804703</v>
      </c>
      <c r="AC573" s="19">
        <f>SUM(grand[[#This Row],[am]:[meat transportation]])/100</f>
        <v>0.92547619047619034</v>
      </c>
      <c r="AD573" s="2" t="s">
        <v>423</v>
      </c>
      <c r="AJ573" s="1">
        <v>9</v>
      </c>
      <c r="AK573" s="20"/>
      <c r="AL573" s="1">
        <v>118</v>
      </c>
    </row>
    <row r="574" spans="1:38" hidden="1" x14ac:dyDescent="0.2">
      <c r="A574" s="11">
        <v>44700</v>
      </c>
      <c r="B574" s="53" t="s">
        <v>1636</v>
      </c>
      <c r="C574" s="52" t="str">
        <f>IF(MID(B574,4,2)="09","Ramadan",IF(AND(MID(B574,4,2)="12",VALUE(LEFT(B574,2))&lt;=9),"Adha Season","Normal"))</f>
        <v>Normal</v>
      </c>
      <c r="D574" s="1" t="s">
        <v>45</v>
      </c>
      <c r="F574" s="4" t="s">
        <v>46</v>
      </c>
      <c r="G574" s="1">
        <v>26</v>
      </c>
      <c r="H574" s="15">
        <v>26</v>
      </c>
      <c r="I574" s="1">
        <f>grand[[#This Row],[number]]-grand[[#This Row],[received]]</f>
        <v>0</v>
      </c>
      <c r="J574" s="30"/>
      <c r="K574" s="9">
        <v>12605</v>
      </c>
      <c r="L574" s="9">
        <v>11700</v>
      </c>
      <c r="M574" s="2">
        <f>K574-L574</f>
        <v>905</v>
      </c>
      <c r="N574" s="9">
        <v>7562.4</v>
      </c>
      <c r="O574" s="9">
        <v>273</v>
      </c>
      <c r="P574" s="7">
        <f>grand[[#This Row],[total weight]]/grand[[#This Row],[received]]</f>
        <v>484.80769230769232</v>
      </c>
      <c r="Q574" s="7">
        <f>grand[[#This Row],[receiving weight]]/grand[[#This Row],[received]]</f>
        <v>450</v>
      </c>
      <c r="R574" s="7">
        <f>grand[[#This Row],[transportation loss ]]/grand[[#This Row],[received]]</f>
        <v>34.807692307692307</v>
      </c>
      <c r="S574" s="7">
        <f>grand[[#This Row],[ carcass weight]]/grand[[#This Row],[received]]</f>
        <v>290.86153846153843</v>
      </c>
      <c r="T574" s="7">
        <f>grand[[#This Row],[ kidneys fat quantity]]/grand[[#This Row],[received]]</f>
        <v>10.5</v>
      </c>
      <c r="U574" s="15">
        <v>24.615384615384617</v>
      </c>
      <c r="V574" s="15">
        <v>0</v>
      </c>
      <c r="W574" s="15">
        <v>49.730769230769226</v>
      </c>
      <c r="X574" s="15">
        <v>10</v>
      </c>
      <c r="Y574" s="8">
        <v>8.5</v>
      </c>
      <c r="Z574" s="18">
        <f>grand[[#This Row],[av. Transportation loss]]/grand[[#This Row],[av.total weight]]</f>
        <v>7.1796905989686632E-2</v>
      </c>
      <c r="AA574" s="12">
        <f>AVERAGE((grand[[#This Row],[am]]/25),(grand[[#This Row],[pm]]/50))</f>
        <v>0.98961538461538456</v>
      </c>
      <c r="AB574" s="3">
        <f>grand[[#This Row],[ carcass weight]]/grand[[#This Row],[total weight]]</f>
        <v>0.59995239984133275</v>
      </c>
      <c r="AC574" s="19">
        <f>SUM(grand[[#This Row],[am]:[meat transportation]])/100</f>
        <v>0.92846153846153845</v>
      </c>
      <c r="AD574" s="9" t="s">
        <v>427</v>
      </c>
      <c r="AJ574" s="1">
        <v>9</v>
      </c>
      <c r="AK574" s="20"/>
      <c r="AL574" s="1">
        <v>5</v>
      </c>
    </row>
    <row r="575" spans="1:38" hidden="1" x14ac:dyDescent="0.2">
      <c r="A575" s="11">
        <v>44700</v>
      </c>
      <c r="B575" s="53" t="s">
        <v>1636</v>
      </c>
      <c r="C575" s="52" t="str">
        <f>IF(MID(B575,4,2)="09","Ramadan",IF(AND(MID(B575,4,2)="12",VALUE(LEFT(B575,2))&lt;=9),"Adha Season","Normal"))</f>
        <v>Normal</v>
      </c>
      <c r="D575" s="2" t="s">
        <v>294</v>
      </c>
      <c r="F575" s="4" t="s">
        <v>46</v>
      </c>
      <c r="G575" s="1">
        <v>25</v>
      </c>
      <c r="H575" s="15">
        <v>25</v>
      </c>
      <c r="I575" s="1">
        <f>grand[[#This Row],[number]]-grand[[#This Row],[received]]</f>
        <v>0</v>
      </c>
      <c r="J575" s="30"/>
      <c r="K575" s="9">
        <v>1462</v>
      </c>
      <c r="L575" s="9">
        <v>1415</v>
      </c>
      <c r="M575" s="2">
        <f>K575-L575</f>
        <v>47</v>
      </c>
      <c r="N575" s="9">
        <v>886.5</v>
      </c>
      <c r="O575" s="2"/>
      <c r="P575" s="7">
        <f>grand[[#This Row],[total weight]]/grand[[#This Row],[received]]</f>
        <v>58.48</v>
      </c>
      <c r="Q575" s="7">
        <f>grand[[#This Row],[receiving weight]]/grand[[#This Row],[received]]</f>
        <v>56.6</v>
      </c>
      <c r="R575" s="7">
        <f>grand[[#This Row],[transportation loss ]]/grand[[#This Row],[received]]</f>
        <v>1.88</v>
      </c>
      <c r="S575" s="7">
        <f>grand[[#This Row],[ carcass weight]]/grand[[#This Row],[received]]</f>
        <v>35.46</v>
      </c>
      <c r="T575" s="7">
        <f>grand[[#This Row],[ kidneys fat quantity]]/grand[[#This Row],[received]]</f>
        <v>0</v>
      </c>
      <c r="U575" s="15">
        <v>25</v>
      </c>
      <c r="V575" s="15">
        <v>0</v>
      </c>
      <c r="W575" s="15">
        <v>48.92</v>
      </c>
      <c r="X575" s="15">
        <v>10</v>
      </c>
      <c r="Y575" s="8">
        <v>8.5</v>
      </c>
      <c r="Z575" s="18">
        <f>grand[[#This Row],[av. Transportation loss]]/grand[[#This Row],[av.total weight]]</f>
        <v>3.2147742818057455E-2</v>
      </c>
      <c r="AA575" s="12">
        <f>AVERAGE((grand[[#This Row],[am]]/25),(grand[[#This Row],[pm]]/50))</f>
        <v>0.98920000000000008</v>
      </c>
      <c r="AB575" s="3">
        <f>grand[[#This Row],[ carcass weight]]/grand[[#This Row],[total weight]]</f>
        <v>0.60636114911080707</v>
      </c>
      <c r="AC575" s="19">
        <f>SUM(grand[[#This Row],[am]:[meat transportation]])/100</f>
        <v>0.92420000000000002</v>
      </c>
      <c r="AD575" s="2"/>
      <c r="AJ575" s="1">
        <v>0</v>
      </c>
      <c r="AK575" s="20"/>
      <c r="AL575" s="1">
        <v>5</v>
      </c>
    </row>
    <row r="576" spans="1:38" hidden="1" x14ac:dyDescent="0.2">
      <c r="A576" s="11">
        <v>44702</v>
      </c>
      <c r="B576" s="53" t="s">
        <v>1637</v>
      </c>
      <c r="C576" s="52" t="str">
        <f>IF(MID(B576,4,2)="09","Ramadan",IF(AND(MID(B576,4,2)="12",VALUE(LEFT(B576,2))&lt;=9),"Adha Season","Normal"))</f>
        <v>Normal</v>
      </c>
      <c r="D576" s="1" t="s">
        <v>45</v>
      </c>
      <c r="F576" s="4" t="s">
        <v>46</v>
      </c>
      <c r="G576" s="1">
        <v>21</v>
      </c>
      <c r="H576" s="15">
        <v>21</v>
      </c>
      <c r="I576" s="1">
        <f>grand[[#This Row],[number]]-grand[[#This Row],[received]]</f>
        <v>0</v>
      </c>
      <c r="J576" s="30"/>
      <c r="K576" s="9">
        <v>10540</v>
      </c>
      <c r="L576" s="9">
        <v>9720</v>
      </c>
      <c r="M576" s="2">
        <f>K576-L576</f>
        <v>820</v>
      </c>
      <c r="N576" s="9">
        <v>6324.1</v>
      </c>
      <c r="O576" s="9">
        <v>210</v>
      </c>
      <c r="P576" s="7">
        <f>grand[[#This Row],[total weight]]/grand[[#This Row],[received]]</f>
        <v>501.90476190476193</v>
      </c>
      <c r="Q576" s="7">
        <f>grand[[#This Row],[receiving weight]]/grand[[#This Row],[received]]</f>
        <v>462.85714285714283</v>
      </c>
      <c r="R576" s="7">
        <f>grand[[#This Row],[transportation loss ]]/grand[[#This Row],[received]]</f>
        <v>39.047619047619051</v>
      </c>
      <c r="S576" s="7">
        <f>grand[[#This Row],[ carcass weight]]/grand[[#This Row],[received]]</f>
        <v>301.14761904761906</v>
      </c>
      <c r="T576" s="7">
        <f>grand[[#This Row],[ kidneys fat quantity]]/grand[[#This Row],[received]]</f>
        <v>10</v>
      </c>
      <c r="U576" s="15">
        <v>24.523809523809526</v>
      </c>
      <c r="V576" s="15">
        <v>0</v>
      </c>
      <c r="W576" s="15">
        <v>49.761904761904759</v>
      </c>
      <c r="X576" s="15">
        <v>10</v>
      </c>
      <c r="Y576" s="8">
        <v>8.5</v>
      </c>
      <c r="Z576" s="18">
        <f>grand[[#This Row],[av. Transportation loss]]/grand[[#This Row],[av.total weight]]</f>
        <v>7.7798861480075907E-2</v>
      </c>
      <c r="AA576" s="12">
        <f>AVERAGE((grand[[#This Row],[am]]/25),(grand[[#This Row],[pm]]/50))</f>
        <v>0.98809523809523814</v>
      </c>
      <c r="AB576" s="3">
        <f>grand[[#This Row],[ carcass weight]]/grand[[#This Row],[total weight]]</f>
        <v>0.60000948766603424</v>
      </c>
      <c r="AC576" s="19">
        <f>SUM(grand[[#This Row],[am]:[meat transportation]])/100</f>
        <v>0.92785714285714282</v>
      </c>
      <c r="AD576" s="2" t="s">
        <v>404</v>
      </c>
      <c r="AJ576" s="1">
        <v>5</v>
      </c>
      <c r="AK576" s="20"/>
      <c r="AL576" s="1">
        <v>1</v>
      </c>
    </row>
    <row r="577" spans="1:38" hidden="1" x14ac:dyDescent="0.2">
      <c r="A577" s="11">
        <v>44705</v>
      </c>
      <c r="B577" s="53" t="s">
        <v>1639</v>
      </c>
      <c r="C577" s="52" t="str">
        <f>IF(MID(B577,4,2)="09","Ramadan",IF(AND(MID(B577,4,2)="12",VALUE(LEFT(B577,2))&lt;=9),"Adha Season","Normal"))</f>
        <v>Normal</v>
      </c>
      <c r="D577" s="1" t="s">
        <v>45</v>
      </c>
      <c r="E577" s="1" t="s">
        <v>481</v>
      </c>
      <c r="F577" s="4" t="s">
        <v>39</v>
      </c>
      <c r="G577" s="1">
        <v>30</v>
      </c>
      <c r="H577" s="15">
        <v>30</v>
      </c>
      <c r="I577" s="1">
        <f>grand[[#This Row],[number]]-grand[[#This Row],[received]]</f>
        <v>0</v>
      </c>
      <c r="J577" s="30"/>
      <c r="K577" s="9">
        <v>14355</v>
      </c>
      <c r="L577" s="9">
        <v>13445</v>
      </c>
      <c r="M577" s="2">
        <f>K577-L577</f>
        <v>910</v>
      </c>
      <c r="N577" s="9">
        <v>8937.6</v>
      </c>
      <c r="O577" s="9">
        <v>293</v>
      </c>
      <c r="P577" s="7">
        <f>grand[[#This Row],[total weight]]/grand[[#This Row],[received]]</f>
        <v>478.5</v>
      </c>
      <c r="Q577" s="7">
        <f>grand[[#This Row],[receiving weight]]/grand[[#This Row],[received]]</f>
        <v>448.16666666666669</v>
      </c>
      <c r="R577" s="7">
        <f>grand[[#This Row],[transportation loss ]]/grand[[#This Row],[received]]</f>
        <v>30.333333333333332</v>
      </c>
      <c r="S577" s="7">
        <f>grand[[#This Row],[ carcass weight]]/grand[[#This Row],[received]]</f>
        <v>297.92</v>
      </c>
      <c r="T577" s="7">
        <f>grand[[#This Row],[ kidneys fat quantity]]/grand[[#This Row],[received]]</f>
        <v>9.7666666666666675</v>
      </c>
      <c r="U577" s="15">
        <v>25</v>
      </c>
      <c r="V577" s="15">
        <v>0</v>
      </c>
      <c r="W577" s="15">
        <v>49.933333333333337</v>
      </c>
      <c r="X577" s="15">
        <v>10</v>
      </c>
      <c r="Y577" s="8">
        <v>8.5</v>
      </c>
      <c r="Z577" s="18">
        <f>grand[[#This Row],[av. Transportation loss]]/grand[[#This Row],[av.total weight]]</f>
        <v>6.3392546151166837E-2</v>
      </c>
      <c r="AA577" s="12">
        <f>AVERAGE((grand[[#This Row],[am]]/25),(grand[[#This Row],[pm]]/50))</f>
        <v>0.99933333333333341</v>
      </c>
      <c r="AB577" s="3">
        <f>grand[[#This Row],[ carcass weight]]/grand[[#This Row],[total weight]]</f>
        <v>0.62261233019853712</v>
      </c>
      <c r="AC577" s="19">
        <f>SUM(grand[[#This Row],[am]:[meat transportation]])/100</f>
        <v>0.93433333333333335</v>
      </c>
      <c r="AD577" s="2"/>
      <c r="AJ577" s="1">
        <v>3</v>
      </c>
      <c r="AK577" s="20"/>
      <c r="AL577" s="1"/>
    </row>
    <row r="578" spans="1:38" hidden="1" x14ac:dyDescent="0.2">
      <c r="A578" s="11">
        <v>44710</v>
      </c>
      <c r="B578" s="53" t="s">
        <v>1642</v>
      </c>
      <c r="C578" s="52" t="str">
        <f>IF(MID(B578,4,2)="09","Ramadan",IF(AND(MID(B578,4,2)="12",VALUE(LEFT(B578,2))&lt;=9),"Adha Season","Normal"))</f>
        <v>Normal</v>
      </c>
      <c r="D578" s="1" t="s">
        <v>45</v>
      </c>
      <c r="F578" s="4" t="s">
        <v>43</v>
      </c>
      <c r="G578" s="1">
        <v>8</v>
      </c>
      <c r="H578" s="15">
        <v>8</v>
      </c>
      <c r="I578" s="1">
        <f>grand[[#This Row],[number]]-grand[[#This Row],[received]]</f>
        <v>0</v>
      </c>
      <c r="J578" s="30"/>
      <c r="K578" s="9">
        <v>4340</v>
      </c>
      <c r="L578" s="9">
        <v>4225</v>
      </c>
      <c r="M578" s="2">
        <f>K578-L578</f>
        <v>115</v>
      </c>
      <c r="N578" s="9">
        <v>2604.1</v>
      </c>
      <c r="O578" s="9">
        <v>99</v>
      </c>
      <c r="P578" s="7">
        <f>grand[[#This Row],[total weight]]/grand[[#This Row],[received]]</f>
        <v>542.5</v>
      </c>
      <c r="Q578" s="7">
        <f>grand[[#This Row],[receiving weight]]/grand[[#This Row],[received]]</f>
        <v>528.125</v>
      </c>
      <c r="R578" s="7">
        <f>grand[[#This Row],[transportation loss ]]/grand[[#This Row],[received]]</f>
        <v>14.375</v>
      </c>
      <c r="S578" s="7">
        <f>grand[[#This Row],[ carcass weight]]/grand[[#This Row],[received]]</f>
        <v>325.51249999999999</v>
      </c>
      <c r="T578" s="7">
        <f>grand[[#This Row],[ kidneys fat quantity]]/grand[[#This Row],[received]]</f>
        <v>12.375</v>
      </c>
      <c r="U578" s="15">
        <v>25</v>
      </c>
      <c r="V578" s="15">
        <v>0</v>
      </c>
      <c r="W578" s="15">
        <v>50</v>
      </c>
      <c r="X578" s="15">
        <v>10</v>
      </c>
      <c r="Y578" s="8">
        <v>8.5</v>
      </c>
      <c r="Z578" s="18">
        <f>grand[[#This Row],[av. Transportation loss]]/grand[[#This Row],[av.total weight]]</f>
        <v>2.6497695852534562E-2</v>
      </c>
      <c r="AA578" s="12">
        <f>AVERAGE((grand[[#This Row],[am]]/25),(grand[[#This Row],[pm]]/50))</f>
        <v>1</v>
      </c>
      <c r="AB578" s="3">
        <f>grand[[#This Row],[ carcass weight]]/grand[[#This Row],[total weight]]</f>
        <v>0.60002304147465435</v>
      </c>
      <c r="AC578" s="19">
        <f>SUM(grand[[#This Row],[am]:[meat transportation]])/100</f>
        <v>0.93500000000000005</v>
      </c>
      <c r="AD578" s="2"/>
      <c r="AJ578" s="1">
        <v>1</v>
      </c>
      <c r="AK578" s="20"/>
      <c r="AL578" s="1"/>
    </row>
    <row r="579" spans="1:38" hidden="1" x14ac:dyDescent="0.2">
      <c r="A579" s="11">
        <v>44710</v>
      </c>
      <c r="B579" s="53" t="s">
        <v>1642</v>
      </c>
      <c r="C579" s="52" t="str">
        <f>IF(MID(B579,4,2)="09","Ramadan",IF(AND(MID(B579,4,2)="12",VALUE(LEFT(B579,2))&lt;=9),"Adha Season","Normal"))</f>
        <v>Normal</v>
      </c>
      <c r="D579" s="1" t="s">
        <v>45</v>
      </c>
      <c r="F579" s="4" t="s">
        <v>280</v>
      </c>
      <c r="G579" s="1">
        <v>33</v>
      </c>
      <c r="H579" s="15">
        <v>33</v>
      </c>
      <c r="I579" s="1">
        <f>grand[[#This Row],[number]]-grand[[#This Row],[received]]</f>
        <v>0</v>
      </c>
      <c r="J579" s="30"/>
      <c r="K579" s="9">
        <v>16020</v>
      </c>
      <c r="L579" s="9">
        <v>15585</v>
      </c>
      <c r="M579" s="2">
        <f>K579-L579</f>
        <v>435</v>
      </c>
      <c r="N579" s="9">
        <v>9747.1</v>
      </c>
      <c r="O579" s="9">
        <v>331</v>
      </c>
      <c r="P579" s="7">
        <f>grand[[#This Row],[total weight]]/grand[[#This Row],[received]]</f>
        <v>485.45454545454544</v>
      </c>
      <c r="Q579" s="7">
        <f>grand[[#This Row],[receiving weight]]/grand[[#This Row],[received]]</f>
        <v>472.27272727272725</v>
      </c>
      <c r="R579" s="7">
        <f>grand[[#This Row],[transportation loss ]]/grand[[#This Row],[received]]</f>
        <v>13.181818181818182</v>
      </c>
      <c r="S579" s="7">
        <f>grand[[#This Row],[ carcass weight]]/grand[[#This Row],[received]]</f>
        <v>295.36666666666667</v>
      </c>
      <c r="T579" s="7">
        <f>grand[[#This Row],[ kidneys fat quantity]]/grand[[#This Row],[received]]</f>
        <v>10.030303030303031</v>
      </c>
      <c r="U579" s="15">
        <v>24.696969696969695</v>
      </c>
      <c r="V579" s="15">
        <v>0</v>
      </c>
      <c r="W579" s="15">
        <v>49.787878787878789</v>
      </c>
      <c r="X579" s="15">
        <v>10</v>
      </c>
      <c r="Y579" s="8">
        <v>8.5</v>
      </c>
      <c r="Z579" s="18">
        <f>grand[[#This Row],[av. Transportation loss]]/grand[[#This Row],[av.total weight]]</f>
        <v>2.7153558052434457E-2</v>
      </c>
      <c r="AA579" s="12">
        <f>AVERAGE((grand[[#This Row],[am]]/25),(grand[[#This Row],[pm]]/50))</f>
        <v>0.99181818181818171</v>
      </c>
      <c r="AB579" s="3">
        <f>grand[[#This Row],[ carcass weight]]/grand[[#This Row],[total weight]]</f>
        <v>0.60843320848938831</v>
      </c>
      <c r="AC579" s="19">
        <f>SUM(grand[[#This Row],[am]:[meat transportation]])/100</f>
        <v>0.92984848484848481</v>
      </c>
      <c r="AD579" s="2" t="s">
        <v>97</v>
      </c>
      <c r="AJ579" s="1">
        <f>4+2</f>
        <v>6</v>
      </c>
      <c r="AK579" s="20"/>
      <c r="AL579" s="1">
        <v>6</v>
      </c>
    </row>
    <row r="580" spans="1:38" hidden="1" x14ac:dyDescent="0.2">
      <c r="A580" s="11">
        <v>44714</v>
      </c>
      <c r="B580" s="53" t="s">
        <v>1644</v>
      </c>
      <c r="C580" s="52" t="str">
        <f>IF(MID(B580,4,2)="09","Ramadan",IF(AND(MID(B580,4,2)="12",VALUE(LEFT(B580,2))&lt;=9),"Adha Season","Normal"))</f>
        <v>Normal</v>
      </c>
      <c r="D580" s="1" t="s">
        <v>45</v>
      </c>
      <c r="F580" s="4" t="s">
        <v>46</v>
      </c>
      <c r="G580" s="1">
        <v>41</v>
      </c>
      <c r="H580" s="15">
        <v>41</v>
      </c>
      <c r="I580" s="1">
        <f>grand[[#This Row],[number]]-grand[[#This Row],[received]]</f>
        <v>0</v>
      </c>
      <c r="J580" s="30"/>
      <c r="K580" s="9">
        <v>19360</v>
      </c>
      <c r="L580" s="9">
        <v>18235</v>
      </c>
      <c r="M580" s="2">
        <f>K580-L580</f>
        <v>1125</v>
      </c>
      <c r="N580" s="9">
        <v>11615.7</v>
      </c>
      <c r="O580" s="9">
        <v>383</v>
      </c>
      <c r="P580" s="7">
        <f>grand[[#This Row],[total weight]]/grand[[#This Row],[received]]</f>
        <v>472.19512195121951</v>
      </c>
      <c r="Q580" s="7">
        <f>grand[[#This Row],[receiving weight]]/grand[[#This Row],[received]]</f>
        <v>444.7560975609756</v>
      </c>
      <c r="R580" s="7">
        <f>grand[[#This Row],[transportation loss ]]/grand[[#This Row],[received]]</f>
        <v>27.439024390243901</v>
      </c>
      <c r="S580" s="7">
        <f>grand[[#This Row],[ carcass weight]]/grand[[#This Row],[received]]</f>
        <v>283.30975609756098</v>
      </c>
      <c r="T580" s="7">
        <f>grand[[#This Row],[ kidneys fat quantity]]/grand[[#This Row],[received]]</f>
        <v>9.3414634146341466</v>
      </c>
      <c r="U580" s="15">
        <v>24.878048780487806</v>
      </c>
      <c r="V580" s="15">
        <v>0</v>
      </c>
      <c r="W580" s="15">
        <v>48.682926829268297</v>
      </c>
      <c r="X580" s="15">
        <v>10</v>
      </c>
      <c r="Y580" s="8">
        <v>8.5</v>
      </c>
      <c r="Z580" s="18">
        <f>grand[[#This Row],[av. Transportation loss]]/grand[[#This Row],[av.total weight]]</f>
        <v>5.8109504132231406E-2</v>
      </c>
      <c r="AA580" s="12">
        <f>AVERAGE((grand[[#This Row],[am]]/25),(grand[[#This Row],[pm]]/50))</f>
        <v>0.98439024390243901</v>
      </c>
      <c r="AB580" s="3">
        <f>grand[[#This Row],[ carcass weight]]/grand[[#This Row],[total weight]]</f>
        <v>0.59998450413223148</v>
      </c>
      <c r="AC580" s="19">
        <f>SUM(grand[[#This Row],[am]:[meat transportation]])/100</f>
        <v>0.92060975609756102</v>
      </c>
      <c r="AD580" s="2" t="s">
        <v>431</v>
      </c>
      <c r="AJ580" s="1">
        <v>8</v>
      </c>
      <c r="AK580" s="20"/>
      <c r="AL580" s="1">
        <v>26</v>
      </c>
    </row>
    <row r="581" spans="1:38" hidden="1" x14ac:dyDescent="0.2">
      <c r="A581" s="11">
        <v>44721</v>
      </c>
      <c r="B581" s="53" t="s">
        <v>1648</v>
      </c>
      <c r="C581" s="52" t="str">
        <f>IF(MID(B581,4,2)="09","Ramadan",IF(AND(MID(B581,4,2)="12",VALUE(LEFT(B581,2))&lt;=9),"Adha Season","Normal"))</f>
        <v>Normal</v>
      </c>
      <c r="D581" s="1" t="s">
        <v>45</v>
      </c>
      <c r="F581" s="4" t="s">
        <v>46</v>
      </c>
      <c r="G581" s="1">
        <v>44</v>
      </c>
      <c r="H581" s="15">
        <v>44</v>
      </c>
      <c r="I581" s="1">
        <f>grand[[#This Row],[number]]-grand[[#This Row],[received]]</f>
        <v>0</v>
      </c>
      <c r="J581" s="30"/>
      <c r="K581" s="9">
        <v>20535</v>
      </c>
      <c r="L581" s="9">
        <v>19055</v>
      </c>
      <c r="M581" s="2">
        <f>K581-L581</f>
        <v>1480</v>
      </c>
      <c r="N581" s="9">
        <v>12321.5</v>
      </c>
      <c r="O581" s="9">
        <v>434</v>
      </c>
      <c r="P581" s="7">
        <f>grand[[#This Row],[total weight]]/grand[[#This Row],[received]]</f>
        <v>466.70454545454544</v>
      </c>
      <c r="Q581" s="7">
        <f>grand[[#This Row],[receiving weight]]/grand[[#This Row],[received]]</f>
        <v>433.06818181818181</v>
      </c>
      <c r="R581" s="7">
        <f>grand[[#This Row],[transportation loss ]]/grand[[#This Row],[received]]</f>
        <v>33.636363636363633</v>
      </c>
      <c r="S581" s="7">
        <f>grand[[#This Row],[ carcass weight]]/grand[[#This Row],[received]]</f>
        <v>280.03409090909093</v>
      </c>
      <c r="T581" s="7">
        <f>grand[[#This Row],[ kidneys fat quantity]]/grand[[#This Row],[received]]</f>
        <v>9.8636363636363633</v>
      </c>
      <c r="U581" s="15">
        <v>25</v>
      </c>
      <c r="V581" s="15">
        <v>0</v>
      </c>
      <c r="W581" s="15">
        <v>49.954545454545453</v>
      </c>
      <c r="X581" s="15">
        <v>10</v>
      </c>
      <c r="Y581" s="8">
        <v>8.5</v>
      </c>
      <c r="Z581" s="18">
        <f>grand[[#This Row],[av. Transportation loss]]/grand[[#This Row],[av.total weight]]</f>
        <v>7.2072072072072071E-2</v>
      </c>
      <c r="AA581" s="12">
        <f>AVERAGE((grand[[#This Row],[am]]/25),(grand[[#This Row],[pm]]/50))</f>
        <v>0.99954545454545451</v>
      </c>
      <c r="AB581" s="3">
        <f>grand[[#This Row],[ carcass weight]]/grand[[#This Row],[total weight]]</f>
        <v>0.60002434867299737</v>
      </c>
      <c r="AC581" s="19">
        <f>SUM(grand[[#This Row],[am]:[meat transportation]])/100</f>
        <v>0.93454545454545457</v>
      </c>
      <c r="AD581" s="2"/>
      <c r="AJ581" s="1">
        <v>2</v>
      </c>
      <c r="AK581" s="20"/>
      <c r="AL581" s="1">
        <v>0</v>
      </c>
    </row>
    <row r="582" spans="1:38" hidden="1" x14ac:dyDescent="0.2">
      <c r="A582" s="11">
        <v>44724</v>
      </c>
      <c r="B582" s="53" t="s">
        <v>1650</v>
      </c>
      <c r="C582" s="52" t="str">
        <f>IF(MID(B582,4,2)="09","Ramadan",IF(AND(MID(B582,4,2)="12",VALUE(LEFT(B582,2))&lt;=9),"Adha Season","Normal"))</f>
        <v>Normal</v>
      </c>
      <c r="D582" s="1" t="s">
        <v>45</v>
      </c>
      <c r="F582" s="4" t="s">
        <v>280</v>
      </c>
      <c r="G582" s="1">
        <v>42</v>
      </c>
      <c r="H582" s="15">
        <v>42</v>
      </c>
      <c r="I582" s="1">
        <f>grand[[#This Row],[number]]-grand[[#This Row],[received]]</f>
        <v>0</v>
      </c>
      <c r="J582" s="30"/>
      <c r="K582" s="9">
        <v>19644</v>
      </c>
      <c r="L582" s="9">
        <v>19644</v>
      </c>
      <c r="M582" s="2">
        <f>K582-L582</f>
        <v>0</v>
      </c>
      <c r="N582" s="9">
        <v>12107.2</v>
      </c>
      <c r="O582" s="9">
        <v>273</v>
      </c>
      <c r="P582" s="7">
        <f>grand[[#This Row],[total weight]]/grand[[#This Row],[received]]</f>
        <v>467.71428571428572</v>
      </c>
      <c r="Q582" s="7">
        <f>grand[[#This Row],[receiving weight]]/grand[[#This Row],[received]]</f>
        <v>467.71428571428572</v>
      </c>
      <c r="R582" s="7">
        <f>grand[[#This Row],[transportation loss ]]/grand[[#This Row],[received]]</f>
        <v>0</v>
      </c>
      <c r="S582" s="7">
        <f>grand[[#This Row],[ carcass weight]]/grand[[#This Row],[received]]</f>
        <v>288.26666666666671</v>
      </c>
      <c r="T582" s="7">
        <f>grand[[#This Row],[ kidneys fat quantity]]/grand[[#This Row],[received]]</f>
        <v>6.5</v>
      </c>
      <c r="U582" s="15">
        <v>25</v>
      </c>
      <c r="V582" s="15">
        <v>0</v>
      </c>
      <c r="W582" s="15">
        <v>48.761904761904759</v>
      </c>
      <c r="X582" s="15">
        <v>10</v>
      </c>
      <c r="Y582" s="8">
        <v>8.5</v>
      </c>
      <c r="Z582" s="18">
        <f>grand[[#This Row],[av. Transportation loss]]/grand[[#This Row],[av.total weight]]</f>
        <v>0</v>
      </c>
      <c r="AA582" s="12">
        <f>AVERAGE((grand[[#This Row],[am]]/25),(grand[[#This Row],[pm]]/50))</f>
        <v>0.98761904761904762</v>
      </c>
      <c r="AB582" s="3">
        <f>grand[[#This Row],[ carcass weight]]/grand[[#This Row],[total weight]]</f>
        <v>0.61633068621462028</v>
      </c>
      <c r="AC582" s="19">
        <f>SUM(grand[[#This Row],[am]:[meat transportation]])/100</f>
        <v>0.92261904761904756</v>
      </c>
      <c r="AD582" s="2" t="s">
        <v>182</v>
      </c>
      <c r="AJ582" s="1">
        <v>9</v>
      </c>
      <c r="AK582" s="20"/>
      <c r="AL582" s="1">
        <v>6</v>
      </c>
    </row>
    <row r="583" spans="1:38" hidden="1" x14ac:dyDescent="0.2">
      <c r="A583" s="11">
        <v>44726</v>
      </c>
      <c r="B583" s="53" t="s">
        <v>1651</v>
      </c>
      <c r="C583" s="52" t="str">
        <f>IF(MID(B583,4,2)="09","Ramadan",IF(AND(MID(B583,4,2)="12",VALUE(LEFT(B583,2))&lt;=9),"Adha Season","Normal"))</f>
        <v>Normal</v>
      </c>
      <c r="D583" s="1" t="s">
        <v>45</v>
      </c>
      <c r="E583" s="1" t="s">
        <v>482</v>
      </c>
      <c r="F583" s="4" t="s">
        <v>39</v>
      </c>
      <c r="G583" s="1">
        <v>16</v>
      </c>
      <c r="H583" s="15">
        <v>16</v>
      </c>
      <c r="I583" s="1">
        <f>grand[[#This Row],[number]]-grand[[#This Row],[received]]</f>
        <v>0</v>
      </c>
      <c r="J583" s="30"/>
      <c r="K583" s="9">
        <v>8836</v>
      </c>
      <c r="L583" s="9">
        <v>8836</v>
      </c>
      <c r="M583" s="2">
        <f>K583-L583</f>
        <v>0</v>
      </c>
      <c r="N583" s="9">
        <v>5683.5</v>
      </c>
      <c r="O583" s="9">
        <v>101</v>
      </c>
      <c r="P583" s="7">
        <f>grand[[#This Row],[total weight]]/grand[[#This Row],[received]]</f>
        <v>552.25</v>
      </c>
      <c r="Q583" s="7">
        <f>grand[[#This Row],[receiving weight]]/grand[[#This Row],[received]]</f>
        <v>552.25</v>
      </c>
      <c r="R583" s="7">
        <f>grand[[#This Row],[transportation loss ]]/grand[[#This Row],[received]]</f>
        <v>0</v>
      </c>
      <c r="S583" s="7">
        <f>grand[[#This Row],[ carcass weight]]/grand[[#This Row],[received]]</f>
        <v>355.21875</v>
      </c>
      <c r="T583" s="7">
        <f>grand[[#This Row],[ kidneys fat quantity]]/grand[[#This Row],[received]]</f>
        <v>6.3125</v>
      </c>
      <c r="U583" s="15">
        <v>25</v>
      </c>
      <c r="V583" s="15">
        <v>0</v>
      </c>
      <c r="W583" s="15">
        <v>49.5625</v>
      </c>
      <c r="X583" s="15">
        <v>10</v>
      </c>
      <c r="Y583" s="8">
        <v>8.5</v>
      </c>
      <c r="Z583" s="20">
        <f>grand[[#This Row],[av. Transportation loss]]/grand[[#This Row],[av.total weight]]</f>
        <v>0</v>
      </c>
      <c r="AA583" s="12">
        <f>AVERAGE((grand[[#This Row],[am]]/25),(grand[[#This Row],[pm]]/50))</f>
        <v>0.99562499999999998</v>
      </c>
      <c r="AB583" s="12">
        <f>grand[[#This Row],[ carcass weight]]/grand[[#This Row],[total weight]]</f>
        <v>0.64322091444092344</v>
      </c>
      <c r="AC583" s="22">
        <f>SUM(grand[[#This Row],[am]:[meat transportation]])/100</f>
        <v>0.93062500000000004</v>
      </c>
      <c r="AD583" s="2" t="s">
        <v>188</v>
      </c>
      <c r="AJ583" s="1">
        <v>0</v>
      </c>
      <c r="AK583" s="20"/>
      <c r="AL583" s="1">
        <v>0</v>
      </c>
    </row>
    <row r="584" spans="1:38" hidden="1" x14ac:dyDescent="0.2">
      <c r="A584" s="11">
        <v>44728</v>
      </c>
      <c r="B584" s="53" t="s">
        <v>1652</v>
      </c>
      <c r="C584" s="52" t="str">
        <f>IF(MID(B584,4,2)="09","Ramadan",IF(AND(MID(B584,4,2)="12",VALUE(LEFT(B584,2))&lt;=9),"Adha Season","Normal"))</f>
        <v>Normal</v>
      </c>
      <c r="D584" s="1" t="s">
        <v>45</v>
      </c>
      <c r="F584" s="4" t="s">
        <v>46</v>
      </c>
      <c r="G584" s="1">
        <v>36</v>
      </c>
      <c r="H584" s="15">
        <v>36</v>
      </c>
      <c r="I584" s="1">
        <f>grand[[#This Row],[number]]-grand[[#This Row],[received]]</f>
        <v>0</v>
      </c>
      <c r="J584" s="30"/>
      <c r="K584" s="9">
        <v>17300</v>
      </c>
      <c r="L584" s="9">
        <v>16345</v>
      </c>
      <c r="M584" s="2">
        <f>K584-L584</f>
        <v>955</v>
      </c>
      <c r="N584" s="9">
        <v>10380.799999999999</v>
      </c>
      <c r="O584" s="9">
        <v>364</v>
      </c>
      <c r="P584" s="7">
        <f>grand[[#This Row],[total weight]]/grand[[#This Row],[received]]</f>
        <v>480.55555555555554</v>
      </c>
      <c r="Q584" s="7">
        <f>grand[[#This Row],[receiving weight]]/grand[[#This Row],[received]]</f>
        <v>454.02777777777777</v>
      </c>
      <c r="R584" s="7">
        <f>grand[[#This Row],[transportation loss ]]/grand[[#This Row],[received]]</f>
        <v>26.527777777777779</v>
      </c>
      <c r="S584" s="7">
        <f>grand[[#This Row],[ carcass weight]]/grand[[#This Row],[received]]</f>
        <v>288.35555555555555</v>
      </c>
      <c r="T584" s="7">
        <f>grand[[#This Row],[ kidneys fat quantity]]/grand[[#This Row],[received]]</f>
        <v>10.111111111111111</v>
      </c>
      <c r="U584" s="15">
        <v>25</v>
      </c>
      <c r="V584" s="15">
        <v>0</v>
      </c>
      <c r="W584" s="15">
        <v>49.805555555555557</v>
      </c>
      <c r="X584" s="15">
        <v>10</v>
      </c>
      <c r="Y584" s="8">
        <v>8.5</v>
      </c>
      <c r="Z584" s="20">
        <f>grand[[#This Row],[av. Transportation loss]]/grand[[#This Row],[av.total weight]]</f>
        <v>5.5202312138728324E-2</v>
      </c>
      <c r="AA584" s="12">
        <f>AVERAGE((grand[[#This Row],[am]]/25),(grand[[#This Row],[pm]]/50))</f>
        <v>0.99805555555555558</v>
      </c>
      <c r="AB584" s="12">
        <f>grand[[#This Row],[ carcass weight]]/grand[[#This Row],[total weight]]</f>
        <v>0.60004624277456642</v>
      </c>
      <c r="AC584" s="22">
        <f>SUM(grand[[#This Row],[am]:[meat transportation]])/100</f>
        <v>0.93305555555555553</v>
      </c>
      <c r="AD584" s="2" t="s">
        <v>188</v>
      </c>
      <c r="AJ584" s="1">
        <v>4</v>
      </c>
      <c r="AK584" s="20"/>
      <c r="AL584" s="1">
        <v>1</v>
      </c>
    </row>
    <row r="585" spans="1:38" hidden="1" x14ac:dyDescent="0.2">
      <c r="A585" s="11">
        <v>44730</v>
      </c>
      <c r="B585" s="53" t="s">
        <v>1653</v>
      </c>
      <c r="C585" s="52" t="str">
        <f>IF(MID(B585,4,2)="09","Ramadan",IF(AND(MID(B585,4,2)="12",VALUE(LEFT(B585,2))&lt;=9),"Adha Season","Normal"))</f>
        <v>Normal</v>
      </c>
      <c r="D585" s="1" t="s">
        <v>45</v>
      </c>
      <c r="F585" s="4" t="s">
        <v>46</v>
      </c>
      <c r="G585" s="1">
        <v>21</v>
      </c>
      <c r="H585" s="15">
        <v>21</v>
      </c>
      <c r="I585" s="1">
        <f>grand[[#This Row],[number]]-grand[[#This Row],[received]]</f>
        <v>0</v>
      </c>
      <c r="J585" s="30"/>
      <c r="K585" s="9">
        <v>8992</v>
      </c>
      <c r="L585" s="9">
        <v>8740</v>
      </c>
      <c r="M585" s="2">
        <f>K585-L585</f>
        <v>252</v>
      </c>
      <c r="N585" s="9">
        <v>5395.4</v>
      </c>
      <c r="O585" s="9">
        <v>145</v>
      </c>
      <c r="P585" s="7">
        <f>grand[[#This Row],[total weight]]/grand[[#This Row],[received]]</f>
        <v>428.1904761904762</v>
      </c>
      <c r="Q585" s="7">
        <f>grand[[#This Row],[receiving weight]]/grand[[#This Row],[received]]</f>
        <v>416.1904761904762</v>
      </c>
      <c r="R585" s="7">
        <f>grand[[#This Row],[transportation loss ]]/grand[[#This Row],[received]]</f>
        <v>12</v>
      </c>
      <c r="S585" s="7">
        <f>grand[[#This Row],[ carcass weight]]/grand[[#This Row],[received]]</f>
        <v>256.9238095238095</v>
      </c>
      <c r="T585" s="7">
        <f>grand[[#This Row],[ kidneys fat quantity]]/grand[[#This Row],[received]]</f>
        <v>6.9047619047619051</v>
      </c>
      <c r="U585" s="15">
        <v>25</v>
      </c>
      <c r="V585" s="15">
        <v>0</v>
      </c>
      <c r="W585" s="15">
        <v>50</v>
      </c>
      <c r="X585" s="15">
        <v>10</v>
      </c>
      <c r="Y585" s="8">
        <v>8.5</v>
      </c>
      <c r="Z585" s="20">
        <f>grand[[#This Row],[av. Transportation loss]]/grand[[#This Row],[av.total weight]]</f>
        <v>2.802491103202847E-2</v>
      </c>
      <c r="AA585" s="12">
        <f>AVERAGE((grand[[#This Row],[am]]/25),(grand[[#This Row],[pm]]/50))</f>
        <v>1</v>
      </c>
      <c r="AB585" s="12">
        <f>grand[[#This Row],[ carcass weight]]/grand[[#This Row],[total weight]]</f>
        <v>0.60002224199288257</v>
      </c>
      <c r="AC585" s="22">
        <f>SUM(grand[[#This Row],[am]:[meat transportation]])/100</f>
        <v>0.93500000000000005</v>
      </c>
      <c r="AD585" s="2"/>
      <c r="AJ585" s="1">
        <v>4</v>
      </c>
      <c r="AK585" s="20"/>
      <c r="AL585" s="1">
        <v>0</v>
      </c>
    </row>
    <row r="586" spans="1:38" hidden="1" x14ac:dyDescent="0.2">
      <c r="A586" s="11">
        <v>44731</v>
      </c>
      <c r="B586" s="53" t="s">
        <v>1654</v>
      </c>
      <c r="C586" s="52" t="str">
        <f>IF(MID(B586,4,2)="09","Ramadan",IF(AND(MID(B586,4,2)="12",VALUE(LEFT(B586,2))&lt;=9),"Adha Season","Normal"))</f>
        <v>Normal</v>
      </c>
      <c r="D586" s="1" t="s">
        <v>45</v>
      </c>
      <c r="F586" s="4" t="s">
        <v>280</v>
      </c>
      <c r="G586" s="1">
        <v>20</v>
      </c>
      <c r="H586" s="15">
        <v>20</v>
      </c>
      <c r="I586" s="1">
        <f>grand[[#This Row],[number]]-grand[[#This Row],[received]]</f>
        <v>0</v>
      </c>
      <c r="J586" s="30"/>
      <c r="K586" s="9">
        <v>9367</v>
      </c>
      <c r="L586" s="9">
        <v>8980</v>
      </c>
      <c r="M586" s="2">
        <f>K586-L586</f>
        <v>387</v>
      </c>
      <c r="N586" s="9">
        <v>5738.7</v>
      </c>
      <c r="O586" s="9">
        <v>180</v>
      </c>
      <c r="P586" s="7">
        <f>grand[[#This Row],[total weight]]/grand[[#This Row],[received]]</f>
        <v>468.35</v>
      </c>
      <c r="Q586" s="7">
        <f>grand[[#This Row],[receiving weight]]/grand[[#This Row],[received]]</f>
        <v>449</v>
      </c>
      <c r="R586" s="7">
        <f>grand[[#This Row],[transportation loss ]]/grand[[#This Row],[received]]</f>
        <v>19.350000000000001</v>
      </c>
      <c r="S586" s="7">
        <f>grand[[#This Row],[ carcass weight]]/grand[[#This Row],[received]]</f>
        <v>286.935</v>
      </c>
      <c r="T586" s="7">
        <f>grand[[#This Row],[ kidneys fat quantity]]/grand[[#This Row],[received]]</f>
        <v>9</v>
      </c>
      <c r="U586" s="15">
        <v>25</v>
      </c>
      <c r="V586" s="15">
        <v>0</v>
      </c>
      <c r="W586" s="15">
        <v>49.9</v>
      </c>
      <c r="X586" s="15">
        <v>10</v>
      </c>
      <c r="Y586" s="8">
        <v>8.5</v>
      </c>
      <c r="Z586" s="20">
        <f>grand[[#This Row],[av. Transportation loss]]/grand[[#This Row],[av.total weight]]</f>
        <v>4.1315255684851074E-2</v>
      </c>
      <c r="AA586" s="12">
        <f>AVERAGE((grand[[#This Row],[am]]/25),(grand[[#This Row],[pm]]/50))</f>
        <v>0.999</v>
      </c>
      <c r="AB586" s="12">
        <f>grand[[#This Row],[ carcass weight]]/grand[[#This Row],[total weight]]</f>
        <v>0.61265079534536138</v>
      </c>
      <c r="AC586" s="22">
        <f>SUM(grand[[#This Row],[am]:[meat transportation]])/100</f>
        <v>0.93400000000000005</v>
      </c>
      <c r="AD586" s="2"/>
      <c r="AJ586" s="1">
        <v>1</v>
      </c>
      <c r="AK586" s="20"/>
      <c r="AL586" s="1">
        <v>1</v>
      </c>
    </row>
    <row r="587" spans="1:38" hidden="1" x14ac:dyDescent="0.2">
      <c r="A587" s="11">
        <v>44731</v>
      </c>
      <c r="B587" s="53" t="s">
        <v>1654</v>
      </c>
      <c r="C587" s="52" t="str">
        <f>IF(MID(B587,4,2)="09","Ramadan",IF(AND(MID(B587,4,2)="12",VALUE(LEFT(B587,2))&lt;=9),"Adha Season","Normal"))</f>
        <v>Normal</v>
      </c>
      <c r="D587" s="1" t="s">
        <v>45</v>
      </c>
      <c r="F587" s="4" t="s">
        <v>280</v>
      </c>
      <c r="G587" s="1">
        <v>16</v>
      </c>
      <c r="H587" s="15">
        <v>16</v>
      </c>
      <c r="I587" s="1">
        <f>grand[[#This Row],[number]]-grand[[#This Row],[received]]</f>
        <v>0</v>
      </c>
      <c r="J587" s="30"/>
      <c r="K587" s="9">
        <v>7700</v>
      </c>
      <c r="L587" s="9">
        <v>7525</v>
      </c>
      <c r="M587" s="2">
        <f>K587-L587</f>
        <v>175</v>
      </c>
      <c r="N587" s="9">
        <v>4768</v>
      </c>
      <c r="O587" s="9">
        <v>81</v>
      </c>
      <c r="P587" s="7">
        <f>grand[[#This Row],[total weight]]/grand[[#This Row],[received]]</f>
        <v>481.25</v>
      </c>
      <c r="Q587" s="7">
        <f>grand[[#This Row],[receiving weight]]/grand[[#This Row],[received]]</f>
        <v>470.3125</v>
      </c>
      <c r="R587" s="7">
        <f>grand[[#This Row],[transportation loss ]]/grand[[#This Row],[received]]</f>
        <v>10.9375</v>
      </c>
      <c r="S587" s="7">
        <f>grand[[#This Row],[ carcass weight]]/grand[[#This Row],[received]]</f>
        <v>298</v>
      </c>
      <c r="T587" s="7">
        <f>grand[[#This Row],[ kidneys fat quantity]]/grand[[#This Row],[received]]</f>
        <v>5.0625</v>
      </c>
      <c r="U587" s="15">
        <v>25</v>
      </c>
      <c r="V587" s="15">
        <v>0</v>
      </c>
      <c r="W587" s="15">
        <v>46.875</v>
      </c>
      <c r="X587" s="15">
        <v>10</v>
      </c>
      <c r="Y587" s="8">
        <v>8.5</v>
      </c>
      <c r="Z587" s="20">
        <f>grand[[#This Row],[av. Transportation loss]]/grand[[#This Row],[av.total weight]]</f>
        <v>2.2727272727272728E-2</v>
      </c>
      <c r="AA587" s="12">
        <f>AVERAGE((grand[[#This Row],[am]]/25),(grand[[#This Row],[pm]]/50))</f>
        <v>0.96875</v>
      </c>
      <c r="AB587" s="12">
        <f>grand[[#This Row],[ carcass weight]]/grand[[#This Row],[total weight]]</f>
        <v>0.61922077922077923</v>
      </c>
      <c r="AC587" s="22">
        <f>SUM(grand[[#This Row],[am]:[meat transportation]])/100</f>
        <v>0.90375000000000005</v>
      </c>
      <c r="AD587" s="2"/>
      <c r="AJ587" s="1">
        <v>1</v>
      </c>
      <c r="AK587" s="20"/>
      <c r="AL587" s="1">
        <v>0</v>
      </c>
    </row>
    <row r="588" spans="1:38" hidden="1" x14ac:dyDescent="0.2">
      <c r="A588" s="11">
        <v>44733</v>
      </c>
      <c r="B588" s="53" t="s">
        <v>1655</v>
      </c>
      <c r="C588" s="52" t="str">
        <f>IF(MID(B588,4,2)="09","Ramadan",IF(AND(MID(B588,4,2)="12",VALUE(LEFT(B588,2))&lt;=9),"Adha Season","Normal"))</f>
        <v>Normal</v>
      </c>
      <c r="D588" s="1" t="s">
        <v>45</v>
      </c>
      <c r="E588" s="1" t="s">
        <v>482</v>
      </c>
      <c r="F588" s="4" t="s">
        <v>39</v>
      </c>
      <c r="G588" s="1">
        <v>6</v>
      </c>
      <c r="H588" s="15">
        <v>6</v>
      </c>
      <c r="I588" s="1">
        <f>grand[[#This Row],[number]]-grand[[#This Row],[received]]</f>
        <v>0</v>
      </c>
      <c r="J588" s="30"/>
      <c r="K588" s="9">
        <v>3267</v>
      </c>
      <c r="L588" s="9">
        <v>3061</v>
      </c>
      <c r="M588" s="2">
        <f>K588-L588</f>
        <v>206</v>
      </c>
      <c r="N588" s="9">
        <v>2061</v>
      </c>
      <c r="O588" s="9">
        <v>37</v>
      </c>
      <c r="P588" s="7">
        <f>grand[[#This Row],[total weight]]/grand[[#This Row],[received]]</f>
        <v>544.5</v>
      </c>
      <c r="Q588" s="7">
        <f>grand[[#This Row],[receiving weight]]/grand[[#This Row],[received]]</f>
        <v>510.16666666666669</v>
      </c>
      <c r="R588" s="7">
        <f>grand[[#This Row],[transportation loss ]]/grand[[#This Row],[received]]</f>
        <v>34.333333333333336</v>
      </c>
      <c r="S588" s="7">
        <f>grand[[#This Row],[ carcass weight]]/grand[[#This Row],[received]]</f>
        <v>343.5</v>
      </c>
      <c r="T588" s="7">
        <f>grand[[#This Row],[ kidneys fat quantity]]/grand[[#This Row],[received]]</f>
        <v>6.166666666666667</v>
      </c>
      <c r="U588" s="15">
        <v>25</v>
      </c>
      <c r="V588" s="15">
        <v>0</v>
      </c>
      <c r="W588" s="15">
        <v>49.166666666666671</v>
      </c>
      <c r="X588" s="15">
        <v>10</v>
      </c>
      <c r="Y588" s="8">
        <v>8.5</v>
      </c>
      <c r="Z588" s="20">
        <f>grand[[#This Row],[av. Transportation loss]]/grand[[#This Row],[av.total weight]]</f>
        <v>6.305479032751761E-2</v>
      </c>
      <c r="AA588" s="12">
        <f>AVERAGE((grand[[#This Row],[am]]/25),(grand[[#This Row],[pm]]/50))</f>
        <v>0.9916666666666667</v>
      </c>
      <c r="AB588" s="12">
        <f>grand[[#This Row],[ carcass weight]]/grand[[#This Row],[total weight]]</f>
        <v>0.63085399449035817</v>
      </c>
      <c r="AC588" s="22">
        <f>SUM(grand[[#This Row],[am]:[meat transportation]])/100</f>
        <v>0.92666666666666675</v>
      </c>
      <c r="AD588" s="2"/>
      <c r="AJ588" s="1">
        <v>0</v>
      </c>
      <c r="AK588" s="20"/>
      <c r="AL588" s="1">
        <v>0</v>
      </c>
    </row>
    <row r="589" spans="1:38" hidden="1" x14ac:dyDescent="0.2">
      <c r="A589" s="11">
        <v>44737</v>
      </c>
      <c r="B589" s="53" t="s">
        <v>1657</v>
      </c>
      <c r="C589" s="52" t="str">
        <f>IF(MID(B589,4,2)="09","Ramadan",IF(AND(MID(B589,4,2)="12",VALUE(LEFT(B589,2))&lt;=9),"Adha Season","Normal"))</f>
        <v>Normal</v>
      </c>
      <c r="D589" s="1" t="s">
        <v>45</v>
      </c>
      <c r="E589" s="1" t="s">
        <v>482</v>
      </c>
      <c r="F589" s="4" t="s">
        <v>39</v>
      </c>
      <c r="G589" s="1">
        <v>31</v>
      </c>
      <c r="H589" s="15">
        <v>31</v>
      </c>
      <c r="I589" s="1">
        <f>grand[[#This Row],[number]]-grand[[#This Row],[received]]</f>
        <v>0</v>
      </c>
      <c r="J589" s="30"/>
      <c r="K589" s="9">
        <v>17309</v>
      </c>
      <c r="L589" s="9">
        <v>16550</v>
      </c>
      <c r="M589" s="2">
        <f>K589-L589</f>
        <v>759</v>
      </c>
      <c r="N589" s="9">
        <v>10780.1</v>
      </c>
      <c r="O589" s="9">
        <v>215</v>
      </c>
      <c r="P589" s="7">
        <f>grand[[#This Row],[total weight]]/grand[[#This Row],[received]]</f>
        <v>558.35483870967744</v>
      </c>
      <c r="Q589" s="7">
        <f>grand[[#This Row],[receiving weight]]/grand[[#This Row],[received]]</f>
        <v>533.87096774193549</v>
      </c>
      <c r="R589" s="7">
        <f>grand[[#This Row],[transportation loss ]]/grand[[#This Row],[received]]</f>
        <v>24.483870967741936</v>
      </c>
      <c r="S589" s="7">
        <f>grand[[#This Row],[ carcass weight]]/grand[[#This Row],[received]]</f>
        <v>347.74516129032259</v>
      </c>
      <c r="T589" s="7">
        <f>grand[[#This Row],[ kidneys fat quantity]]/grand[[#This Row],[received]]</f>
        <v>6.935483870967742</v>
      </c>
      <c r="U589" s="15">
        <v>25</v>
      </c>
      <c r="V589" s="15">
        <v>0</v>
      </c>
      <c r="W589" s="15">
        <v>49.258064516129032</v>
      </c>
      <c r="X589" s="15">
        <v>10</v>
      </c>
      <c r="Y589" s="8">
        <v>8.5</v>
      </c>
      <c r="Z589" s="20">
        <f>grand[[#This Row],[av. Transportation loss]]/grand[[#This Row],[av.total weight]]</f>
        <v>4.3850020220694438E-2</v>
      </c>
      <c r="AA589" s="12">
        <f>AVERAGE((grand[[#This Row],[am]]/25),(grand[[#This Row],[pm]]/50))</f>
        <v>0.9925806451612903</v>
      </c>
      <c r="AB589" s="12">
        <f>grand[[#This Row],[ carcass weight]]/grand[[#This Row],[total weight]]</f>
        <v>0.62280316598301466</v>
      </c>
      <c r="AC589" s="22">
        <f>SUM(grand[[#This Row],[am]:[meat transportation]])/100</f>
        <v>0.92758064516129024</v>
      </c>
      <c r="AD589" s="2" t="s">
        <v>437</v>
      </c>
      <c r="AJ589" s="1">
        <v>0</v>
      </c>
      <c r="AK589" s="20"/>
      <c r="AL589" s="1">
        <v>4.5</v>
      </c>
    </row>
    <row r="590" spans="1:38" hidden="1" x14ac:dyDescent="0.2">
      <c r="A590" s="11">
        <v>44738</v>
      </c>
      <c r="B590" s="53" t="s">
        <v>1658</v>
      </c>
      <c r="C590" s="52" t="str">
        <f>IF(MID(B590,4,2)="09","Ramadan",IF(AND(MID(B590,4,2)="12",VALUE(LEFT(B590,2))&lt;=9),"Adha Season","Normal"))</f>
        <v>Normal</v>
      </c>
      <c r="D590" s="1" t="s">
        <v>45</v>
      </c>
      <c r="F590" s="4" t="s">
        <v>280</v>
      </c>
      <c r="G590" s="1">
        <v>24</v>
      </c>
      <c r="H590" s="15">
        <v>24</v>
      </c>
      <c r="I590" s="1">
        <f>grand[[#This Row],[number]]-grand[[#This Row],[received]]</f>
        <v>0</v>
      </c>
      <c r="J590" s="30"/>
      <c r="K590" s="9">
        <v>11773</v>
      </c>
      <c r="L590" s="9">
        <v>11410</v>
      </c>
      <c r="M590" s="2">
        <f>K590-L590</f>
        <v>363</v>
      </c>
      <c r="N590" s="9">
        <v>7063.5</v>
      </c>
      <c r="O590" s="9">
        <v>242</v>
      </c>
      <c r="P590" s="7">
        <f>grand[[#This Row],[total weight]]/grand[[#This Row],[received]]</f>
        <v>490.54166666666669</v>
      </c>
      <c r="Q590" s="7">
        <f>grand[[#This Row],[receiving weight]]/grand[[#This Row],[received]]</f>
        <v>475.41666666666669</v>
      </c>
      <c r="R590" s="7">
        <f>grand[[#This Row],[transportation loss ]]/grand[[#This Row],[received]]</f>
        <v>15.125</v>
      </c>
      <c r="S590" s="7">
        <f>grand[[#This Row],[ carcass weight]]/grand[[#This Row],[received]]</f>
        <v>294.3125</v>
      </c>
      <c r="T590" s="7">
        <f>grand[[#This Row],[ kidneys fat quantity]]/grand[[#This Row],[received]]</f>
        <v>10.083333333333334</v>
      </c>
      <c r="U590" s="15">
        <v>25</v>
      </c>
      <c r="V590" s="15">
        <v>0</v>
      </c>
      <c r="W590" s="15">
        <v>50</v>
      </c>
      <c r="X590" s="15">
        <v>10</v>
      </c>
      <c r="Y590" s="8">
        <v>8.5</v>
      </c>
      <c r="Z590" s="20">
        <f>grand[[#This Row],[av. Transportation loss]]/grand[[#This Row],[av.total weight]]</f>
        <v>3.0833262549902318E-2</v>
      </c>
      <c r="AA590" s="12">
        <f>AVERAGE((grand[[#This Row],[am]]/25),(grand[[#This Row],[pm]]/50))</f>
        <v>1</v>
      </c>
      <c r="AB590" s="12">
        <f>grand[[#This Row],[ carcass weight]]/grand[[#This Row],[total weight]]</f>
        <v>0.59997451796483481</v>
      </c>
      <c r="AC590" s="22">
        <f>SUM(grand[[#This Row],[am]:[meat transportation]])/100</f>
        <v>0.93500000000000005</v>
      </c>
      <c r="AD590" s="2"/>
      <c r="AJ590" s="1">
        <v>3</v>
      </c>
      <c r="AK590" s="20"/>
      <c r="AL590" s="1">
        <v>0</v>
      </c>
    </row>
    <row r="591" spans="1:38" hidden="1" x14ac:dyDescent="0.2">
      <c r="A591" s="11">
        <v>44740</v>
      </c>
      <c r="B591" s="53" t="s">
        <v>1659</v>
      </c>
      <c r="C591" s="52" t="str">
        <f>IF(MID(B591,4,2)="09","Ramadan",IF(AND(MID(B591,4,2)="12",VALUE(LEFT(B591,2))&lt;=9),"Adha Season","Normal"))</f>
        <v>Normal</v>
      </c>
      <c r="D591" s="1" t="s">
        <v>45</v>
      </c>
      <c r="E591" s="1" t="s">
        <v>482</v>
      </c>
      <c r="F591" s="4" t="s">
        <v>39</v>
      </c>
      <c r="G591" s="1">
        <v>22</v>
      </c>
      <c r="H591" s="15">
        <v>22</v>
      </c>
      <c r="I591" s="1">
        <f>grand[[#This Row],[number]]-grand[[#This Row],[received]]</f>
        <v>0</v>
      </c>
      <c r="J591" s="30"/>
      <c r="K591" s="9">
        <v>11884</v>
      </c>
      <c r="L591" s="9">
        <v>11308</v>
      </c>
      <c r="M591" s="2">
        <f>K591-L591</f>
        <v>576</v>
      </c>
      <c r="N591" s="9">
        <v>7454</v>
      </c>
      <c r="O591" s="9">
        <v>127</v>
      </c>
      <c r="P591" s="7">
        <f>grand[[#This Row],[total weight]]/grand[[#This Row],[received]]</f>
        <v>540.18181818181813</v>
      </c>
      <c r="Q591" s="7">
        <f>grand[[#This Row],[receiving weight]]/grand[[#This Row],[received]]</f>
        <v>514</v>
      </c>
      <c r="R591" s="7">
        <f>grand[[#This Row],[transportation loss ]]/grand[[#This Row],[received]]</f>
        <v>26.181818181818183</v>
      </c>
      <c r="S591" s="7">
        <f>grand[[#This Row],[ carcass weight]]/grand[[#This Row],[received]]</f>
        <v>338.81818181818181</v>
      </c>
      <c r="T591" s="7">
        <f>grand[[#This Row],[ kidneys fat quantity]]/grand[[#This Row],[received]]</f>
        <v>5.7727272727272725</v>
      </c>
      <c r="U591" s="15">
        <v>25</v>
      </c>
      <c r="V591" s="15">
        <v>0</v>
      </c>
      <c r="W591" s="15">
        <v>49.68181818181818</v>
      </c>
      <c r="X591" s="15">
        <v>10</v>
      </c>
      <c r="Y591" s="8">
        <v>8.5</v>
      </c>
      <c r="Z591" s="20">
        <f>grand[[#This Row],[av. Transportation loss]]/grand[[#This Row],[av.total weight]]</f>
        <v>4.8468529114776178E-2</v>
      </c>
      <c r="AA591" s="12">
        <f>AVERAGE((grand[[#This Row],[am]]/25),(grand[[#This Row],[pm]]/50))</f>
        <v>0.99681818181818183</v>
      </c>
      <c r="AB591" s="12">
        <f>grand[[#This Row],[ carcass weight]]/grand[[#This Row],[total weight]]</f>
        <v>0.62722988892628739</v>
      </c>
      <c r="AC591" s="22">
        <f>SUM(grand[[#This Row],[am]:[meat transportation]])/100</f>
        <v>0.93181818181818188</v>
      </c>
      <c r="AD591" s="2" t="s">
        <v>89</v>
      </c>
      <c r="AJ591" s="1">
        <v>0</v>
      </c>
      <c r="AK591" s="20"/>
      <c r="AL591" s="1">
        <v>0</v>
      </c>
    </row>
    <row r="592" spans="1:38" hidden="1" x14ac:dyDescent="0.2">
      <c r="A592" s="11">
        <v>44742</v>
      </c>
      <c r="B592" s="53" t="s">
        <v>1660</v>
      </c>
      <c r="C592" s="52" t="str">
        <f>IF(MID(B592,4,2)="09","Ramadan",IF(AND(MID(B592,4,2)="12",VALUE(LEFT(B592,2))&lt;=9),"Adha Season","Normal"))</f>
        <v>Adha Season</v>
      </c>
      <c r="D592" s="2" t="s">
        <v>294</v>
      </c>
      <c r="F592" s="4" t="s">
        <v>46</v>
      </c>
      <c r="G592" s="1">
        <v>37</v>
      </c>
      <c r="H592" s="15">
        <v>37</v>
      </c>
      <c r="I592" s="1">
        <f>grand[[#This Row],[number]]-grand[[#This Row],[received]]</f>
        <v>0</v>
      </c>
      <c r="J592" s="30"/>
      <c r="K592" s="9">
        <v>1925</v>
      </c>
      <c r="L592" s="9">
        <v>1810</v>
      </c>
      <c r="M592" s="2">
        <f>K592-L592</f>
        <v>115</v>
      </c>
      <c r="N592" s="9">
        <v>1116</v>
      </c>
      <c r="O592" s="9"/>
      <c r="P592" s="7">
        <f>grand[[#This Row],[total weight]]/grand[[#This Row],[received]]</f>
        <v>52.027027027027025</v>
      </c>
      <c r="Q592" s="7">
        <f>grand[[#This Row],[receiving weight]]/grand[[#This Row],[received]]</f>
        <v>48.918918918918919</v>
      </c>
      <c r="R592" s="7">
        <f>grand[[#This Row],[transportation loss ]]/grand[[#This Row],[received]]</f>
        <v>3.1081081081081079</v>
      </c>
      <c r="S592" s="7">
        <f>grand[[#This Row],[ carcass weight]]/grand[[#This Row],[received]]</f>
        <v>30.162162162162161</v>
      </c>
      <c r="T592" s="7">
        <f>grand[[#This Row],[ kidneys fat quantity]]/grand[[#This Row],[received]]</f>
        <v>0</v>
      </c>
      <c r="U592" s="15">
        <v>25</v>
      </c>
      <c r="V592" s="15">
        <v>0</v>
      </c>
      <c r="W592" s="15">
        <v>49.621621621621614</v>
      </c>
      <c r="X592" s="15">
        <v>10</v>
      </c>
      <c r="Y592" s="8">
        <v>8.5</v>
      </c>
      <c r="Z592" s="20">
        <f>grand[[#This Row],[av. Transportation loss]]/grand[[#This Row],[av.total weight]]</f>
        <v>5.9740259740259739E-2</v>
      </c>
      <c r="AA592" s="12">
        <f>AVERAGE((grand[[#This Row],[am]]/25),(grand[[#This Row],[pm]]/50))</f>
        <v>0.99621621621621614</v>
      </c>
      <c r="AB592" s="12">
        <f>grand[[#This Row],[ carcass weight]]/grand[[#This Row],[total weight]]</f>
        <v>0.57974025974025978</v>
      </c>
      <c r="AC592" s="22">
        <f>SUM(grand[[#This Row],[am]:[meat transportation]])/100</f>
        <v>0.93121621621621609</v>
      </c>
      <c r="AD592" s="2" t="s">
        <v>71</v>
      </c>
      <c r="AJ592" s="1">
        <v>0</v>
      </c>
      <c r="AK592" s="20"/>
      <c r="AL592" s="1">
        <v>4</v>
      </c>
    </row>
    <row r="593" spans="1:38" hidden="1" x14ac:dyDescent="0.2">
      <c r="A593" s="11">
        <v>44742</v>
      </c>
      <c r="B593" s="53" t="s">
        <v>1660</v>
      </c>
      <c r="C593" s="52" t="str">
        <f>IF(MID(B593,4,2)="09","Ramadan",IF(AND(MID(B593,4,2)="12",VALUE(LEFT(B593,2))&lt;=9),"Adha Season","Normal"))</f>
        <v>Adha Season</v>
      </c>
      <c r="D593" s="1" t="s">
        <v>45</v>
      </c>
      <c r="F593" s="4" t="s">
        <v>46</v>
      </c>
      <c r="G593" s="1">
        <v>37</v>
      </c>
      <c r="H593" s="15">
        <v>37</v>
      </c>
      <c r="I593" s="1">
        <f>grand[[#This Row],[number]]-grand[[#This Row],[received]]</f>
        <v>0</v>
      </c>
      <c r="J593" s="30"/>
      <c r="K593" s="9">
        <v>16433</v>
      </c>
      <c r="L593" s="9">
        <v>15845</v>
      </c>
      <c r="M593" s="2">
        <f>K593-L593</f>
        <v>588</v>
      </c>
      <c r="N593" s="9">
        <v>9859.7000000000007</v>
      </c>
      <c r="O593" s="9">
        <v>311</v>
      </c>
      <c r="P593" s="7">
        <f>grand[[#This Row],[total weight]]/grand[[#This Row],[received]]</f>
        <v>444.13513513513516</v>
      </c>
      <c r="Q593" s="7">
        <f>grand[[#This Row],[receiving weight]]/grand[[#This Row],[received]]</f>
        <v>428.24324324324323</v>
      </c>
      <c r="R593" s="7">
        <f>grand[[#This Row],[transportation loss ]]/grand[[#This Row],[received]]</f>
        <v>15.891891891891891</v>
      </c>
      <c r="S593" s="7">
        <f>grand[[#This Row],[ carcass weight]]/grand[[#This Row],[received]]</f>
        <v>266.47837837837841</v>
      </c>
      <c r="T593" s="7">
        <f>grand[[#This Row],[ kidneys fat quantity]]/grand[[#This Row],[received]]</f>
        <v>8.4054054054054053</v>
      </c>
      <c r="U593" s="15">
        <v>25</v>
      </c>
      <c r="V593" s="15">
        <v>0</v>
      </c>
      <c r="W593" s="15">
        <v>49.216216216216218</v>
      </c>
      <c r="X593" s="15">
        <v>9.8648648648648649</v>
      </c>
      <c r="Y593" s="8">
        <v>8.5</v>
      </c>
      <c r="Z593" s="20">
        <f>grand[[#This Row],[av. Transportation loss]]/grand[[#This Row],[av.total weight]]</f>
        <v>3.5781658857177628E-2</v>
      </c>
      <c r="AA593" s="12">
        <f>AVERAGE((grand[[#This Row],[am]]/25),(grand[[#This Row],[pm]]/50))</f>
        <v>0.99216216216216213</v>
      </c>
      <c r="AB593" s="12">
        <f>grand[[#This Row],[ carcass weight]]/grand[[#This Row],[total weight]]</f>
        <v>0.59999391468386787</v>
      </c>
      <c r="AC593" s="22">
        <f>SUM(grand[[#This Row],[am]:[meat transportation]])/100</f>
        <v>0.92581081081081096</v>
      </c>
      <c r="AD593" s="2" t="s">
        <v>97</v>
      </c>
      <c r="AJ593" s="1">
        <v>3</v>
      </c>
      <c r="AK593" s="20"/>
      <c r="AL593" s="1">
        <v>12</v>
      </c>
    </row>
    <row r="594" spans="1:38" hidden="1" x14ac:dyDescent="0.2">
      <c r="A594" s="11">
        <v>44744</v>
      </c>
      <c r="B594" s="53" t="s">
        <v>1661</v>
      </c>
      <c r="C594" s="52" t="str">
        <f>IF(MID(B594,4,2)="09","Ramadan",IF(AND(MID(B594,4,2)="12",VALUE(LEFT(B594,2))&lt;=9),"Adha Season","Normal"))</f>
        <v>Adha Season</v>
      </c>
      <c r="D594" s="2" t="s">
        <v>294</v>
      </c>
      <c r="F594" s="4" t="s">
        <v>35</v>
      </c>
      <c r="G594" s="1">
        <v>40</v>
      </c>
      <c r="H594" s="15">
        <v>40</v>
      </c>
      <c r="I594" s="1">
        <f>grand[[#This Row],[number]]-grand[[#This Row],[received]]</f>
        <v>0</v>
      </c>
      <c r="J594" s="30"/>
      <c r="K594" s="2">
        <v>2098</v>
      </c>
      <c r="L594" s="2">
        <v>2098</v>
      </c>
      <c r="M594" s="2">
        <f>K594-L594</f>
        <v>0</v>
      </c>
      <c r="N594" s="2">
        <v>1222.9000000000001</v>
      </c>
      <c r="O594" s="2">
        <v>0</v>
      </c>
      <c r="P594" s="7">
        <f>grand[[#This Row],[total weight]]/grand[[#This Row],[received]]</f>
        <v>52.45</v>
      </c>
      <c r="Q594" s="7">
        <f>grand[[#This Row],[receiving weight]]/grand[[#This Row],[received]]</f>
        <v>52.45</v>
      </c>
      <c r="R594" s="7">
        <f>grand[[#This Row],[transportation loss ]]/grand[[#This Row],[received]]</f>
        <v>0</v>
      </c>
      <c r="S594" s="7">
        <f>grand[[#This Row],[ carcass weight]]/grand[[#This Row],[received]]</f>
        <v>30.572500000000002</v>
      </c>
      <c r="T594" s="7">
        <f>grand[[#This Row],[ kidneys fat quantity]]/grand[[#This Row],[received]]</f>
        <v>0</v>
      </c>
      <c r="U594" s="15">
        <v>25</v>
      </c>
      <c r="V594" s="15">
        <v>0</v>
      </c>
      <c r="W594" s="15">
        <v>48.9</v>
      </c>
      <c r="X594" s="15">
        <v>10</v>
      </c>
      <c r="Y594" s="8">
        <v>8.5</v>
      </c>
      <c r="Z594" s="20">
        <f>grand[[#This Row],[av. Transportation loss]]/grand[[#This Row],[av.total weight]]</f>
        <v>0</v>
      </c>
      <c r="AA594" s="12">
        <f>AVERAGE((grand[[#This Row],[am]]/25),(grand[[#This Row],[pm]]/50))</f>
        <v>0.98899999999999999</v>
      </c>
      <c r="AB594" s="12">
        <f>grand[[#This Row],[ carcass weight]]/grand[[#This Row],[total weight]]</f>
        <v>0.58288846520495718</v>
      </c>
      <c r="AC594" s="22">
        <f>SUM(grand[[#This Row],[am]:[meat transportation]])/100</f>
        <v>0.92400000000000004</v>
      </c>
      <c r="AD594" s="2" t="s">
        <v>423</v>
      </c>
      <c r="AJ594" s="1">
        <v>0</v>
      </c>
      <c r="AK594" s="20"/>
      <c r="AL594" s="1">
        <v>11</v>
      </c>
    </row>
    <row r="595" spans="1:38" hidden="1" x14ac:dyDescent="0.2">
      <c r="A595" s="11">
        <v>44744</v>
      </c>
      <c r="B595" s="53" t="s">
        <v>1661</v>
      </c>
      <c r="C595" s="52" t="str">
        <f>IF(MID(B595,4,2)="09","Ramadan",IF(AND(MID(B595,4,2)="12",VALUE(LEFT(B595,2))&lt;=9),"Adha Season","Normal"))</f>
        <v>Adha Season</v>
      </c>
      <c r="D595" s="1" t="s">
        <v>45</v>
      </c>
      <c r="E595" s="1" t="s">
        <v>482</v>
      </c>
      <c r="F595" s="4" t="s">
        <v>39</v>
      </c>
      <c r="G595" s="1">
        <v>41</v>
      </c>
      <c r="H595" s="15">
        <v>41</v>
      </c>
      <c r="I595" s="1">
        <f>grand[[#This Row],[number]]-grand[[#This Row],[received]]</f>
        <v>0</v>
      </c>
      <c r="J595" s="30"/>
      <c r="K595" s="2">
        <v>23022</v>
      </c>
      <c r="L595" s="2">
        <v>23022</v>
      </c>
      <c r="M595" s="2">
        <f>K595-L595</f>
        <v>0</v>
      </c>
      <c r="N595" s="2">
        <v>14485</v>
      </c>
      <c r="O595" s="2">
        <v>259</v>
      </c>
      <c r="P595" s="7">
        <f>grand[[#This Row],[total weight]]/grand[[#This Row],[received]]</f>
        <v>561.51219512195121</v>
      </c>
      <c r="Q595" s="7">
        <f>grand[[#This Row],[receiving weight]]/grand[[#This Row],[received]]</f>
        <v>561.51219512195121</v>
      </c>
      <c r="R595" s="7">
        <f>grand[[#This Row],[transportation loss ]]/grand[[#This Row],[received]]</f>
        <v>0</v>
      </c>
      <c r="S595" s="7">
        <f>grand[[#This Row],[ carcass weight]]/grand[[#This Row],[received]]</f>
        <v>353.29268292682929</v>
      </c>
      <c r="T595" s="7">
        <f>grand[[#This Row],[ kidneys fat quantity]]/grand[[#This Row],[received]]</f>
        <v>6.3170731707317076</v>
      </c>
      <c r="U595" s="15">
        <v>25</v>
      </c>
      <c r="V595" s="15">
        <v>0</v>
      </c>
      <c r="W595" s="15">
        <v>49.609756097560975</v>
      </c>
      <c r="X595" s="15">
        <v>10</v>
      </c>
      <c r="Y595" s="8">
        <v>8.5</v>
      </c>
      <c r="Z595" s="20">
        <f>grand[[#This Row],[av. Transportation loss]]/grand[[#This Row],[av.total weight]]</f>
        <v>0</v>
      </c>
      <c r="AA595" s="12">
        <f>AVERAGE((grand[[#This Row],[am]]/25),(grand[[#This Row],[pm]]/50))</f>
        <v>0.99609756097560975</v>
      </c>
      <c r="AB595" s="12">
        <f>grand[[#This Row],[ carcass weight]]/grand[[#This Row],[total weight]]</f>
        <v>0.62918078359829732</v>
      </c>
      <c r="AC595" s="22">
        <f>SUM(grand[[#This Row],[am]:[meat transportation]])/100</f>
        <v>0.93109756097560981</v>
      </c>
      <c r="AD595" s="9" t="s">
        <v>438</v>
      </c>
      <c r="AJ595" s="1">
        <v>0</v>
      </c>
      <c r="AK595" s="20"/>
      <c r="AL595" s="1">
        <v>2.5</v>
      </c>
    </row>
    <row r="596" spans="1:38" hidden="1" x14ac:dyDescent="0.2">
      <c r="A596" s="11">
        <v>44745</v>
      </c>
      <c r="B596" s="53" t="s">
        <v>1662</v>
      </c>
      <c r="C596" s="52" t="str">
        <f>IF(MID(B596,4,2)="09","Ramadan",IF(AND(MID(B596,4,2)="12",VALUE(LEFT(B596,2))&lt;=9),"Adha Season","Normal"))</f>
        <v>Adha Season</v>
      </c>
      <c r="D596" s="2" t="s">
        <v>294</v>
      </c>
      <c r="F596" s="4" t="s">
        <v>35</v>
      </c>
      <c r="G596" s="1">
        <v>60</v>
      </c>
      <c r="H596" s="15">
        <v>60</v>
      </c>
      <c r="I596" s="1">
        <f>grand[[#This Row],[number]]-grand[[#This Row],[received]]</f>
        <v>0</v>
      </c>
      <c r="J596" s="30"/>
      <c r="K596" s="2">
        <v>2980</v>
      </c>
      <c r="L596" s="2">
        <v>2980</v>
      </c>
      <c r="M596" s="2">
        <f>K596-L596</f>
        <v>0</v>
      </c>
      <c r="N596" s="2">
        <v>1789</v>
      </c>
      <c r="O596" s="2">
        <v>0</v>
      </c>
      <c r="P596" s="7">
        <f>grand[[#This Row],[total weight]]/grand[[#This Row],[received]]</f>
        <v>49.666666666666664</v>
      </c>
      <c r="Q596" s="7">
        <f>grand[[#This Row],[receiving weight]]/grand[[#This Row],[received]]</f>
        <v>49.666666666666664</v>
      </c>
      <c r="R596" s="7">
        <f>grand[[#This Row],[transportation loss ]]/grand[[#This Row],[received]]</f>
        <v>0</v>
      </c>
      <c r="S596" s="7">
        <f>grand[[#This Row],[ carcass weight]]/grand[[#This Row],[received]]</f>
        <v>29.816666666666666</v>
      </c>
      <c r="T596" s="7">
        <f>grand[[#This Row],[ kidneys fat quantity]]/grand[[#This Row],[received]]</f>
        <v>0</v>
      </c>
      <c r="U596" s="15">
        <v>25</v>
      </c>
      <c r="V596" s="15">
        <v>0</v>
      </c>
      <c r="W596" s="15">
        <v>49.033333333333331</v>
      </c>
      <c r="X596" s="15">
        <v>10</v>
      </c>
      <c r="Y596" s="8">
        <v>8.5</v>
      </c>
      <c r="Z596" s="20">
        <f>grand[[#This Row],[av. Transportation loss]]/grand[[#This Row],[av.total weight]]</f>
        <v>0</v>
      </c>
      <c r="AA596" s="12">
        <f>AVERAGE((grand[[#This Row],[am]]/25),(grand[[#This Row],[pm]]/50))</f>
        <v>0.99033333333333329</v>
      </c>
      <c r="AB596" s="12">
        <f>grand[[#This Row],[ carcass weight]]/grand[[#This Row],[total weight]]</f>
        <v>0.60033557046979868</v>
      </c>
      <c r="AC596" s="22">
        <f>SUM(grand[[#This Row],[am]:[meat transportation]])/100</f>
        <v>0.92533333333333334</v>
      </c>
      <c r="AD596" s="9" t="s">
        <v>439</v>
      </c>
      <c r="AJ596" s="1">
        <v>0</v>
      </c>
      <c r="AK596" s="20"/>
      <c r="AL596" s="1">
        <v>19.5</v>
      </c>
    </row>
    <row r="597" spans="1:38" hidden="1" x14ac:dyDescent="0.2">
      <c r="A597" s="11">
        <v>44746</v>
      </c>
      <c r="B597" s="53" t="s">
        <v>1663</v>
      </c>
      <c r="C597" s="52" t="str">
        <f>IF(MID(B597,4,2)="09","Ramadan",IF(AND(MID(B597,4,2)="12",VALUE(LEFT(B597,2))&lt;=9),"Adha Season","Normal"))</f>
        <v>Adha Season</v>
      </c>
      <c r="D597" s="2" t="s">
        <v>294</v>
      </c>
      <c r="F597" s="4" t="s">
        <v>35</v>
      </c>
      <c r="G597" s="1">
        <v>71</v>
      </c>
      <c r="H597" s="15">
        <v>71</v>
      </c>
      <c r="I597" s="1">
        <f>grand[[#This Row],[number]]-grand[[#This Row],[received]]</f>
        <v>0</v>
      </c>
      <c r="J597" s="30"/>
      <c r="K597" s="2">
        <v>3529</v>
      </c>
      <c r="L597" s="2">
        <v>3529</v>
      </c>
      <c r="M597" s="2">
        <f>K597-L597</f>
        <v>0</v>
      </c>
      <c r="N597" s="2">
        <v>2049.5</v>
      </c>
      <c r="O597" s="2">
        <v>0</v>
      </c>
      <c r="P597" s="7">
        <f>grand[[#This Row],[total weight]]/grand[[#This Row],[received]]</f>
        <v>49.70422535211268</v>
      </c>
      <c r="Q597" s="7">
        <f>grand[[#This Row],[receiving weight]]/grand[[#This Row],[received]]</f>
        <v>49.70422535211268</v>
      </c>
      <c r="R597" s="7">
        <f>grand[[#This Row],[transportation loss ]]/grand[[#This Row],[received]]</f>
        <v>0</v>
      </c>
      <c r="S597" s="7">
        <f>grand[[#This Row],[ carcass weight]]/grand[[#This Row],[received]]</f>
        <v>28.866197183098592</v>
      </c>
      <c r="T597" s="7">
        <f>grand[[#This Row],[ kidneys fat quantity]]/grand[[#This Row],[received]]</f>
        <v>0</v>
      </c>
      <c r="U597" s="15">
        <v>25</v>
      </c>
      <c r="V597" s="15">
        <v>0</v>
      </c>
      <c r="W597" s="15">
        <v>49.056338028169016</v>
      </c>
      <c r="X597" s="15">
        <v>10</v>
      </c>
      <c r="Y597" s="8">
        <v>8.5</v>
      </c>
      <c r="Z597" s="20">
        <f>grand[[#This Row],[av. Transportation loss]]/grand[[#This Row],[av.total weight]]</f>
        <v>0</v>
      </c>
      <c r="AA597" s="12">
        <f>AVERAGE((grand[[#This Row],[am]]/25),(grand[[#This Row],[pm]]/50))</f>
        <v>0.99056338028169022</v>
      </c>
      <c r="AB597" s="12">
        <f>grand[[#This Row],[ carcass weight]]/grand[[#This Row],[total weight]]</f>
        <v>0.58075942193255881</v>
      </c>
      <c r="AC597" s="22">
        <f>SUM(grand[[#This Row],[am]:[meat transportation]])/100</f>
        <v>0.92556338028169027</v>
      </c>
      <c r="AD597" s="9" t="s">
        <v>440</v>
      </c>
      <c r="AJ597" s="1">
        <v>0</v>
      </c>
      <c r="AK597" s="20"/>
      <c r="AL597" s="1">
        <v>19</v>
      </c>
    </row>
    <row r="598" spans="1:38" hidden="1" x14ac:dyDescent="0.2">
      <c r="A598" s="11">
        <v>44746</v>
      </c>
      <c r="B598" s="53" t="s">
        <v>1663</v>
      </c>
      <c r="C598" s="52" t="str">
        <f>IF(MID(B598,4,2)="09","Ramadan",IF(AND(MID(B598,4,2)="12",VALUE(LEFT(B598,2))&lt;=9),"Adha Season","Normal"))</f>
        <v>Adha Season</v>
      </c>
      <c r="D598" s="1" t="s">
        <v>45</v>
      </c>
      <c r="F598" s="4" t="s">
        <v>280</v>
      </c>
      <c r="G598" s="1">
        <v>24</v>
      </c>
      <c r="H598" s="15">
        <v>24</v>
      </c>
      <c r="I598" s="1">
        <f>grand[[#This Row],[number]]-grand[[#This Row],[received]]</f>
        <v>0</v>
      </c>
      <c r="J598" s="30"/>
      <c r="K598" s="2">
        <v>9930</v>
      </c>
      <c r="L598" s="2">
        <v>9930</v>
      </c>
      <c r="M598" s="2">
        <f>K598-L598</f>
        <v>0</v>
      </c>
      <c r="N598" s="2">
        <v>5957.8</v>
      </c>
      <c r="O598" s="2">
        <v>184</v>
      </c>
      <c r="P598" s="7">
        <f>grand[[#This Row],[total weight]]/grand[[#This Row],[received]]</f>
        <v>413.75</v>
      </c>
      <c r="Q598" s="7">
        <f>grand[[#This Row],[receiving weight]]/grand[[#This Row],[received]]</f>
        <v>413.75</v>
      </c>
      <c r="R598" s="7">
        <f>grand[[#This Row],[transportation loss ]]/grand[[#This Row],[received]]</f>
        <v>0</v>
      </c>
      <c r="S598" s="7">
        <f>grand[[#This Row],[ carcass weight]]/grand[[#This Row],[received]]</f>
        <v>248.24166666666667</v>
      </c>
      <c r="T598" s="7">
        <f>grand[[#This Row],[ kidneys fat quantity]]/grand[[#This Row],[received]]</f>
        <v>7.666666666666667</v>
      </c>
      <c r="U598" s="15">
        <v>25</v>
      </c>
      <c r="V598" s="15">
        <v>0</v>
      </c>
      <c r="W598" s="15">
        <v>49.708333333333336</v>
      </c>
      <c r="X598" s="15">
        <v>10</v>
      </c>
      <c r="Y598" s="8">
        <v>8.5</v>
      </c>
      <c r="Z598" s="20">
        <f>grand[[#This Row],[av. Transportation loss]]/grand[[#This Row],[av.total weight]]</f>
        <v>0</v>
      </c>
      <c r="AA598" s="12">
        <f>AVERAGE((grand[[#This Row],[am]]/25),(grand[[#This Row],[pm]]/50))</f>
        <v>0.99708333333333332</v>
      </c>
      <c r="AB598" s="12">
        <f>grand[[#This Row],[ carcass weight]]/grand[[#This Row],[total weight]]</f>
        <v>0.5999798590130917</v>
      </c>
      <c r="AC598" s="22">
        <f>SUM(grand[[#This Row],[am]:[meat transportation]])/100</f>
        <v>0.93208333333333337</v>
      </c>
      <c r="AD598" s="9" t="s">
        <v>97</v>
      </c>
      <c r="AJ598" s="1">
        <v>0</v>
      </c>
      <c r="AK598" s="20"/>
      <c r="AL598" s="1">
        <v>0</v>
      </c>
    </row>
    <row r="599" spans="1:38" hidden="1" x14ac:dyDescent="0.2">
      <c r="A599" s="11">
        <v>44746</v>
      </c>
      <c r="B599" s="53" t="s">
        <v>1663</v>
      </c>
      <c r="C599" s="52" t="str">
        <f>IF(MID(B599,4,2)="09","Ramadan",IF(AND(MID(B599,4,2)="12",VALUE(LEFT(B599,2))&lt;=9),"Adha Season","Normal"))</f>
        <v>Adha Season</v>
      </c>
      <c r="D599" s="1" t="s">
        <v>45</v>
      </c>
      <c r="F599" s="4" t="s">
        <v>280</v>
      </c>
      <c r="G599" s="1">
        <v>16</v>
      </c>
      <c r="H599" s="15">
        <v>16</v>
      </c>
      <c r="I599" s="1">
        <f>grand[[#This Row],[number]]-grand[[#This Row],[received]]</f>
        <v>0</v>
      </c>
      <c r="J599" s="30"/>
      <c r="K599" s="2">
        <v>8480</v>
      </c>
      <c r="L599" s="2">
        <v>8480</v>
      </c>
      <c r="M599" s="2">
        <f>K599-L599</f>
        <v>0</v>
      </c>
      <c r="N599" s="2">
        <v>5223</v>
      </c>
      <c r="O599" s="2">
        <v>101</v>
      </c>
      <c r="P599" s="7">
        <f>grand[[#This Row],[total weight]]/grand[[#This Row],[received]]</f>
        <v>530</v>
      </c>
      <c r="Q599" s="7">
        <f>grand[[#This Row],[receiving weight]]/grand[[#This Row],[received]]</f>
        <v>530</v>
      </c>
      <c r="R599" s="7">
        <f>grand[[#This Row],[transportation loss ]]/grand[[#This Row],[received]]</f>
        <v>0</v>
      </c>
      <c r="S599" s="7">
        <f>grand[[#This Row],[ carcass weight]]/grand[[#This Row],[received]]</f>
        <v>326.4375</v>
      </c>
      <c r="T599" s="7">
        <f>grand[[#This Row],[ kidneys fat quantity]]/grand[[#This Row],[received]]</f>
        <v>6.3125</v>
      </c>
      <c r="U599" s="15">
        <v>25</v>
      </c>
      <c r="V599" s="15">
        <v>0</v>
      </c>
      <c r="W599" s="15">
        <v>48.3125</v>
      </c>
      <c r="X599" s="15">
        <v>10</v>
      </c>
      <c r="Y599" s="8">
        <v>8.5</v>
      </c>
      <c r="Z599" s="20">
        <f>grand[[#This Row],[av. Transportation loss]]/grand[[#This Row],[av.total weight]]</f>
        <v>0</v>
      </c>
      <c r="AA599" s="12">
        <f>AVERAGE((grand[[#This Row],[am]]/25),(grand[[#This Row],[pm]]/50))</f>
        <v>0.98312500000000003</v>
      </c>
      <c r="AB599" s="12">
        <f>grand[[#This Row],[ carcass weight]]/grand[[#This Row],[total weight]]</f>
        <v>0.61591981132075468</v>
      </c>
      <c r="AC599" s="22">
        <f>SUM(grand[[#This Row],[am]:[meat transportation]])/100</f>
        <v>0.91812499999999997</v>
      </c>
      <c r="AD599" s="9" t="s">
        <v>89</v>
      </c>
      <c r="AJ599" s="1">
        <v>0</v>
      </c>
      <c r="AK599" s="20"/>
      <c r="AL599" s="1">
        <v>0</v>
      </c>
    </row>
    <row r="600" spans="1:38" hidden="1" x14ac:dyDescent="0.2">
      <c r="A600" s="11">
        <v>44747</v>
      </c>
      <c r="B600" s="53" t="s">
        <v>1664</v>
      </c>
      <c r="C600" s="52" t="str">
        <f>IF(MID(B600,4,2)="09","Ramadan",IF(AND(MID(B600,4,2)="12",VALUE(LEFT(B600,2))&lt;=9),"Adha Season","Normal"))</f>
        <v>Adha Season</v>
      </c>
      <c r="D600" s="1" t="s">
        <v>441</v>
      </c>
      <c r="F600" s="4" t="s">
        <v>46</v>
      </c>
      <c r="G600" s="1">
        <v>3</v>
      </c>
      <c r="H600" s="15">
        <v>3</v>
      </c>
      <c r="I600" s="1">
        <f>grand[[#This Row],[number]]-grand[[#This Row],[received]]</f>
        <v>0</v>
      </c>
      <c r="J600" s="30"/>
      <c r="K600" s="2">
        <v>1567</v>
      </c>
      <c r="L600" s="2">
        <v>1567</v>
      </c>
      <c r="M600" s="2">
        <f>K600-L600</f>
        <v>0</v>
      </c>
      <c r="N600" s="2">
        <v>904.9</v>
      </c>
      <c r="O600" s="2">
        <v>20</v>
      </c>
      <c r="P600" s="7">
        <f>grand[[#This Row],[total weight]]/grand[[#This Row],[received]]</f>
        <v>522.33333333333337</v>
      </c>
      <c r="Q600" s="7">
        <f>grand[[#This Row],[receiving weight]]/grand[[#This Row],[received]]</f>
        <v>522.33333333333337</v>
      </c>
      <c r="R600" s="7">
        <f>grand[[#This Row],[transportation loss ]]/grand[[#This Row],[received]]</f>
        <v>0</v>
      </c>
      <c r="S600" s="7">
        <f>grand[[#This Row],[ carcass weight]]/grand[[#This Row],[received]]</f>
        <v>301.63333333333333</v>
      </c>
      <c r="T600" s="7">
        <f>grand[[#This Row],[ kidneys fat quantity]]/grand[[#This Row],[received]]</f>
        <v>6.666666666666667</v>
      </c>
      <c r="U600" s="15">
        <v>25</v>
      </c>
      <c r="V600" s="15">
        <v>0</v>
      </c>
      <c r="W600" s="15">
        <v>50</v>
      </c>
      <c r="X600" s="15">
        <v>10</v>
      </c>
      <c r="Y600" s="8">
        <v>8.5</v>
      </c>
      <c r="Z600" s="20">
        <f>grand[[#This Row],[av. Transportation loss]]/grand[[#This Row],[av.total weight]]</f>
        <v>0</v>
      </c>
      <c r="AA600" s="12">
        <f>AVERAGE((grand[[#This Row],[am]]/25),(grand[[#This Row],[pm]]/50))</f>
        <v>1</v>
      </c>
      <c r="AB600" s="12">
        <f>grand[[#This Row],[ carcass weight]]/grand[[#This Row],[total weight]]</f>
        <v>0.5774728781110402</v>
      </c>
      <c r="AC600" s="22">
        <f>SUM(grand[[#This Row],[am]:[meat transportation]])/100</f>
        <v>0.93500000000000005</v>
      </c>
      <c r="AD600" s="2"/>
      <c r="AJ600" s="1">
        <v>0</v>
      </c>
      <c r="AK600" s="20"/>
      <c r="AL600" s="1">
        <v>0</v>
      </c>
    </row>
    <row r="601" spans="1:38" hidden="1" x14ac:dyDescent="0.2">
      <c r="A601" s="11">
        <v>44747</v>
      </c>
      <c r="B601" s="53" t="s">
        <v>1664</v>
      </c>
      <c r="C601" s="52" t="str">
        <f>IF(MID(B601,4,2)="09","Ramadan",IF(AND(MID(B601,4,2)="12",VALUE(LEFT(B601,2))&lt;=9),"Adha Season","Normal"))</f>
        <v>Adha Season</v>
      </c>
      <c r="D601" s="2" t="s">
        <v>294</v>
      </c>
      <c r="F601" s="4" t="s">
        <v>35</v>
      </c>
      <c r="G601" s="1">
        <v>69</v>
      </c>
      <c r="H601" s="15">
        <v>69</v>
      </c>
      <c r="I601" s="1">
        <f>grand[[#This Row],[number]]-grand[[#This Row],[received]]</f>
        <v>0</v>
      </c>
      <c r="J601" s="30"/>
      <c r="K601" s="2">
        <v>3483</v>
      </c>
      <c r="L601" s="2">
        <v>3483</v>
      </c>
      <c r="M601" s="2">
        <f>K601-L601</f>
        <v>0</v>
      </c>
      <c r="N601" s="2">
        <v>2076.6</v>
      </c>
      <c r="O601" s="2">
        <v>0</v>
      </c>
      <c r="P601" s="7">
        <f>grand[[#This Row],[total weight]]/grand[[#This Row],[received]]</f>
        <v>50.478260869565219</v>
      </c>
      <c r="Q601" s="7">
        <f>grand[[#This Row],[receiving weight]]/grand[[#This Row],[received]]</f>
        <v>50.478260869565219</v>
      </c>
      <c r="R601" s="7">
        <f>grand[[#This Row],[transportation loss ]]/grand[[#This Row],[received]]</f>
        <v>0</v>
      </c>
      <c r="S601" s="7">
        <f>grand[[#This Row],[ carcass weight]]/grand[[#This Row],[received]]</f>
        <v>30.095652173913042</v>
      </c>
      <c r="T601" s="7">
        <f>grand[[#This Row],[ kidneys fat quantity]]/grand[[#This Row],[received]]</f>
        <v>0</v>
      </c>
      <c r="U601" s="15">
        <v>25</v>
      </c>
      <c r="V601" s="15">
        <v>0</v>
      </c>
      <c r="W601" s="15">
        <v>49.636363636363633</v>
      </c>
      <c r="X601" s="15">
        <v>10</v>
      </c>
      <c r="Y601" s="8">
        <v>8.5</v>
      </c>
      <c r="Z601" s="20">
        <f>grand[[#This Row],[av. Transportation loss]]/grand[[#This Row],[av.total weight]]</f>
        <v>0</v>
      </c>
      <c r="AA601" s="12">
        <f>AVERAGE((grand[[#This Row],[am]]/25),(grand[[#This Row],[pm]]/50))</f>
        <v>0.99636363636363634</v>
      </c>
      <c r="AB601" s="12">
        <f>grand[[#This Row],[ carcass weight]]/grand[[#This Row],[total weight]]</f>
        <v>0.59621016365202406</v>
      </c>
      <c r="AC601" s="22">
        <f>SUM(grand[[#This Row],[am]:[meat transportation]])/100</f>
        <v>0.93136363636363628</v>
      </c>
      <c r="AD601" s="9" t="s">
        <v>259</v>
      </c>
      <c r="AJ601" s="1">
        <v>0</v>
      </c>
      <c r="AK601" s="20"/>
      <c r="AL601" s="1">
        <v>10</v>
      </c>
    </row>
    <row r="602" spans="1:38" hidden="1" x14ac:dyDescent="0.2">
      <c r="A602" s="11">
        <v>44747</v>
      </c>
      <c r="B602" s="53" t="s">
        <v>1664</v>
      </c>
      <c r="C602" s="52" t="str">
        <f>IF(MID(B602,4,2)="09","Ramadan",IF(AND(MID(B602,4,2)="12",VALUE(LEFT(B602,2))&lt;=9),"Adha Season","Normal"))</f>
        <v>Adha Season</v>
      </c>
      <c r="D602" s="1" t="s">
        <v>45</v>
      </c>
      <c r="F602" s="4" t="s">
        <v>280</v>
      </c>
      <c r="G602" s="1">
        <v>22</v>
      </c>
      <c r="H602" s="15">
        <v>22</v>
      </c>
      <c r="I602" s="1">
        <f>grand[[#This Row],[number]]-grand[[#This Row],[received]]</f>
        <v>0</v>
      </c>
      <c r="J602" s="30"/>
      <c r="K602" s="2">
        <v>8973</v>
      </c>
      <c r="L602" s="2">
        <v>8973</v>
      </c>
      <c r="M602" s="2">
        <f>K602-L602</f>
        <v>0</v>
      </c>
      <c r="N602" s="2">
        <v>5383.7</v>
      </c>
      <c r="O602" s="2">
        <v>143</v>
      </c>
      <c r="P602" s="7">
        <f>grand[[#This Row],[total weight]]/grand[[#This Row],[received]]</f>
        <v>407.86363636363637</v>
      </c>
      <c r="Q602" s="7">
        <f>grand[[#This Row],[receiving weight]]/grand[[#This Row],[received]]</f>
        <v>407.86363636363637</v>
      </c>
      <c r="R602" s="7">
        <f>grand[[#This Row],[transportation loss ]]/grand[[#This Row],[received]]</f>
        <v>0</v>
      </c>
      <c r="S602" s="7">
        <f>grand[[#This Row],[ carcass weight]]/grand[[#This Row],[received]]</f>
        <v>244.71363636363637</v>
      </c>
      <c r="T602" s="7">
        <f>grand[[#This Row],[ kidneys fat quantity]]/grand[[#This Row],[received]]</f>
        <v>6.5</v>
      </c>
      <c r="U602" s="15">
        <v>24.545454545454547</v>
      </c>
      <c r="V602" s="15">
        <v>0</v>
      </c>
      <c r="W602" s="15">
        <v>49.545454545454547</v>
      </c>
      <c r="X602" s="15">
        <v>10</v>
      </c>
      <c r="Y602" s="8">
        <v>8.5</v>
      </c>
      <c r="Z602" s="20">
        <f>grand[[#This Row],[av. Transportation loss]]/grand[[#This Row],[av.total weight]]</f>
        <v>0</v>
      </c>
      <c r="AA602" s="12">
        <f>AVERAGE((grand[[#This Row],[am]]/25),(grand[[#This Row],[pm]]/50))</f>
        <v>0.98636363636363644</v>
      </c>
      <c r="AB602" s="12">
        <f>grand[[#This Row],[ carcass weight]]/grand[[#This Row],[total weight]]</f>
        <v>0.5999888554552546</v>
      </c>
      <c r="AC602" s="22">
        <f>SUM(grand[[#This Row],[am]:[meat transportation]])/100</f>
        <v>0.9259090909090909</v>
      </c>
      <c r="AD602" s="2"/>
      <c r="AJ602" s="1">
        <v>6</v>
      </c>
      <c r="AK602" s="20"/>
      <c r="AL602" s="1">
        <v>0</v>
      </c>
    </row>
    <row r="603" spans="1:38" hidden="1" x14ac:dyDescent="0.2">
      <c r="A603" s="11">
        <v>44748</v>
      </c>
      <c r="B603" s="53" t="s">
        <v>1665</v>
      </c>
      <c r="C603" s="52" t="str">
        <f>IF(MID(B603,4,2)="09","Ramadan",IF(AND(MID(B603,4,2)="12",VALUE(LEFT(B603,2))&lt;=9),"Adha Season","Normal"))</f>
        <v>Adha Season</v>
      </c>
      <c r="D603" s="2" t="s">
        <v>294</v>
      </c>
      <c r="F603" s="4" t="s">
        <v>35</v>
      </c>
      <c r="G603" s="1">
        <v>60</v>
      </c>
      <c r="H603" s="15">
        <v>60</v>
      </c>
      <c r="I603" s="1">
        <f>grand[[#This Row],[number]]-grand[[#This Row],[received]]</f>
        <v>0</v>
      </c>
      <c r="J603" s="30"/>
      <c r="K603" s="2">
        <v>3075</v>
      </c>
      <c r="L603" s="2">
        <v>3075</v>
      </c>
      <c r="M603" s="2">
        <f>K603-L603</f>
        <v>0</v>
      </c>
      <c r="N603" s="2">
        <v>1738.1</v>
      </c>
      <c r="O603" s="2">
        <v>0</v>
      </c>
      <c r="P603" s="7">
        <f>grand[[#This Row],[total weight]]/grand[[#This Row],[received]]</f>
        <v>51.25</v>
      </c>
      <c r="Q603" s="7">
        <f>grand[[#This Row],[receiving weight]]/grand[[#This Row],[received]]</f>
        <v>51.25</v>
      </c>
      <c r="R603" s="7">
        <f>grand[[#This Row],[transportation loss ]]/grand[[#This Row],[received]]</f>
        <v>0</v>
      </c>
      <c r="S603" s="7">
        <f>grand[[#This Row],[ carcass weight]]/grand[[#This Row],[received]]</f>
        <v>28.96833333333333</v>
      </c>
      <c r="T603" s="7">
        <f>grand[[#This Row],[ kidneys fat quantity]]/grand[[#This Row],[received]]</f>
        <v>0</v>
      </c>
      <c r="U603" s="15">
        <v>25</v>
      </c>
      <c r="V603" s="15">
        <v>0</v>
      </c>
      <c r="W603" s="15">
        <v>48.1</v>
      </c>
      <c r="X603" s="15">
        <v>10</v>
      </c>
      <c r="Y603" s="8">
        <v>8.5</v>
      </c>
      <c r="Z603" s="20">
        <f>grand[[#This Row],[av. Transportation loss]]/grand[[#This Row],[av.total weight]]</f>
        <v>0</v>
      </c>
      <c r="AA603" s="12">
        <f>AVERAGE((grand[[#This Row],[am]]/25),(grand[[#This Row],[pm]]/50))</f>
        <v>0.98100000000000009</v>
      </c>
      <c r="AB603" s="12">
        <f>grand[[#This Row],[ carcass weight]]/grand[[#This Row],[total weight]]</f>
        <v>0.5652357723577236</v>
      </c>
      <c r="AC603" s="22">
        <f>SUM(grand[[#This Row],[am]:[meat transportation]])/100</f>
        <v>0.91599999999999993</v>
      </c>
      <c r="AD603" s="9" t="s">
        <v>442</v>
      </c>
      <c r="AJ603" s="1">
        <v>0</v>
      </c>
      <c r="AK603" s="20"/>
      <c r="AL603" s="1">
        <v>43.5</v>
      </c>
    </row>
    <row r="604" spans="1:38" hidden="1" x14ac:dyDescent="0.2">
      <c r="A604" s="11">
        <v>44748</v>
      </c>
      <c r="B604" s="53" t="s">
        <v>1665</v>
      </c>
      <c r="C604" s="52" t="str">
        <f>IF(MID(B604,4,2)="09","Ramadan",IF(AND(MID(B604,4,2)="12",VALUE(LEFT(B604,2))&lt;=9),"Adha Season","Normal"))</f>
        <v>Adha Season</v>
      </c>
      <c r="D604" s="1" t="s">
        <v>45</v>
      </c>
      <c r="F604" s="4" t="s">
        <v>46</v>
      </c>
      <c r="G604" s="1">
        <v>26</v>
      </c>
      <c r="H604" s="15">
        <v>26</v>
      </c>
      <c r="I604" s="1">
        <f>grand[[#This Row],[number]]-grand[[#This Row],[received]]</f>
        <v>0</v>
      </c>
      <c r="J604" s="30"/>
      <c r="K604" s="2">
        <v>14150</v>
      </c>
      <c r="L604" s="2">
        <v>14150</v>
      </c>
      <c r="M604" s="2">
        <f>K604-L604</f>
        <v>0</v>
      </c>
      <c r="N604" s="2">
        <v>8538.2000000000007</v>
      </c>
      <c r="O604" s="2">
        <v>390</v>
      </c>
      <c r="P604" s="7">
        <f>grand[[#This Row],[total weight]]/grand[[#This Row],[received]]</f>
        <v>544.23076923076928</v>
      </c>
      <c r="Q604" s="7">
        <f>grand[[#This Row],[receiving weight]]/grand[[#This Row],[received]]</f>
        <v>544.23076923076928</v>
      </c>
      <c r="R604" s="7">
        <f>grand[[#This Row],[transportation loss ]]/grand[[#This Row],[received]]</f>
        <v>0</v>
      </c>
      <c r="S604" s="7">
        <f>grand[[#This Row],[ carcass weight]]/grand[[#This Row],[received]]</f>
        <v>328.39230769230772</v>
      </c>
      <c r="T604" s="7">
        <f>grand[[#This Row],[ kidneys fat quantity]]/grand[[#This Row],[received]]</f>
        <v>15</v>
      </c>
      <c r="U604" s="15">
        <v>25</v>
      </c>
      <c r="V604" s="15">
        <v>0</v>
      </c>
      <c r="W604" s="15">
        <v>50</v>
      </c>
      <c r="X604" s="15">
        <v>10</v>
      </c>
      <c r="Y604" s="8">
        <v>8.5</v>
      </c>
      <c r="Z604" s="20">
        <f>grand[[#This Row],[av. Transportation loss]]/grand[[#This Row],[av.total weight]]</f>
        <v>0</v>
      </c>
      <c r="AA604" s="12">
        <f>AVERAGE((grand[[#This Row],[am]]/25),(grand[[#This Row],[pm]]/50))</f>
        <v>1</v>
      </c>
      <c r="AB604" s="12">
        <f>grand[[#This Row],[ carcass weight]]/grand[[#This Row],[total weight]]</f>
        <v>0.60340636042402829</v>
      </c>
      <c r="AC604" s="22">
        <f>SUM(grand[[#This Row],[am]:[meat transportation]])/100</f>
        <v>0.93500000000000005</v>
      </c>
      <c r="AD604" s="2"/>
      <c r="AJ604" s="1">
        <v>3</v>
      </c>
      <c r="AK604" s="20"/>
      <c r="AL604" s="1">
        <v>0</v>
      </c>
    </row>
    <row r="605" spans="1:38" hidden="1" x14ac:dyDescent="0.2">
      <c r="A605" s="11">
        <v>44749</v>
      </c>
      <c r="B605" s="53" t="s">
        <v>1666</v>
      </c>
      <c r="C605" s="52" t="str">
        <f>IF(MID(B605,4,2)="09","Ramadan",IF(AND(MID(B605,4,2)="12",VALUE(LEFT(B605,2))&lt;=9),"Adha Season","Normal"))</f>
        <v>Adha Season</v>
      </c>
      <c r="D605" s="2" t="s">
        <v>294</v>
      </c>
      <c r="F605" s="4" t="s">
        <v>35</v>
      </c>
      <c r="G605" s="1">
        <v>80</v>
      </c>
      <c r="H605" s="15">
        <v>80</v>
      </c>
      <c r="I605" s="1">
        <f>grand[[#This Row],[number]]-grand[[#This Row],[received]]</f>
        <v>0</v>
      </c>
      <c r="J605" s="30"/>
      <c r="K605" s="2">
        <v>4007</v>
      </c>
      <c r="L605" s="2">
        <v>4007</v>
      </c>
      <c r="M605" s="2">
        <f>K605-L605</f>
        <v>0</v>
      </c>
      <c r="N605" s="2">
        <v>2342.5</v>
      </c>
      <c r="O605" s="2">
        <v>0</v>
      </c>
      <c r="P605" s="7">
        <f>grand[[#This Row],[total weight]]/grand[[#This Row],[received]]</f>
        <v>50.087499999999999</v>
      </c>
      <c r="Q605" s="7">
        <f>grand[[#This Row],[receiving weight]]/grand[[#This Row],[received]]</f>
        <v>50.087499999999999</v>
      </c>
      <c r="R605" s="7">
        <f>grand[[#This Row],[transportation loss ]]/grand[[#This Row],[received]]</f>
        <v>0</v>
      </c>
      <c r="S605" s="7">
        <f>grand[[#This Row],[ carcass weight]]/grand[[#This Row],[received]]</f>
        <v>29.28125</v>
      </c>
      <c r="T605" s="7">
        <f>grand[[#This Row],[ kidneys fat quantity]]/grand[[#This Row],[received]]</f>
        <v>0</v>
      </c>
      <c r="U605" s="15">
        <v>25</v>
      </c>
      <c r="V605" s="15">
        <v>0</v>
      </c>
      <c r="W605" s="15">
        <v>49.462499999999999</v>
      </c>
      <c r="X605" s="15">
        <v>10</v>
      </c>
      <c r="Y605" s="8">
        <v>8.5</v>
      </c>
      <c r="Z605" s="20">
        <f>grand[[#This Row],[av. Transportation loss]]/grand[[#This Row],[av.total weight]]</f>
        <v>0</v>
      </c>
      <c r="AA605" s="12">
        <f>AVERAGE((grand[[#This Row],[am]]/25),(grand[[#This Row],[pm]]/50))</f>
        <v>0.99462499999999998</v>
      </c>
      <c r="AB605" s="12">
        <f>grand[[#This Row],[ carcass weight]]/grand[[#This Row],[total weight]]</f>
        <v>0.58460194659346143</v>
      </c>
      <c r="AC605" s="22">
        <f>SUM(grand[[#This Row],[am]:[meat transportation]])/100</f>
        <v>0.92962500000000003</v>
      </c>
      <c r="AD605" s="9" t="s">
        <v>443</v>
      </c>
      <c r="AJ605" s="1">
        <v>0</v>
      </c>
      <c r="AK605" s="20"/>
      <c r="AL605" s="1">
        <v>4</v>
      </c>
    </row>
    <row r="606" spans="1:38" hidden="1" x14ac:dyDescent="0.2">
      <c r="A606" s="11">
        <v>44749</v>
      </c>
      <c r="B606" s="53" t="s">
        <v>1666</v>
      </c>
      <c r="C606" s="52" t="str">
        <f>IF(MID(B606,4,2)="09","Ramadan",IF(AND(MID(B606,4,2)="12",VALUE(LEFT(B606,2))&lt;=9),"Adha Season","Normal"))</f>
        <v>Adha Season</v>
      </c>
      <c r="D606" s="1" t="s">
        <v>45</v>
      </c>
      <c r="F606" s="4" t="s">
        <v>46</v>
      </c>
      <c r="G606" s="1">
        <v>54</v>
      </c>
      <c r="H606" s="15">
        <v>54</v>
      </c>
      <c r="I606" s="1">
        <f>grand[[#This Row],[number]]-grand[[#This Row],[received]]</f>
        <v>0</v>
      </c>
      <c r="J606" s="30"/>
      <c r="K606" s="2">
        <v>22897</v>
      </c>
      <c r="L606" s="2">
        <v>22897</v>
      </c>
      <c r="M606" s="2">
        <f>K606-L606</f>
        <v>0</v>
      </c>
      <c r="N606" s="2">
        <v>13738.5</v>
      </c>
      <c r="O606" s="2">
        <v>390</v>
      </c>
      <c r="P606" s="7">
        <f>grand[[#This Row],[total weight]]/grand[[#This Row],[received]]</f>
        <v>424.01851851851853</v>
      </c>
      <c r="Q606" s="7">
        <f>grand[[#This Row],[receiving weight]]/grand[[#This Row],[received]]</f>
        <v>424.01851851851853</v>
      </c>
      <c r="R606" s="7">
        <f>grand[[#This Row],[transportation loss ]]/grand[[#This Row],[received]]</f>
        <v>0</v>
      </c>
      <c r="S606" s="7">
        <f>grand[[#This Row],[ carcass weight]]/grand[[#This Row],[received]]</f>
        <v>254.41666666666666</v>
      </c>
      <c r="T606" s="7">
        <f>grand[[#This Row],[ kidneys fat quantity]]/grand[[#This Row],[received]]</f>
        <v>7.2222222222222223</v>
      </c>
      <c r="U606" s="15">
        <v>24</v>
      </c>
      <c r="V606" s="15">
        <v>0</v>
      </c>
      <c r="W606" s="15">
        <v>49.833333333333329</v>
      </c>
      <c r="X606" s="15">
        <v>10</v>
      </c>
      <c r="Y606" s="8">
        <v>8.5</v>
      </c>
      <c r="Z606" s="20">
        <f>grand[[#This Row],[av. Transportation loss]]/grand[[#This Row],[av.total weight]]</f>
        <v>0</v>
      </c>
      <c r="AA606" s="12">
        <f>AVERAGE((grand[[#This Row],[am]]/25),(grand[[#This Row],[pm]]/50))</f>
        <v>0.97833333333333328</v>
      </c>
      <c r="AB606" s="12">
        <f>grand[[#This Row],[ carcass weight]]/grand[[#This Row],[total weight]]</f>
        <v>0.60001310215312054</v>
      </c>
      <c r="AC606" s="22">
        <f>SUM(grand[[#This Row],[am]:[meat transportation]])/100</f>
        <v>0.92333333333333334</v>
      </c>
      <c r="AD606" s="9" t="s">
        <v>97</v>
      </c>
      <c r="AJ606" s="1">
        <v>2</v>
      </c>
      <c r="AK606" s="20"/>
      <c r="AL606" s="1">
        <v>9</v>
      </c>
    </row>
    <row r="607" spans="1:38" hidden="1" x14ac:dyDescent="0.2">
      <c r="A607" s="11">
        <v>44750</v>
      </c>
      <c r="B607" s="53" t="s">
        <v>1667</v>
      </c>
      <c r="C607" s="52" t="str">
        <f>IF(MID(B607,4,2)="09","Ramadan",IF(AND(MID(B607,4,2)="12",VALUE(LEFT(B607,2))&lt;=9),"Adha Season","Normal"))</f>
        <v>Adha Season</v>
      </c>
      <c r="D607" s="2" t="s">
        <v>294</v>
      </c>
      <c r="F607" s="4" t="s">
        <v>35</v>
      </c>
      <c r="G607" s="1">
        <v>93</v>
      </c>
      <c r="H607" s="15">
        <v>93</v>
      </c>
      <c r="I607" s="1">
        <f>grand[[#This Row],[number]]-grand[[#This Row],[received]]</f>
        <v>0</v>
      </c>
      <c r="J607" s="30"/>
      <c r="K607" s="2">
        <v>4966</v>
      </c>
      <c r="L607" s="2">
        <v>4966</v>
      </c>
      <c r="M607" s="2">
        <f>K607-L607</f>
        <v>0</v>
      </c>
      <c r="N607" s="2">
        <v>2904.5</v>
      </c>
      <c r="O607" s="2">
        <v>0</v>
      </c>
      <c r="P607" s="7">
        <f>grand[[#This Row],[total weight]]/grand[[#This Row],[received]]</f>
        <v>53.397849462365592</v>
      </c>
      <c r="Q607" s="7">
        <f>grand[[#This Row],[receiving weight]]/grand[[#This Row],[received]]</f>
        <v>53.397849462365592</v>
      </c>
      <c r="R607" s="7">
        <f>grand[[#This Row],[transportation loss ]]/grand[[#This Row],[received]]</f>
        <v>0</v>
      </c>
      <c r="S607" s="7">
        <f>grand[[#This Row],[ carcass weight]]/grand[[#This Row],[received]]</f>
        <v>31.231182795698924</v>
      </c>
      <c r="T607" s="7">
        <f>grand[[#This Row],[ kidneys fat quantity]]/grand[[#This Row],[received]]</f>
        <v>0</v>
      </c>
      <c r="U607" s="15">
        <v>25</v>
      </c>
      <c r="V607" s="15">
        <v>0</v>
      </c>
      <c r="W607" s="15">
        <v>49.849462365591393</v>
      </c>
      <c r="X607" s="15">
        <v>10</v>
      </c>
      <c r="Y607" s="8">
        <v>7</v>
      </c>
      <c r="Z607" s="20">
        <f>grand[[#This Row],[av. Transportation loss]]/grand[[#This Row],[av.total weight]]</f>
        <v>0</v>
      </c>
      <c r="AA607" s="12">
        <f>AVERAGE((grand[[#This Row],[am]]/25),(grand[[#This Row],[pm]]/50))</f>
        <v>0.9984946236559139</v>
      </c>
      <c r="AB607" s="12">
        <f>grand[[#This Row],[ carcass weight]]/grand[[#This Row],[total weight]]</f>
        <v>0.58487716472009665</v>
      </c>
      <c r="AC607" s="22">
        <f>SUM(grand[[#This Row],[am]:[meat transportation]])/100</f>
        <v>0.91849462365591394</v>
      </c>
      <c r="AD607" s="9" t="s">
        <v>446</v>
      </c>
      <c r="AJ607" s="1">
        <v>0</v>
      </c>
      <c r="AK607" s="20"/>
      <c r="AL607" s="1">
        <v>0</v>
      </c>
    </row>
    <row r="608" spans="1:38" hidden="1" x14ac:dyDescent="0.2">
      <c r="A608" s="11">
        <v>44754</v>
      </c>
      <c r="B608" s="53" t="s">
        <v>1668</v>
      </c>
      <c r="C608" s="52" t="str">
        <f>IF(MID(B608,4,2)="09","Ramadan",IF(AND(MID(B608,4,2)="12",VALUE(LEFT(B608,2))&lt;=9),"Adha Season","Normal"))</f>
        <v>Normal</v>
      </c>
      <c r="D608" s="1" t="s">
        <v>45</v>
      </c>
      <c r="E608" s="1" t="s">
        <v>482</v>
      </c>
      <c r="F608" s="4" t="s">
        <v>39</v>
      </c>
      <c r="G608" s="1">
        <v>41</v>
      </c>
      <c r="H608" s="15">
        <v>41</v>
      </c>
      <c r="I608" s="1">
        <f>grand[[#This Row],[number]]-grand[[#This Row],[received]]</f>
        <v>0</v>
      </c>
      <c r="J608" s="30"/>
      <c r="K608" s="2">
        <v>23573</v>
      </c>
      <c r="L608" s="2">
        <v>23573</v>
      </c>
      <c r="M608" s="2">
        <f>K608-L608</f>
        <v>0</v>
      </c>
      <c r="N608" s="2">
        <v>14892</v>
      </c>
      <c r="O608" s="2">
        <v>254</v>
      </c>
      <c r="P608" s="7">
        <f>grand[[#This Row],[total weight]]/grand[[#This Row],[received]]</f>
        <v>574.95121951219517</v>
      </c>
      <c r="Q608" s="7">
        <f>grand[[#This Row],[receiving weight]]/grand[[#This Row],[received]]</f>
        <v>574.95121951219517</v>
      </c>
      <c r="R608" s="7">
        <f>grand[[#This Row],[transportation loss ]]/grand[[#This Row],[received]]</f>
        <v>0</v>
      </c>
      <c r="S608" s="7">
        <f>grand[[#This Row],[ carcass weight]]/grand[[#This Row],[received]]</f>
        <v>363.21951219512198</v>
      </c>
      <c r="T608" s="7">
        <f>grand[[#This Row],[ kidneys fat quantity]]/grand[[#This Row],[received]]</f>
        <v>6.1951219512195124</v>
      </c>
      <c r="U608" s="15">
        <v>22.5</v>
      </c>
      <c r="V608" s="15">
        <v>0</v>
      </c>
      <c r="W608" s="15">
        <v>49.146341463414636</v>
      </c>
      <c r="X608" s="15">
        <v>10</v>
      </c>
      <c r="Y608" s="8">
        <v>8.5</v>
      </c>
      <c r="Z608" s="20">
        <f>grand[[#This Row],[av. Transportation loss]]/grand[[#This Row],[av.total weight]]</f>
        <v>0</v>
      </c>
      <c r="AA608" s="12">
        <f>AVERAGE((grand[[#This Row],[am]]/25),(grand[[#This Row],[pm]]/50))</f>
        <v>0.94146341463414629</v>
      </c>
      <c r="AB608" s="12">
        <f>grand[[#This Row],[ carcass weight]]/grand[[#This Row],[total weight]]</f>
        <v>0.63173970220167142</v>
      </c>
      <c r="AC608" s="22">
        <f>SUM(grand[[#This Row],[am]:[meat transportation]])/100</f>
        <v>0.90146341463414648</v>
      </c>
      <c r="AD608" s="9" t="s">
        <v>447</v>
      </c>
      <c r="AJ608" s="1">
        <v>0</v>
      </c>
      <c r="AK608" s="20"/>
      <c r="AL608" s="1">
        <v>10</v>
      </c>
    </row>
    <row r="609" spans="1:38" hidden="1" x14ac:dyDescent="0.2">
      <c r="A609" s="11">
        <v>44756</v>
      </c>
      <c r="B609" s="53" t="s">
        <v>1669</v>
      </c>
      <c r="C609" s="52" t="str">
        <f>IF(MID(B609,4,2)="09","Ramadan",IF(AND(MID(B609,4,2)="12",VALUE(LEFT(B609,2))&lt;=9),"Adha Season","Normal"))</f>
        <v>Normal</v>
      </c>
      <c r="D609" s="1" t="s">
        <v>45</v>
      </c>
      <c r="E609" s="1" t="s">
        <v>482</v>
      </c>
      <c r="F609" s="4" t="s">
        <v>39</v>
      </c>
      <c r="G609" s="1">
        <v>58</v>
      </c>
      <c r="H609" s="15">
        <v>58</v>
      </c>
      <c r="I609" s="1">
        <f>grand[[#This Row],[number]]-grand[[#This Row],[received]]</f>
        <v>0</v>
      </c>
      <c r="J609" s="30"/>
      <c r="K609" s="2">
        <v>30721</v>
      </c>
      <c r="L609" s="2">
        <v>30721</v>
      </c>
      <c r="M609" s="2">
        <f>K609-L609</f>
        <v>0</v>
      </c>
      <c r="N609" s="2">
        <v>19117.5</v>
      </c>
      <c r="O609" s="2">
        <v>344</v>
      </c>
      <c r="P609" s="7">
        <f>grand[[#This Row],[total weight]]/grand[[#This Row],[received]]</f>
        <v>529.67241379310349</v>
      </c>
      <c r="Q609" s="7">
        <f>grand[[#This Row],[receiving weight]]/grand[[#This Row],[received]]</f>
        <v>529.67241379310349</v>
      </c>
      <c r="R609" s="7">
        <f>grand[[#This Row],[transportation loss ]]/grand[[#This Row],[received]]</f>
        <v>0</v>
      </c>
      <c r="S609" s="7">
        <f>grand[[#This Row],[ carcass weight]]/grand[[#This Row],[received]]</f>
        <v>329.61206896551727</v>
      </c>
      <c r="T609" s="7">
        <f>grand[[#This Row],[ kidneys fat quantity]]/grand[[#This Row],[received]]</f>
        <v>5.931034482758621</v>
      </c>
      <c r="U609" s="15">
        <v>22.5</v>
      </c>
      <c r="V609" s="15">
        <v>0</v>
      </c>
      <c r="W609" s="15">
        <v>47.948275862068968</v>
      </c>
      <c r="X609" s="15">
        <v>10</v>
      </c>
      <c r="Y609" s="8">
        <v>8.5</v>
      </c>
      <c r="Z609" s="20">
        <f>grand[[#This Row],[av. Transportation loss]]/grand[[#This Row],[av.total weight]]</f>
        <v>0</v>
      </c>
      <c r="AA609" s="12">
        <f>AVERAGE((grand[[#This Row],[am]]/25),(grand[[#This Row],[pm]]/50))</f>
        <v>0.92948275862068974</v>
      </c>
      <c r="AB609" s="12">
        <f>grand[[#This Row],[ carcass weight]]/grand[[#This Row],[total weight]]</f>
        <v>0.62229419615246895</v>
      </c>
      <c r="AC609" s="22">
        <f>SUM(grand[[#This Row],[am]:[meat transportation]])/100</f>
        <v>0.88948275862068971</v>
      </c>
      <c r="AD609" s="9" t="s">
        <v>448</v>
      </c>
      <c r="AJ609" s="1">
        <v>0</v>
      </c>
      <c r="AK609" s="20"/>
      <c r="AL609" s="1">
        <v>34</v>
      </c>
    </row>
    <row r="610" spans="1:38" hidden="1" x14ac:dyDescent="0.2">
      <c r="A610" s="11">
        <v>44759</v>
      </c>
      <c r="B610" s="53" t="s">
        <v>1670</v>
      </c>
      <c r="C610" s="52" t="str">
        <f>IF(MID(B610,4,2)="09","Ramadan",IF(AND(MID(B610,4,2)="12",VALUE(LEFT(B610,2))&lt;=9),"Adha Season","Normal"))</f>
        <v>Normal</v>
      </c>
      <c r="D610" s="1" t="s">
        <v>45</v>
      </c>
      <c r="E610" s="1" t="s">
        <v>482</v>
      </c>
      <c r="F610" s="4" t="s">
        <v>39</v>
      </c>
      <c r="G610" s="1">
        <v>24</v>
      </c>
      <c r="H610" s="15">
        <v>24</v>
      </c>
      <c r="I610" s="1">
        <f>grand[[#This Row],[number]]-grand[[#This Row],[received]]</f>
        <v>0</v>
      </c>
      <c r="J610" s="30"/>
      <c r="K610" s="2">
        <v>13372</v>
      </c>
      <c r="L610" s="2">
        <v>12775</v>
      </c>
      <c r="M610" s="2">
        <f>K610-L610</f>
        <v>597</v>
      </c>
      <c r="N610" s="2">
        <v>8470.5</v>
      </c>
      <c r="O610" s="2">
        <v>150</v>
      </c>
      <c r="P610" s="7">
        <f>grand[[#This Row],[total weight]]/grand[[#This Row],[received]]</f>
        <v>557.16666666666663</v>
      </c>
      <c r="Q610" s="7">
        <f>grand[[#This Row],[receiving weight]]/grand[[#This Row],[received]]</f>
        <v>532.29166666666663</v>
      </c>
      <c r="R610" s="7">
        <f>grand[[#This Row],[transportation loss ]]/grand[[#This Row],[received]]</f>
        <v>24.875</v>
      </c>
      <c r="S610" s="7">
        <f>grand[[#This Row],[ carcass weight]]/grand[[#This Row],[received]]</f>
        <v>352.9375</v>
      </c>
      <c r="T610" s="7">
        <f>grand[[#This Row],[ kidneys fat quantity]]/grand[[#This Row],[received]]</f>
        <v>6.25</v>
      </c>
      <c r="U610" s="15">
        <v>25</v>
      </c>
      <c r="V610" s="15">
        <v>0</v>
      </c>
      <c r="W610" s="15">
        <v>49.541666666666664</v>
      </c>
      <c r="X610" s="15">
        <v>10</v>
      </c>
      <c r="Y610" s="8">
        <v>8.5</v>
      </c>
      <c r="Z610" s="20">
        <f>grand[[#This Row],[av. Transportation loss]]/grand[[#This Row],[av.total weight]]</f>
        <v>4.4645527968890222E-2</v>
      </c>
      <c r="AA610" s="12">
        <f>AVERAGE((grand[[#This Row],[am]]/25),(grand[[#This Row],[pm]]/50))</f>
        <v>0.99541666666666662</v>
      </c>
      <c r="AB610" s="12">
        <f>grand[[#This Row],[ carcass weight]]/grand[[#This Row],[total weight]]</f>
        <v>0.63345049356865091</v>
      </c>
      <c r="AC610" s="22">
        <f>SUM(grand[[#This Row],[am]:[meat transportation]])/100</f>
        <v>0.93041666666666656</v>
      </c>
      <c r="AD610" s="9" t="s">
        <v>97</v>
      </c>
      <c r="AJ610" s="1">
        <v>0</v>
      </c>
      <c r="AK610" s="20"/>
      <c r="AL610" s="1">
        <v>10</v>
      </c>
    </row>
    <row r="611" spans="1:38" hidden="1" x14ac:dyDescent="0.2">
      <c r="A611" s="11">
        <v>44766</v>
      </c>
      <c r="B611" s="53" t="s">
        <v>1673</v>
      </c>
      <c r="C611" s="52" t="str">
        <f>IF(MID(B611,4,2)="09","Ramadan",IF(AND(MID(B611,4,2)="12",VALUE(LEFT(B611,2))&lt;=9),"Adha Season","Normal"))</f>
        <v>Normal</v>
      </c>
      <c r="D611" s="1" t="s">
        <v>45</v>
      </c>
      <c r="E611" s="1" t="s">
        <v>482</v>
      </c>
      <c r="F611" s="4" t="s">
        <v>39</v>
      </c>
      <c r="G611" s="1">
        <v>43</v>
      </c>
      <c r="H611" s="15">
        <v>43</v>
      </c>
      <c r="I611" s="1">
        <f>grand[[#This Row],[number]]-grand[[#This Row],[received]]</f>
        <v>0</v>
      </c>
      <c r="J611" s="30"/>
      <c r="K611" s="2">
        <v>24019</v>
      </c>
      <c r="L611" s="2">
        <v>23085</v>
      </c>
      <c r="M611" s="2">
        <f>K611-L611</f>
        <v>934</v>
      </c>
      <c r="N611" s="2">
        <v>14947.300000000001</v>
      </c>
      <c r="O611" s="2">
        <v>342</v>
      </c>
      <c r="P611" s="7">
        <f>grand[[#This Row],[total weight]]/grand[[#This Row],[received]]</f>
        <v>558.58139534883719</v>
      </c>
      <c r="Q611" s="7">
        <f>grand[[#This Row],[receiving weight]]/grand[[#This Row],[received]]</f>
        <v>536.8604651162791</v>
      </c>
      <c r="R611" s="7">
        <f>grand[[#This Row],[transportation loss ]]/grand[[#This Row],[received]]</f>
        <v>21.720930232558139</v>
      </c>
      <c r="S611" s="7">
        <f>grand[[#This Row],[ carcass weight]]/grand[[#This Row],[received]]</f>
        <v>347.61162790697676</v>
      </c>
      <c r="T611" s="7">
        <f>grand[[#This Row],[ kidneys fat quantity]]/grand[[#This Row],[received]]</f>
        <v>7.9534883720930232</v>
      </c>
      <c r="U611" s="15">
        <v>25</v>
      </c>
      <c r="V611" s="15">
        <v>0</v>
      </c>
      <c r="W611" s="15">
        <v>49.883720930232556</v>
      </c>
      <c r="X611" s="15">
        <v>9.7674418604651159</v>
      </c>
      <c r="Y611" s="8">
        <v>8.5</v>
      </c>
      <c r="Z611" s="20">
        <f>grand[[#This Row],[av. Transportation loss]]/grand[[#This Row],[av.total weight]]</f>
        <v>3.8885882010075361E-2</v>
      </c>
      <c r="AA611" s="12">
        <f>AVERAGE((grand[[#This Row],[am]]/25),(grand[[#This Row],[pm]]/50))</f>
        <v>0.99883720930232556</v>
      </c>
      <c r="AB611" s="12">
        <f>grand[[#This Row],[ carcass weight]]/grand[[#This Row],[total weight]]</f>
        <v>0.62231150339314711</v>
      </c>
      <c r="AC611" s="22">
        <f>SUM(grand[[#This Row],[am]:[meat transportation]])/100</f>
        <v>0.93151162790697672</v>
      </c>
      <c r="AD611" s="9" t="s">
        <v>454</v>
      </c>
      <c r="AJ611" s="1">
        <v>0</v>
      </c>
      <c r="AK611" s="20"/>
      <c r="AL611" s="1">
        <v>0</v>
      </c>
    </row>
    <row r="612" spans="1:38" hidden="1" x14ac:dyDescent="0.2">
      <c r="A612" s="11">
        <v>44770</v>
      </c>
      <c r="B612" s="53" t="s">
        <v>1675</v>
      </c>
      <c r="C612" s="52" t="str">
        <f>IF(MID(B612,4,2)="09","Ramadan",IF(AND(MID(B612,4,2)="12",VALUE(LEFT(B612,2))&lt;=9),"Adha Season","Normal"))</f>
        <v>Normal</v>
      </c>
      <c r="D612" s="2" t="s">
        <v>294</v>
      </c>
      <c r="F612" s="4" t="s">
        <v>35</v>
      </c>
      <c r="G612" s="1">
        <v>29</v>
      </c>
      <c r="H612" s="15">
        <v>29</v>
      </c>
      <c r="I612" s="1">
        <f>grand[[#This Row],[number]]-grand[[#This Row],[received]]</f>
        <v>0</v>
      </c>
      <c r="J612" s="30"/>
      <c r="K612" s="2">
        <v>1423</v>
      </c>
      <c r="L612" s="2">
        <v>1355</v>
      </c>
      <c r="M612" s="2">
        <f>K612-L612</f>
        <v>68</v>
      </c>
      <c r="N612" s="2">
        <v>805.5</v>
      </c>
      <c r="O612" s="2">
        <v>0</v>
      </c>
      <c r="P612" s="7">
        <f>grand[[#This Row],[total weight]]/grand[[#This Row],[received]]</f>
        <v>49.068965517241381</v>
      </c>
      <c r="Q612" s="7">
        <f>grand[[#This Row],[receiving weight]]/grand[[#This Row],[received]]</f>
        <v>46.724137931034484</v>
      </c>
      <c r="R612" s="7">
        <f>grand[[#This Row],[transportation loss ]]/grand[[#This Row],[received]]</f>
        <v>2.3448275862068964</v>
      </c>
      <c r="S612" s="7">
        <f>grand[[#This Row],[ carcass weight]]/grand[[#This Row],[received]]</f>
        <v>27.775862068965516</v>
      </c>
      <c r="T612" s="7">
        <f>grand[[#This Row],[ kidneys fat quantity]]/grand[[#This Row],[received]]</f>
        <v>0</v>
      </c>
      <c r="U612" s="15">
        <v>25</v>
      </c>
      <c r="V612" s="15">
        <v>0</v>
      </c>
      <c r="W612" s="15">
        <v>48.137931034482754</v>
      </c>
      <c r="X612" s="15">
        <v>10</v>
      </c>
      <c r="Y612" s="8">
        <v>8.5</v>
      </c>
      <c r="Z612" s="20">
        <f>grand[[#This Row],[av. Transportation loss]]/grand[[#This Row],[av.total weight]]</f>
        <v>4.7786366830639491E-2</v>
      </c>
      <c r="AA612" s="12">
        <f>AVERAGE((grand[[#This Row],[am]]/25),(grand[[#This Row],[pm]]/50))</f>
        <v>0.98137931034482762</v>
      </c>
      <c r="AB612" s="12">
        <f>grand[[#This Row],[ carcass weight]]/grand[[#This Row],[total weight]]</f>
        <v>0.56605762473647225</v>
      </c>
      <c r="AC612" s="22">
        <f>SUM(grand[[#This Row],[am]:[meat transportation]])/100</f>
        <v>0.91637931034482767</v>
      </c>
      <c r="AD612" s="9" t="s">
        <v>456</v>
      </c>
      <c r="AJ612" s="1">
        <v>0</v>
      </c>
      <c r="AK612" s="20"/>
      <c r="AL612" s="1">
        <v>4</v>
      </c>
    </row>
    <row r="613" spans="1:38" hidden="1" x14ac:dyDescent="0.2">
      <c r="A613" s="11">
        <v>44775</v>
      </c>
      <c r="B613" s="53" t="s">
        <v>1678</v>
      </c>
      <c r="C613" s="52" t="str">
        <f>IF(MID(B613,4,2)="09","Ramadan",IF(AND(MID(B613,4,2)="12",VALUE(LEFT(B613,2))&lt;=9),"Adha Season","Normal"))</f>
        <v>Normal</v>
      </c>
      <c r="D613" s="1" t="s">
        <v>45</v>
      </c>
      <c r="E613" s="1" t="s">
        <v>482</v>
      </c>
      <c r="F613" s="4" t="s">
        <v>39</v>
      </c>
      <c r="G613" s="1">
        <v>49</v>
      </c>
      <c r="H613" s="15">
        <v>49</v>
      </c>
      <c r="I613" s="1">
        <f>grand[[#This Row],[number]]-grand[[#This Row],[received]]</f>
        <v>0</v>
      </c>
      <c r="J613" s="30"/>
      <c r="K613" s="2">
        <v>25613</v>
      </c>
      <c r="L613" s="2">
        <v>24023</v>
      </c>
      <c r="M613" s="2">
        <f>K613-L613</f>
        <v>1590</v>
      </c>
      <c r="N613" s="2">
        <v>15760.2</v>
      </c>
      <c r="O613" s="2">
        <v>344</v>
      </c>
      <c r="P613" s="7">
        <f>grand[[#This Row],[total weight]]/grand[[#This Row],[received]]</f>
        <v>522.71428571428567</v>
      </c>
      <c r="Q613" s="7">
        <f>grand[[#This Row],[receiving weight]]/grand[[#This Row],[received]]</f>
        <v>490.26530612244898</v>
      </c>
      <c r="R613" s="7">
        <f>grand[[#This Row],[transportation loss ]]/grand[[#This Row],[received]]</f>
        <v>32.448979591836732</v>
      </c>
      <c r="S613" s="7">
        <f>grand[[#This Row],[ carcass weight]]/grand[[#This Row],[received]]</f>
        <v>321.63673469387754</v>
      </c>
      <c r="T613" s="7">
        <f>grand[[#This Row],[ kidneys fat quantity]]/grand[[#This Row],[received]]</f>
        <v>7.0204081632653059</v>
      </c>
      <c r="U613" s="15">
        <v>25</v>
      </c>
      <c r="V613" s="15">
        <v>0</v>
      </c>
      <c r="W613" s="15">
        <v>49.82</v>
      </c>
      <c r="X613" s="15">
        <v>10</v>
      </c>
      <c r="Y613" s="8">
        <v>8.5</v>
      </c>
      <c r="Z613" s="20">
        <f>grand[[#This Row],[av. Transportation loss]]/grand[[#This Row],[av.total weight]]</f>
        <v>6.2077851091242732E-2</v>
      </c>
      <c r="AA613" s="12">
        <f>AVERAGE((grand[[#This Row],[am]]/25),(grand[[#This Row],[pm]]/50))</f>
        <v>0.99819999999999998</v>
      </c>
      <c r="AB613" s="12">
        <f>grand[[#This Row],[ carcass weight]]/grand[[#This Row],[total weight]]</f>
        <v>0.61532034513723499</v>
      </c>
      <c r="AC613" s="22">
        <f>SUM(grand[[#This Row],[am]:[meat transportation]])/100</f>
        <v>0.93319999999999992</v>
      </c>
      <c r="AD613" s="2" t="s">
        <v>97</v>
      </c>
      <c r="AJ613" s="1">
        <v>3</v>
      </c>
      <c r="AK613" s="20"/>
      <c r="AL613" s="1">
        <v>10</v>
      </c>
    </row>
    <row r="614" spans="1:38" hidden="1" x14ac:dyDescent="0.2">
      <c r="A614" s="11">
        <v>44777</v>
      </c>
      <c r="B614" s="53" t="s">
        <v>1679</v>
      </c>
      <c r="C614" s="52" t="str">
        <f>IF(MID(B614,4,2)="09","Ramadan",IF(AND(MID(B614,4,2)="12",VALUE(LEFT(B614,2))&lt;=9),"Adha Season","Normal"))</f>
        <v>Normal</v>
      </c>
      <c r="D614" s="2" t="s">
        <v>294</v>
      </c>
      <c r="F614" s="4" t="s">
        <v>35</v>
      </c>
      <c r="G614" s="1">
        <v>31</v>
      </c>
      <c r="H614" s="15">
        <v>31</v>
      </c>
      <c r="I614" s="1">
        <f>grand[[#This Row],[number]]-grand[[#This Row],[received]]</f>
        <v>0</v>
      </c>
      <c r="J614" s="30"/>
      <c r="K614" s="2">
        <v>1487</v>
      </c>
      <c r="L614" s="2">
        <v>1420</v>
      </c>
      <c r="M614" s="2">
        <f>K614-L614</f>
        <v>67</v>
      </c>
      <c r="N614" s="2">
        <v>821</v>
      </c>
      <c r="O614" s="2">
        <v>0</v>
      </c>
      <c r="P614" s="7">
        <f>grand[[#This Row],[total weight]]/grand[[#This Row],[received]]</f>
        <v>47.967741935483872</v>
      </c>
      <c r="Q614" s="7">
        <f>grand[[#This Row],[receiving weight]]/grand[[#This Row],[received]]</f>
        <v>45.806451612903224</v>
      </c>
      <c r="R614" s="7">
        <f>grand[[#This Row],[transportation loss ]]/grand[[#This Row],[received]]</f>
        <v>2.161290322580645</v>
      </c>
      <c r="S614" s="7">
        <f>grand[[#This Row],[ carcass weight]]/grand[[#This Row],[received]]</f>
        <v>26.483870967741936</v>
      </c>
      <c r="T614" s="7">
        <f>grand[[#This Row],[ kidneys fat quantity]]/grand[[#This Row],[received]]</f>
        <v>0</v>
      </c>
      <c r="U614" s="15">
        <v>25</v>
      </c>
      <c r="V614" s="15">
        <v>0</v>
      </c>
      <c r="W614" s="15">
        <v>49.645161290322584</v>
      </c>
      <c r="X614" s="15">
        <v>10</v>
      </c>
      <c r="Y614" s="8">
        <v>8.5</v>
      </c>
      <c r="Z614" s="20">
        <f>grand[[#This Row],[av. Transportation loss]]/grand[[#This Row],[av.total weight]]</f>
        <v>4.5057162071284462E-2</v>
      </c>
      <c r="AA614" s="12">
        <f>AVERAGE((grand[[#This Row],[am]]/25),(grand[[#This Row],[pm]]/50))</f>
        <v>0.99645161290322581</v>
      </c>
      <c r="AB614" s="12">
        <f>grand[[#This Row],[ carcass weight]]/grand[[#This Row],[total weight]]</f>
        <v>0.55211835911230667</v>
      </c>
      <c r="AC614" s="22">
        <f>SUM(grand[[#This Row],[am]:[meat transportation]])/100</f>
        <v>0.93145161290322587</v>
      </c>
      <c r="AD614" s="2" t="s">
        <v>460</v>
      </c>
      <c r="AJ614" s="1">
        <v>0</v>
      </c>
      <c r="AK614" s="20"/>
      <c r="AL614" s="1"/>
    </row>
    <row r="615" spans="1:38" hidden="1" x14ac:dyDescent="0.2">
      <c r="A615" s="11">
        <v>44777</v>
      </c>
      <c r="B615" s="53" t="s">
        <v>1679</v>
      </c>
      <c r="C615" s="52" t="str">
        <f>IF(MID(B615,4,2)="09","Ramadan",IF(AND(MID(B615,4,2)="12",VALUE(LEFT(B615,2))&lt;=9),"Adha Season","Normal"))</f>
        <v>Normal</v>
      </c>
      <c r="D615" s="1" t="s">
        <v>45</v>
      </c>
      <c r="F615" s="4" t="s">
        <v>46</v>
      </c>
      <c r="G615" s="1">
        <v>44</v>
      </c>
      <c r="H615" s="15">
        <v>44</v>
      </c>
      <c r="I615" s="1">
        <f>grand[[#This Row],[number]]-grand[[#This Row],[received]]</f>
        <v>0</v>
      </c>
      <c r="J615" s="30"/>
      <c r="K615" s="2">
        <v>21213</v>
      </c>
      <c r="L615" s="2">
        <v>20200</v>
      </c>
      <c r="M615" s="2">
        <f>K615-L615</f>
        <v>1013</v>
      </c>
      <c r="N615" s="2">
        <v>12728.5</v>
      </c>
      <c r="O615" s="2">
        <v>415</v>
      </c>
      <c r="P615" s="7">
        <f>grand[[#This Row],[total weight]]/grand[[#This Row],[received]]</f>
        <v>482.11363636363637</v>
      </c>
      <c r="Q615" s="7">
        <f>grand[[#This Row],[receiving weight]]/grand[[#This Row],[received]]</f>
        <v>459.09090909090907</v>
      </c>
      <c r="R615" s="7">
        <f>grand[[#This Row],[transportation loss ]]/grand[[#This Row],[received]]</f>
        <v>23.022727272727273</v>
      </c>
      <c r="S615" s="7">
        <f>grand[[#This Row],[ carcass weight]]/grand[[#This Row],[received]]</f>
        <v>289.28409090909093</v>
      </c>
      <c r="T615" s="7">
        <f>grand[[#This Row],[ kidneys fat quantity]]/grand[[#This Row],[received]]</f>
        <v>9.4318181818181817</v>
      </c>
      <c r="U615" s="15">
        <v>25</v>
      </c>
      <c r="V615" s="15">
        <v>0</v>
      </c>
      <c r="W615" s="15">
        <v>48.72727272727272</v>
      </c>
      <c r="X615" s="15">
        <v>10</v>
      </c>
      <c r="Y615" s="8">
        <v>8.5</v>
      </c>
      <c r="Z615" s="20">
        <f>grand[[#This Row],[av. Transportation loss]]/grand[[#This Row],[av.total weight]]</f>
        <v>4.7753735916654882E-2</v>
      </c>
      <c r="AA615" s="12">
        <f>AVERAGE((grand[[#This Row],[am]]/25),(grand[[#This Row],[pm]]/50))</f>
        <v>0.98727272727272719</v>
      </c>
      <c r="AB615" s="12">
        <f>grand[[#This Row],[ carcass weight]]/grand[[#This Row],[total weight]]</f>
        <v>0.60003299863291382</v>
      </c>
      <c r="AC615" s="22">
        <f>SUM(grand[[#This Row],[am]:[meat transportation]])/100</f>
        <v>0.92227272727272724</v>
      </c>
      <c r="AD615" s="9" t="s">
        <v>283</v>
      </c>
      <c r="AJ615" s="1">
        <v>0</v>
      </c>
      <c r="AK615" s="20"/>
      <c r="AL615" s="1">
        <v>13</v>
      </c>
    </row>
    <row r="616" spans="1:38" hidden="1" x14ac:dyDescent="0.2">
      <c r="A616" s="11">
        <v>44779</v>
      </c>
      <c r="B616" s="53" t="s">
        <v>1680</v>
      </c>
      <c r="C616" s="52" t="str">
        <f>IF(MID(B616,4,2)="09","Ramadan",IF(AND(MID(B616,4,2)="12",VALUE(LEFT(B616,2))&lt;=9),"Adha Season","Normal"))</f>
        <v>Normal</v>
      </c>
      <c r="D616" s="1" t="s">
        <v>45</v>
      </c>
      <c r="F616" s="4" t="s">
        <v>46</v>
      </c>
      <c r="G616" s="1">
        <v>29</v>
      </c>
      <c r="H616" s="15">
        <v>29</v>
      </c>
      <c r="I616" s="1">
        <f>grand[[#This Row],[number]]-grand[[#This Row],[received]]</f>
        <v>0</v>
      </c>
      <c r="J616" s="30"/>
      <c r="K616" s="2">
        <v>13300</v>
      </c>
      <c r="L616" s="2">
        <v>12815</v>
      </c>
      <c r="M616" s="2">
        <f>K616-L616</f>
        <v>485</v>
      </c>
      <c r="N616" s="2">
        <v>8021</v>
      </c>
      <c r="O616" s="2">
        <v>248</v>
      </c>
      <c r="P616" s="7">
        <f>grand[[#This Row],[total weight]]/grand[[#This Row],[received]]</f>
        <v>458.62068965517244</v>
      </c>
      <c r="Q616" s="7">
        <f>grand[[#This Row],[receiving weight]]/grand[[#This Row],[received]]</f>
        <v>441.89655172413791</v>
      </c>
      <c r="R616" s="7">
        <f>grand[[#This Row],[transportation loss ]]/grand[[#This Row],[received]]</f>
        <v>16.724137931034484</v>
      </c>
      <c r="S616" s="7">
        <f>grand[[#This Row],[ carcass weight]]/grand[[#This Row],[received]]</f>
        <v>276.58620689655174</v>
      </c>
      <c r="T616" s="7">
        <f>grand[[#This Row],[ kidneys fat quantity]]/grand[[#This Row],[received]]</f>
        <v>8.5517241379310338</v>
      </c>
      <c r="U616" s="15">
        <v>25</v>
      </c>
      <c r="V616" s="15">
        <v>0</v>
      </c>
      <c r="W616" s="15">
        <v>48.896551724137936</v>
      </c>
      <c r="X616" s="15">
        <v>10</v>
      </c>
      <c r="Y616" s="8">
        <v>8.5</v>
      </c>
      <c r="Z616" s="20">
        <f>grand[[#This Row],[av. Transportation loss]]/grand[[#This Row],[av.total weight]]</f>
        <v>3.6466165413533834E-2</v>
      </c>
      <c r="AA616" s="12">
        <f>AVERAGE((grand[[#This Row],[am]]/25),(grand[[#This Row],[pm]]/50))</f>
        <v>0.98896551724137938</v>
      </c>
      <c r="AB616" s="12">
        <f>grand[[#This Row],[ carcass weight]]/grand[[#This Row],[total weight]]</f>
        <v>0.60308270676691733</v>
      </c>
      <c r="AC616" s="22">
        <f>SUM(grand[[#This Row],[am]:[meat transportation]])/100</f>
        <v>0.92396551724137932</v>
      </c>
      <c r="AD616" s="2" t="s">
        <v>89</v>
      </c>
      <c r="AJ616" s="1">
        <v>1</v>
      </c>
      <c r="AK616" s="20"/>
      <c r="AL616" s="1">
        <v>2</v>
      </c>
    </row>
    <row r="617" spans="1:38" hidden="1" x14ac:dyDescent="0.2">
      <c r="A617" s="11">
        <v>44784</v>
      </c>
      <c r="B617" s="53" t="s">
        <v>1683</v>
      </c>
      <c r="C617" s="52" t="str">
        <f>IF(MID(B617,4,2)="09","Ramadan",IF(AND(MID(B617,4,2)="12",VALUE(LEFT(B617,2))&lt;=9),"Adha Season","Normal"))</f>
        <v>Normal</v>
      </c>
      <c r="D617" s="1" t="s">
        <v>45</v>
      </c>
      <c r="F617" s="4" t="s">
        <v>46</v>
      </c>
      <c r="G617" s="1">
        <v>36</v>
      </c>
      <c r="H617" s="15">
        <v>36</v>
      </c>
      <c r="I617" s="1">
        <f>grand[[#This Row],[number]]-grand[[#This Row],[received]]</f>
        <v>0</v>
      </c>
      <c r="J617" s="30"/>
      <c r="K617" s="9">
        <v>16085</v>
      </c>
      <c r="L617" s="9">
        <v>15485</v>
      </c>
      <c r="M617" s="2">
        <f>K617-L617</f>
        <v>600</v>
      </c>
      <c r="N617" s="9">
        <v>9651.5</v>
      </c>
      <c r="O617" s="9">
        <v>233</v>
      </c>
      <c r="P617" s="7">
        <f>grand[[#This Row],[total weight]]/grand[[#This Row],[received]]</f>
        <v>446.80555555555554</v>
      </c>
      <c r="Q617" s="7">
        <f>grand[[#This Row],[receiving weight]]/grand[[#This Row],[received]]</f>
        <v>430.13888888888891</v>
      </c>
      <c r="R617" s="7">
        <f>grand[[#This Row],[transportation loss ]]/grand[[#This Row],[received]]</f>
        <v>16.666666666666668</v>
      </c>
      <c r="S617" s="7">
        <f>grand[[#This Row],[ carcass weight]]/grand[[#This Row],[received]]</f>
        <v>268.09722222222223</v>
      </c>
      <c r="T617" s="7">
        <f>grand[[#This Row],[ kidneys fat quantity]]/grand[[#This Row],[received]]</f>
        <v>6.4722222222222223</v>
      </c>
      <c r="U617" s="15">
        <v>25</v>
      </c>
      <c r="V617" s="15">
        <v>0</v>
      </c>
      <c r="W617" s="15">
        <v>49.694444444444443</v>
      </c>
      <c r="X617" s="15">
        <v>10</v>
      </c>
      <c r="Y617" s="8">
        <v>8.5</v>
      </c>
      <c r="Z617" s="20">
        <f>grand[[#This Row],[av. Transportation loss]]/grand[[#This Row],[av.total weight]]</f>
        <v>3.7301834006838674E-2</v>
      </c>
      <c r="AA617" s="12">
        <f>AVERAGE((grand[[#This Row],[am]]/25),(grand[[#This Row],[pm]]/50))</f>
        <v>0.99694444444444441</v>
      </c>
      <c r="AB617" s="12">
        <f>grand[[#This Row],[ carcass weight]]/grand[[#This Row],[total weight]]</f>
        <v>0.60003108486167234</v>
      </c>
      <c r="AC617" s="22">
        <f>SUM(grand[[#This Row],[am]:[meat transportation]])/100</f>
        <v>0.93194444444444446</v>
      </c>
      <c r="AD617" s="2" t="s">
        <v>97</v>
      </c>
      <c r="AJ617" s="1">
        <v>3</v>
      </c>
      <c r="AK617" s="20"/>
      <c r="AL617" s="1">
        <v>11</v>
      </c>
    </row>
    <row r="618" spans="1:38" hidden="1" x14ac:dyDescent="0.2">
      <c r="A618" s="11">
        <v>44786</v>
      </c>
      <c r="B618" s="53" t="s">
        <v>1684</v>
      </c>
      <c r="C618" s="52" t="str">
        <f>IF(MID(B618,4,2)="09","Ramadan",IF(AND(MID(B618,4,2)="12",VALUE(LEFT(B618,2))&lt;=9),"Adha Season","Normal"))</f>
        <v>Normal</v>
      </c>
      <c r="D618" s="1" t="s">
        <v>45</v>
      </c>
      <c r="F618" s="4" t="s">
        <v>280</v>
      </c>
      <c r="G618" s="1">
        <v>21</v>
      </c>
      <c r="H618" s="15">
        <v>21</v>
      </c>
      <c r="I618" s="1">
        <f>grand[[#This Row],[number]]-grand[[#This Row],[received]]</f>
        <v>0</v>
      </c>
      <c r="J618" s="30"/>
      <c r="K618" s="9">
        <v>10040</v>
      </c>
      <c r="L618" s="9">
        <v>9810</v>
      </c>
      <c r="M618" s="2">
        <f>K618-L618</f>
        <v>230</v>
      </c>
      <c r="N618" s="9">
        <v>6024.5</v>
      </c>
      <c r="O618" s="9">
        <v>221</v>
      </c>
      <c r="P618" s="7">
        <f>grand[[#This Row],[total weight]]/grand[[#This Row],[received]]</f>
        <v>478.09523809523807</v>
      </c>
      <c r="Q618" s="7">
        <f>grand[[#This Row],[receiving weight]]/grand[[#This Row],[received]]</f>
        <v>467.14285714285717</v>
      </c>
      <c r="R618" s="7">
        <f>grand[[#This Row],[transportation loss ]]/grand[[#This Row],[received]]</f>
        <v>10.952380952380953</v>
      </c>
      <c r="S618" s="7">
        <f>grand[[#This Row],[ carcass weight]]/grand[[#This Row],[received]]</f>
        <v>286.88095238095241</v>
      </c>
      <c r="T618" s="7">
        <f>grand[[#This Row],[ kidneys fat quantity]]/grand[[#This Row],[received]]</f>
        <v>10.523809523809524</v>
      </c>
      <c r="U618" s="15">
        <v>25</v>
      </c>
      <c r="V618" s="15">
        <v>0</v>
      </c>
      <c r="W618" s="15">
        <v>49.428571428571431</v>
      </c>
      <c r="X618" s="15">
        <v>10</v>
      </c>
      <c r="Y618" s="8">
        <v>8.5</v>
      </c>
      <c r="Z618" s="20">
        <f>grand[[#This Row],[av. Transportation loss]]/grand[[#This Row],[av.total weight]]</f>
        <v>2.2908366533864542E-2</v>
      </c>
      <c r="AA618" s="12">
        <f>AVERAGE((grand[[#This Row],[am]]/25),(grand[[#This Row],[pm]]/50))</f>
        <v>0.99428571428571433</v>
      </c>
      <c r="AB618" s="12">
        <f>grand[[#This Row],[ carcass weight]]/grand[[#This Row],[total weight]]</f>
        <v>0.6000498007968128</v>
      </c>
      <c r="AC618" s="22">
        <f>SUM(grand[[#This Row],[am]:[meat transportation]])/100</f>
        <v>0.92928571428571427</v>
      </c>
      <c r="AD618" s="9" t="s">
        <v>461</v>
      </c>
      <c r="AJ618" s="1">
        <v>4</v>
      </c>
      <c r="AK618" s="20"/>
      <c r="AL618" s="1">
        <v>1</v>
      </c>
    </row>
    <row r="619" spans="1:38" hidden="1" x14ac:dyDescent="0.2">
      <c r="A619" s="11">
        <v>44787</v>
      </c>
      <c r="B619" s="53" t="s">
        <v>1685</v>
      </c>
      <c r="C619" s="52" t="str">
        <f>IF(MID(B619,4,2)="09","Ramadan",IF(AND(MID(B619,4,2)="12",VALUE(LEFT(B619,2))&lt;=9),"Adha Season","Normal"))</f>
        <v>Normal</v>
      </c>
      <c r="D619" s="1" t="s">
        <v>45</v>
      </c>
      <c r="F619" s="4" t="s">
        <v>462</v>
      </c>
      <c r="G619" s="1">
        <v>40</v>
      </c>
      <c r="H619" s="15">
        <v>40</v>
      </c>
      <c r="I619" s="1">
        <f>grand[[#This Row],[number]]-grand[[#This Row],[received]]</f>
        <v>0</v>
      </c>
      <c r="J619" s="30"/>
      <c r="K619" s="9">
        <v>24084</v>
      </c>
      <c r="L619" s="9">
        <v>24084</v>
      </c>
      <c r="M619" s="2">
        <f>K619-L619</f>
        <v>0</v>
      </c>
      <c r="N619" s="9">
        <v>15869.2</v>
      </c>
      <c r="O619" s="2"/>
      <c r="P619" s="7">
        <f>grand[[#This Row],[total weight]]/grand[[#This Row],[received]]</f>
        <v>602.1</v>
      </c>
      <c r="Q619" s="7">
        <f>grand[[#This Row],[receiving weight]]/grand[[#This Row],[received]]</f>
        <v>602.1</v>
      </c>
      <c r="R619" s="7">
        <f>grand[[#This Row],[transportation loss ]]/grand[[#This Row],[received]]</f>
        <v>0</v>
      </c>
      <c r="S619" s="7">
        <f>grand[[#This Row],[ carcass weight]]/grand[[#This Row],[received]]</f>
        <v>396.73</v>
      </c>
      <c r="T619" s="7">
        <f>grand[[#This Row],[ kidneys fat quantity]]/grand[[#This Row],[received]]</f>
        <v>0</v>
      </c>
      <c r="U619" s="15">
        <v>22.5</v>
      </c>
      <c r="V619" s="15">
        <v>5</v>
      </c>
      <c r="W619" s="15">
        <v>46.55</v>
      </c>
      <c r="X619" s="15">
        <v>10</v>
      </c>
      <c r="Y619" s="8">
        <v>8.5</v>
      </c>
      <c r="Z619" s="20">
        <f>grand[[#This Row],[av. Transportation loss]]/grand[[#This Row],[av.total weight]]</f>
        <v>0</v>
      </c>
      <c r="AA619" s="12">
        <f>AVERAGE((grand[[#This Row],[am]]/25),(grand[[#This Row],[pm]]/50))</f>
        <v>0.91549999999999998</v>
      </c>
      <c r="AB619" s="12">
        <f>grand[[#This Row],[ carcass weight]]/grand[[#This Row],[total weight]]</f>
        <v>0.65891047998671315</v>
      </c>
      <c r="AC619" s="22">
        <f>SUM(grand[[#This Row],[am]:[meat transportation]])/100</f>
        <v>0.92549999999999999</v>
      </c>
      <c r="AD619" s="9" t="s">
        <v>463</v>
      </c>
      <c r="AJ619" s="1">
        <v>0</v>
      </c>
      <c r="AK619" s="20"/>
      <c r="AL619" s="1"/>
    </row>
    <row r="620" spans="1:38" hidden="1" x14ac:dyDescent="0.2">
      <c r="A620" s="11">
        <v>44791</v>
      </c>
      <c r="B620" s="53" t="s">
        <v>1686</v>
      </c>
      <c r="C620" s="52" t="str">
        <f>IF(MID(B620,4,2)="09","Ramadan",IF(AND(MID(B620,4,2)="12",VALUE(LEFT(B620,2))&lt;=9),"Adha Season","Normal"))</f>
        <v>Normal</v>
      </c>
      <c r="D620" s="1" t="s">
        <v>45</v>
      </c>
      <c r="E620" s="1" t="s">
        <v>482</v>
      </c>
      <c r="F620" s="4" t="s">
        <v>39</v>
      </c>
      <c r="G620" s="1">
        <v>34</v>
      </c>
      <c r="H620" s="15">
        <v>34</v>
      </c>
      <c r="I620" s="1">
        <f>grand[[#This Row],[number]]-grand[[#This Row],[received]]</f>
        <v>0</v>
      </c>
      <c r="J620" s="30"/>
      <c r="K620" s="2">
        <v>20455</v>
      </c>
      <c r="L620" s="2">
        <v>19305</v>
      </c>
      <c r="M620" s="2">
        <f>K620-L620</f>
        <v>1150</v>
      </c>
      <c r="N620" s="2">
        <v>12830</v>
      </c>
      <c r="O620" s="2">
        <v>188</v>
      </c>
      <c r="P620" s="7">
        <f>grand[[#This Row],[total weight]]/grand[[#This Row],[received]]</f>
        <v>601.61764705882354</v>
      </c>
      <c r="Q620" s="7">
        <f>grand[[#This Row],[receiving weight]]/grand[[#This Row],[received]]</f>
        <v>567.79411764705878</v>
      </c>
      <c r="R620" s="7">
        <f>grand[[#This Row],[transportation loss ]]/grand[[#This Row],[received]]</f>
        <v>33.823529411764703</v>
      </c>
      <c r="S620" s="7">
        <f>grand[[#This Row],[ carcass weight]]/grand[[#This Row],[received]]</f>
        <v>377.35294117647061</v>
      </c>
      <c r="T620" s="7">
        <f>grand[[#This Row],[ kidneys fat quantity]]/grand[[#This Row],[received]]</f>
        <v>5.5294117647058822</v>
      </c>
      <c r="U620" s="15">
        <v>25</v>
      </c>
      <c r="V620" s="15">
        <v>0</v>
      </c>
      <c r="W620" s="15">
        <v>49.794117647058819</v>
      </c>
      <c r="X620" s="15">
        <v>9.852941176470587</v>
      </c>
      <c r="Y620" s="8">
        <v>8.5</v>
      </c>
      <c r="Z620" s="20">
        <f>grand[[#This Row],[av. Transportation loss]]/grand[[#This Row],[av.total weight]]</f>
        <v>5.6220972867269611E-2</v>
      </c>
      <c r="AA620" s="12">
        <f>AVERAGE((grand[[#This Row],[am]]/25),(grand[[#This Row],[pm]]/50))</f>
        <v>0.99794117647058811</v>
      </c>
      <c r="AB620" s="12">
        <f>grand[[#This Row],[ carcass weight]]/grand[[#This Row],[total weight]]</f>
        <v>0.62723050598875585</v>
      </c>
      <c r="AC620" s="22">
        <f>SUM(grand[[#This Row],[am]:[meat transportation]])/100</f>
        <v>0.93147058823529394</v>
      </c>
      <c r="AD620" s="2" t="s">
        <v>81</v>
      </c>
      <c r="AJ620" s="1">
        <v>0</v>
      </c>
      <c r="AK620" s="20"/>
      <c r="AL620" s="1">
        <v>9</v>
      </c>
    </row>
    <row r="621" spans="1:38" hidden="1" x14ac:dyDescent="0.2">
      <c r="A621" s="11">
        <v>44796</v>
      </c>
      <c r="B621" s="53" t="s">
        <v>1688</v>
      </c>
      <c r="C621" s="52" t="str">
        <f>IF(MID(B621,4,2)="09","Ramadan",IF(AND(MID(B621,4,2)="12",VALUE(LEFT(B621,2))&lt;=9),"Adha Season","Normal"))</f>
        <v>Normal</v>
      </c>
      <c r="D621" s="1" t="s">
        <v>45</v>
      </c>
      <c r="E621" s="1" t="s">
        <v>482</v>
      </c>
      <c r="F621" s="4" t="s">
        <v>39</v>
      </c>
      <c r="G621" s="1">
        <v>35</v>
      </c>
      <c r="H621" s="15">
        <v>35</v>
      </c>
      <c r="I621" s="1">
        <f>grand[[#This Row],[number]]-grand[[#This Row],[received]]</f>
        <v>0</v>
      </c>
      <c r="J621" s="30"/>
      <c r="K621" s="2">
        <v>21828</v>
      </c>
      <c r="L621" s="2">
        <v>20755</v>
      </c>
      <c r="M621" s="2">
        <f>K621-L621</f>
        <v>1073</v>
      </c>
      <c r="N621" s="2">
        <v>13558.5</v>
      </c>
      <c r="O621" s="2">
        <v>220</v>
      </c>
      <c r="P621" s="7">
        <f>grand[[#This Row],[total weight]]/grand[[#This Row],[received]]</f>
        <v>623.65714285714284</v>
      </c>
      <c r="Q621" s="7">
        <f>grand[[#This Row],[receiving weight]]/grand[[#This Row],[received]]</f>
        <v>593</v>
      </c>
      <c r="R621" s="7">
        <f>grand[[#This Row],[transportation loss ]]/grand[[#This Row],[received]]</f>
        <v>30.657142857142858</v>
      </c>
      <c r="S621" s="7">
        <f>grand[[#This Row],[ carcass weight]]/grand[[#This Row],[received]]</f>
        <v>387.3857142857143</v>
      </c>
      <c r="T621" s="7">
        <f>grand[[#This Row],[ kidneys fat quantity]]/grand[[#This Row],[received]]</f>
        <v>6.2857142857142856</v>
      </c>
      <c r="U621" s="15">
        <v>25</v>
      </c>
      <c r="V621" s="15">
        <v>0</v>
      </c>
      <c r="W621" s="15">
        <v>50</v>
      </c>
      <c r="X621" s="15">
        <v>9.1428571428571423</v>
      </c>
      <c r="Y621" s="8">
        <v>8.5</v>
      </c>
      <c r="Z621" s="20">
        <f>grand[[#This Row],[av. Transportation loss]]/grand[[#This Row],[av.total weight]]</f>
        <v>4.9157045995968485E-2</v>
      </c>
      <c r="AA621" s="12">
        <f>AVERAGE((grand[[#This Row],[am]]/25),(grand[[#This Row],[pm]]/50))</f>
        <v>1</v>
      </c>
      <c r="AB621" s="12">
        <f>grand[[#This Row],[ carcass weight]]/grand[[#This Row],[total weight]]</f>
        <v>0.62115173172072569</v>
      </c>
      <c r="AC621" s="22">
        <f>SUM(grand[[#This Row],[am]:[meat transportation]])/100</f>
        <v>0.92642857142857138</v>
      </c>
      <c r="AD621" s="2"/>
      <c r="AJ621" s="1">
        <v>0</v>
      </c>
      <c r="AK621" s="20"/>
      <c r="AL621" s="1"/>
    </row>
    <row r="622" spans="1:38" hidden="1" x14ac:dyDescent="0.2">
      <c r="A622" s="11">
        <v>44798</v>
      </c>
      <c r="B622" s="53" t="s">
        <v>1689</v>
      </c>
      <c r="C622" s="52" t="str">
        <f>IF(MID(B622,4,2)="09","Ramadan",IF(AND(MID(B622,4,2)="12",VALUE(LEFT(B622,2))&lt;=9),"Adha Season","Normal"))</f>
        <v>Normal</v>
      </c>
      <c r="D622" s="1" t="s">
        <v>45</v>
      </c>
      <c r="F622" s="4" t="s">
        <v>462</v>
      </c>
      <c r="G622" s="1">
        <v>20</v>
      </c>
      <c r="H622" s="15">
        <v>20</v>
      </c>
      <c r="I622" s="1">
        <f>grand[[#This Row],[number]]-grand[[#This Row],[received]]</f>
        <v>0</v>
      </c>
      <c r="J622" s="30"/>
      <c r="K622" s="2">
        <v>12910</v>
      </c>
      <c r="L622" s="2">
        <v>12910</v>
      </c>
      <c r="M622" s="2">
        <f>K622-L622</f>
        <v>0</v>
      </c>
      <c r="N622" s="2">
        <v>8365.2000000000007</v>
      </c>
      <c r="O622" s="2"/>
      <c r="P622" s="7">
        <f>grand[[#This Row],[total weight]]/grand[[#This Row],[received]]</f>
        <v>645.5</v>
      </c>
      <c r="Q622" s="7">
        <f>grand[[#This Row],[receiving weight]]/grand[[#This Row],[received]]</f>
        <v>645.5</v>
      </c>
      <c r="R622" s="7">
        <f>grand[[#This Row],[transportation loss ]]/grand[[#This Row],[received]]</f>
        <v>0</v>
      </c>
      <c r="S622" s="7">
        <f>grand[[#This Row],[ carcass weight]]/grand[[#This Row],[received]]</f>
        <v>418.26000000000005</v>
      </c>
      <c r="T622" s="7">
        <f>grand[[#This Row],[ kidneys fat quantity]]/grand[[#This Row],[received]]</f>
        <v>0</v>
      </c>
      <c r="U622" s="15">
        <v>25</v>
      </c>
      <c r="V622" s="15">
        <v>5</v>
      </c>
      <c r="W622" s="15">
        <v>48.45</v>
      </c>
      <c r="X622" s="15">
        <v>10</v>
      </c>
      <c r="Y622" s="8">
        <v>8.5</v>
      </c>
      <c r="Z622" s="20">
        <f>grand[[#This Row],[av. Transportation loss]]/grand[[#This Row],[av.total weight]]</f>
        <v>0</v>
      </c>
      <c r="AA622" s="12">
        <f>AVERAGE((grand[[#This Row],[am]]/25),(grand[[#This Row],[pm]]/50))</f>
        <v>0.98450000000000004</v>
      </c>
      <c r="AB622" s="12">
        <f>grand[[#This Row],[ carcass weight]]/grand[[#This Row],[total weight]]</f>
        <v>0.64796281951975221</v>
      </c>
      <c r="AC622" s="22">
        <f>SUM(grand[[#This Row],[am]:[meat transportation]])/100</f>
        <v>0.96950000000000003</v>
      </c>
      <c r="AD622" s="2" t="s">
        <v>257</v>
      </c>
      <c r="AJ622" s="1">
        <v>0</v>
      </c>
      <c r="AK622" s="20"/>
      <c r="AL622" s="1"/>
    </row>
    <row r="623" spans="1:38" hidden="1" x14ac:dyDescent="0.2">
      <c r="A623" s="11">
        <v>44800</v>
      </c>
      <c r="B623" s="53" t="s">
        <v>1690</v>
      </c>
      <c r="C623" s="52" t="str">
        <f>IF(MID(B623,4,2)="09","Ramadan",IF(AND(MID(B623,4,2)="12",VALUE(LEFT(B623,2))&lt;=9),"Adha Season","Normal"))</f>
        <v>Normal</v>
      </c>
      <c r="D623" s="1" t="s">
        <v>45</v>
      </c>
      <c r="F623" s="4" t="s">
        <v>280</v>
      </c>
      <c r="G623" s="1">
        <v>16</v>
      </c>
      <c r="H623" s="15">
        <v>16</v>
      </c>
      <c r="I623" s="1">
        <f>grand[[#This Row],[number]]-grand[[#This Row],[received]]</f>
        <v>0</v>
      </c>
      <c r="J623" s="30"/>
      <c r="K623" s="2">
        <v>7550</v>
      </c>
      <c r="L623" s="2">
        <v>7315</v>
      </c>
      <c r="M623" s="2">
        <f>K623-L623</f>
        <v>235</v>
      </c>
      <c r="N623" s="2">
        <v>4549.5</v>
      </c>
      <c r="O623" s="2">
        <v>146</v>
      </c>
      <c r="P623" s="7">
        <f>grand[[#This Row],[total weight]]/grand[[#This Row],[received]]</f>
        <v>471.875</v>
      </c>
      <c r="Q623" s="7">
        <f>grand[[#This Row],[receiving weight]]/grand[[#This Row],[received]]</f>
        <v>457.1875</v>
      </c>
      <c r="R623" s="7">
        <f>grand[[#This Row],[transportation loss ]]/grand[[#This Row],[received]]</f>
        <v>14.6875</v>
      </c>
      <c r="S623" s="7">
        <f>grand[[#This Row],[ carcass weight]]/grand[[#This Row],[received]]</f>
        <v>284.34375</v>
      </c>
      <c r="T623" s="7">
        <f>grand[[#This Row],[ kidneys fat quantity]]/grand[[#This Row],[received]]</f>
        <v>9.125</v>
      </c>
      <c r="U623" s="15">
        <v>25</v>
      </c>
      <c r="V623" s="15">
        <v>0</v>
      </c>
      <c r="W623" s="15">
        <v>50</v>
      </c>
      <c r="X623" s="15">
        <v>10</v>
      </c>
      <c r="Y623" s="8">
        <v>8.5</v>
      </c>
      <c r="Z623" s="20">
        <f>grand[[#This Row],[av. Transportation loss]]/grand[[#This Row],[av.total weight]]</f>
        <v>3.1125827814569535E-2</v>
      </c>
      <c r="AA623" s="12">
        <f>AVERAGE((grand[[#This Row],[am]]/25),(grand[[#This Row],[pm]]/50))</f>
        <v>1</v>
      </c>
      <c r="AB623" s="12">
        <f>grand[[#This Row],[ carcass weight]]/grand[[#This Row],[total weight]]</f>
        <v>0.60258278145695365</v>
      </c>
      <c r="AC623" s="22">
        <f>SUM(grand[[#This Row],[am]:[meat transportation]])/100</f>
        <v>0.93500000000000005</v>
      </c>
      <c r="AD623" s="2"/>
      <c r="AJ623" s="1">
        <v>0</v>
      </c>
      <c r="AK623" s="20"/>
      <c r="AL623" s="1"/>
    </row>
    <row r="624" spans="1:38" hidden="1" x14ac:dyDescent="0.2">
      <c r="A624" s="11">
        <v>44801</v>
      </c>
      <c r="B624" s="53" t="s">
        <v>1691</v>
      </c>
      <c r="C624" s="52" t="str">
        <f>IF(MID(B624,4,2)="09","Ramadan",IF(AND(MID(B624,4,2)="12",VALUE(LEFT(B624,2))&lt;=9),"Adha Season","Normal"))</f>
        <v>Normal</v>
      </c>
      <c r="D624" s="1" t="s">
        <v>45</v>
      </c>
      <c r="E624" s="1" t="s">
        <v>482</v>
      </c>
      <c r="F624" s="4" t="s">
        <v>39</v>
      </c>
      <c r="G624" s="1">
        <v>32</v>
      </c>
      <c r="H624" s="15">
        <v>32</v>
      </c>
      <c r="I624" s="1">
        <f>grand[[#This Row],[number]]-grand[[#This Row],[received]]</f>
        <v>0</v>
      </c>
      <c r="J624" s="30"/>
      <c r="K624" s="2">
        <v>18268</v>
      </c>
      <c r="L624" s="2">
        <v>17455</v>
      </c>
      <c r="M624" s="2">
        <f>K624-L624</f>
        <v>813</v>
      </c>
      <c r="N624" s="2">
        <v>11585.5</v>
      </c>
      <c r="O624" s="2">
        <v>196</v>
      </c>
      <c r="P624" s="7">
        <f>grand[[#This Row],[total weight]]/grand[[#This Row],[received]]</f>
        <v>570.875</v>
      </c>
      <c r="Q624" s="7">
        <f>grand[[#This Row],[receiving weight]]/grand[[#This Row],[received]]</f>
        <v>545.46875</v>
      </c>
      <c r="R624" s="7">
        <f>grand[[#This Row],[transportation loss ]]/grand[[#This Row],[received]]</f>
        <v>25.40625</v>
      </c>
      <c r="S624" s="7">
        <f>grand[[#This Row],[ carcass weight]]/grand[[#This Row],[received]]</f>
        <v>362.046875</v>
      </c>
      <c r="T624" s="7">
        <f>grand[[#This Row],[ kidneys fat quantity]]/grand[[#This Row],[received]]</f>
        <v>6.125</v>
      </c>
      <c r="U624" s="15">
        <v>25</v>
      </c>
      <c r="V624" s="15">
        <v>0</v>
      </c>
      <c r="W624" s="15">
        <v>49.78125</v>
      </c>
      <c r="X624" s="15">
        <v>10</v>
      </c>
      <c r="Y624" s="8">
        <v>8.5</v>
      </c>
      <c r="Z624" s="20">
        <f>grand[[#This Row],[av. Transportation loss]]/grand[[#This Row],[av.total weight]]</f>
        <v>4.4504050799211735E-2</v>
      </c>
      <c r="AA624" s="12">
        <f>AVERAGE((grand[[#This Row],[am]]/25),(grand[[#This Row],[pm]]/50))</f>
        <v>0.99781249999999999</v>
      </c>
      <c r="AB624" s="12">
        <f>grand[[#This Row],[ carcass weight]]/grand[[#This Row],[total weight]]</f>
        <v>0.6341964090212393</v>
      </c>
      <c r="AC624" s="22">
        <f>SUM(grand[[#This Row],[am]:[meat transportation]])/100</f>
        <v>0.93281250000000004</v>
      </c>
      <c r="AD624" s="9" t="s">
        <v>466</v>
      </c>
      <c r="AJ624" s="1">
        <v>0</v>
      </c>
      <c r="AK624" s="20"/>
      <c r="AL624" s="1">
        <v>9</v>
      </c>
    </row>
    <row r="625" spans="1:38" hidden="1" x14ac:dyDescent="0.2">
      <c r="A625" s="11">
        <v>44803</v>
      </c>
      <c r="B625" s="53" t="s">
        <v>1692</v>
      </c>
      <c r="C625" s="52" t="str">
        <f>IF(MID(B625,4,2)="09","Ramadan",IF(AND(MID(B625,4,2)="12",VALUE(LEFT(B625,2))&lt;=9),"Adha Season","Normal"))</f>
        <v>Normal</v>
      </c>
      <c r="D625" s="1" t="s">
        <v>45</v>
      </c>
      <c r="E625" s="1" t="s">
        <v>482</v>
      </c>
      <c r="F625" s="4" t="s">
        <v>39</v>
      </c>
      <c r="G625" s="1">
        <v>25</v>
      </c>
      <c r="H625" s="15">
        <v>25</v>
      </c>
      <c r="I625" s="1">
        <f>grand[[#This Row],[number]]-grand[[#This Row],[received]]</f>
        <v>0</v>
      </c>
      <c r="J625" s="30"/>
      <c r="K625" s="2">
        <v>14740</v>
      </c>
      <c r="L625" s="2">
        <v>14180</v>
      </c>
      <c r="M625" s="2">
        <f>K625-L625</f>
        <v>560</v>
      </c>
      <c r="N625" s="2">
        <v>9316.5</v>
      </c>
      <c r="O625" s="2">
        <v>147</v>
      </c>
      <c r="P625" s="7">
        <f>grand[[#This Row],[total weight]]/grand[[#This Row],[received]]</f>
        <v>589.6</v>
      </c>
      <c r="Q625" s="7">
        <f>grand[[#This Row],[receiving weight]]/grand[[#This Row],[received]]</f>
        <v>567.20000000000005</v>
      </c>
      <c r="R625" s="7">
        <f>grand[[#This Row],[transportation loss ]]/grand[[#This Row],[received]]</f>
        <v>22.4</v>
      </c>
      <c r="S625" s="7">
        <f>grand[[#This Row],[ carcass weight]]/grand[[#This Row],[received]]</f>
        <v>372.66</v>
      </c>
      <c r="T625" s="7">
        <f>grand[[#This Row],[ kidneys fat quantity]]/grand[[#This Row],[received]]</f>
        <v>5.88</v>
      </c>
      <c r="U625" s="15">
        <v>25</v>
      </c>
      <c r="V625" s="15">
        <v>0</v>
      </c>
      <c r="W625" s="15">
        <v>50</v>
      </c>
      <c r="X625" s="15">
        <v>10</v>
      </c>
      <c r="Y625" s="8">
        <v>8.5</v>
      </c>
      <c r="Z625" s="20">
        <f>grand[[#This Row],[av. Transportation loss]]/grand[[#This Row],[av.total weight]]</f>
        <v>3.7991858887381269E-2</v>
      </c>
      <c r="AA625" s="12">
        <f>AVERAGE((grand[[#This Row],[am]]/25),(grand[[#This Row],[pm]]/50))</f>
        <v>1</v>
      </c>
      <c r="AB625" s="12">
        <f>grand[[#This Row],[ carcass weight]]/grand[[#This Row],[total weight]]</f>
        <v>0.63205563093622796</v>
      </c>
      <c r="AC625" s="22">
        <f>SUM(grand[[#This Row],[am]:[meat transportation]])/100</f>
        <v>0.93500000000000005</v>
      </c>
      <c r="AD625" s="2"/>
      <c r="AJ625" s="1">
        <v>0</v>
      </c>
      <c r="AK625" s="20"/>
      <c r="AL625" s="1"/>
    </row>
    <row r="626" spans="1:38" hidden="1" x14ac:dyDescent="0.2">
      <c r="A626" s="11">
        <v>44805</v>
      </c>
      <c r="B626" s="53" t="s">
        <v>1693</v>
      </c>
      <c r="C626" s="52" t="str">
        <f>IF(MID(B626,4,2)="09","Ramadan",IF(AND(MID(B626,4,2)="12",VALUE(LEFT(B626,2))&lt;=9),"Adha Season","Normal"))</f>
        <v>Normal</v>
      </c>
      <c r="D626" s="1" t="s">
        <v>45</v>
      </c>
      <c r="F626" s="4" t="s">
        <v>462</v>
      </c>
      <c r="G626" s="1">
        <v>41</v>
      </c>
      <c r="H626" s="15">
        <v>41</v>
      </c>
      <c r="I626" s="1">
        <f>grand[[#This Row],[number]]-grand[[#This Row],[received]]</f>
        <v>0</v>
      </c>
      <c r="J626" s="30"/>
      <c r="K626" s="2">
        <v>24634.5</v>
      </c>
      <c r="L626" s="2">
        <v>24634.5</v>
      </c>
      <c r="M626" s="2">
        <f>K626-L626</f>
        <v>0</v>
      </c>
      <c r="N626" s="2">
        <v>16075.5</v>
      </c>
      <c r="O626" s="2"/>
      <c r="P626" s="7">
        <f>grand[[#This Row],[total weight]]/grand[[#This Row],[received]]</f>
        <v>600.84146341463418</v>
      </c>
      <c r="Q626" s="7">
        <f>grand[[#This Row],[receiving weight]]/grand[[#This Row],[received]]</f>
        <v>600.84146341463418</v>
      </c>
      <c r="R626" s="7">
        <f>grand[[#This Row],[transportation loss ]]/grand[[#This Row],[received]]</f>
        <v>0</v>
      </c>
      <c r="S626" s="7">
        <f>grand[[#This Row],[ carcass weight]]/grand[[#This Row],[received]]</f>
        <v>392.08536585365852</v>
      </c>
      <c r="T626" s="7">
        <f>grand[[#This Row],[ kidneys fat quantity]]/grand[[#This Row],[received]]</f>
        <v>0</v>
      </c>
      <c r="U626" s="15">
        <v>25</v>
      </c>
      <c r="V626" s="15">
        <v>5</v>
      </c>
      <c r="W626" s="15">
        <v>49.85</v>
      </c>
      <c r="X626" s="15">
        <v>10</v>
      </c>
      <c r="Y626" s="8">
        <v>8.5</v>
      </c>
      <c r="Z626" s="20">
        <f>grand[[#This Row],[av. Transportation loss]]/grand[[#This Row],[av.total weight]]</f>
        <v>0</v>
      </c>
      <c r="AA626" s="12">
        <f>AVERAGE((grand[[#This Row],[am]]/25),(grand[[#This Row],[pm]]/50))</f>
        <v>0.99849999999999994</v>
      </c>
      <c r="AB626" s="12">
        <f>grand[[#This Row],[ carcass weight]]/grand[[#This Row],[total weight]]</f>
        <v>0.65256043353833038</v>
      </c>
      <c r="AC626" s="22">
        <f>SUM(grand[[#This Row],[am]:[meat transportation]])/100</f>
        <v>0.98349999999999993</v>
      </c>
      <c r="AD626" s="2" t="s">
        <v>170</v>
      </c>
      <c r="AJ626" s="1">
        <v>0</v>
      </c>
      <c r="AK626" s="20"/>
      <c r="AL626" s="1"/>
    </row>
    <row r="627" spans="1:38" hidden="1" x14ac:dyDescent="0.2">
      <c r="A627" s="11">
        <v>44808</v>
      </c>
      <c r="B627" s="53" t="s">
        <v>1694</v>
      </c>
      <c r="C627" s="52" t="str">
        <f>IF(MID(B627,4,2)="09","Ramadan",IF(AND(MID(B627,4,2)="12",VALUE(LEFT(B627,2))&lt;=9),"Adha Season","Normal"))</f>
        <v>Normal</v>
      </c>
      <c r="D627" s="1" t="s">
        <v>45</v>
      </c>
      <c r="F627" s="4" t="s">
        <v>46</v>
      </c>
      <c r="G627" s="1">
        <v>46</v>
      </c>
      <c r="H627" s="15">
        <v>46</v>
      </c>
      <c r="I627" s="1">
        <f>grand[[#This Row],[number]]-grand[[#This Row],[received]]</f>
        <v>0</v>
      </c>
      <c r="J627" s="30"/>
      <c r="K627" s="2">
        <v>20540</v>
      </c>
      <c r="L627" s="2">
        <v>19810</v>
      </c>
      <c r="M627" s="2">
        <f>K627-L627</f>
        <v>730</v>
      </c>
      <c r="N627" s="2">
        <v>12323.5</v>
      </c>
      <c r="O627" s="2">
        <v>348</v>
      </c>
      <c r="P627" s="7">
        <f>grand[[#This Row],[total weight]]/grand[[#This Row],[received]]</f>
        <v>446.52173913043481</v>
      </c>
      <c r="Q627" s="7">
        <f>grand[[#This Row],[receiving weight]]/grand[[#This Row],[received]]</f>
        <v>430.6521739130435</v>
      </c>
      <c r="R627" s="7">
        <f>grand[[#This Row],[transportation loss ]]/grand[[#This Row],[received]]</f>
        <v>15.869565217391305</v>
      </c>
      <c r="S627" s="7">
        <f>grand[[#This Row],[ carcass weight]]/grand[[#This Row],[received]]</f>
        <v>267.9021739130435</v>
      </c>
      <c r="T627" s="7">
        <f>grand[[#This Row],[ kidneys fat quantity]]/grand[[#This Row],[received]]</f>
        <v>7.5652173913043477</v>
      </c>
      <c r="U627" s="15">
        <v>25</v>
      </c>
      <c r="V627" s="15">
        <v>0</v>
      </c>
      <c r="W627" s="15">
        <v>49.630434782608688</v>
      </c>
      <c r="X627" s="15">
        <v>10</v>
      </c>
      <c r="Y627" s="8">
        <v>8.5</v>
      </c>
      <c r="Z627" s="20">
        <f>grand[[#This Row],[av. Transportation loss]]/grand[[#This Row],[av.total weight]]</f>
        <v>3.5540408958130473E-2</v>
      </c>
      <c r="AA627" s="12">
        <f>AVERAGE((grand[[#This Row],[am]]/25),(grand[[#This Row],[pm]]/50))</f>
        <v>0.9963043478260869</v>
      </c>
      <c r="AB627" s="12">
        <f>grand[[#This Row],[ carcass weight]]/grand[[#This Row],[total weight]]</f>
        <v>0.59997565725413826</v>
      </c>
      <c r="AC627" s="22">
        <f>SUM(grand[[#This Row],[am]:[meat transportation]])/100</f>
        <v>0.93130434782608684</v>
      </c>
      <c r="AD627" s="2" t="s">
        <v>215</v>
      </c>
      <c r="AJ627" s="1">
        <v>5</v>
      </c>
      <c r="AK627" s="20"/>
      <c r="AL627" s="1">
        <v>9</v>
      </c>
    </row>
    <row r="628" spans="1:38" hidden="1" x14ac:dyDescent="0.2">
      <c r="A628" s="11">
        <v>44810</v>
      </c>
      <c r="B628" s="53" t="s">
        <v>1695</v>
      </c>
      <c r="C628" s="52" t="str">
        <f>IF(MID(B628,4,2)="09","Ramadan",IF(AND(MID(B628,4,2)="12",VALUE(LEFT(B628,2))&lt;=9),"Adha Season","Normal"))</f>
        <v>Normal</v>
      </c>
      <c r="D628" s="1" t="s">
        <v>45</v>
      </c>
      <c r="E628" s="1" t="s">
        <v>481</v>
      </c>
      <c r="F628" s="4" t="s">
        <v>39</v>
      </c>
      <c r="G628" s="1">
        <v>44</v>
      </c>
      <c r="H628" s="15">
        <v>44</v>
      </c>
      <c r="I628" s="1">
        <f>grand[[#This Row],[number]]-grand[[#This Row],[received]]</f>
        <v>0</v>
      </c>
      <c r="J628" s="30"/>
      <c r="K628" s="2">
        <v>18458</v>
      </c>
      <c r="L628" s="2">
        <v>17480</v>
      </c>
      <c r="M628" s="2">
        <f>K628-L628</f>
        <v>978</v>
      </c>
      <c r="N628" s="2">
        <v>11074</v>
      </c>
      <c r="O628" s="2">
        <v>355</v>
      </c>
      <c r="P628" s="7">
        <f>grand[[#This Row],[total weight]]/grand[[#This Row],[received]]</f>
        <v>419.5</v>
      </c>
      <c r="Q628" s="7">
        <f>grand[[#This Row],[receiving weight]]/grand[[#This Row],[received]]</f>
        <v>397.27272727272725</v>
      </c>
      <c r="R628" s="7">
        <f>grand[[#This Row],[transportation loss ]]/grand[[#This Row],[received]]</f>
        <v>22.227272727272727</v>
      </c>
      <c r="S628" s="7">
        <f>grand[[#This Row],[ carcass weight]]/grand[[#This Row],[received]]</f>
        <v>251.68181818181819</v>
      </c>
      <c r="T628" s="7">
        <f>grand[[#This Row],[ kidneys fat quantity]]/grand[[#This Row],[received]]</f>
        <v>8.0681818181818183</v>
      </c>
      <c r="U628" s="15">
        <v>25</v>
      </c>
      <c r="V628" s="15">
        <v>0</v>
      </c>
      <c r="W628" s="15">
        <v>49.204545454545453</v>
      </c>
      <c r="X628" s="15">
        <v>10</v>
      </c>
      <c r="Y628" s="8">
        <v>8.5</v>
      </c>
      <c r="Z628" s="20">
        <f>grand[[#This Row],[av. Transportation loss]]/grand[[#This Row],[av.total weight]]</f>
        <v>5.2985155488135226E-2</v>
      </c>
      <c r="AA628" s="12">
        <f>AVERAGE((grand[[#This Row],[am]]/25),(grand[[#This Row],[pm]]/50))</f>
        <v>0.99204545454545445</v>
      </c>
      <c r="AB628" s="12">
        <f>grand[[#This Row],[ carcass weight]]/grand[[#This Row],[total weight]]</f>
        <v>0.59995665835951895</v>
      </c>
      <c r="AC628" s="22">
        <f>SUM(grand[[#This Row],[am]:[meat transportation]])/100</f>
        <v>0.92704545454545451</v>
      </c>
      <c r="AD628" s="2" t="s">
        <v>467</v>
      </c>
      <c r="AJ628" s="1">
        <v>0</v>
      </c>
      <c r="AK628" s="20"/>
      <c r="AL628" s="1">
        <v>18</v>
      </c>
    </row>
    <row r="629" spans="1:38" hidden="1" x14ac:dyDescent="0.2">
      <c r="A629" s="11">
        <v>44812</v>
      </c>
      <c r="B629" s="53" t="s">
        <v>1696</v>
      </c>
      <c r="C629" s="52" t="str">
        <f>IF(MID(B629,4,2)="09","Ramadan",IF(AND(MID(B629,4,2)="12",VALUE(LEFT(B629,2))&lt;=9),"Adha Season","Normal"))</f>
        <v>Normal</v>
      </c>
      <c r="D629" s="1" t="s">
        <v>45</v>
      </c>
      <c r="F629" s="4" t="s">
        <v>462</v>
      </c>
      <c r="G629" s="1">
        <v>40</v>
      </c>
      <c r="H629" s="15">
        <v>40</v>
      </c>
      <c r="I629" s="1">
        <f>grand[[#This Row],[number]]-grand[[#This Row],[received]]</f>
        <v>0</v>
      </c>
      <c r="J629" s="30"/>
      <c r="K629" s="2">
        <v>22187</v>
      </c>
      <c r="L629" s="2">
        <v>22187</v>
      </c>
      <c r="M629" s="2">
        <f>K629-L629</f>
        <v>0</v>
      </c>
      <c r="N629" s="2">
        <v>14244.7</v>
      </c>
      <c r="O629" s="2"/>
      <c r="P629" s="7">
        <f>grand[[#This Row],[total weight]]/grand[[#This Row],[received]]</f>
        <v>554.67499999999995</v>
      </c>
      <c r="Q629" s="7">
        <f>grand[[#This Row],[receiving weight]]/grand[[#This Row],[received]]</f>
        <v>554.67499999999995</v>
      </c>
      <c r="R629" s="7">
        <f>grand[[#This Row],[transportation loss ]]/grand[[#This Row],[received]]</f>
        <v>0</v>
      </c>
      <c r="S629" s="7">
        <f>grand[[#This Row],[ carcass weight]]/grand[[#This Row],[received]]</f>
        <v>356.11750000000001</v>
      </c>
      <c r="T629" s="7">
        <f>grand[[#This Row],[ kidneys fat quantity]]/grand[[#This Row],[received]]</f>
        <v>0</v>
      </c>
      <c r="U629" s="15">
        <v>25</v>
      </c>
      <c r="V629" s="15">
        <v>5</v>
      </c>
      <c r="W629" s="15">
        <v>49.95</v>
      </c>
      <c r="X629" s="15">
        <v>9.75</v>
      </c>
      <c r="Y629" s="8">
        <v>8.5</v>
      </c>
      <c r="Z629" s="20">
        <f>grand[[#This Row],[av. Transportation loss]]/grand[[#This Row],[av.total weight]]</f>
        <v>0</v>
      </c>
      <c r="AA629" s="12">
        <f>AVERAGE((grand[[#This Row],[am]]/25),(grand[[#This Row],[pm]]/50))</f>
        <v>0.99950000000000006</v>
      </c>
      <c r="AB629" s="12">
        <f>grand[[#This Row],[ carcass weight]]/grand[[#This Row],[total weight]]</f>
        <v>0.6420291161490963</v>
      </c>
      <c r="AC629" s="22">
        <f>SUM(grand[[#This Row],[am]:[meat transportation]])/100</f>
        <v>0.98199999999999998</v>
      </c>
      <c r="AD629" s="2" t="s">
        <v>97</v>
      </c>
      <c r="AK629" s="20"/>
      <c r="AL629" s="1"/>
    </row>
    <row r="630" spans="1:38" hidden="1" x14ac:dyDescent="0.2">
      <c r="A630" s="11">
        <v>44819</v>
      </c>
      <c r="B630" s="53" t="s">
        <v>1699</v>
      </c>
      <c r="C630" s="52" t="str">
        <f>IF(MID(B630,4,2)="09","Ramadan",IF(AND(MID(B630,4,2)="12",VALUE(LEFT(B630,2))&lt;=9),"Adha Season","Normal"))</f>
        <v>Normal</v>
      </c>
      <c r="D630" s="2" t="s">
        <v>294</v>
      </c>
      <c r="F630" s="4" t="s">
        <v>35</v>
      </c>
      <c r="G630" s="1">
        <v>25</v>
      </c>
      <c r="H630" s="15">
        <v>25</v>
      </c>
      <c r="I630" s="1">
        <f>grand[[#This Row],[number]]-grand[[#This Row],[received]]</f>
        <v>0</v>
      </c>
      <c r="J630" s="30"/>
      <c r="K630" s="2">
        <v>1294</v>
      </c>
      <c r="L630" s="2">
        <v>1245</v>
      </c>
      <c r="M630" s="2">
        <f>K630-L630</f>
        <v>49</v>
      </c>
      <c r="N630" s="2">
        <v>760.5</v>
      </c>
      <c r="O630" s="2"/>
      <c r="P630" s="7">
        <f>grand[[#This Row],[total weight]]/grand[[#This Row],[received]]</f>
        <v>51.76</v>
      </c>
      <c r="Q630" s="7">
        <f>grand[[#This Row],[receiving weight]]/grand[[#This Row],[received]]</f>
        <v>49.8</v>
      </c>
      <c r="R630" s="7">
        <f>grand[[#This Row],[transportation loss ]]/grand[[#This Row],[received]]</f>
        <v>1.96</v>
      </c>
      <c r="S630" s="7">
        <f>grand[[#This Row],[ carcass weight]]/grand[[#This Row],[received]]</f>
        <v>30.42</v>
      </c>
      <c r="T630" s="7">
        <f>grand[[#This Row],[ kidneys fat quantity]]/grand[[#This Row],[received]]</f>
        <v>0</v>
      </c>
      <c r="U630" s="15">
        <v>25</v>
      </c>
      <c r="V630" s="15">
        <v>0</v>
      </c>
      <c r="W630" s="15">
        <v>49.8</v>
      </c>
      <c r="X630" s="15">
        <v>10</v>
      </c>
      <c r="Y630" s="8">
        <v>8.5</v>
      </c>
      <c r="Z630" s="20">
        <f>grand[[#This Row],[av. Transportation loss]]/grand[[#This Row],[av.total weight]]</f>
        <v>3.7867078825347761E-2</v>
      </c>
      <c r="AA630" s="12">
        <f>AVERAGE((grand[[#This Row],[am]]/25),(grand[[#This Row],[pm]]/50))</f>
        <v>0.998</v>
      </c>
      <c r="AB630" s="12">
        <f>grand[[#This Row],[ carcass weight]]/grand[[#This Row],[total weight]]</f>
        <v>0.58771251931993818</v>
      </c>
      <c r="AC630" s="22">
        <f>SUM(grand[[#This Row],[am]:[meat transportation]])/100</f>
        <v>0.93299999999999994</v>
      </c>
      <c r="AD630" s="2"/>
      <c r="AK630" s="20"/>
      <c r="AL630" s="1"/>
    </row>
    <row r="631" spans="1:38" hidden="1" x14ac:dyDescent="0.2">
      <c r="A631" s="11">
        <v>44819</v>
      </c>
      <c r="B631" s="53" t="s">
        <v>1699</v>
      </c>
      <c r="C631" s="52" t="str">
        <f>IF(MID(B631,4,2)="09","Ramadan",IF(AND(MID(B631,4,2)="12",VALUE(LEFT(B631,2))&lt;=9),"Adha Season","Normal"))</f>
        <v>Normal</v>
      </c>
      <c r="D631" s="1" t="s">
        <v>45</v>
      </c>
      <c r="E631" s="1" t="s">
        <v>482</v>
      </c>
      <c r="F631" s="4" t="s">
        <v>39</v>
      </c>
      <c r="G631" s="1">
        <v>39</v>
      </c>
      <c r="H631" s="15">
        <v>39</v>
      </c>
      <c r="I631" s="1">
        <f>grand[[#This Row],[number]]-grand[[#This Row],[received]]</f>
        <v>0</v>
      </c>
      <c r="J631" s="30"/>
      <c r="K631" s="1">
        <v>22117</v>
      </c>
      <c r="L631" s="2">
        <v>21193</v>
      </c>
      <c r="M631" s="2">
        <f>K631-L631</f>
        <v>924</v>
      </c>
      <c r="N631" s="2">
        <v>13793</v>
      </c>
      <c r="O631" s="2">
        <v>278</v>
      </c>
      <c r="P631" s="7">
        <f>grand[[#This Row],[total weight]]/grand[[#This Row],[received]]</f>
        <v>567.10256410256409</v>
      </c>
      <c r="Q631" s="7">
        <f>grand[[#This Row],[receiving weight]]/grand[[#This Row],[received]]</f>
        <v>543.41025641025647</v>
      </c>
      <c r="R631" s="7">
        <f>grand[[#This Row],[transportation loss ]]/grand[[#This Row],[received]]</f>
        <v>23.692307692307693</v>
      </c>
      <c r="S631" s="7">
        <f>grand[[#This Row],[ carcass weight]]/grand[[#This Row],[received]]</f>
        <v>353.66666666666669</v>
      </c>
      <c r="T631" s="7">
        <f>grand[[#This Row],[ kidneys fat quantity]]/grand[[#This Row],[received]]</f>
        <v>7.1282051282051286</v>
      </c>
      <c r="U631" s="15">
        <v>25</v>
      </c>
      <c r="V631" s="15">
        <v>0</v>
      </c>
      <c r="W631" s="15">
        <v>50</v>
      </c>
      <c r="X631" s="15">
        <v>10</v>
      </c>
      <c r="Y631" s="8">
        <v>8.5</v>
      </c>
      <c r="Z631" s="20">
        <f>grand[[#This Row],[av. Transportation loss]]/grand[[#This Row],[av.total weight]]</f>
        <v>4.1777817968078855E-2</v>
      </c>
      <c r="AA631" s="12">
        <f>AVERAGE((grand[[#This Row],[am]]/25),(grand[[#This Row],[pm]]/50))</f>
        <v>1</v>
      </c>
      <c r="AB631" s="12">
        <f>grand[[#This Row],[ carcass weight]]/grand[[#This Row],[total weight]]</f>
        <v>0.62363792557761</v>
      </c>
      <c r="AC631" s="22">
        <f>SUM(grand[[#This Row],[am]:[meat transportation]])/100</f>
        <v>0.93500000000000005</v>
      </c>
      <c r="AD631" s="2"/>
      <c r="AJ631" s="1">
        <v>0</v>
      </c>
      <c r="AK631" s="20"/>
      <c r="AL631" s="1"/>
    </row>
    <row r="632" spans="1:38" hidden="1" x14ac:dyDescent="0.2">
      <c r="A632" s="11">
        <v>44821</v>
      </c>
      <c r="B632" s="53" t="s">
        <v>1700</v>
      </c>
      <c r="C632" s="52" t="str">
        <f>IF(MID(B632,4,2)="09","Ramadan",IF(AND(MID(B632,4,2)="12",VALUE(LEFT(B632,2))&lt;=9),"Adha Season","Normal"))</f>
        <v>Normal</v>
      </c>
      <c r="D632" s="1" t="s">
        <v>45</v>
      </c>
      <c r="E632" s="1" t="s">
        <v>481</v>
      </c>
      <c r="F632" s="4" t="s">
        <v>39</v>
      </c>
      <c r="G632" s="1">
        <v>16</v>
      </c>
      <c r="H632" s="15">
        <v>16</v>
      </c>
      <c r="I632" s="1">
        <f>grand[[#This Row],[number]]-grand[[#This Row],[received]]</f>
        <v>0</v>
      </c>
      <c r="J632" s="30"/>
      <c r="K632" s="2">
        <v>6879</v>
      </c>
      <c r="L632" s="2">
        <v>6570</v>
      </c>
      <c r="M632" s="2">
        <f>K632-L632</f>
        <v>309</v>
      </c>
      <c r="N632" s="2">
        <v>4221.5</v>
      </c>
      <c r="O632" s="2">
        <v>130</v>
      </c>
      <c r="P632" s="7">
        <f>grand[[#This Row],[total weight]]/grand[[#This Row],[received]]</f>
        <v>429.9375</v>
      </c>
      <c r="Q632" s="7">
        <f>grand[[#This Row],[receiving weight]]/grand[[#This Row],[received]]</f>
        <v>410.625</v>
      </c>
      <c r="R632" s="7">
        <f>grand[[#This Row],[transportation loss ]]/grand[[#This Row],[received]]</f>
        <v>19.3125</v>
      </c>
      <c r="S632" s="7">
        <f>grand[[#This Row],[ carcass weight]]/grand[[#This Row],[received]]</f>
        <v>263.84375</v>
      </c>
      <c r="T632" s="7">
        <f>grand[[#This Row],[ kidneys fat quantity]]/grand[[#This Row],[received]]</f>
        <v>8.125</v>
      </c>
      <c r="U632" s="15">
        <v>25</v>
      </c>
      <c r="V632" s="15">
        <v>0</v>
      </c>
      <c r="W632" s="15">
        <v>50</v>
      </c>
      <c r="X632" s="15">
        <v>10</v>
      </c>
      <c r="Y632" s="8">
        <v>8.5</v>
      </c>
      <c r="Z632" s="20">
        <f>grand[[#This Row],[av. Transportation loss]]/grand[[#This Row],[av.total weight]]</f>
        <v>4.4919319668556473E-2</v>
      </c>
      <c r="AA632" s="12">
        <f>AVERAGE((grand[[#This Row],[am]]/25),(grand[[#This Row],[pm]]/50))</f>
        <v>1</v>
      </c>
      <c r="AB632" s="12">
        <f>grand[[#This Row],[ carcass weight]]/grand[[#This Row],[total weight]]</f>
        <v>0.61367931385375785</v>
      </c>
      <c r="AC632" s="22">
        <f>SUM(grand[[#This Row],[am]:[meat transportation]])/100</f>
        <v>0.93500000000000005</v>
      </c>
      <c r="AD632" s="2"/>
      <c r="AJ632" s="1">
        <v>2</v>
      </c>
      <c r="AK632" s="20"/>
      <c r="AL632" s="1"/>
    </row>
    <row r="633" spans="1:38" hidden="1" x14ac:dyDescent="0.2">
      <c r="A633" s="11">
        <v>44822</v>
      </c>
      <c r="B633" s="53" t="s">
        <v>1701</v>
      </c>
      <c r="C633" s="52" t="str">
        <f>IF(MID(B633,4,2)="09","Ramadan",IF(AND(MID(B633,4,2)="12",VALUE(LEFT(B633,2))&lt;=9),"Adha Season","Normal"))</f>
        <v>Normal</v>
      </c>
      <c r="D633" s="1" t="s">
        <v>45</v>
      </c>
      <c r="F633" s="4" t="s">
        <v>46</v>
      </c>
      <c r="G633" s="1">
        <v>36</v>
      </c>
      <c r="H633" s="15">
        <v>36</v>
      </c>
      <c r="I633" s="1">
        <f>grand[[#This Row],[number]]-grand[[#This Row],[received]]</f>
        <v>0</v>
      </c>
      <c r="J633" s="30"/>
      <c r="K633" s="2">
        <v>16600</v>
      </c>
      <c r="L633" s="2">
        <v>15940</v>
      </c>
      <c r="M633" s="2">
        <f>K633-L633</f>
        <v>660</v>
      </c>
      <c r="N633" s="2">
        <v>10041.5</v>
      </c>
      <c r="O633" s="2">
        <v>340</v>
      </c>
      <c r="P633" s="7">
        <f>grand[[#This Row],[total weight]]/grand[[#This Row],[received]]</f>
        <v>461.11111111111109</v>
      </c>
      <c r="Q633" s="7">
        <f>grand[[#This Row],[receiving weight]]/grand[[#This Row],[received]]</f>
        <v>442.77777777777777</v>
      </c>
      <c r="R633" s="7">
        <f>grand[[#This Row],[transportation loss ]]/grand[[#This Row],[received]]</f>
        <v>18.333333333333332</v>
      </c>
      <c r="S633" s="7">
        <f>grand[[#This Row],[ carcass weight]]/grand[[#This Row],[received]]</f>
        <v>278.93055555555554</v>
      </c>
      <c r="T633" s="7">
        <f>grand[[#This Row],[ kidneys fat quantity]]/grand[[#This Row],[received]]</f>
        <v>9.4444444444444446</v>
      </c>
      <c r="U633" s="15">
        <v>25</v>
      </c>
      <c r="V633" s="15">
        <v>0</v>
      </c>
      <c r="W633" s="15">
        <v>50</v>
      </c>
      <c r="X633" s="15">
        <v>10</v>
      </c>
      <c r="Y633" s="8">
        <v>8.5</v>
      </c>
      <c r="Z633" s="20">
        <f>grand[[#This Row],[av. Transportation loss]]/grand[[#This Row],[av.total weight]]</f>
        <v>3.9759036144578312E-2</v>
      </c>
      <c r="AA633" s="12">
        <f>AVERAGE((grand[[#This Row],[am]]/25),(grand[[#This Row],[pm]]/50))</f>
        <v>1</v>
      </c>
      <c r="AB633" s="12">
        <f>grand[[#This Row],[ carcass weight]]/grand[[#This Row],[total weight]]</f>
        <v>0.60490963855421687</v>
      </c>
      <c r="AC633" s="22">
        <f>SUM(grand[[#This Row],[am]:[meat transportation]])/100</f>
        <v>0.93500000000000005</v>
      </c>
      <c r="AD633" s="2"/>
      <c r="AJ633" s="1">
        <v>0</v>
      </c>
      <c r="AK633" s="20"/>
      <c r="AL633" s="1"/>
    </row>
    <row r="634" spans="1:38" hidden="1" x14ac:dyDescent="0.2">
      <c r="A634" s="11">
        <v>44824</v>
      </c>
      <c r="B634" s="53" t="s">
        <v>1702</v>
      </c>
      <c r="C634" s="52" t="str">
        <f>IF(MID(B634,4,2)="09","Ramadan",IF(AND(MID(B634,4,2)="12",VALUE(LEFT(B634,2))&lt;=9),"Adha Season","Normal"))</f>
        <v>Normal</v>
      </c>
      <c r="D634" s="1" t="s">
        <v>45</v>
      </c>
      <c r="F634" s="4" t="s">
        <v>280</v>
      </c>
      <c r="G634" s="1">
        <v>33</v>
      </c>
      <c r="H634" s="15">
        <v>33</v>
      </c>
      <c r="I634" s="1">
        <f>grand[[#This Row],[number]]-grand[[#This Row],[received]]</f>
        <v>0</v>
      </c>
      <c r="J634" s="30"/>
      <c r="K634" s="2">
        <v>15080</v>
      </c>
      <c r="L634" s="2">
        <v>14585</v>
      </c>
      <c r="M634" s="2">
        <f>K634-L634</f>
        <v>495</v>
      </c>
      <c r="N634" s="2">
        <v>9047.5</v>
      </c>
      <c r="O634" s="2">
        <v>272</v>
      </c>
      <c r="P634" s="7">
        <f>grand[[#This Row],[total weight]]/grand[[#This Row],[received]]</f>
        <v>456.969696969697</v>
      </c>
      <c r="Q634" s="7">
        <f>grand[[#This Row],[receiving weight]]/grand[[#This Row],[received]]</f>
        <v>441.969696969697</v>
      </c>
      <c r="R634" s="7">
        <f>grand[[#This Row],[transportation loss ]]/grand[[#This Row],[received]]</f>
        <v>15</v>
      </c>
      <c r="S634" s="7">
        <f>grand[[#This Row],[ carcass weight]]/grand[[#This Row],[received]]</f>
        <v>274.16666666666669</v>
      </c>
      <c r="T634" s="7">
        <f>grand[[#This Row],[ kidneys fat quantity]]/grand[[#This Row],[received]]</f>
        <v>8.2424242424242422</v>
      </c>
      <c r="U634" s="15">
        <v>24.848484848484848</v>
      </c>
      <c r="V634" s="15">
        <v>0</v>
      </c>
      <c r="W634" s="15">
        <v>50</v>
      </c>
      <c r="X634" s="15">
        <v>10</v>
      </c>
      <c r="Y634" s="8">
        <v>8.5</v>
      </c>
      <c r="Z634" s="20">
        <f>grand[[#This Row],[av. Transportation loss]]/grand[[#This Row],[av.total weight]]</f>
        <v>3.282493368700265E-2</v>
      </c>
      <c r="AA634" s="12">
        <f>AVERAGE((grand[[#This Row],[am]]/25),(grand[[#This Row],[pm]]/50))</f>
        <v>0.99696969696969695</v>
      </c>
      <c r="AB634" s="12">
        <f>grand[[#This Row],[ carcass weight]]/grand[[#This Row],[total weight]]</f>
        <v>0.59996684350132623</v>
      </c>
      <c r="AC634" s="22">
        <f>SUM(grand[[#This Row],[am]:[meat transportation]])/100</f>
        <v>0.93348484848484847</v>
      </c>
      <c r="AD634" s="2"/>
      <c r="AJ634" s="1">
        <v>16</v>
      </c>
      <c r="AK634" s="20"/>
      <c r="AL634" s="1"/>
    </row>
    <row r="635" spans="1:38" hidden="1" x14ac:dyDescent="0.2">
      <c r="A635" s="11">
        <v>44826</v>
      </c>
      <c r="B635" s="53" t="s">
        <v>1703</v>
      </c>
      <c r="C635" s="52" t="str">
        <f>IF(MID(B635,4,2)="09","Ramadan",IF(AND(MID(B635,4,2)="12",VALUE(LEFT(B635,2))&lt;=9),"Adha Season","Normal"))</f>
        <v>Normal</v>
      </c>
      <c r="D635" s="1" t="s">
        <v>45</v>
      </c>
      <c r="E635" s="1" t="s">
        <v>482</v>
      </c>
      <c r="F635" s="4" t="s">
        <v>39</v>
      </c>
      <c r="G635" s="1">
        <v>34</v>
      </c>
      <c r="H635" s="15">
        <v>34</v>
      </c>
      <c r="I635" s="1">
        <f>grand[[#This Row],[number]]-grand[[#This Row],[received]]</f>
        <v>0</v>
      </c>
      <c r="J635" s="30"/>
      <c r="K635" s="2">
        <v>19908</v>
      </c>
      <c r="L635" s="2">
        <v>19420</v>
      </c>
      <c r="M635" s="2">
        <f>K635-L635</f>
        <v>488</v>
      </c>
      <c r="N635" s="2">
        <v>12419</v>
      </c>
      <c r="O635" s="2">
        <v>205</v>
      </c>
      <c r="P635" s="7">
        <f>grand[[#This Row],[total weight]]/grand[[#This Row],[received]]</f>
        <v>585.52941176470586</v>
      </c>
      <c r="Q635" s="7">
        <f>grand[[#This Row],[receiving weight]]/grand[[#This Row],[received]]</f>
        <v>571.17647058823525</v>
      </c>
      <c r="R635" s="7">
        <f>grand[[#This Row],[transportation loss ]]/grand[[#This Row],[received]]</f>
        <v>14.352941176470589</v>
      </c>
      <c r="S635" s="7">
        <f>grand[[#This Row],[ carcass weight]]/grand[[#This Row],[received]]</f>
        <v>365.26470588235293</v>
      </c>
      <c r="T635" s="7">
        <f>grand[[#This Row],[ kidneys fat quantity]]/grand[[#This Row],[received]]</f>
        <v>6.0294117647058822</v>
      </c>
      <c r="U635" s="15">
        <v>25</v>
      </c>
      <c r="V635" s="15">
        <v>0</v>
      </c>
      <c r="W635" s="15">
        <v>48.5</v>
      </c>
      <c r="X635" s="15">
        <v>10</v>
      </c>
      <c r="Y635" s="8">
        <v>8.5</v>
      </c>
      <c r="Z635" s="20">
        <f>grand[[#This Row],[av. Transportation loss]]/grand[[#This Row],[av.total weight]]</f>
        <v>2.4512758689973883E-2</v>
      </c>
      <c r="AA635" s="12">
        <f>AVERAGE((grand[[#This Row],[am]]/25),(grand[[#This Row],[pm]]/50))</f>
        <v>0.98499999999999999</v>
      </c>
      <c r="AB635" s="12">
        <f>grand[[#This Row],[ carcass weight]]/grand[[#This Row],[total weight]]</f>
        <v>0.62381957002210164</v>
      </c>
      <c r="AC635" s="22">
        <f>SUM(grand[[#This Row],[am]:[meat transportation]])/100</f>
        <v>0.92</v>
      </c>
      <c r="AD635" s="2"/>
      <c r="AJ635" s="1">
        <v>1</v>
      </c>
      <c r="AK635" s="20"/>
      <c r="AL635" s="1"/>
    </row>
    <row r="636" spans="1:38" hidden="1" x14ac:dyDescent="0.2">
      <c r="A636" s="11">
        <v>44829</v>
      </c>
      <c r="B636" s="53" t="s">
        <v>1705</v>
      </c>
      <c r="C636" s="52" t="str">
        <f>IF(MID(B636,4,2)="09","Ramadan",IF(AND(MID(B636,4,2)="12",VALUE(LEFT(B636,2))&lt;=9),"Adha Season","Normal"))</f>
        <v>Normal</v>
      </c>
      <c r="D636" s="2" t="s">
        <v>294</v>
      </c>
      <c r="F636" s="4" t="s">
        <v>35</v>
      </c>
      <c r="G636" s="1">
        <v>25</v>
      </c>
      <c r="H636" s="15">
        <v>25</v>
      </c>
      <c r="I636" s="1">
        <f>grand[[#This Row],[number]]-grand[[#This Row],[received]]</f>
        <v>0</v>
      </c>
      <c r="J636" s="30"/>
      <c r="K636" s="2">
        <v>1275</v>
      </c>
      <c r="L636" s="2">
        <v>1235</v>
      </c>
      <c r="M636" s="2">
        <f>K636-L636</f>
        <v>40</v>
      </c>
      <c r="N636" s="2">
        <v>747</v>
      </c>
      <c r="O636" s="2"/>
      <c r="P636" s="7">
        <f>grand[[#This Row],[total weight]]/grand[[#This Row],[received]]</f>
        <v>51</v>
      </c>
      <c r="Q636" s="7">
        <f>grand[[#This Row],[receiving weight]]/grand[[#This Row],[received]]</f>
        <v>49.4</v>
      </c>
      <c r="R636" s="7">
        <f>grand[[#This Row],[transportation loss ]]/grand[[#This Row],[received]]</f>
        <v>1.6</v>
      </c>
      <c r="S636" s="7">
        <f>grand[[#This Row],[ carcass weight]]/grand[[#This Row],[received]]</f>
        <v>29.88</v>
      </c>
      <c r="T636" s="7">
        <f>grand[[#This Row],[ kidneys fat quantity]]/grand[[#This Row],[received]]</f>
        <v>0</v>
      </c>
      <c r="U636" s="15">
        <v>25</v>
      </c>
      <c r="V636" s="15">
        <v>0</v>
      </c>
      <c r="W636" s="15">
        <v>49.8</v>
      </c>
      <c r="X636" s="15">
        <v>10</v>
      </c>
      <c r="Y636" s="8">
        <v>8.5</v>
      </c>
      <c r="Z636" s="20">
        <f>grand[[#This Row],[av. Transportation loss]]/grand[[#This Row],[av.total weight]]</f>
        <v>3.1372549019607843E-2</v>
      </c>
      <c r="AA636" s="12">
        <f>AVERAGE((grand[[#This Row],[am]]/25),(grand[[#This Row],[pm]]/50))</f>
        <v>0.998</v>
      </c>
      <c r="AB636" s="12">
        <f>grand[[#This Row],[ carcass weight]]/grand[[#This Row],[total weight]]</f>
        <v>0.58588235294117652</v>
      </c>
      <c r="AC636" s="22">
        <f>SUM(grand[[#This Row],[am]:[meat transportation]])/100</f>
        <v>0.93299999999999994</v>
      </c>
      <c r="AD636" s="2"/>
      <c r="AK636" s="20"/>
      <c r="AL636" s="1"/>
    </row>
    <row r="637" spans="1:38" hidden="1" x14ac:dyDescent="0.2">
      <c r="A637" s="11">
        <v>44831</v>
      </c>
      <c r="B637" s="53" t="s">
        <v>1706</v>
      </c>
      <c r="C637" s="52" t="str">
        <f>IF(MID(B637,4,2)="09","Ramadan",IF(AND(MID(B637,4,2)="12",VALUE(LEFT(B637,2))&lt;=9),"Adha Season","Normal"))</f>
        <v>Normal</v>
      </c>
      <c r="D637" s="1" t="s">
        <v>45</v>
      </c>
      <c r="E637" s="1" t="s">
        <v>482</v>
      </c>
      <c r="F637" s="4" t="s">
        <v>39</v>
      </c>
      <c r="G637" s="1">
        <v>35</v>
      </c>
      <c r="H637" s="15">
        <v>35</v>
      </c>
      <c r="I637" s="1">
        <f>grand[[#This Row],[number]]-grand[[#This Row],[received]]</f>
        <v>0</v>
      </c>
      <c r="J637" s="30"/>
      <c r="K637" s="2">
        <v>21127</v>
      </c>
      <c r="L637" s="2">
        <v>20270</v>
      </c>
      <c r="M637" s="2">
        <f>K637-L637</f>
        <v>857</v>
      </c>
      <c r="N637" s="2">
        <v>13240.7</v>
      </c>
      <c r="O637" s="2">
        <v>218</v>
      </c>
      <c r="P637" s="7">
        <f>grand[[#This Row],[total weight]]/grand[[#This Row],[received]]</f>
        <v>603.62857142857138</v>
      </c>
      <c r="Q637" s="7">
        <f>grand[[#This Row],[receiving weight]]/grand[[#This Row],[received]]</f>
        <v>579.14285714285711</v>
      </c>
      <c r="R637" s="7">
        <f>grand[[#This Row],[transportation loss ]]/grand[[#This Row],[received]]</f>
        <v>24.485714285714284</v>
      </c>
      <c r="S637" s="7">
        <f>grand[[#This Row],[ carcass weight]]/grand[[#This Row],[received]]</f>
        <v>378.30571428571432</v>
      </c>
      <c r="T637" s="7">
        <f>grand[[#This Row],[ kidneys fat quantity]]/grand[[#This Row],[received]]</f>
        <v>6.2285714285714286</v>
      </c>
      <c r="U637" s="15">
        <v>25</v>
      </c>
      <c r="V637" s="15">
        <v>0</v>
      </c>
      <c r="W637" s="15">
        <v>49.31428571428571</v>
      </c>
      <c r="X637" s="15">
        <v>9.1428571428571423</v>
      </c>
      <c r="Y637" s="8">
        <v>8.5</v>
      </c>
      <c r="Z637" s="20">
        <f>grand[[#This Row],[av. Transportation loss]]/grand[[#This Row],[av.total weight]]</f>
        <v>4.0564206938988025E-2</v>
      </c>
      <c r="AA637" s="12">
        <f>AVERAGE((grand[[#This Row],[am]]/25),(grand[[#This Row],[pm]]/50))</f>
        <v>0.99314285714285711</v>
      </c>
      <c r="AB637" s="12">
        <f>grand[[#This Row],[ carcass weight]]/grand[[#This Row],[total weight]]</f>
        <v>0.62671936384720972</v>
      </c>
      <c r="AC637" s="22">
        <f>SUM(grand[[#This Row],[am]:[meat transportation]])/100</f>
        <v>0.9195714285714286</v>
      </c>
      <c r="AD637" s="2" t="s">
        <v>469</v>
      </c>
      <c r="AJ637" s="1">
        <v>0</v>
      </c>
      <c r="AK637" s="20"/>
      <c r="AL637" s="1">
        <v>79</v>
      </c>
    </row>
    <row r="638" spans="1:38" hidden="1" x14ac:dyDescent="0.2">
      <c r="A638" s="11">
        <v>44838</v>
      </c>
      <c r="B638" s="53" t="s">
        <v>1710</v>
      </c>
      <c r="C638" s="52" t="str">
        <f>IF(MID(B638,4,2)="09","Ramadan",IF(AND(MID(B638,4,2)="12",VALUE(LEFT(B638,2))&lt;=9),"Adha Season","Normal"))</f>
        <v>Normal</v>
      </c>
      <c r="D638" s="1" t="s">
        <v>45</v>
      </c>
      <c r="E638" s="1" t="s">
        <v>482</v>
      </c>
      <c r="F638" s="4" t="s">
        <v>39</v>
      </c>
      <c r="G638" s="1">
        <v>42</v>
      </c>
      <c r="H638" s="15">
        <v>42</v>
      </c>
      <c r="I638" s="1">
        <f>grand[[#This Row],[number]]-grand[[#This Row],[received]]</f>
        <v>0</v>
      </c>
      <c r="J638" s="30"/>
      <c r="K638" s="2">
        <v>24531</v>
      </c>
      <c r="L638" s="2">
        <v>23265</v>
      </c>
      <c r="M638" s="2">
        <f>K638-L638</f>
        <v>1266</v>
      </c>
      <c r="N638" s="2">
        <v>15195</v>
      </c>
      <c r="O638" s="2">
        <v>239</v>
      </c>
      <c r="P638" s="7">
        <f>grand[[#This Row],[total weight]]/grand[[#This Row],[received]]</f>
        <v>584.07142857142856</v>
      </c>
      <c r="Q638" s="7">
        <f>grand[[#This Row],[receiving weight]]/grand[[#This Row],[received]]</f>
        <v>553.92857142857144</v>
      </c>
      <c r="R638" s="7">
        <f>grand[[#This Row],[transportation loss ]]/grand[[#This Row],[received]]</f>
        <v>30.142857142857142</v>
      </c>
      <c r="S638" s="7">
        <f>grand[[#This Row],[ carcass weight]]/grand[[#This Row],[received]]</f>
        <v>361.78571428571428</v>
      </c>
      <c r="T638" s="7">
        <f>grand[[#This Row],[ kidneys fat quantity]]/grand[[#This Row],[received]]</f>
        <v>5.6904761904761907</v>
      </c>
      <c r="U638" s="15">
        <v>25</v>
      </c>
      <c r="V638" s="15">
        <v>0</v>
      </c>
      <c r="W638" s="15">
        <v>50</v>
      </c>
      <c r="X638" s="15">
        <v>10</v>
      </c>
      <c r="Y638" s="8">
        <v>8.5</v>
      </c>
      <c r="Z638" s="20">
        <f>grand[[#This Row],[av. Transportation loss]]/grand[[#This Row],[av.total weight]]</f>
        <v>5.1608169255228077E-2</v>
      </c>
      <c r="AA638" s="12">
        <f>AVERAGE((grand[[#This Row],[am]]/25),(grand[[#This Row],[pm]]/50))</f>
        <v>1</v>
      </c>
      <c r="AB638" s="12">
        <f>grand[[#This Row],[ carcass weight]]/grand[[#This Row],[total weight]]</f>
        <v>0.61942032530267821</v>
      </c>
      <c r="AC638" s="22">
        <f>SUM(grand[[#This Row],[am]:[meat transportation]])/100</f>
        <v>0.93500000000000005</v>
      </c>
      <c r="AD638" s="2"/>
      <c r="AK638" s="20"/>
      <c r="AL638" s="1"/>
    </row>
    <row r="639" spans="1:38" hidden="1" x14ac:dyDescent="0.2">
      <c r="A639" s="11">
        <v>44839</v>
      </c>
      <c r="B639" s="53" t="s">
        <v>1711</v>
      </c>
      <c r="C639" s="52" t="str">
        <f>IF(MID(B639,4,2)="09","Ramadan",IF(AND(MID(B639,4,2)="12",VALUE(LEFT(B639,2))&lt;=9),"Adha Season","Normal"))</f>
        <v>Normal</v>
      </c>
      <c r="D639" s="1" t="s">
        <v>45</v>
      </c>
      <c r="E639" s="1" t="s">
        <v>481</v>
      </c>
      <c r="F639" s="4" t="s">
        <v>39</v>
      </c>
      <c r="G639" s="1">
        <v>16</v>
      </c>
      <c r="H639" s="15">
        <v>16</v>
      </c>
      <c r="I639" s="1">
        <f>grand[[#This Row],[number]]-grand[[#This Row],[received]]</f>
        <v>0</v>
      </c>
      <c r="J639" s="30"/>
      <c r="K639" s="2">
        <v>6977</v>
      </c>
      <c r="L639" s="2">
        <v>6665</v>
      </c>
      <c r="M639" s="2">
        <f>K639-L639</f>
        <v>312</v>
      </c>
      <c r="N639" s="2">
        <v>4338.2</v>
      </c>
      <c r="O639" s="2">
        <v>240</v>
      </c>
      <c r="P639" s="7">
        <f>grand[[#This Row],[total weight]]/grand[[#This Row],[received]]</f>
        <v>436.0625</v>
      </c>
      <c r="Q639" s="7">
        <f>grand[[#This Row],[receiving weight]]/grand[[#This Row],[received]]</f>
        <v>416.5625</v>
      </c>
      <c r="R639" s="7">
        <f>grand[[#This Row],[transportation loss ]]/grand[[#This Row],[received]]</f>
        <v>19.5</v>
      </c>
      <c r="S639" s="7">
        <f>grand[[#This Row],[ carcass weight]]/grand[[#This Row],[received]]</f>
        <v>271.13749999999999</v>
      </c>
      <c r="T639" s="7">
        <f>grand[[#This Row],[ kidneys fat quantity]]/grand[[#This Row],[received]]</f>
        <v>15</v>
      </c>
      <c r="U639" s="15">
        <v>25</v>
      </c>
      <c r="V639" s="15">
        <v>0</v>
      </c>
      <c r="W639" s="15">
        <v>50</v>
      </c>
      <c r="X639" s="15">
        <v>10</v>
      </c>
      <c r="Y639" s="8">
        <v>8.5</v>
      </c>
      <c r="Z639" s="20">
        <f>grand[[#This Row],[av. Transportation loss]]/grand[[#This Row],[av.total weight]]</f>
        <v>4.4718360326788019E-2</v>
      </c>
      <c r="AA639" s="12">
        <f>AVERAGE((grand[[#This Row],[am]]/25),(grand[[#This Row],[pm]]/50))</f>
        <v>1</v>
      </c>
      <c r="AB639" s="12">
        <f>grand[[#This Row],[ carcass weight]]/grand[[#This Row],[total weight]]</f>
        <v>0.62178586785151213</v>
      </c>
      <c r="AC639" s="22">
        <f>SUM(grand[[#This Row],[am]:[meat transportation]])/100</f>
        <v>0.93500000000000005</v>
      </c>
      <c r="AD639" s="2"/>
      <c r="AK639" s="20"/>
      <c r="AL639" s="1"/>
    </row>
    <row r="640" spans="1:38" hidden="1" x14ac:dyDescent="0.2">
      <c r="A640" s="11">
        <v>44840</v>
      </c>
      <c r="B640" s="53" t="s">
        <v>1712</v>
      </c>
      <c r="C640" s="52" t="str">
        <f>IF(MID(B640,4,2)="09","Ramadan",IF(AND(MID(B640,4,2)="12",VALUE(LEFT(B640,2))&lt;=9),"Adha Season","Normal"))</f>
        <v>Normal</v>
      </c>
      <c r="D640" s="2" t="s">
        <v>294</v>
      </c>
      <c r="F640" s="4" t="s">
        <v>35</v>
      </c>
      <c r="G640" s="1">
        <v>25</v>
      </c>
      <c r="H640" s="15">
        <v>25</v>
      </c>
      <c r="I640" s="1">
        <f>grand[[#This Row],[number]]-grand[[#This Row],[received]]</f>
        <v>0</v>
      </c>
      <c r="J640" s="30"/>
      <c r="K640" s="2">
        <v>1245</v>
      </c>
      <c r="L640" s="2">
        <v>1215</v>
      </c>
      <c r="M640" s="2">
        <f>K640-L640</f>
        <v>30</v>
      </c>
      <c r="N640" s="2">
        <v>713.4</v>
      </c>
      <c r="O640" s="2">
        <v>242</v>
      </c>
      <c r="P640" s="7">
        <f>grand[[#This Row],[total weight]]/grand[[#This Row],[received]]</f>
        <v>49.8</v>
      </c>
      <c r="Q640" s="7">
        <f>grand[[#This Row],[receiving weight]]/grand[[#This Row],[received]]</f>
        <v>48.6</v>
      </c>
      <c r="R640" s="7">
        <f>grand[[#This Row],[transportation loss ]]/grand[[#This Row],[received]]</f>
        <v>1.2</v>
      </c>
      <c r="S640" s="7">
        <f>grand[[#This Row],[ carcass weight]]/grand[[#This Row],[received]]</f>
        <v>28.535999999999998</v>
      </c>
      <c r="T640" s="7">
        <f>grand[[#This Row],[ kidneys fat quantity]]/grand[[#This Row],[received]]</f>
        <v>9.68</v>
      </c>
      <c r="U640" s="15">
        <v>25</v>
      </c>
      <c r="V640" s="15">
        <v>0</v>
      </c>
      <c r="W640" s="15">
        <v>49.440000000000005</v>
      </c>
      <c r="X640" s="15">
        <v>10</v>
      </c>
      <c r="Y640" s="8">
        <v>8.5</v>
      </c>
      <c r="Z640" s="20">
        <f>grand[[#This Row],[av. Transportation loss]]/grand[[#This Row],[av.total weight]]</f>
        <v>2.4096385542168676E-2</v>
      </c>
      <c r="AA640" s="12">
        <f>AVERAGE((grand[[#This Row],[am]]/25),(grand[[#This Row],[pm]]/50))</f>
        <v>0.99440000000000006</v>
      </c>
      <c r="AB640" s="12">
        <f>grand[[#This Row],[ carcass weight]]/grand[[#This Row],[total weight]]</f>
        <v>0.57301204819277107</v>
      </c>
      <c r="AC640" s="22">
        <f>SUM(grand[[#This Row],[am]:[meat transportation]])/100</f>
        <v>0.9294</v>
      </c>
      <c r="AD640" s="9" t="s">
        <v>471</v>
      </c>
      <c r="AK640" s="20"/>
      <c r="AL640" s="1">
        <v>1.5</v>
      </c>
    </row>
    <row r="641" spans="1:38" hidden="1" x14ac:dyDescent="0.2">
      <c r="A641" s="11">
        <v>44840</v>
      </c>
      <c r="B641" s="53" t="s">
        <v>1712</v>
      </c>
      <c r="C641" s="52" t="str">
        <f>IF(MID(B641,4,2)="09","Ramadan",IF(AND(MID(B641,4,2)="12",VALUE(LEFT(B641,2))&lt;=9),"Adha Season","Normal"))</f>
        <v>Normal</v>
      </c>
      <c r="D641" s="1" t="s">
        <v>45</v>
      </c>
      <c r="F641" s="4" t="s">
        <v>46</v>
      </c>
      <c r="G641" s="1">
        <v>51</v>
      </c>
      <c r="H641" s="15">
        <v>51</v>
      </c>
      <c r="I641" s="1">
        <f>grand[[#This Row],[number]]-grand[[#This Row],[received]]</f>
        <v>0</v>
      </c>
      <c r="J641" s="30"/>
      <c r="K641" s="2">
        <v>20050</v>
      </c>
      <c r="L641" s="2">
        <v>18985</v>
      </c>
      <c r="M641" s="2">
        <f>K641-L641</f>
        <v>1065</v>
      </c>
      <c r="N641" s="2">
        <v>12029</v>
      </c>
      <c r="O641" s="2">
        <v>241</v>
      </c>
      <c r="P641" s="7">
        <f>grand[[#This Row],[total weight]]/grand[[#This Row],[received]]</f>
        <v>393.13725490196077</v>
      </c>
      <c r="Q641" s="7">
        <f>grand[[#This Row],[receiving weight]]/grand[[#This Row],[received]]</f>
        <v>372.25490196078431</v>
      </c>
      <c r="R641" s="7">
        <f>grand[[#This Row],[transportation loss ]]/grand[[#This Row],[received]]</f>
        <v>20.882352941176471</v>
      </c>
      <c r="S641" s="7">
        <f>grand[[#This Row],[ carcass weight]]/grand[[#This Row],[received]]</f>
        <v>235.86274509803923</v>
      </c>
      <c r="T641" s="7">
        <f>grand[[#This Row],[ kidneys fat quantity]]/grand[[#This Row],[received]]</f>
        <v>4.7254901960784315</v>
      </c>
      <c r="U641" s="15">
        <v>24.803921568627452</v>
      </c>
      <c r="V641" s="15">
        <v>0</v>
      </c>
      <c r="W641" s="15">
        <v>49.352941176470587</v>
      </c>
      <c r="X641" s="15">
        <v>10</v>
      </c>
      <c r="Y641" s="8">
        <v>8.5</v>
      </c>
      <c r="Z641" s="20">
        <f>grand[[#This Row],[av. Transportation loss]]/grand[[#This Row],[av.total weight]]</f>
        <v>5.3117206982543644E-2</v>
      </c>
      <c r="AA641" s="12">
        <f>AVERAGE((grand[[#This Row],[am]]/25),(grand[[#This Row],[pm]]/50))</f>
        <v>0.98960784313725492</v>
      </c>
      <c r="AB641" s="12">
        <f>grand[[#This Row],[ carcass weight]]/grand[[#This Row],[total weight]]</f>
        <v>0.59995012468827935</v>
      </c>
      <c r="AC641" s="22">
        <f>SUM(grand[[#This Row],[am]:[meat transportation]])/100</f>
        <v>0.92656862745098034</v>
      </c>
      <c r="AD641" s="9" t="s">
        <v>470</v>
      </c>
      <c r="AJ641" s="1">
        <v>10</v>
      </c>
      <c r="AK641" s="20"/>
      <c r="AL641" s="1">
        <v>11</v>
      </c>
    </row>
    <row r="642" spans="1:38" hidden="1" x14ac:dyDescent="0.2">
      <c r="A642" s="11">
        <v>44843</v>
      </c>
      <c r="B642" s="53" t="s">
        <v>1714</v>
      </c>
      <c r="C642" s="52" t="str">
        <f>IF(MID(B642,4,2)="09","Ramadan",IF(AND(MID(B642,4,2)="12",VALUE(LEFT(B642,2))&lt;=9),"Adha Season","Normal"))</f>
        <v>Normal</v>
      </c>
      <c r="D642" s="1" t="s">
        <v>45</v>
      </c>
      <c r="F642" s="4" t="s">
        <v>280</v>
      </c>
      <c r="G642" s="1">
        <v>50</v>
      </c>
      <c r="H642" s="15">
        <v>50</v>
      </c>
      <c r="I642" s="1">
        <f>grand[[#This Row],[number]]-grand[[#This Row],[received]]</f>
        <v>0</v>
      </c>
      <c r="J642" s="30"/>
      <c r="K642" s="2">
        <v>24035</v>
      </c>
      <c r="L642" s="2">
        <v>23350</v>
      </c>
      <c r="M642" s="2">
        <f>K642-L642</f>
        <v>685</v>
      </c>
      <c r="N642" s="2">
        <v>14421.5</v>
      </c>
      <c r="O642" s="2">
        <v>547</v>
      </c>
      <c r="P642" s="7">
        <f>grand[[#This Row],[total weight]]/grand[[#This Row],[received]]</f>
        <v>480.7</v>
      </c>
      <c r="Q642" s="7">
        <f>grand[[#This Row],[receiving weight]]/grand[[#This Row],[received]]</f>
        <v>467</v>
      </c>
      <c r="R642" s="7">
        <f>grand[[#This Row],[transportation loss ]]/grand[[#This Row],[received]]</f>
        <v>13.7</v>
      </c>
      <c r="S642" s="7">
        <f>grand[[#This Row],[ carcass weight]]/grand[[#This Row],[received]]</f>
        <v>288.43</v>
      </c>
      <c r="T642" s="7">
        <f>grand[[#This Row],[ kidneys fat quantity]]/grand[[#This Row],[received]]</f>
        <v>10.94</v>
      </c>
      <c r="U642" s="15">
        <v>25</v>
      </c>
      <c r="V642" s="15">
        <v>0</v>
      </c>
      <c r="W642" s="15">
        <v>49.86</v>
      </c>
      <c r="X642" s="15">
        <v>10</v>
      </c>
      <c r="Y642" s="8">
        <v>8.5</v>
      </c>
      <c r="Z642" s="20">
        <f>grand[[#This Row],[av. Transportation loss]]/grand[[#This Row],[av.total weight]]</f>
        <v>2.8500104014978156E-2</v>
      </c>
      <c r="AA642" s="12">
        <f>AVERAGE((grand[[#This Row],[am]]/25),(grand[[#This Row],[pm]]/50))</f>
        <v>0.99859999999999993</v>
      </c>
      <c r="AB642" s="12">
        <f>grand[[#This Row],[ carcass weight]]/grand[[#This Row],[total weight]]</f>
        <v>0.60002080299563132</v>
      </c>
      <c r="AC642" s="22">
        <f>SUM(grand[[#This Row],[am]:[meat transportation]])/100</f>
        <v>0.93359999999999999</v>
      </c>
      <c r="AD642" s="9" t="s">
        <v>427</v>
      </c>
      <c r="AJ642" s="1">
        <v>14</v>
      </c>
      <c r="AK642" s="20"/>
      <c r="AL642" s="1"/>
    </row>
    <row r="643" spans="1:38" hidden="1" x14ac:dyDescent="0.2">
      <c r="A643" s="11">
        <v>44845</v>
      </c>
      <c r="B643" s="53" t="s">
        <v>1715</v>
      </c>
      <c r="C643" s="52" t="str">
        <f>IF(MID(B643,4,2)="09","Ramadan",IF(AND(MID(B643,4,2)="12",VALUE(LEFT(B643,2))&lt;=9),"Adha Season","Normal"))</f>
        <v>Normal</v>
      </c>
      <c r="D643" s="1" t="s">
        <v>45</v>
      </c>
      <c r="E643" s="1" t="s">
        <v>482</v>
      </c>
      <c r="F643" s="4" t="s">
        <v>39</v>
      </c>
      <c r="G643" s="1">
        <v>32</v>
      </c>
      <c r="H643" s="15">
        <v>32</v>
      </c>
      <c r="I643" s="1">
        <f>grand[[#This Row],[number]]-grand[[#This Row],[received]]</f>
        <v>0</v>
      </c>
      <c r="J643" s="30"/>
      <c r="K643" s="2">
        <v>19605</v>
      </c>
      <c r="L643" s="2">
        <v>18740</v>
      </c>
      <c r="M643" s="2">
        <f>K643-L643</f>
        <v>865</v>
      </c>
      <c r="N643" s="2">
        <v>12350</v>
      </c>
      <c r="O643" s="2">
        <v>201</v>
      </c>
      <c r="P643" s="7">
        <f>grand[[#This Row],[total weight]]/grand[[#This Row],[received]]</f>
        <v>612.65625</v>
      </c>
      <c r="Q643" s="7">
        <f>grand[[#This Row],[receiving weight]]/grand[[#This Row],[received]]</f>
        <v>585.625</v>
      </c>
      <c r="R643" s="7">
        <f>grand[[#This Row],[transportation loss ]]/grand[[#This Row],[received]]</f>
        <v>27.03125</v>
      </c>
      <c r="S643" s="7">
        <f>grand[[#This Row],[ carcass weight]]/grand[[#This Row],[received]]</f>
        <v>385.9375</v>
      </c>
      <c r="T643" s="7">
        <f>grand[[#This Row],[ kidneys fat quantity]]/grand[[#This Row],[received]]</f>
        <v>6.28125</v>
      </c>
      <c r="U643" s="15">
        <v>25</v>
      </c>
      <c r="V643" s="15">
        <v>0</v>
      </c>
      <c r="W643" s="15">
        <v>49.8125</v>
      </c>
      <c r="X643" s="15">
        <v>10</v>
      </c>
      <c r="Y643" s="8">
        <v>8.5</v>
      </c>
      <c r="Z643" s="20">
        <f>grand[[#This Row],[av. Transportation loss]]/grand[[#This Row],[av.total weight]]</f>
        <v>4.4121397602652386E-2</v>
      </c>
      <c r="AA643" s="12">
        <f>AVERAGE((grand[[#This Row],[am]]/25),(grand[[#This Row],[pm]]/50))</f>
        <v>0.99812499999999993</v>
      </c>
      <c r="AB643" s="12">
        <f>grand[[#This Row],[ carcass weight]]/grand[[#This Row],[total weight]]</f>
        <v>0.62994134149451675</v>
      </c>
      <c r="AC643" s="22">
        <f>SUM(grand[[#This Row],[am]:[meat transportation]])/100</f>
        <v>0.93312499999999998</v>
      </c>
      <c r="AD643" s="9" t="s">
        <v>427</v>
      </c>
      <c r="AJ643" s="1">
        <v>1</v>
      </c>
      <c r="AK643" s="20"/>
      <c r="AL643" s="1">
        <v>0</v>
      </c>
    </row>
    <row r="644" spans="1:38" hidden="1" x14ac:dyDescent="0.2">
      <c r="A644" s="11">
        <v>44847</v>
      </c>
      <c r="B644" s="53" t="s">
        <v>1716</v>
      </c>
      <c r="C644" s="52" t="str">
        <f>IF(MID(B644,4,2)="09","Ramadan",IF(AND(MID(B644,4,2)="12",VALUE(LEFT(B644,2))&lt;=9),"Adha Season","Normal"))</f>
        <v>Normal</v>
      </c>
      <c r="D644" s="1" t="s">
        <v>45</v>
      </c>
      <c r="F644" s="4" t="s">
        <v>46</v>
      </c>
      <c r="G644" s="1">
        <v>41</v>
      </c>
      <c r="H644" s="15">
        <v>41</v>
      </c>
      <c r="I644" s="1">
        <f>grand[[#This Row],[number]]-grand[[#This Row],[received]]</f>
        <v>0</v>
      </c>
      <c r="J644" s="30"/>
      <c r="K644" s="2">
        <v>17870</v>
      </c>
      <c r="L644" s="2">
        <v>17035</v>
      </c>
      <c r="M644" s="2">
        <f>K644-L644</f>
        <v>835</v>
      </c>
      <c r="N644" s="2">
        <v>10721.5</v>
      </c>
      <c r="O644" s="2">
        <v>399</v>
      </c>
      <c r="P644" s="7">
        <f>grand[[#This Row],[total weight]]/grand[[#This Row],[received]]</f>
        <v>435.85365853658539</v>
      </c>
      <c r="Q644" s="7">
        <f>grand[[#This Row],[receiving weight]]/grand[[#This Row],[received]]</f>
        <v>415.48780487804879</v>
      </c>
      <c r="R644" s="7">
        <f>grand[[#This Row],[transportation loss ]]/grand[[#This Row],[received]]</f>
        <v>20.365853658536587</v>
      </c>
      <c r="S644" s="7">
        <f>grand[[#This Row],[ carcass weight]]/grand[[#This Row],[received]]</f>
        <v>261.5</v>
      </c>
      <c r="T644" s="7">
        <f>grand[[#This Row],[ kidneys fat quantity]]/grand[[#This Row],[received]]</f>
        <v>9.7317073170731714</v>
      </c>
      <c r="U644" s="15">
        <v>25</v>
      </c>
      <c r="V644" s="15">
        <v>0</v>
      </c>
      <c r="W644" s="15">
        <v>50</v>
      </c>
      <c r="X644" s="15">
        <v>10</v>
      </c>
      <c r="Y644" s="8">
        <v>8.5</v>
      </c>
      <c r="Z644" s="20">
        <f>grand[[#This Row],[av. Transportation loss]]/grand[[#This Row],[av.total weight]]</f>
        <v>4.6726357022943484E-2</v>
      </c>
      <c r="AA644" s="12">
        <f>AVERAGE((grand[[#This Row],[am]]/25),(grand[[#This Row],[pm]]/50))</f>
        <v>1</v>
      </c>
      <c r="AB644" s="12">
        <f>grand[[#This Row],[ carcass weight]]/grand[[#This Row],[total weight]]</f>
        <v>0.59997202014549522</v>
      </c>
      <c r="AC644" s="22">
        <f>SUM(grand[[#This Row],[am]:[meat transportation]])/100</f>
        <v>0.93500000000000005</v>
      </c>
      <c r="AD644" s="2"/>
      <c r="AJ644" s="1">
        <v>2</v>
      </c>
      <c r="AK644" s="20"/>
      <c r="AL644" s="1"/>
    </row>
    <row r="645" spans="1:38" hidden="1" x14ac:dyDescent="0.2">
      <c r="A645" s="11">
        <v>44847</v>
      </c>
      <c r="B645" s="53" t="s">
        <v>1716</v>
      </c>
      <c r="C645" s="52" t="str">
        <f>IF(MID(B645,4,2)="09","Ramadan",IF(AND(MID(B645,4,2)="12",VALUE(LEFT(B645,2))&lt;=9),"Adha Season","Normal"))</f>
        <v>Normal</v>
      </c>
      <c r="D645" s="1" t="s">
        <v>45</v>
      </c>
      <c r="F645" s="4" t="s">
        <v>280</v>
      </c>
      <c r="G645" s="1">
        <v>1</v>
      </c>
      <c r="H645" s="15">
        <v>1</v>
      </c>
      <c r="I645" s="1">
        <f>grand[[#This Row],[number]]-grand[[#This Row],[received]]</f>
        <v>0</v>
      </c>
      <c r="J645" s="30"/>
      <c r="K645" s="2">
        <v>475</v>
      </c>
      <c r="L645" s="2">
        <v>460</v>
      </c>
      <c r="M645" s="2">
        <f>K645-L645</f>
        <v>15</v>
      </c>
      <c r="N645" s="2">
        <v>300</v>
      </c>
      <c r="O645" s="2">
        <v>8</v>
      </c>
      <c r="P645" s="7">
        <f>grand[[#This Row],[total weight]]/grand[[#This Row],[received]]</f>
        <v>475</v>
      </c>
      <c r="Q645" s="7">
        <f>grand[[#This Row],[receiving weight]]/grand[[#This Row],[received]]</f>
        <v>460</v>
      </c>
      <c r="R645" s="7">
        <f>grand[[#This Row],[transportation loss ]]/grand[[#This Row],[received]]</f>
        <v>15</v>
      </c>
      <c r="S645" s="7">
        <f>grand[[#This Row],[ carcass weight]]/grand[[#This Row],[received]]</f>
        <v>300</v>
      </c>
      <c r="T645" s="7">
        <f>grand[[#This Row],[ kidneys fat quantity]]/grand[[#This Row],[received]]</f>
        <v>8</v>
      </c>
      <c r="U645" s="15">
        <v>25</v>
      </c>
      <c r="V645" s="15">
        <v>0</v>
      </c>
      <c r="W645" s="15">
        <v>50</v>
      </c>
      <c r="X645" s="15">
        <v>10</v>
      </c>
      <c r="Y645" s="8">
        <v>8.5</v>
      </c>
      <c r="Z645" s="20">
        <f>grand[[#This Row],[av. Transportation loss]]/grand[[#This Row],[av.total weight]]</f>
        <v>3.1578947368421054E-2</v>
      </c>
      <c r="AA645" s="12">
        <f>AVERAGE((grand[[#This Row],[am]]/25),(grand[[#This Row],[pm]]/50))</f>
        <v>1</v>
      </c>
      <c r="AB645" s="12">
        <f>grand[[#This Row],[ carcass weight]]/grand[[#This Row],[total weight]]</f>
        <v>0.63157894736842102</v>
      </c>
      <c r="AC645" s="22">
        <f>SUM(grand[[#This Row],[am]:[meat transportation]])/100</f>
        <v>0.93500000000000005</v>
      </c>
      <c r="AD645" s="2"/>
      <c r="AK645" s="20"/>
      <c r="AL645" s="1"/>
    </row>
    <row r="646" spans="1:38" hidden="1" x14ac:dyDescent="0.2">
      <c r="A646" s="11">
        <v>44849</v>
      </c>
      <c r="B646" s="53" t="s">
        <v>1717</v>
      </c>
      <c r="C646" s="52" t="str">
        <f>IF(MID(B646,4,2)="09","Ramadan",IF(AND(MID(B646,4,2)="12",VALUE(LEFT(B646,2))&lt;=9),"Adha Season","Normal"))</f>
        <v>Normal</v>
      </c>
      <c r="D646" s="1" t="s">
        <v>45</v>
      </c>
      <c r="E646" s="1" t="s">
        <v>481</v>
      </c>
      <c r="F646" s="4" t="s">
        <v>39</v>
      </c>
      <c r="G646" s="1">
        <v>23</v>
      </c>
      <c r="H646" s="15">
        <v>23</v>
      </c>
      <c r="I646" s="1">
        <f>grand[[#This Row],[number]]-grand[[#This Row],[received]]</f>
        <v>0</v>
      </c>
      <c r="J646" s="30"/>
      <c r="K646" s="2">
        <v>10093</v>
      </c>
      <c r="L646" s="2">
        <v>9555</v>
      </c>
      <c r="M646" s="2">
        <f>K646-L646</f>
        <v>538</v>
      </c>
      <c r="N646" s="2">
        <v>6261.2</v>
      </c>
      <c r="O646" s="2">
        <v>237</v>
      </c>
      <c r="P646" s="7">
        <f>grand[[#This Row],[total weight]]/grand[[#This Row],[received]]</f>
        <v>438.82608695652175</v>
      </c>
      <c r="Q646" s="7">
        <f>grand[[#This Row],[receiving weight]]/grand[[#This Row],[received]]</f>
        <v>415.43478260869563</v>
      </c>
      <c r="R646" s="7">
        <f>grand[[#This Row],[transportation loss ]]/grand[[#This Row],[received]]</f>
        <v>23.391304347826086</v>
      </c>
      <c r="S646" s="7">
        <f>grand[[#This Row],[ carcass weight]]/grand[[#This Row],[received]]</f>
        <v>272.22608695652173</v>
      </c>
      <c r="T646" s="7">
        <f>grand[[#This Row],[ kidneys fat quantity]]/grand[[#This Row],[received]]</f>
        <v>10.304347826086957</v>
      </c>
      <c r="U646" s="15">
        <v>25</v>
      </c>
      <c r="V646" s="15">
        <v>0</v>
      </c>
      <c r="W646" s="15">
        <v>49.913043478260875</v>
      </c>
      <c r="X646" s="15">
        <v>10</v>
      </c>
      <c r="Y646" s="8">
        <v>8.5</v>
      </c>
      <c r="Z646" s="20">
        <f>grand[[#This Row],[av. Transportation loss]]/grand[[#This Row],[av.total weight]]</f>
        <v>5.3304270286337059E-2</v>
      </c>
      <c r="AA646" s="12">
        <f>AVERAGE((grand[[#This Row],[am]]/25),(grand[[#This Row],[pm]]/50))</f>
        <v>0.99913043478260877</v>
      </c>
      <c r="AB646" s="12">
        <f>grand[[#This Row],[ carcass weight]]/grand[[#This Row],[total weight]]</f>
        <v>0.62035073813534136</v>
      </c>
      <c r="AC646" s="22">
        <f>SUM(grand[[#This Row],[am]:[meat transportation]])/100</f>
        <v>0.93413043478260871</v>
      </c>
      <c r="AD646" s="2"/>
      <c r="AJ646" s="1">
        <v>4</v>
      </c>
      <c r="AK646" s="20"/>
      <c r="AL646" s="1">
        <v>1</v>
      </c>
    </row>
    <row r="647" spans="1:38" hidden="1" x14ac:dyDescent="0.2">
      <c r="A647" s="11">
        <v>44850</v>
      </c>
      <c r="B647" s="53" t="s">
        <v>1718</v>
      </c>
      <c r="C647" s="52" t="str">
        <f>IF(MID(B647,4,2)="09","Ramadan",IF(AND(MID(B647,4,2)="12",VALUE(LEFT(B647,2))&lt;=9),"Adha Season","Normal"))</f>
        <v>Normal</v>
      </c>
      <c r="D647" s="1" t="s">
        <v>45</v>
      </c>
      <c r="F647" s="4" t="s">
        <v>280</v>
      </c>
      <c r="G647" s="1">
        <v>36</v>
      </c>
      <c r="H647" s="15">
        <v>36</v>
      </c>
      <c r="I647" s="1">
        <f>grand[[#This Row],[number]]-grand[[#This Row],[received]]</f>
        <v>0</v>
      </c>
      <c r="J647" s="30"/>
      <c r="K647" s="2">
        <v>16027</v>
      </c>
      <c r="L647" s="2">
        <v>15560</v>
      </c>
      <c r="M647" s="2">
        <f>K647-L647</f>
        <v>467</v>
      </c>
      <c r="N647" s="2">
        <v>9615.5</v>
      </c>
      <c r="O647" s="2">
        <v>302</v>
      </c>
      <c r="P647" s="7">
        <f>grand[[#This Row],[total weight]]/grand[[#This Row],[received]]</f>
        <v>445.19444444444446</v>
      </c>
      <c r="Q647" s="7">
        <f>grand[[#This Row],[receiving weight]]/grand[[#This Row],[received]]</f>
        <v>432.22222222222223</v>
      </c>
      <c r="R647" s="7">
        <f>grand[[#This Row],[transportation loss ]]/grand[[#This Row],[received]]</f>
        <v>12.972222222222221</v>
      </c>
      <c r="S647" s="7">
        <f>grand[[#This Row],[ carcass weight]]/grand[[#This Row],[received]]</f>
        <v>267.09722222222223</v>
      </c>
      <c r="T647" s="7">
        <f>grand[[#This Row],[ kidneys fat quantity]]/grand[[#This Row],[received]]</f>
        <v>8.3888888888888893</v>
      </c>
      <c r="U647" s="15">
        <v>25</v>
      </c>
      <c r="V647" s="15">
        <v>0</v>
      </c>
      <c r="W647" s="15">
        <v>48.416666666666664</v>
      </c>
      <c r="X647" s="15">
        <v>10</v>
      </c>
      <c r="Y647" s="8">
        <v>8.5</v>
      </c>
      <c r="Z647" s="20">
        <f>grand[[#This Row],[av. Transportation loss]]/grand[[#This Row],[av.total weight]]</f>
        <v>2.9138329069694886E-2</v>
      </c>
      <c r="AA647" s="12">
        <f>AVERAGE((grand[[#This Row],[am]]/25),(grand[[#This Row],[pm]]/50))</f>
        <v>0.98416666666666663</v>
      </c>
      <c r="AB647" s="12">
        <f>grand[[#This Row],[ carcass weight]]/grand[[#This Row],[total weight]]</f>
        <v>0.59995632370374996</v>
      </c>
      <c r="AC647" s="22">
        <f>SUM(grand[[#This Row],[am]:[meat transportation]])/100</f>
        <v>0.91916666666666658</v>
      </c>
      <c r="AD647" s="9" t="s">
        <v>473</v>
      </c>
      <c r="AJ647" s="1">
        <v>17</v>
      </c>
      <c r="AK647" s="20"/>
      <c r="AL647" s="1">
        <v>62</v>
      </c>
    </row>
    <row r="648" spans="1:38" hidden="1" x14ac:dyDescent="0.2">
      <c r="A648" s="11">
        <v>44852</v>
      </c>
      <c r="B648" s="53" t="s">
        <v>1719</v>
      </c>
      <c r="C648" s="52" t="str">
        <f>IF(MID(B648,4,2)="09","Ramadan",IF(AND(MID(B648,4,2)="12",VALUE(LEFT(B648,2))&lt;=9),"Adha Season","Normal"))</f>
        <v>Normal</v>
      </c>
      <c r="D648" s="1" t="s">
        <v>45</v>
      </c>
      <c r="E648" s="1" t="s">
        <v>482</v>
      </c>
      <c r="F648" s="4" t="s">
        <v>39</v>
      </c>
      <c r="G648" s="1">
        <v>34</v>
      </c>
      <c r="H648" s="15">
        <v>34</v>
      </c>
      <c r="I648" s="1">
        <f>grand[[#This Row],[number]]-grand[[#This Row],[received]]</f>
        <v>0</v>
      </c>
      <c r="J648" s="30"/>
      <c r="K648" s="2">
        <v>18969</v>
      </c>
      <c r="L648" s="2">
        <v>18016</v>
      </c>
      <c r="M648" s="2">
        <f>K648-L648</f>
        <v>953</v>
      </c>
      <c r="N648" s="2">
        <v>11824.5</v>
      </c>
      <c r="O648" s="2">
        <v>193</v>
      </c>
      <c r="P648" s="7">
        <f>grand[[#This Row],[total weight]]/grand[[#This Row],[received]]</f>
        <v>557.91176470588232</v>
      </c>
      <c r="Q648" s="7">
        <f>grand[[#This Row],[receiving weight]]/grand[[#This Row],[received]]</f>
        <v>529.88235294117646</v>
      </c>
      <c r="R648" s="7">
        <f>grand[[#This Row],[transportation loss ]]/grand[[#This Row],[received]]</f>
        <v>28.029411764705884</v>
      </c>
      <c r="S648" s="7">
        <f>grand[[#This Row],[ carcass weight]]/grand[[#This Row],[received]]</f>
        <v>347.77941176470586</v>
      </c>
      <c r="T648" s="7">
        <f>grand[[#This Row],[ kidneys fat quantity]]/grand[[#This Row],[received]]</f>
        <v>5.6764705882352944</v>
      </c>
      <c r="U648" s="15">
        <v>25</v>
      </c>
      <c r="V648" s="15">
        <v>0</v>
      </c>
      <c r="W648" s="15">
        <v>49.441176470588232</v>
      </c>
      <c r="X648" s="15">
        <v>10</v>
      </c>
      <c r="Y648" s="8">
        <v>8.5</v>
      </c>
      <c r="Z648" s="20">
        <f>grand[[#This Row],[av. Transportation loss]]/grand[[#This Row],[av.total weight]]</f>
        <v>5.0239865042964842E-2</v>
      </c>
      <c r="AA648" s="12">
        <f>AVERAGE((grand[[#This Row],[am]]/25),(grand[[#This Row],[pm]]/50))</f>
        <v>0.99441176470588233</v>
      </c>
      <c r="AB648" s="12">
        <f>grand[[#This Row],[ carcass weight]]/grand[[#This Row],[total weight]]</f>
        <v>0.62335916495334498</v>
      </c>
      <c r="AC648" s="22">
        <f>SUM(grand[[#This Row],[am]:[meat transportation]])/100</f>
        <v>0.92941176470588227</v>
      </c>
      <c r="AD648" s="9" t="s">
        <v>474</v>
      </c>
      <c r="AJ648" s="1">
        <v>0</v>
      </c>
      <c r="AK648" s="20"/>
      <c r="AL648" s="1">
        <v>210</v>
      </c>
    </row>
    <row r="649" spans="1:38" hidden="1" x14ac:dyDescent="0.2">
      <c r="A649" s="11">
        <v>44853</v>
      </c>
      <c r="B649" s="53" t="s">
        <v>1720</v>
      </c>
      <c r="C649" s="52" t="str">
        <f>IF(MID(B649,4,2)="09","Ramadan",IF(AND(MID(B649,4,2)="12",VALUE(LEFT(B649,2))&lt;=9),"Adha Season","Normal"))</f>
        <v>Normal</v>
      </c>
      <c r="D649" s="1" t="s">
        <v>45</v>
      </c>
      <c r="F649" s="4" t="s">
        <v>462</v>
      </c>
      <c r="G649" s="1">
        <v>7</v>
      </c>
      <c r="H649" s="15">
        <v>7</v>
      </c>
      <c r="I649" s="1">
        <f>grand[[#This Row],[number]]-grand[[#This Row],[received]]</f>
        <v>0</v>
      </c>
      <c r="J649" s="30"/>
      <c r="K649" s="2">
        <v>3265</v>
      </c>
      <c r="L649" s="2">
        <v>3265</v>
      </c>
      <c r="M649" s="2">
        <f>K649-L649</f>
        <v>0</v>
      </c>
      <c r="N649" s="2">
        <v>2024.5</v>
      </c>
      <c r="O649" s="2">
        <v>0</v>
      </c>
      <c r="P649" s="7">
        <f>grand[[#This Row],[total weight]]/grand[[#This Row],[received]]</f>
        <v>466.42857142857144</v>
      </c>
      <c r="Q649" s="7">
        <f>grand[[#This Row],[receiving weight]]/grand[[#This Row],[received]]</f>
        <v>466.42857142857144</v>
      </c>
      <c r="R649" s="7">
        <f>grand[[#This Row],[transportation loss ]]/grand[[#This Row],[received]]</f>
        <v>0</v>
      </c>
      <c r="S649" s="7">
        <f>grand[[#This Row],[ carcass weight]]/grand[[#This Row],[received]]</f>
        <v>289.21428571428572</v>
      </c>
      <c r="T649" s="7">
        <f>grand[[#This Row],[ kidneys fat quantity]]/grand[[#This Row],[received]]</f>
        <v>0</v>
      </c>
      <c r="U649" s="15">
        <v>25</v>
      </c>
      <c r="V649" s="15">
        <v>5</v>
      </c>
      <c r="W649" s="15">
        <v>49.428571428571431</v>
      </c>
      <c r="X649" s="15">
        <v>10</v>
      </c>
      <c r="Y649" s="8">
        <v>8.5</v>
      </c>
      <c r="Z649" s="20">
        <f>grand[[#This Row],[av. Transportation loss]]/grand[[#This Row],[av.total weight]]</f>
        <v>0</v>
      </c>
      <c r="AA649" s="12">
        <f>AVERAGE((grand[[#This Row],[am]]/25),(grand[[#This Row],[pm]]/50))</f>
        <v>0.99428571428571433</v>
      </c>
      <c r="AB649" s="23">
        <f>grand[[#This Row],[ carcass weight]]/grand[[#This Row],[total weight]]</f>
        <v>0.62006125574272586</v>
      </c>
      <c r="AC649" s="22">
        <f>SUM(grand[[#This Row],[am]:[meat transportation]])/100</f>
        <v>0.97928571428571431</v>
      </c>
      <c r="AD649" s="2"/>
      <c r="AJ649" s="1">
        <v>0</v>
      </c>
      <c r="AK649" s="20"/>
      <c r="AL649" s="1">
        <v>0</v>
      </c>
    </row>
    <row r="650" spans="1:38" hidden="1" x14ac:dyDescent="0.2">
      <c r="A650" s="11">
        <v>44854</v>
      </c>
      <c r="B650" s="53" t="s">
        <v>1721</v>
      </c>
      <c r="C650" s="52" t="str">
        <f>IF(MID(B650,4,2)="09","Ramadan",IF(AND(MID(B650,4,2)="12",VALUE(LEFT(B650,2))&lt;=9),"Adha Season","Normal"))</f>
        <v>Normal</v>
      </c>
      <c r="D650" s="1" t="s">
        <v>45</v>
      </c>
      <c r="F650" s="4" t="s">
        <v>46</v>
      </c>
      <c r="G650" s="1">
        <v>35</v>
      </c>
      <c r="H650" s="15">
        <v>35</v>
      </c>
      <c r="I650" s="1">
        <f>grand[[#This Row],[number]]-grand[[#This Row],[received]]</f>
        <v>0</v>
      </c>
      <c r="J650" s="30"/>
      <c r="K650" s="2">
        <v>16695</v>
      </c>
      <c r="L650" s="2">
        <v>15865</v>
      </c>
      <c r="M650" s="2">
        <f>K650-L650</f>
        <v>830</v>
      </c>
      <c r="N650" s="2">
        <v>10017.200000000001</v>
      </c>
      <c r="O650" s="2">
        <v>330</v>
      </c>
      <c r="P650" s="7">
        <f>grand[[#This Row],[total weight]]/grand[[#This Row],[received]]</f>
        <v>477</v>
      </c>
      <c r="Q650" s="7">
        <f>grand[[#This Row],[receiving weight]]/grand[[#This Row],[received]]</f>
        <v>453.28571428571428</v>
      </c>
      <c r="R650" s="7">
        <f>grand[[#This Row],[transportation loss ]]/grand[[#This Row],[received]]</f>
        <v>23.714285714285715</v>
      </c>
      <c r="S650" s="7">
        <f>grand[[#This Row],[ carcass weight]]/grand[[#This Row],[received]]</f>
        <v>286.20571428571429</v>
      </c>
      <c r="T650" s="7">
        <f>grand[[#This Row],[ kidneys fat quantity]]/grand[[#This Row],[received]]</f>
        <v>9.4285714285714288</v>
      </c>
      <c r="U650" s="15">
        <v>24.857142857142858</v>
      </c>
      <c r="V650" s="15">
        <v>0</v>
      </c>
      <c r="W650" s="15">
        <v>49.685714285714283</v>
      </c>
      <c r="X650" s="15">
        <v>10</v>
      </c>
      <c r="Y650" s="8">
        <v>8.5</v>
      </c>
      <c r="Z650" s="20">
        <f>grand[[#This Row],[av. Transportation loss]]/grand[[#This Row],[av.total weight]]</f>
        <v>4.9715483677747828E-2</v>
      </c>
      <c r="AA650" s="12">
        <f>AVERAGE((grand[[#This Row],[am]]/25),(grand[[#This Row],[pm]]/50))</f>
        <v>0.99399999999999999</v>
      </c>
      <c r="AB650" s="12">
        <f>grand[[#This Row],[ carcass weight]]/grand[[#This Row],[total weight]]</f>
        <v>0.60001197963462116</v>
      </c>
      <c r="AC650" s="22">
        <f>SUM(grand[[#This Row],[am]:[meat transportation]])/100</f>
        <v>0.93042857142857149</v>
      </c>
      <c r="AD650" s="9" t="s">
        <v>475</v>
      </c>
      <c r="AJ650" s="1">
        <v>15</v>
      </c>
      <c r="AK650" s="20"/>
      <c r="AL650" s="1">
        <v>0</v>
      </c>
    </row>
    <row r="651" spans="1:38" hidden="1" x14ac:dyDescent="0.2">
      <c r="A651" s="11">
        <v>44856</v>
      </c>
      <c r="B651" s="53" t="s">
        <v>1722</v>
      </c>
      <c r="C651" s="52" t="str">
        <f>IF(MID(B651,4,2)="09","Ramadan",IF(AND(MID(B651,4,2)="12",VALUE(LEFT(B651,2))&lt;=9),"Adha Season","Normal"))</f>
        <v>Normal</v>
      </c>
      <c r="D651" s="1" t="s">
        <v>45</v>
      </c>
      <c r="E651" s="1" t="s">
        <v>482</v>
      </c>
      <c r="F651" s="4" t="s">
        <v>39</v>
      </c>
      <c r="G651" s="1">
        <v>26</v>
      </c>
      <c r="H651" s="15">
        <v>26</v>
      </c>
      <c r="I651" s="1">
        <f>grand[[#This Row],[number]]-grand[[#This Row],[received]]</f>
        <v>0</v>
      </c>
      <c r="J651" s="30"/>
      <c r="K651" s="2">
        <v>16451</v>
      </c>
      <c r="L651" s="2">
        <v>15815</v>
      </c>
      <c r="M651" s="2">
        <f>K651-L651</f>
        <v>636</v>
      </c>
      <c r="N651" s="2">
        <v>10586.7</v>
      </c>
      <c r="O651" s="2">
        <v>165</v>
      </c>
      <c r="P651" s="7">
        <f>grand[[#This Row],[total weight]]/grand[[#This Row],[received]]</f>
        <v>632.73076923076928</v>
      </c>
      <c r="Q651" s="7">
        <f>grand[[#This Row],[receiving weight]]/grand[[#This Row],[received]]</f>
        <v>608.26923076923072</v>
      </c>
      <c r="R651" s="7">
        <f>grand[[#This Row],[transportation loss ]]/grand[[#This Row],[received]]</f>
        <v>24.46153846153846</v>
      </c>
      <c r="S651" s="7">
        <f>grand[[#This Row],[ carcass weight]]/grand[[#This Row],[received]]</f>
        <v>407.18076923076927</v>
      </c>
      <c r="T651" s="7">
        <f>grand[[#This Row],[ kidneys fat quantity]]/grand[[#This Row],[received]]</f>
        <v>6.3461538461538458</v>
      </c>
      <c r="U651" s="15">
        <v>25</v>
      </c>
      <c r="V651" s="15">
        <v>0</v>
      </c>
      <c r="W651" s="15">
        <v>49.653846153846153</v>
      </c>
      <c r="X651" s="15">
        <v>10</v>
      </c>
      <c r="Y651" s="8">
        <v>8.5</v>
      </c>
      <c r="Z651" s="20">
        <f>grand[[#This Row],[av. Transportation loss]]/grand[[#This Row],[av.total weight]]</f>
        <v>3.8660263813749915E-2</v>
      </c>
      <c r="AA651" s="12">
        <f>AVERAGE((grand[[#This Row],[am]]/25),(grand[[#This Row],[pm]]/50))</f>
        <v>0.9965384615384616</v>
      </c>
      <c r="AB651" s="12">
        <f>grand[[#This Row],[ carcass weight]]/grand[[#This Row],[total weight]]</f>
        <v>0.64352926873746286</v>
      </c>
      <c r="AC651" s="22">
        <f>SUM(grand[[#This Row],[am]:[meat transportation]])/100</f>
        <v>0.93153846153846165</v>
      </c>
      <c r="AD651" s="9" t="s">
        <v>476</v>
      </c>
      <c r="AJ651" s="1">
        <v>1</v>
      </c>
      <c r="AK651" s="20"/>
      <c r="AL651" s="1">
        <v>1</v>
      </c>
    </row>
    <row r="652" spans="1:38" hidden="1" x14ac:dyDescent="0.2">
      <c r="A652" s="11">
        <v>44859</v>
      </c>
      <c r="B652" s="53" t="s">
        <v>1724</v>
      </c>
      <c r="C652" s="52" t="str">
        <f>IF(MID(B652,4,2)="09","Ramadan",IF(AND(MID(B652,4,2)="12",VALUE(LEFT(B652,2))&lt;=9),"Adha Season","Normal"))</f>
        <v>Normal</v>
      </c>
      <c r="D652" s="1" t="s">
        <v>45</v>
      </c>
      <c r="F652" s="4" t="s">
        <v>280</v>
      </c>
      <c r="G652" s="1">
        <v>32</v>
      </c>
      <c r="H652" s="15">
        <v>32</v>
      </c>
      <c r="I652" s="1">
        <f>grand[[#This Row],[number]]-grand[[#This Row],[received]]</f>
        <v>0</v>
      </c>
      <c r="J652" s="30"/>
      <c r="K652" s="2">
        <v>13790</v>
      </c>
      <c r="L652" s="2">
        <v>13335</v>
      </c>
      <c r="M652" s="2">
        <f>K652-L652</f>
        <v>455</v>
      </c>
      <c r="N652" s="2">
        <v>8274.5</v>
      </c>
      <c r="O652" s="2">
        <v>251</v>
      </c>
      <c r="P652" s="7">
        <f>grand[[#This Row],[total weight]]/grand[[#This Row],[received]]</f>
        <v>430.9375</v>
      </c>
      <c r="Q652" s="7">
        <f>grand[[#This Row],[receiving weight]]/grand[[#This Row],[received]]</f>
        <v>416.71875</v>
      </c>
      <c r="R652" s="7">
        <f>grand[[#This Row],[transportation loss ]]/grand[[#This Row],[received]]</f>
        <v>14.21875</v>
      </c>
      <c r="S652" s="7">
        <f>grand[[#This Row],[ carcass weight]]/grand[[#This Row],[received]]</f>
        <v>258.578125</v>
      </c>
      <c r="T652" s="7">
        <f>grand[[#This Row],[ kidneys fat quantity]]/grand[[#This Row],[received]]</f>
        <v>7.84375</v>
      </c>
      <c r="U652" s="15">
        <v>24</v>
      </c>
      <c r="V652" s="15">
        <v>0</v>
      </c>
      <c r="W652" s="15">
        <v>49.78125</v>
      </c>
      <c r="X652" s="15">
        <v>10</v>
      </c>
      <c r="Y652" s="8">
        <v>8.5</v>
      </c>
      <c r="Z652" s="20">
        <f>grand[[#This Row],[av. Transportation loss]]/grand[[#This Row],[av.total weight]]</f>
        <v>3.2994923857868022E-2</v>
      </c>
      <c r="AA652" s="12">
        <f>AVERAGE((grand[[#This Row],[am]]/25),(grand[[#This Row],[pm]]/50))</f>
        <v>0.97781249999999997</v>
      </c>
      <c r="AB652" s="12">
        <f>grand[[#This Row],[ carcass weight]]/grand[[#This Row],[total weight]]</f>
        <v>0.60003625815808559</v>
      </c>
      <c r="AC652" s="22">
        <f>SUM(grand[[#This Row],[am]:[meat transportation]])/100</f>
        <v>0.92281250000000004</v>
      </c>
      <c r="AD652" s="9" t="s">
        <v>97</v>
      </c>
      <c r="AJ652" s="1">
        <v>5</v>
      </c>
      <c r="AK652" s="20"/>
      <c r="AL652" s="1">
        <v>5</v>
      </c>
    </row>
    <row r="653" spans="1:38" hidden="1" x14ac:dyDescent="0.2">
      <c r="A653" s="11">
        <v>44861</v>
      </c>
      <c r="B653" s="53" t="s">
        <v>1725</v>
      </c>
      <c r="C653" s="52" t="str">
        <f>IF(MID(B653,4,2)="09","Ramadan",IF(AND(MID(B653,4,2)="12",VALUE(LEFT(B653,2))&lt;=9),"Adha Season","Normal"))</f>
        <v>Normal</v>
      </c>
      <c r="D653" s="2" t="s">
        <v>294</v>
      </c>
      <c r="F653" s="4" t="s">
        <v>280</v>
      </c>
      <c r="G653" s="1">
        <v>20</v>
      </c>
      <c r="H653" s="15">
        <v>20</v>
      </c>
      <c r="I653" s="1">
        <f>grand[[#This Row],[number]]-grand[[#This Row],[received]]</f>
        <v>0</v>
      </c>
      <c r="J653" s="30"/>
      <c r="K653" s="2">
        <v>921</v>
      </c>
      <c r="L653" s="2">
        <v>905</v>
      </c>
      <c r="M653" s="2">
        <f>K653-L653</f>
        <v>16</v>
      </c>
      <c r="N653" s="2">
        <v>535.5</v>
      </c>
      <c r="O653" s="2"/>
      <c r="P653" s="7">
        <f>grand[[#This Row],[total weight]]/grand[[#This Row],[received]]</f>
        <v>46.05</v>
      </c>
      <c r="Q653" s="7">
        <f>grand[[#This Row],[receiving weight]]/grand[[#This Row],[received]]</f>
        <v>45.25</v>
      </c>
      <c r="R653" s="7">
        <f>grand[[#This Row],[transportation loss ]]/grand[[#This Row],[received]]</f>
        <v>0.8</v>
      </c>
      <c r="S653" s="7">
        <f>grand[[#This Row],[ carcass weight]]/grand[[#This Row],[received]]</f>
        <v>26.774999999999999</v>
      </c>
      <c r="T653" s="7">
        <f>grand[[#This Row],[ kidneys fat quantity]]/grand[[#This Row],[received]]</f>
        <v>0</v>
      </c>
      <c r="U653" s="15">
        <v>25</v>
      </c>
      <c r="V653" s="15">
        <v>0</v>
      </c>
      <c r="W653" s="15">
        <v>48.65</v>
      </c>
      <c r="X653" s="15">
        <v>10</v>
      </c>
      <c r="Y653" s="8">
        <v>8.5</v>
      </c>
      <c r="Z653" s="20">
        <f>grand[[#This Row],[av. Transportation loss]]/grand[[#This Row],[av.total weight]]</f>
        <v>1.737242128121607E-2</v>
      </c>
      <c r="AA653" s="12">
        <f>AVERAGE((grand[[#This Row],[am]]/25),(grand[[#This Row],[pm]]/50))</f>
        <v>0.98649999999999993</v>
      </c>
      <c r="AB653" s="12">
        <f>grand[[#This Row],[ carcass weight]]/grand[[#This Row],[total weight]]</f>
        <v>0.58143322475570036</v>
      </c>
      <c r="AC653" s="22">
        <f>SUM(grand[[#This Row],[am]:[meat transportation]])/100</f>
        <v>0.9215000000000001</v>
      </c>
      <c r="AD653" s="9" t="s">
        <v>97</v>
      </c>
      <c r="AK653" s="20"/>
      <c r="AL653" s="1">
        <v>0</v>
      </c>
    </row>
    <row r="654" spans="1:38" hidden="1" x14ac:dyDescent="0.2">
      <c r="A654" s="11">
        <v>44864</v>
      </c>
      <c r="B654" s="53" t="s">
        <v>1727</v>
      </c>
      <c r="C654" s="52" t="str">
        <f>IF(MID(B654,4,2)="09","Ramadan",IF(AND(MID(B654,4,2)="12",VALUE(LEFT(B654,2))&lt;=9),"Adha Season","Normal"))</f>
        <v>Normal</v>
      </c>
      <c r="D654" s="1" t="s">
        <v>45</v>
      </c>
      <c r="E654" s="1" t="s">
        <v>482</v>
      </c>
      <c r="F654" s="4" t="s">
        <v>39</v>
      </c>
      <c r="G654" s="1">
        <v>51</v>
      </c>
      <c r="H654" s="15">
        <v>51</v>
      </c>
      <c r="I654" s="1">
        <f>grand[[#This Row],[number]]-grand[[#This Row],[received]]</f>
        <v>0</v>
      </c>
      <c r="J654" s="30"/>
      <c r="K654" s="2">
        <v>26547</v>
      </c>
      <c r="L654" s="2">
        <v>25015</v>
      </c>
      <c r="M654" s="2">
        <f>K654-L654</f>
        <v>1532</v>
      </c>
      <c r="N654" s="2">
        <v>16297.1</v>
      </c>
      <c r="O654" s="2">
        <v>210</v>
      </c>
      <c r="P654" s="7">
        <f>grand[[#This Row],[total weight]]/grand[[#This Row],[received]]</f>
        <v>520.52941176470586</v>
      </c>
      <c r="Q654" s="7">
        <f>grand[[#This Row],[receiving weight]]/grand[[#This Row],[received]]</f>
        <v>490.49019607843138</v>
      </c>
      <c r="R654" s="7">
        <f>grand[[#This Row],[transportation loss ]]/grand[[#This Row],[received]]</f>
        <v>30.03921568627451</v>
      </c>
      <c r="S654" s="7">
        <f>grand[[#This Row],[ carcass weight]]/grand[[#This Row],[received]]</f>
        <v>319.55098039215687</v>
      </c>
      <c r="T654" s="7">
        <f>grand[[#This Row],[ kidneys fat quantity]]/grand[[#This Row],[received]]</f>
        <v>4.117647058823529</v>
      </c>
      <c r="U654" s="15">
        <v>25</v>
      </c>
      <c r="V654" s="15">
        <v>0</v>
      </c>
      <c r="W654" s="15">
        <v>49.411764705882355</v>
      </c>
      <c r="X654" s="15">
        <v>10</v>
      </c>
      <c r="Y654" s="8">
        <v>8.5</v>
      </c>
      <c r="Z654" s="20">
        <f>grand[[#This Row],[av. Transportation loss]]/grand[[#This Row],[av.total weight]]</f>
        <v>5.7708968998380232E-2</v>
      </c>
      <c r="AA654" s="12">
        <f>AVERAGE((grand[[#This Row],[am]]/25),(grand[[#This Row],[pm]]/50))</f>
        <v>0.99411764705882355</v>
      </c>
      <c r="AB654" s="12">
        <f>grand[[#This Row],[ carcass weight]]/grand[[#This Row],[total weight]]</f>
        <v>0.61389610878818701</v>
      </c>
      <c r="AC654" s="22">
        <f>SUM(grand[[#This Row],[am]:[meat transportation]])/100</f>
        <v>0.92911764705882349</v>
      </c>
      <c r="AD654" s="9" t="s">
        <v>480</v>
      </c>
      <c r="AK654" s="20"/>
      <c r="AL654" s="1">
        <v>10</v>
      </c>
    </row>
    <row r="655" spans="1:38" hidden="1" x14ac:dyDescent="0.2">
      <c r="A655" s="11">
        <v>44868</v>
      </c>
      <c r="B655" s="53" t="s">
        <v>1729</v>
      </c>
      <c r="C655" s="52" t="str">
        <f>IF(MID(B655,4,2)="09","Ramadan",IF(AND(MID(B655,4,2)="12",VALUE(LEFT(B655,2))&lt;=9),"Adha Season","Normal"))</f>
        <v>Normal</v>
      </c>
      <c r="D655" s="2" t="s">
        <v>294</v>
      </c>
      <c r="F655" s="4" t="s">
        <v>280</v>
      </c>
      <c r="G655" s="1">
        <v>23</v>
      </c>
      <c r="H655" s="15">
        <v>23</v>
      </c>
      <c r="I655" s="1">
        <f>grand[[#This Row],[number]]-grand[[#This Row],[received]]</f>
        <v>0</v>
      </c>
      <c r="J655" s="30"/>
      <c r="K655" s="2">
        <v>1146</v>
      </c>
      <c r="L655" s="2">
        <v>1100</v>
      </c>
      <c r="M655" s="2">
        <f>K655-L655</f>
        <v>46</v>
      </c>
      <c r="N655" s="2">
        <v>673</v>
      </c>
      <c r="O655" s="2"/>
      <c r="P655" s="7">
        <f>grand[[#This Row],[total weight]]/grand[[#This Row],[received]]</f>
        <v>49.826086956521742</v>
      </c>
      <c r="Q655" s="7">
        <f>grand[[#This Row],[receiving weight]]/grand[[#This Row],[received]]</f>
        <v>47.826086956521742</v>
      </c>
      <c r="R655" s="7">
        <f>grand[[#This Row],[transportation loss ]]/grand[[#This Row],[received]]</f>
        <v>2</v>
      </c>
      <c r="S655" s="7">
        <f>grand[[#This Row],[ carcass weight]]/grand[[#This Row],[received]]</f>
        <v>29.260869565217391</v>
      </c>
      <c r="T655" s="7">
        <f>grand[[#This Row],[ kidneys fat quantity]]/grand[[#This Row],[received]]</f>
        <v>0</v>
      </c>
      <c r="U655" s="15">
        <v>25</v>
      </c>
      <c r="V655" s="15">
        <v>0</v>
      </c>
      <c r="W655" s="15">
        <v>50</v>
      </c>
      <c r="X655" s="15">
        <v>10</v>
      </c>
      <c r="Y655" s="8">
        <v>8.5</v>
      </c>
      <c r="Z655" s="20">
        <f>grand[[#This Row],[av. Transportation loss]]/grand[[#This Row],[av.total weight]]</f>
        <v>4.0139616055846421E-2</v>
      </c>
      <c r="AA655" s="12">
        <f>AVERAGE((grand[[#This Row],[am]]/25),(grand[[#This Row],[pm]]/50))</f>
        <v>1</v>
      </c>
      <c r="AB655" s="12">
        <f>grand[[#This Row],[ carcass weight]]/grand[[#This Row],[total weight]]</f>
        <v>0.58726003490401402</v>
      </c>
      <c r="AC655" s="22">
        <f>SUM(grand[[#This Row],[am]:[meat transportation]])/100</f>
        <v>0.93500000000000005</v>
      </c>
      <c r="AD655" s="2"/>
      <c r="AJ655" s="1">
        <v>0</v>
      </c>
      <c r="AK655" s="20"/>
      <c r="AL655" s="1">
        <v>1.5</v>
      </c>
    </row>
    <row r="656" spans="1:38" hidden="1" x14ac:dyDescent="0.2">
      <c r="A656" s="11">
        <v>44871</v>
      </c>
      <c r="B656" s="53" t="s">
        <v>1731</v>
      </c>
      <c r="C656" s="52" t="str">
        <f>IF(MID(B656,4,2)="09","Ramadan",IF(AND(MID(B656,4,2)="12",VALUE(LEFT(B656,2))&lt;=9),"Adha Season","Normal"))</f>
        <v>Normal</v>
      </c>
      <c r="D656" s="1" t="s">
        <v>45</v>
      </c>
      <c r="F656" s="4" t="s">
        <v>280</v>
      </c>
      <c r="G656" s="1">
        <v>55</v>
      </c>
      <c r="H656" s="15">
        <v>55</v>
      </c>
      <c r="I656" s="1">
        <f>grand[[#This Row],[number]]-grand[[#This Row],[received]]</f>
        <v>0</v>
      </c>
      <c r="J656" s="30"/>
      <c r="K656" s="2">
        <v>24502</v>
      </c>
      <c r="L656" s="2">
        <v>23591</v>
      </c>
      <c r="M656" s="2">
        <f>K656-L656</f>
        <v>911</v>
      </c>
      <c r="N656" s="2">
        <v>14700.5</v>
      </c>
      <c r="O656" s="2">
        <v>460</v>
      </c>
      <c r="P656" s="7">
        <f>grand[[#This Row],[total weight]]/grand[[#This Row],[received]]</f>
        <v>445.4909090909091</v>
      </c>
      <c r="Q656" s="7">
        <f>grand[[#This Row],[receiving weight]]/grand[[#This Row],[received]]</f>
        <v>428.92727272727274</v>
      </c>
      <c r="R656" s="7">
        <f>grand[[#This Row],[transportation loss ]]/grand[[#This Row],[received]]</f>
        <v>16.563636363636363</v>
      </c>
      <c r="S656" s="7">
        <f>grand[[#This Row],[ carcass weight]]/grand[[#This Row],[received]]</f>
        <v>267.28181818181821</v>
      </c>
      <c r="T656" s="7">
        <f>grand[[#This Row],[ kidneys fat quantity]]/grand[[#This Row],[received]]</f>
        <v>8.3636363636363633</v>
      </c>
      <c r="U656" s="15">
        <v>25</v>
      </c>
      <c r="V656" s="15">
        <v>0</v>
      </c>
      <c r="W656" s="15">
        <v>49.345454545454544</v>
      </c>
      <c r="X656" s="15">
        <v>9.9090909090909101</v>
      </c>
      <c r="Y656" s="8">
        <v>8.5</v>
      </c>
      <c r="Z656" s="20">
        <f>grand[[#This Row],[av. Transportation loss]]/grand[[#This Row],[av.total weight]]</f>
        <v>3.7180638315239573E-2</v>
      </c>
      <c r="AA656" s="12">
        <f>AVERAGE((grand[[#This Row],[am]]/25),(grand[[#This Row],[pm]]/50))</f>
        <v>0.99345454545454537</v>
      </c>
      <c r="AB656" s="12">
        <f>grand[[#This Row],[ carcass weight]]/grand[[#This Row],[total weight]]</f>
        <v>0.59997143090359972</v>
      </c>
      <c r="AC656" s="22">
        <f>SUM(grand[[#This Row],[am]:[meat transportation]])/100</f>
        <v>0.92754545454545445</v>
      </c>
      <c r="AD656" s="2" t="s">
        <v>495</v>
      </c>
      <c r="AJ656" s="1">
        <v>18</v>
      </c>
      <c r="AK656" s="20"/>
      <c r="AL656" s="1">
        <v>9</v>
      </c>
    </row>
    <row r="657" spans="1:38" hidden="1" x14ac:dyDescent="0.2">
      <c r="A657" s="11">
        <v>44874</v>
      </c>
      <c r="B657" s="53" t="s">
        <v>1733</v>
      </c>
      <c r="C657" s="52" t="str">
        <f>IF(MID(B657,4,2)="09","Ramadan",IF(AND(MID(B657,4,2)="12",VALUE(LEFT(B657,2))&lt;=9),"Adha Season","Normal"))</f>
        <v>Normal</v>
      </c>
      <c r="D657" s="1" t="s">
        <v>45</v>
      </c>
      <c r="F657" s="4" t="s">
        <v>43</v>
      </c>
      <c r="G657" s="1">
        <v>26</v>
      </c>
      <c r="H657" s="15">
        <v>26</v>
      </c>
      <c r="I657" s="1">
        <f>grand[[#This Row],[number]]-grand[[#This Row],[received]]</f>
        <v>0</v>
      </c>
      <c r="J657" s="30"/>
      <c r="K657" s="2">
        <v>12453</v>
      </c>
      <c r="L657" s="2">
        <v>11870</v>
      </c>
      <c r="M657" s="2">
        <f>K657-L657</f>
        <v>583</v>
      </c>
      <c r="N657" s="2">
        <v>7471.5</v>
      </c>
      <c r="O657" s="2">
        <v>244</v>
      </c>
      <c r="P657" s="7">
        <f>grand[[#This Row],[total weight]]/grand[[#This Row],[received]]</f>
        <v>478.96153846153845</v>
      </c>
      <c r="Q657" s="7">
        <f>grand[[#This Row],[receiving weight]]/grand[[#This Row],[received]]</f>
        <v>456.53846153846155</v>
      </c>
      <c r="R657" s="7">
        <f>grand[[#This Row],[transportation loss ]]/grand[[#This Row],[received]]</f>
        <v>22.423076923076923</v>
      </c>
      <c r="S657" s="7">
        <f>grand[[#This Row],[ carcass weight]]/grand[[#This Row],[received]]</f>
        <v>287.36538461538464</v>
      </c>
      <c r="T657" s="7">
        <f>grand[[#This Row],[ kidneys fat quantity]]/grand[[#This Row],[received]]</f>
        <v>9.384615384615385</v>
      </c>
      <c r="U657" s="15">
        <v>20</v>
      </c>
      <c r="V657" s="15">
        <v>0</v>
      </c>
      <c r="W657" s="15">
        <v>47.230769230769226</v>
      </c>
      <c r="X657" s="15">
        <v>10</v>
      </c>
      <c r="Y657" s="8">
        <v>8.5</v>
      </c>
      <c r="Z657" s="20">
        <f>grand[[#This Row],[av. Transportation loss]]/grand[[#This Row],[av.total weight]]</f>
        <v>4.6816028266281222E-2</v>
      </c>
      <c r="AA657" s="12">
        <f>AVERAGE((grand[[#This Row],[am]]/25),(grand[[#This Row],[pm]]/50))</f>
        <v>0.87230769230769223</v>
      </c>
      <c r="AB657" s="12">
        <f>grand[[#This Row],[ carcass weight]]/grand[[#This Row],[total weight]]</f>
        <v>0.59997590941941703</v>
      </c>
      <c r="AC657" s="22">
        <f>SUM(grand[[#This Row],[am]:[meat transportation]])/100</f>
        <v>0.85730769230769222</v>
      </c>
      <c r="AD657" s="9" t="s">
        <v>496</v>
      </c>
      <c r="AJ657" s="1">
        <v>14</v>
      </c>
      <c r="AK657" s="20"/>
      <c r="AL657" s="1">
        <v>15</v>
      </c>
    </row>
    <row r="658" spans="1:38" hidden="1" x14ac:dyDescent="0.2">
      <c r="A658" s="11">
        <v>44877</v>
      </c>
      <c r="B658" s="53" t="s">
        <v>1735</v>
      </c>
      <c r="C658" s="52" t="str">
        <f>IF(MID(B658,4,2)="09","Ramadan",IF(AND(MID(B658,4,2)="12",VALUE(LEFT(B658,2))&lt;=9),"Adha Season","Normal"))</f>
        <v>Normal</v>
      </c>
      <c r="D658" s="1" t="s">
        <v>45</v>
      </c>
      <c r="F658" s="4" t="s">
        <v>280</v>
      </c>
      <c r="G658" s="1">
        <v>21</v>
      </c>
      <c r="H658" s="15">
        <v>21</v>
      </c>
      <c r="I658" s="1">
        <f>grand[[#This Row],[number]]-grand[[#This Row],[received]]</f>
        <v>0</v>
      </c>
      <c r="J658" s="30"/>
      <c r="K658" s="2">
        <v>9865</v>
      </c>
      <c r="L658" s="2">
        <v>9585</v>
      </c>
      <c r="M658" s="2">
        <f>K658-L658</f>
        <v>280</v>
      </c>
      <c r="N658" s="2">
        <v>5958</v>
      </c>
      <c r="O658" s="2">
        <v>186</v>
      </c>
      <c r="P658" s="7">
        <f>grand[[#This Row],[total weight]]/grand[[#This Row],[received]]</f>
        <v>469.76190476190476</v>
      </c>
      <c r="Q658" s="7">
        <f>grand[[#This Row],[receiving weight]]/grand[[#This Row],[received]]</f>
        <v>456.42857142857144</v>
      </c>
      <c r="R658" s="7">
        <f>grand[[#This Row],[transportation loss ]]/grand[[#This Row],[received]]</f>
        <v>13.333333333333334</v>
      </c>
      <c r="S658" s="7">
        <f>grand[[#This Row],[ carcass weight]]/grand[[#This Row],[received]]</f>
        <v>283.71428571428572</v>
      </c>
      <c r="T658" s="7">
        <f>grand[[#This Row],[ kidneys fat quantity]]/grand[[#This Row],[received]]</f>
        <v>8.8571428571428577</v>
      </c>
      <c r="U658" s="15">
        <v>25</v>
      </c>
      <c r="V658" s="15">
        <v>0</v>
      </c>
      <c r="W658" s="15">
        <v>48.857142857142854</v>
      </c>
      <c r="X658" s="15">
        <v>10</v>
      </c>
      <c r="Y658" s="8">
        <v>8.5</v>
      </c>
      <c r="Z658" s="20">
        <f>grand[[#This Row],[av. Transportation loss]]/grand[[#This Row],[av.total weight]]</f>
        <v>2.838317283324886E-2</v>
      </c>
      <c r="AA658" s="12">
        <f>AVERAGE((grand[[#This Row],[am]]/25),(grand[[#This Row],[pm]]/50))</f>
        <v>0.98857142857142855</v>
      </c>
      <c r="AB658" s="12">
        <f>grand[[#This Row],[ carcass weight]]/grand[[#This Row],[total weight]]</f>
        <v>0.603953370501774</v>
      </c>
      <c r="AC658" s="22">
        <f>SUM(grand[[#This Row],[am]:[meat transportation]])/100</f>
        <v>0.9235714285714286</v>
      </c>
      <c r="AD658" s="9" t="s">
        <v>97</v>
      </c>
      <c r="AJ658" s="1">
        <v>12</v>
      </c>
      <c r="AK658" s="20"/>
      <c r="AL658" s="1">
        <v>10</v>
      </c>
    </row>
    <row r="659" spans="1:38" hidden="1" x14ac:dyDescent="0.2">
      <c r="A659" s="11">
        <v>44878</v>
      </c>
      <c r="B659" s="53" t="s">
        <v>1736</v>
      </c>
      <c r="C659" s="52" t="str">
        <f>IF(MID(B659,4,2)="09","Ramadan",IF(AND(MID(B659,4,2)="12",VALUE(LEFT(B659,2))&lt;=9),"Adha Season","Normal"))</f>
        <v>Normal</v>
      </c>
      <c r="D659" s="2" t="s">
        <v>294</v>
      </c>
      <c r="F659" s="4" t="s">
        <v>35</v>
      </c>
      <c r="G659" s="1">
        <v>20</v>
      </c>
      <c r="H659" s="15">
        <v>20</v>
      </c>
      <c r="I659" s="1">
        <f>grand[[#This Row],[number]]-grand[[#This Row],[received]]</f>
        <v>0</v>
      </c>
      <c r="J659" s="30"/>
      <c r="K659" s="2">
        <v>1111</v>
      </c>
      <c r="L659" s="2">
        <v>1079</v>
      </c>
      <c r="M659" s="2">
        <f>K659-L659</f>
        <v>32</v>
      </c>
      <c r="N659" s="2">
        <v>646</v>
      </c>
      <c r="O659" s="2"/>
      <c r="P659" s="7">
        <f>grand[[#This Row],[total weight]]/grand[[#This Row],[received]]</f>
        <v>55.55</v>
      </c>
      <c r="Q659" s="7">
        <f>grand[[#This Row],[receiving weight]]/grand[[#This Row],[received]]</f>
        <v>53.95</v>
      </c>
      <c r="R659" s="7">
        <f>grand[[#This Row],[transportation loss ]]/grand[[#This Row],[received]]</f>
        <v>1.6</v>
      </c>
      <c r="S659" s="7">
        <f>grand[[#This Row],[ carcass weight]]/grand[[#This Row],[received]]</f>
        <v>32.299999999999997</v>
      </c>
      <c r="T659" s="7">
        <f>grand[[#This Row],[ kidneys fat quantity]]/grand[[#This Row],[received]]</f>
        <v>0</v>
      </c>
      <c r="U659" s="15">
        <v>25</v>
      </c>
      <c r="V659" s="15">
        <v>0</v>
      </c>
      <c r="W659" s="15">
        <v>46.913043478260867</v>
      </c>
      <c r="X659" s="15">
        <v>10</v>
      </c>
      <c r="Y659" s="8">
        <v>8.5</v>
      </c>
      <c r="Z659" s="20">
        <f>grand[[#This Row],[av. Transportation loss]]/grand[[#This Row],[av.total weight]]</f>
        <v>2.8802880288028805E-2</v>
      </c>
      <c r="AA659" s="12">
        <f>AVERAGE((grand[[#This Row],[am]]/25),(grand[[#This Row],[pm]]/50))</f>
        <v>0.96913043478260863</v>
      </c>
      <c r="AB659" s="12">
        <f>grand[[#This Row],[ carcass weight]]/grand[[#This Row],[total weight]]</f>
        <v>0.58145814581458144</v>
      </c>
      <c r="AC659" s="22">
        <f>SUM(grand[[#This Row],[am]:[meat transportation]])/100</f>
        <v>0.90413043478260879</v>
      </c>
      <c r="AD659" s="9" t="s">
        <v>498</v>
      </c>
      <c r="AJ659" s="1">
        <v>0</v>
      </c>
      <c r="AK659" s="20"/>
      <c r="AL659" s="1">
        <v>9</v>
      </c>
    </row>
    <row r="660" spans="1:38" hidden="1" x14ac:dyDescent="0.2">
      <c r="A660" s="11">
        <v>44878</v>
      </c>
      <c r="B660" s="53" t="s">
        <v>1736</v>
      </c>
      <c r="C660" s="52" t="str">
        <f>IF(MID(B660,4,2)="09","Ramadan",IF(AND(MID(B660,4,2)="12",VALUE(LEFT(B660,2))&lt;=9),"Adha Season","Normal"))</f>
        <v>Normal</v>
      </c>
      <c r="D660" s="1" t="s">
        <v>45</v>
      </c>
      <c r="F660" s="4" t="s">
        <v>280</v>
      </c>
      <c r="G660" s="1">
        <v>42</v>
      </c>
      <c r="H660" s="15">
        <v>42</v>
      </c>
      <c r="I660" s="1">
        <f>grand[[#This Row],[number]]-grand[[#This Row],[received]]</f>
        <v>0</v>
      </c>
      <c r="J660" s="30"/>
      <c r="K660" s="2">
        <v>21000</v>
      </c>
      <c r="L660" s="2">
        <v>20550</v>
      </c>
      <c r="M660" s="2">
        <f>K660-L660</f>
        <v>450</v>
      </c>
      <c r="N660" s="2">
        <v>12891.2</v>
      </c>
      <c r="O660" s="2">
        <v>510</v>
      </c>
      <c r="P660" s="7">
        <f>grand[[#This Row],[total weight]]/grand[[#This Row],[received]]</f>
        <v>500</v>
      </c>
      <c r="Q660" s="7">
        <f>grand[[#This Row],[receiving weight]]/grand[[#This Row],[received]]</f>
        <v>489.28571428571428</v>
      </c>
      <c r="R660" s="7">
        <f>grand[[#This Row],[transportation loss ]]/grand[[#This Row],[received]]</f>
        <v>10.714285714285714</v>
      </c>
      <c r="S660" s="7">
        <f>grand[[#This Row],[ carcass weight]]/grand[[#This Row],[received]]</f>
        <v>306.93333333333334</v>
      </c>
      <c r="T660" s="7">
        <f>grand[[#This Row],[ kidneys fat quantity]]/grand[[#This Row],[received]]</f>
        <v>12.142857142857142</v>
      </c>
      <c r="U660" s="15">
        <v>25</v>
      </c>
      <c r="V660" s="15">
        <v>0</v>
      </c>
      <c r="W660" s="15">
        <v>49.69047619047619</v>
      </c>
      <c r="X660" s="15">
        <v>10</v>
      </c>
      <c r="Y660" s="8">
        <v>8.5</v>
      </c>
      <c r="Z660" s="20">
        <f>grand[[#This Row],[av. Transportation loss]]/grand[[#This Row],[av.total weight]]</f>
        <v>2.1428571428571429E-2</v>
      </c>
      <c r="AA660" s="12">
        <f>AVERAGE((grand[[#This Row],[am]]/25),(grand[[#This Row],[pm]]/50))</f>
        <v>0.99690476190476196</v>
      </c>
      <c r="AB660" s="12">
        <f>grand[[#This Row],[ carcass weight]]/grand[[#This Row],[total weight]]</f>
        <v>0.61386666666666667</v>
      </c>
      <c r="AC660" s="22">
        <f>SUM(grand[[#This Row],[am]:[meat transportation]])/100</f>
        <v>0.9319047619047619</v>
      </c>
      <c r="AD660" s="9" t="s">
        <v>427</v>
      </c>
      <c r="AJ660" s="1">
        <v>14</v>
      </c>
      <c r="AK660" s="20"/>
      <c r="AL660" s="1">
        <v>5</v>
      </c>
    </row>
    <row r="661" spans="1:38" hidden="1" x14ac:dyDescent="0.2">
      <c r="A661" s="11">
        <v>44882</v>
      </c>
      <c r="B661" s="53" t="s">
        <v>1738</v>
      </c>
      <c r="C661" s="52" t="str">
        <f>IF(MID(B661,4,2)="09","Ramadan",IF(AND(MID(B661,4,2)="12",VALUE(LEFT(B661,2))&lt;=9),"Adha Season","Normal"))</f>
        <v>Normal</v>
      </c>
      <c r="D661" s="2" t="s">
        <v>294</v>
      </c>
      <c r="F661" s="4" t="s">
        <v>46</v>
      </c>
      <c r="G661" s="1">
        <v>21</v>
      </c>
      <c r="H661" s="15">
        <v>21</v>
      </c>
      <c r="I661" s="1">
        <f>grand[[#This Row],[number]]-grand[[#This Row],[received]]</f>
        <v>0</v>
      </c>
      <c r="J661" s="30"/>
      <c r="K661" s="2">
        <v>1182</v>
      </c>
      <c r="L661" s="2">
        <v>1135</v>
      </c>
      <c r="M661" s="2">
        <f>K661-L661</f>
        <v>47</v>
      </c>
      <c r="N661" s="2">
        <v>664</v>
      </c>
      <c r="O661" s="2"/>
      <c r="P661" s="7">
        <f>grand[[#This Row],[total weight]]/grand[[#This Row],[received]]</f>
        <v>56.285714285714285</v>
      </c>
      <c r="Q661" s="7">
        <f>grand[[#This Row],[receiving weight]]/grand[[#This Row],[received]]</f>
        <v>54.047619047619051</v>
      </c>
      <c r="R661" s="7">
        <f>grand[[#This Row],[transportation loss ]]/grand[[#This Row],[received]]</f>
        <v>2.2380952380952381</v>
      </c>
      <c r="S661" s="7">
        <f>grand[[#This Row],[ carcass weight]]/grand[[#This Row],[received]]</f>
        <v>31.61904761904762</v>
      </c>
      <c r="T661" s="7">
        <f>grand[[#This Row],[ kidneys fat quantity]]/grand[[#This Row],[received]]</f>
        <v>0</v>
      </c>
      <c r="U661" s="15">
        <v>25</v>
      </c>
      <c r="V661" s="15">
        <v>0</v>
      </c>
      <c r="W661" s="15">
        <v>49.428571428571431</v>
      </c>
      <c r="X661" s="15">
        <v>10</v>
      </c>
      <c r="Y661" s="8">
        <v>8.5</v>
      </c>
      <c r="Z661" s="20">
        <f>grand[[#This Row],[av. Transportation loss]]/grand[[#This Row],[av.total weight]]</f>
        <v>3.976311336717428E-2</v>
      </c>
      <c r="AA661" s="12">
        <f>AVERAGE((grand[[#This Row],[am]]/25),(grand[[#This Row],[pm]]/50))</f>
        <v>0.99428571428571433</v>
      </c>
      <c r="AB661" s="12">
        <f>grand[[#This Row],[ carcass weight]]/grand[[#This Row],[total weight]]</f>
        <v>0.56175972927241957</v>
      </c>
      <c r="AC661" s="22">
        <f>SUM(grand[[#This Row],[am]:[meat transportation]])/100</f>
        <v>0.92928571428571427</v>
      </c>
      <c r="AD661" s="2"/>
      <c r="AJ661" s="1">
        <v>0</v>
      </c>
      <c r="AK661" s="20"/>
      <c r="AL661" s="1">
        <v>3</v>
      </c>
    </row>
    <row r="662" spans="1:38" hidden="1" x14ac:dyDescent="0.2">
      <c r="A662" s="11">
        <v>44884</v>
      </c>
      <c r="B662" s="53" t="s">
        <v>1739</v>
      </c>
      <c r="C662" s="52" t="str">
        <f>IF(MID(B662,4,2)="09","Ramadan",IF(AND(MID(B662,4,2)="12",VALUE(LEFT(B662,2))&lt;=9),"Adha Season","Normal"))</f>
        <v>Normal</v>
      </c>
      <c r="D662" s="1" t="s">
        <v>45</v>
      </c>
      <c r="F662" s="4" t="s">
        <v>39</v>
      </c>
      <c r="G662" s="1">
        <v>27</v>
      </c>
      <c r="H662" s="15">
        <v>27</v>
      </c>
      <c r="I662" s="1">
        <f>grand[[#This Row],[number]]-grand[[#This Row],[received]]</f>
        <v>0</v>
      </c>
      <c r="J662" s="30"/>
      <c r="K662" s="2">
        <v>14770</v>
      </c>
      <c r="L662" s="2">
        <v>14110</v>
      </c>
      <c r="M662" s="2">
        <f>K662-L662</f>
        <v>660</v>
      </c>
      <c r="N662" s="2">
        <v>9242.5</v>
      </c>
      <c r="O662" s="2">
        <v>151</v>
      </c>
      <c r="P662" s="7">
        <f>grand[[#This Row],[total weight]]/grand[[#This Row],[received]]</f>
        <v>547.03703703703707</v>
      </c>
      <c r="Q662" s="7">
        <f>grand[[#This Row],[receiving weight]]/grand[[#This Row],[received]]</f>
        <v>522.59259259259261</v>
      </c>
      <c r="R662" s="7">
        <f>grand[[#This Row],[transportation loss ]]/grand[[#This Row],[received]]</f>
        <v>24.444444444444443</v>
      </c>
      <c r="S662" s="7">
        <f>grand[[#This Row],[ carcass weight]]/grand[[#This Row],[received]]</f>
        <v>342.31481481481484</v>
      </c>
      <c r="T662" s="7">
        <f>grand[[#This Row],[ kidneys fat quantity]]/grand[[#This Row],[received]]</f>
        <v>5.5925925925925926</v>
      </c>
      <c r="U662" s="15">
        <v>25</v>
      </c>
      <c r="V662" s="15">
        <v>0</v>
      </c>
      <c r="W662" s="15">
        <v>49.370370370370367</v>
      </c>
      <c r="X662" s="15">
        <v>10</v>
      </c>
      <c r="Y662" s="8">
        <v>8.5</v>
      </c>
      <c r="Z662" s="20">
        <f>grand[[#This Row],[av. Transportation loss]]/grand[[#This Row],[av.total weight]]</f>
        <v>4.4685172647257951E-2</v>
      </c>
      <c r="AA662" s="12">
        <f>AVERAGE((grand[[#This Row],[am]]/25),(grand[[#This Row],[pm]]/50))</f>
        <v>0.99370370370370364</v>
      </c>
      <c r="AB662" s="12">
        <f>grand[[#This Row],[ carcass weight]]/grand[[#This Row],[total weight]]</f>
        <v>0.62576167907921465</v>
      </c>
      <c r="AC662" s="22">
        <f>SUM(grand[[#This Row],[am]:[meat transportation]])/100</f>
        <v>0.9287037037037037</v>
      </c>
      <c r="AD662" s="9" t="s">
        <v>499</v>
      </c>
      <c r="AJ662" s="1">
        <v>0</v>
      </c>
      <c r="AK662" s="20"/>
      <c r="AL662" s="1">
        <v>15</v>
      </c>
    </row>
    <row r="663" spans="1:38" hidden="1" x14ac:dyDescent="0.2">
      <c r="A663" s="11">
        <v>44885</v>
      </c>
      <c r="B663" s="53" t="s">
        <v>1740</v>
      </c>
      <c r="C663" s="52" t="str">
        <f>IF(MID(B663,4,2)="09","Ramadan",IF(AND(MID(B663,4,2)="12",VALUE(LEFT(B663,2))&lt;=9),"Adha Season","Normal"))</f>
        <v>Normal</v>
      </c>
      <c r="D663" s="1" t="s">
        <v>45</v>
      </c>
      <c r="F663" s="4" t="s">
        <v>280</v>
      </c>
      <c r="G663" s="1">
        <v>48</v>
      </c>
      <c r="H663" s="15">
        <v>48</v>
      </c>
      <c r="I663" s="1">
        <f>grand[[#This Row],[number]]-grand[[#This Row],[received]]</f>
        <v>0</v>
      </c>
      <c r="J663" s="30"/>
      <c r="K663" s="2">
        <v>23500</v>
      </c>
      <c r="L663" s="2">
        <v>22775</v>
      </c>
      <c r="M663" s="2">
        <f>K663-L663</f>
        <v>725</v>
      </c>
      <c r="N663" s="2">
        <v>14154.5</v>
      </c>
      <c r="O663" s="2">
        <v>492</v>
      </c>
      <c r="P663" s="7">
        <f>grand[[#This Row],[total weight]]/grand[[#This Row],[received]]</f>
        <v>489.58333333333331</v>
      </c>
      <c r="Q663" s="7">
        <f>grand[[#This Row],[receiving weight]]/grand[[#This Row],[received]]</f>
        <v>474.47916666666669</v>
      </c>
      <c r="R663" s="7">
        <f>grand[[#This Row],[transportation loss ]]/grand[[#This Row],[received]]</f>
        <v>15.104166666666666</v>
      </c>
      <c r="S663" s="7">
        <f>grand[[#This Row],[ carcass weight]]/grand[[#This Row],[received]]</f>
        <v>294.88541666666669</v>
      </c>
      <c r="T663" s="7">
        <f>grand[[#This Row],[ kidneys fat quantity]]/grand[[#This Row],[received]]</f>
        <v>10.25</v>
      </c>
      <c r="U663" s="15">
        <v>25</v>
      </c>
      <c r="V663" s="15">
        <v>0</v>
      </c>
      <c r="W663" s="15">
        <v>49.214285714285715</v>
      </c>
      <c r="X663" s="15">
        <v>10</v>
      </c>
      <c r="Y663" s="8">
        <v>8.5</v>
      </c>
      <c r="Z663" s="20">
        <f>grand[[#This Row],[av. Transportation loss]]/grand[[#This Row],[av.total weight]]</f>
        <v>3.0851063829787233E-2</v>
      </c>
      <c r="AA663" s="12">
        <f>AVERAGE((grand[[#This Row],[am]]/25),(grand[[#This Row],[pm]]/50))</f>
        <v>0.99214285714285722</v>
      </c>
      <c r="AB663" s="12">
        <f>grand[[#This Row],[ carcass weight]]/grand[[#This Row],[total weight]]</f>
        <v>0.60231914893617022</v>
      </c>
      <c r="AC663" s="22">
        <f>SUM(grand[[#This Row],[am]:[meat transportation]])/100</f>
        <v>0.92714285714285727</v>
      </c>
      <c r="AD663" s="9" t="s">
        <v>500</v>
      </c>
      <c r="AJ663" s="1">
        <v>21</v>
      </c>
      <c r="AK663" s="20"/>
      <c r="AL663" s="1">
        <v>15</v>
      </c>
    </row>
    <row r="664" spans="1:38" hidden="1" x14ac:dyDescent="0.2">
      <c r="A664" s="11">
        <v>44889</v>
      </c>
      <c r="B664" s="53" t="s">
        <v>1742</v>
      </c>
      <c r="C664" s="52" t="str">
        <f>IF(MID(B664,4,2)="09","Ramadan",IF(AND(MID(B664,4,2)="12",VALUE(LEFT(B664,2))&lt;=9),"Adha Season","Normal"))</f>
        <v>Normal</v>
      </c>
      <c r="D664" s="2" t="s">
        <v>294</v>
      </c>
      <c r="F664" s="4" t="s">
        <v>46</v>
      </c>
      <c r="G664" s="1">
        <v>21</v>
      </c>
      <c r="H664" s="15">
        <v>21</v>
      </c>
      <c r="I664" s="1">
        <f>grand[[#This Row],[number]]-grand[[#This Row],[received]]</f>
        <v>0</v>
      </c>
      <c r="J664" s="30"/>
      <c r="K664" s="2">
        <v>1276.5</v>
      </c>
      <c r="L664" s="2">
        <v>1230</v>
      </c>
      <c r="M664" s="2">
        <f>K664-L664</f>
        <v>46.5</v>
      </c>
      <c r="N664" s="2">
        <v>712</v>
      </c>
      <c r="O664" s="2"/>
      <c r="P664" s="7">
        <f>grand[[#This Row],[total weight]]/grand[[#This Row],[received]]</f>
        <v>60.785714285714285</v>
      </c>
      <c r="Q664" s="7">
        <f>grand[[#This Row],[receiving weight]]/grand[[#This Row],[received]]</f>
        <v>58.571428571428569</v>
      </c>
      <c r="R664" s="7">
        <f>grand[[#This Row],[transportation loss ]]/grand[[#This Row],[received]]</f>
        <v>2.2142857142857144</v>
      </c>
      <c r="S664" s="7">
        <f>grand[[#This Row],[ carcass weight]]/grand[[#This Row],[received]]</f>
        <v>33.904761904761905</v>
      </c>
      <c r="T664" s="7">
        <f>grand[[#This Row],[ kidneys fat quantity]]/grand[[#This Row],[received]]</f>
        <v>0</v>
      </c>
      <c r="U664" s="15">
        <v>25</v>
      </c>
      <c r="V664" s="15">
        <v>0</v>
      </c>
      <c r="W664" s="15">
        <v>49.36363636363636</v>
      </c>
      <c r="X664" s="15">
        <v>10</v>
      </c>
      <c r="Y664" s="8">
        <v>8.5</v>
      </c>
      <c r="Z664" s="20">
        <f>grand[[#This Row],[av. Transportation loss]]/grand[[#This Row],[av.total weight]]</f>
        <v>3.6427732079905996E-2</v>
      </c>
      <c r="AA664" s="12">
        <f>AVERAGE((grand[[#This Row],[am]]/25),(grand[[#This Row],[pm]]/50))</f>
        <v>0.99363636363636365</v>
      </c>
      <c r="AB664" s="12">
        <f>grand[[#This Row],[ carcass weight]]/grand[[#This Row],[total weight]]</f>
        <v>0.5577751664708186</v>
      </c>
      <c r="AC664" s="22">
        <f>SUM(grand[[#This Row],[am]:[meat transportation]])/100</f>
        <v>0.92863636363636359</v>
      </c>
      <c r="AD664" s="9" t="s">
        <v>503</v>
      </c>
      <c r="AJ664" s="1">
        <v>0</v>
      </c>
      <c r="AK664" s="20"/>
      <c r="AL664" s="1">
        <v>0</v>
      </c>
    </row>
    <row r="665" spans="1:38" hidden="1" x14ac:dyDescent="0.2">
      <c r="A665" s="11">
        <v>44891</v>
      </c>
      <c r="B665" s="53" t="s">
        <v>1743</v>
      </c>
      <c r="C665" s="52" t="str">
        <f>IF(MID(B665,4,2)="09","Ramadan",IF(AND(MID(B665,4,2)="12",VALUE(LEFT(B665,2))&lt;=9),"Adha Season","Normal"))</f>
        <v>Normal</v>
      </c>
      <c r="D665" s="1" t="s">
        <v>45</v>
      </c>
      <c r="F665" s="4" t="s">
        <v>43</v>
      </c>
      <c r="G665" s="1">
        <v>28</v>
      </c>
      <c r="H665" s="15">
        <v>28</v>
      </c>
      <c r="I665" s="1">
        <f>grand[[#This Row],[number]]-grand[[#This Row],[received]]</f>
        <v>0</v>
      </c>
      <c r="J665" s="30"/>
      <c r="K665" s="2">
        <v>13453</v>
      </c>
      <c r="L665" s="2">
        <v>12843</v>
      </c>
      <c r="M665" s="2">
        <f>K665-L665</f>
        <v>610</v>
      </c>
      <c r="N665" s="2">
        <v>8071.5</v>
      </c>
      <c r="O665" s="2">
        <v>286</v>
      </c>
      <c r="P665" s="7">
        <f>grand[[#This Row],[total weight]]/grand[[#This Row],[received]]</f>
        <v>480.46428571428572</v>
      </c>
      <c r="Q665" s="7">
        <f>grand[[#This Row],[receiving weight]]/grand[[#This Row],[received]]</f>
        <v>458.67857142857144</v>
      </c>
      <c r="R665" s="7">
        <f>grand[[#This Row],[transportation loss ]]/grand[[#This Row],[received]]</f>
        <v>21.785714285714285</v>
      </c>
      <c r="S665" s="7">
        <f>grand[[#This Row],[ carcass weight]]/grand[[#This Row],[received]]</f>
        <v>288.26785714285717</v>
      </c>
      <c r="T665" s="7">
        <f>grand[[#This Row],[ kidneys fat quantity]]/grand[[#This Row],[received]]</f>
        <v>10.214285714285714</v>
      </c>
      <c r="U665" s="15">
        <v>25</v>
      </c>
      <c r="V665" s="15">
        <v>0</v>
      </c>
      <c r="W665" s="15">
        <v>49.285714285714285</v>
      </c>
      <c r="X665" s="15">
        <v>10</v>
      </c>
      <c r="Y665" s="8">
        <v>8.5</v>
      </c>
      <c r="Z665" s="20">
        <f>grand[[#This Row],[av. Transportation loss]]/grand[[#This Row],[av.total weight]]</f>
        <v>4.5343046160707647E-2</v>
      </c>
      <c r="AA665" s="12">
        <f>AVERAGE((grand[[#This Row],[am]]/25),(grand[[#This Row],[pm]]/50))</f>
        <v>0.99285714285714288</v>
      </c>
      <c r="AB665" s="12">
        <f>grand[[#This Row],[ carcass weight]]/grand[[#This Row],[total weight]]</f>
        <v>0.59997770014123242</v>
      </c>
      <c r="AC665" s="22">
        <f>SUM(grand[[#This Row],[am]:[meat transportation]])/100</f>
        <v>0.92785714285714282</v>
      </c>
      <c r="AD665" s="2"/>
      <c r="AJ665" s="1">
        <v>15</v>
      </c>
      <c r="AK665" s="20"/>
      <c r="AL665" s="1">
        <v>3</v>
      </c>
    </row>
    <row r="666" spans="1:38" hidden="1" x14ac:dyDescent="0.2">
      <c r="A666" s="11">
        <v>44896</v>
      </c>
      <c r="B666" s="53" t="s">
        <v>1746</v>
      </c>
      <c r="C666" s="52" t="str">
        <f>IF(MID(B666,4,2)="09","Ramadan",IF(AND(MID(B666,4,2)="12",VALUE(LEFT(B666,2))&lt;=9),"Adha Season","Normal"))</f>
        <v>Normal</v>
      </c>
      <c r="D666" s="1" t="s">
        <v>45</v>
      </c>
      <c r="F666" s="4" t="s">
        <v>462</v>
      </c>
      <c r="G666" s="1">
        <v>24</v>
      </c>
      <c r="H666" s="15">
        <v>24</v>
      </c>
      <c r="I666" s="1">
        <f>grand[[#This Row],[number]]-grand[[#This Row],[received]]</f>
        <v>0</v>
      </c>
      <c r="J666" s="30"/>
      <c r="K666" s="2">
        <v>11782.5</v>
      </c>
      <c r="L666" s="2">
        <v>11782.5</v>
      </c>
      <c r="M666" s="2">
        <f>K666-L666</f>
        <v>0</v>
      </c>
      <c r="N666" s="2">
        <v>7368.2</v>
      </c>
      <c r="O666" s="2">
        <v>0</v>
      </c>
      <c r="P666" s="7">
        <f>grand[[#This Row],[total weight]]/grand[[#This Row],[received]]</f>
        <v>490.9375</v>
      </c>
      <c r="Q666" s="7">
        <f>grand[[#This Row],[receiving weight]]/grand[[#This Row],[received]]</f>
        <v>490.9375</v>
      </c>
      <c r="R666" s="7">
        <f>grand[[#This Row],[transportation loss ]]/grand[[#This Row],[received]]</f>
        <v>0</v>
      </c>
      <c r="S666" s="7">
        <f>grand[[#This Row],[ carcass weight]]/grand[[#This Row],[received]]</f>
        <v>307.00833333333333</v>
      </c>
      <c r="T666" s="7">
        <f>grand[[#This Row],[ kidneys fat quantity]]/grand[[#This Row],[received]]</f>
        <v>0</v>
      </c>
      <c r="U666" s="15">
        <v>25</v>
      </c>
      <c r="V666" s="15">
        <v>5</v>
      </c>
      <c r="W666" s="15">
        <v>49.125</v>
      </c>
      <c r="X666" s="15">
        <v>10</v>
      </c>
      <c r="Y666" s="8">
        <v>8.5</v>
      </c>
      <c r="Z666" s="20">
        <f>grand[[#This Row],[av. Transportation loss]]/grand[[#This Row],[av.total weight]]</f>
        <v>0</v>
      </c>
      <c r="AA666" s="12">
        <f>AVERAGE((grand[[#This Row],[am]]/25),(grand[[#This Row],[pm]]/50))</f>
        <v>0.99124999999999996</v>
      </c>
      <c r="AB666" s="12">
        <f>grand[[#This Row],[ carcass weight]]/grand[[#This Row],[total weight]]</f>
        <v>0.62535115637598127</v>
      </c>
      <c r="AC666" s="22">
        <f>SUM(grand[[#This Row],[am]:[meat transportation]])/100</f>
        <v>0.97624999999999995</v>
      </c>
      <c r="AD666" s="9" t="s">
        <v>505</v>
      </c>
      <c r="AJ666" s="1">
        <v>0</v>
      </c>
      <c r="AK666" s="20"/>
      <c r="AL666" s="1">
        <v>0</v>
      </c>
    </row>
    <row r="667" spans="1:38" hidden="1" x14ac:dyDescent="0.2">
      <c r="A667" s="11">
        <v>44902</v>
      </c>
      <c r="B667" s="53" t="s">
        <v>1750</v>
      </c>
      <c r="C667" s="52" t="str">
        <f>IF(MID(B667,4,2)="09","Ramadan",IF(AND(MID(B667,4,2)="12",VALUE(LEFT(B667,2))&lt;=9),"Adha Season","Normal"))</f>
        <v>Normal</v>
      </c>
      <c r="D667" s="1" t="s">
        <v>45</v>
      </c>
      <c r="F667" s="4" t="s">
        <v>462</v>
      </c>
      <c r="G667" s="1">
        <v>24</v>
      </c>
      <c r="H667" s="15">
        <v>24</v>
      </c>
      <c r="I667" s="1">
        <f>grand[[#This Row],[number]]-grand[[#This Row],[received]]</f>
        <v>0</v>
      </c>
      <c r="J667" s="30"/>
      <c r="K667" s="2">
        <v>11441</v>
      </c>
      <c r="L667" s="2">
        <v>11441</v>
      </c>
      <c r="M667" s="2">
        <f>K667-L667</f>
        <v>0</v>
      </c>
      <c r="N667" s="2">
        <v>7126.9</v>
      </c>
      <c r="O667" s="2">
        <v>0</v>
      </c>
      <c r="P667" s="7">
        <f>grand[[#This Row],[total weight]]/grand[[#This Row],[received]]</f>
        <v>476.70833333333331</v>
      </c>
      <c r="Q667" s="7">
        <f>grand[[#This Row],[receiving weight]]/grand[[#This Row],[received]]</f>
        <v>476.70833333333331</v>
      </c>
      <c r="R667" s="7">
        <f>grand[[#This Row],[transportation loss ]]/grand[[#This Row],[received]]</f>
        <v>0</v>
      </c>
      <c r="S667" s="7">
        <f>grand[[#This Row],[ carcass weight]]/grand[[#This Row],[received]]</f>
        <v>296.95416666666665</v>
      </c>
      <c r="T667" s="7">
        <f>grand[[#This Row],[ kidneys fat quantity]]/grand[[#This Row],[received]]</f>
        <v>0</v>
      </c>
      <c r="U667" s="15">
        <v>25</v>
      </c>
      <c r="V667" s="15">
        <v>5</v>
      </c>
      <c r="W667" s="15">
        <v>49.416666666666671</v>
      </c>
      <c r="X667" s="15">
        <v>9.7916666666666679</v>
      </c>
      <c r="Y667" s="8">
        <v>8.5</v>
      </c>
      <c r="Z667" s="20">
        <f>grand[[#This Row],[av. Transportation loss]]/grand[[#This Row],[av.total weight]]</f>
        <v>0</v>
      </c>
      <c r="AA667" s="12">
        <f>AVERAGE((grand[[#This Row],[am]]/25),(grand[[#This Row],[pm]]/50))</f>
        <v>0.99416666666666664</v>
      </c>
      <c r="AB667" s="23">
        <f>grand[[#This Row],[ carcass weight]]/grand[[#This Row],[total weight]]</f>
        <v>0.62292631762957784</v>
      </c>
      <c r="AC667" s="22">
        <f>SUM(grand[[#This Row],[am]:[meat transportation]])/100</f>
        <v>0.97708333333333341</v>
      </c>
      <c r="AD667" s="9" t="s">
        <v>192</v>
      </c>
      <c r="AJ667" s="1">
        <v>0</v>
      </c>
      <c r="AK667" s="20"/>
      <c r="AL667" s="1">
        <v>0</v>
      </c>
    </row>
    <row r="668" spans="1:38" hidden="1" x14ac:dyDescent="0.2">
      <c r="A668" s="11">
        <v>44903</v>
      </c>
      <c r="B668" s="53" t="s">
        <v>1751</v>
      </c>
      <c r="C668" s="52" t="str">
        <f>IF(MID(B668,4,2)="09","Ramadan",IF(AND(MID(B668,4,2)="12",VALUE(LEFT(B668,2))&lt;=9),"Adha Season","Normal"))</f>
        <v>Normal</v>
      </c>
      <c r="D668" s="1" t="s">
        <v>45</v>
      </c>
      <c r="F668" s="4" t="s">
        <v>46</v>
      </c>
      <c r="G668" s="1">
        <v>30</v>
      </c>
      <c r="H668" s="15">
        <v>30</v>
      </c>
      <c r="I668" s="1">
        <f>grand[[#This Row],[number]]-grand[[#This Row],[received]]</f>
        <v>0</v>
      </c>
      <c r="J668" s="30"/>
      <c r="K668" s="2">
        <v>12725</v>
      </c>
      <c r="L668" s="2">
        <v>11985</v>
      </c>
      <c r="M668" s="2">
        <f>K668-L668</f>
        <v>740</v>
      </c>
      <c r="N668" s="2">
        <v>7634.6</v>
      </c>
      <c r="O668" s="2">
        <v>226</v>
      </c>
      <c r="P668" s="7">
        <f>grand[[#This Row],[total weight]]/grand[[#This Row],[received]]</f>
        <v>424.16666666666669</v>
      </c>
      <c r="Q668" s="7">
        <f>grand[[#This Row],[receiving weight]]/grand[[#This Row],[received]]</f>
        <v>399.5</v>
      </c>
      <c r="R668" s="7">
        <f>grand[[#This Row],[transportation loss ]]/grand[[#This Row],[received]]</f>
        <v>24.666666666666668</v>
      </c>
      <c r="S668" s="7">
        <f>grand[[#This Row],[ carcass weight]]/grand[[#This Row],[received]]</f>
        <v>254.48666666666668</v>
      </c>
      <c r="T668" s="7">
        <f>grand[[#This Row],[ kidneys fat quantity]]/grand[[#This Row],[received]]</f>
        <v>7.5333333333333332</v>
      </c>
      <c r="U668" s="15">
        <v>25</v>
      </c>
      <c r="V668" s="15">
        <v>0</v>
      </c>
      <c r="W668" s="15">
        <v>49.766666666666666</v>
      </c>
      <c r="X668" s="15">
        <v>10</v>
      </c>
      <c r="Y668" s="8">
        <v>8.5</v>
      </c>
      <c r="Z668" s="20">
        <f>grand[[#This Row],[av. Transportation loss]]/grand[[#This Row],[av.total weight]]</f>
        <v>5.8153241650294694E-2</v>
      </c>
      <c r="AA668" s="12">
        <f>AVERAGE((grand[[#This Row],[am]]/25),(grand[[#This Row],[pm]]/50))</f>
        <v>0.9976666666666667</v>
      </c>
      <c r="AB668" s="12">
        <f>grand[[#This Row],[ carcass weight]]/grand[[#This Row],[total weight]]</f>
        <v>0.59996856581532421</v>
      </c>
      <c r="AC668" s="22">
        <f>SUM(grand[[#This Row],[am]:[meat transportation]])/100</f>
        <v>0.93266666666666664</v>
      </c>
      <c r="AD668" s="9"/>
      <c r="AJ668" s="1">
        <v>4</v>
      </c>
      <c r="AK668" s="20"/>
      <c r="AL668" s="1">
        <v>4</v>
      </c>
    </row>
    <row r="669" spans="1:38" hidden="1" x14ac:dyDescent="0.2">
      <c r="A669" s="11">
        <v>44906</v>
      </c>
      <c r="B669" s="53" t="s">
        <v>1753</v>
      </c>
      <c r="C669" s="52" t="str">
        <f>IF(MID(B669,4,2)="09","Ramadan",IF(AND(MID(B669,4,2)="12",VALUE(LEFT(B669,2))&lt;=9),"Adha Season","Normal"))</f>
        <v>Normal</v>
      </c>
      <c r="D669" s="1" t="s">
        <v>45</v>
      </c>
      <c r="F669" s="4" t="s">
        <v>280</v>
      </c>
      <c r="G669" s="1">
        <v>45</v>
      </c>
      <c r="H669" s="15">
        <v>45</v>
      </c>
      <c r="I669" s="1">
        <f>grand[[#This Row],[number]]-grand[[#This Row],[received]]</f>
        <v>0</v>
      </c>
      <c r="J669" s="30"/>
      <c r="K669" s="2">
        <v>22760</v>
      </c>
      <c r="L669" s="2">
        <v>22110</v>
      </c>
      <c r="M669" s="2">
        <f>K669-L669</f>
        <v>650</v>
      </c>
      <c r="N669" s="2">
        <v>13907.1</v>
      </c>
      <c r="O669" s="2">
        <v>479</v>
      </c>
      <c r="P669" s="7">
        <f>grand[[#This Row],[total weight]]/grand[[#This Row],[received]]</f>
        <v>505.77777777777777</v>
      </c>
      <c r="Q669" s="7">
        <f>grand[[#This Row],[receiving weight]]/grand[[#This Row],[received]]</f>
        <v>491.33333333333331</v>
      </c>
      <c r="R669" s="7">
        <f>grand[[#This Row],[transportation loss ]]/grand[[#This Row],[received]]</f>
        <v>14.444444444444445</v>
      </c>
      <c r="S669" s="7">
        <f>grand[[#This Row],[ carcass weight]]/grand[[#This Row],[received]]</f>
        <v>309.04666666666668</v>
      </c>
      <c r="T669" s="7">
        <f>grand[[#This Row],[ kidneys fat quantity]]/grand[[#This Row],[received]]</f>
        <v>10.644444444444444</v>
      </c>
      <c r="U669" s="15">
        <v>25</v>
      </c>
      <c r="V669" s="15">
        <v>0</v>
      </c>
      <c r="W669" s="15">
        <v>47.733333333333334</v>
      </c>
      <c r="X669" s="15">
        <v>9.7777777777777786</v>
      </c>
      <c r="Y669" s="8">
        <v>8.5</v>
      </c>
      <c r="Z669" s="20">
        <f>grand[[#This Row],[av. Transportation loss]]/grand[[#This Row],[av.total weight]]</f>
        <v>2.8558875219683658E-2</v>
      </c>
      <c r="AA669" s="12">
        <f>AVERAGE((grand[[#This Row],[am]]/25),(grand[[#This Row],[pm]]/50))</f>
        <v>0.97733333333333339</v>
      </c>
      <c r="AB669" s="12">
        <f>grand[[#This Row],[ carcass weight]]/grand[[#This Row],[total weight]]</f>
        <v>0.61103251318101937</v>
      </c>
      <c r="AC669" s="22">
        <f>SUM(grand[[#This Row],[am]:[meat transportation]])/100</f>
        <v>0.9101111111111112</v>
      </c>
      <c r="AD669" s="9" t="s">
        <v>117</v>
      </c>
      <c r="AJ669" s="1">
        <v>17</v>
      </c>
      <c r="AK669" s="20"/>
      <c r="AL669" s="1">
        <v>7</v>
      </c>
    </row>
    <row r="670" spans="1:38" hidden="1" x14ac:dyDescent="0.2">
      <c r="A670" s="11">
        <v>44910</v>
      </c>
      <c r="B670" s="53" t="s">
        <v>1755</v>
      </c>
      <c r="C670" s="52" t="str">
        <f>IF(MID(B670,4,2)="09","Ramadan",IF(AND(MID(B670,4,2)="12",VALUE(LEFT(B670,2))&lt;=9),"Adha Season","Normal"))</f>
        <v>Normal</v>
      </c>
      <c r="D670" s="1" t="s">
        <v>45</v>
      </c>
      <c r="F670" s="4" t="s">
        <v>46</v>
      </c>
      <c r="G670" s="1">
        <v>20</v>
      </c>
      <c r="H670" s="15">
        <v>20</v>
      </c>
      <c r="I670" s="1">
        <f>grand[[#This Row],[number]]-grand[[#This Row],[received]]</f>
        <v>0</v>
      </c>
      <c r="J670" s="30"/>
      <c r="K670" s="2">
        <v>9047</v>
      </c>
      <c r="L670" s="2">
        <v>8760</v>
      </c>
      <c r="M670" s="2">
        <f>K670-L670</f>
        <v>287</v>
      </c>
      <c r="N670" s="2">
        <v>5428.4</v>
      </c>
      <c r="O670" s="2">
        <v>147</v>
      </c>
      <c r="P670" s="7">
        <f>grand[[#This Row],[total weight]]/grand[[#This Row],[received]]</f>
        <v>452.35</v>
      </c>
      <c r="Q670" s="7">
        <f>grand[[#This Row],[receiving weight]]/grand[[#This Row],[received]]</f>
        <v>438</v>
      </c>
      <c r="R670" s="7">
        <f>grand[[#This Row],[transportation loss ]]/grand[[#This Row],[received]]</f>
        <v>14.35</v>
      </c>
      <c r="S670" s="7">
        <f>grand[[#This Row],[ carcass weight]]/grand[[#This Row],[received]]</f>
        <v>271.41999999999996</v>
      </c>
      <c r="T670" s="7">
        <f>grand[[#This Row],[ kidneys fat quantity]]/grand[[#This Row],[received]]</f>
        <v>7.35</v>
      </c>
      <c r="U670" s="15">
        <v>25</v>
      </c>
      <c r="V670" s="15">
        <v>0</v>
      </c>
      <c r="W670" s="15">
        <v>49.3</v>
      </c>
      <c r="X670" s="15">
        <v>10</v>
      </c>
      <c r="Y670" s="8">
        <v>8.5</v>
      </c>
      <c r="Z670" s="21">
        <f>grand[[#This Row],[av. Transportation loss]]/grand[[#This Row],[av.total weight]]</f>
        <v>3.1723223167900959E-2</v>
      </c>
      <c r="AA670" s="12">
        <f>AVERAGE((grand[[#This Row],[am]]/25),(grand[[#This Row],[pm]]/50))</f>
        <v>0.99299999999999999</v>
      </c>
      <c r="AB670" s="23">
        <f>grand[[#This Row],[ carcass weight]]/grand[[#This Row],[total weight]]</f>
        <v>0.60002210677572676</v>
      </c>
      <c r="AC670" s="24">
        <f>SUM(grand[[#This Row],[am]:[meat transportation]])/100</f>
        <v>0.92799999999999994</v>
      </c>
      <c r="AD670" s="9" t="s">
        <v>437</v>
      </c>
      <c r="AJ670" s="1">
        <v>6</v>
      </c>
      <c r="AK670" s="20"/>
      <c r="AL670" s="1">
        <v>2</v>
      </c>
    </row>
    <row r="671" spans="1:38" hidden="1" x14ac:dyDescent="0.2">
      <c r="A671" s="11">
        <v>44910</v>
      </c>
      <c r="B671" s="53" t="s">
        <v>1755</v>
      </c>
      <c r="C671" s="52" t="str">
        <f>IF(MID(B671,4,2)="09","Ramadan",IF(AND(MID(B671,4,2)="12",VALUE(LEFT(B671,2))&lt;=9),"Adha Season","Normal"))</f>
        <v>Normal</v>
      </c>
      <c r="D671" s="1" t="s">
        <v>45</v>
      </c>
      <c r="F671" s="4" t="s">
        <v>462</v>
      </c>
      <c r="G671" s="1">
        <v>25</v>
      </c>
      <c r="H671" s="15">
        <v>25</v>
      </c>
      <c r="I671" s="1">
        <f>grand[[#This Row],[number]]-grand[[#This Row],[received]]</f>
        <v>0</v>
      </c>
      <c r="J671" s="30"/>
      <c r="K671" s="2">
        <v>12196</v>
      </c>
      <c r="L671" s="2">
        <v>12196</v>
      </c>
      <c r="M671" s="2">
        <f>K671-L671</f>
        <v>0</v>
      </c>
      <c r="N671" s="2">
        <v>7429.3</v>
      </c>
      <c r="O671" s="2">
        <v>0</v>
      </c>
      <c r="P671" s="7">
        <f>grand[[#This Row],[total weight]]/grand[[#This Row],[received]]</f>
        <v>487.84</v>
      </c>
      <c r="Q671" s="7">
        <f>grand[[#This Row],[receiving weight]]/grand[[#This Row],[received]]</f>
        <v>487.84</v>
      </c>
      <c r="R671" s="7">
        <f>grand[[#This Row],[transportation loss ]]/grand[[#This Row],[received]]</f>
        <v>0</v>
      </c>
      <c r="S671" s="7">
        <f>grand[[#This Row],[ carcass weight]]/grand[[#This Row],[received]]</f>
        <v>297.17200000000003</v>
      </c>
      <c r="T671" s="7">
        <f>grand[[#This Row],[ kidneys fat quantity]]/grand[[#This Row],[received]]</f>
        <v>0</v>
      </c>
      <c r="U671" s="15">
        <v>25</v>
      </c>
      <c r="V671" s="15">
        <v>5</v>
      </c>
      <c r="W671" s="15">
        <v>49.24</v>
      </c>
      <c r="X671" s="15">
        <v>9.8000000000000007</v>
      </c>
      <c r="Y671" s="8">
        <v>8.5</v>
      </c>
      <c r="Z671" s="21">
        <f>grand[[#This Row],[av. Transportation loss]]/grand[[#This Row],[av.total weight]]</f>
        <v>0</v>
      </c>
      <c r="AA671" s="12">
        <f>AVERAGE((grand[[#This Row],[am]]/25),(grand[[#This Row],[pm]]/50))</f>
        <v>0.99239999999999995</v>
      </c>
      <c r="AB671" s="23">
        <f>grand[[#This Row],[ carcass weight]]/grand[[#This Row],[total weight]]</f>
        <v>0.60915874057067898</v>
      </c>
      <c r="AC671" s="24">
        <f>SUM(grand[[#This Row],[am]:[meat transportation]])/100</f>
        <v>0.97540000000000004</v>
      </c>
      <c r="AD671" s="2" t="s">
        <v>517</v>
      </c>
      <c r="AJ671" s="1">
        <v>0</v>
      </c>
      <c r="AK671" s="20"/>
      <c r="AL671" s="1">
        <v>0</v>
      </c>
    </row>
    <row r="672" spans="1:38" hidden="1" x14ac:dyDescent="0.2">
      <c r="A672" s="11">
        <v>44915</v>
      </c>
      <c r="B672" s="53" t="s">
        <v>1758</v>
      </c>
      <c r="C672" s="52" t="str">
        <f>IF(MID(B672,4,2)="09","Ramadan",IF(AND(MID(B672,4,2)="12",VALUE(LEFT(B672,2))&lt;=9),"Adha Season","Normal"))</f>
        <v>Normal</v>
      </c>
      <c r="D672" s="1" t="s">
        <v>45</v>
      </c>
      <c r="F672" s="4" t="s">
        <v>280</v>
      </c>
      <c r="G672" s="1">
        <v>37</v>
      </c>
      <c r="H672" s="15">
        <v>37</v>
      </c>
      <c r="I672" s="1">
        <f>grand[[#This Row],[number]]-grand[[#This Row],[received]]</f>
        <v>0</v>
      </c>
      <c r="J672" s="30"/>
      <c r="K672" s="2">
        <v>17065</v>
      </c>
      <c r="L672" s="2">
        <v>16470</v>
      </c>
      <c r="M672" s="2">
        <f>K672-L672</f>
        <v>595</v>
      </c>
      <c r="N672" s="2">
        <v>10239.200000000001</v>
      </c>
      <c r="O672" s="2">
        <v>335</v>
      </c>
      <c r="P672" s="7">
        <f>grand[[#This Row],[total weight]]/grand[[#This Row],[received]]</f>
        <v>461.2162162162162</v>
      </c>
      <c r="Q672" s="7">
        <f>grand[[#This Row],[receiving weight]]/grand[[#This Row],[received]]</f>
        <v>445.13513513513516</v>
      </c>
      <c r="R672" s="7">
        <f>grand[[#This Row],[transportation loss ]]/grand[[#This Row],[received]]</f>
        <v>16.081081081081081</v>
      </c>
      <c r="S672" s="7">
        <f>grand[[#This Row],[ carcass weight]]/grand[[#This Row],[received]]</f>
        <v>276.73513513513518</v>
      </c>
      <c r="T672" s="7">
        <f>grand[[#This Row],[ kidneys fat quantity]]/grand[[#This Row],[received]]</f>
        <v>9.0540540540540544</v>
      </c>
      <c r="U672" s="15">
        <v>25</v>
      </c>
      <c r="V672" s="15">
        <v>0</v>
      </c>
      <c r="W672" s="15">
        <v>49.945945945945951</v>
      </c>
      <c r="X672" s="15">
        <v>10</v>
      </c>
      <c r="Y672" s="8">
        <v>8.5</v>
      </c>
      <c r="Z672" s="21">
        <f>grand[[#This Row],[av. Transportation loss]]/grand[[#This Row],[av.total weight]]</f>
        <v>3.48666861998242E-2</v>
      </c>
      <c r="AA672" s="12">
        <f>AVERAGE((grand[[#This Row],[am]]/25),(grand[[#This Row],[pm]]/50))</f>
        <v>0.99945945945945946</v>
      </c>
      <c r="AB672" s="23">
        <f>grand[[#This Row],[ carcass weight]]/grand[[#This Row],[total weight]]</f>
        <v>0.60001171989452096</v>
      </c>
      <c r="AC672" s="24">
        <f>SUM(grand[[#This Row],[am]:[meat transportation]])/100</f>
        <v>0.93445945945945952</v>
      </c>
      <c r="AD672" s="2"/>
      <c r="AJ672" s="1">
        <v>11</v>
      </c>
      <c r="AK672" s="20"/>
      <c r="AL672" s="1">
        <v>3</v>
      </c>
    </row>
    <row r="673" spans="1:38" hidden="1" x14ac:dyDescent="0.2">
      <c r="A673" s="11">
        <v>44916</v>
      </c>
      <c r="B673" s="53" t="s">
        <v>1759</v>
      </c>
      <c r="C673" s="52" t="str">
        <f>IF(MID(B673,4,2)="09","Ramadan",IF(AND(MID(B673,4,2)="12",VALUE(LEFT(B673,2))&lt;=9),"Adha Season","Normal"))</f>
        <v>Normal</v>
      </c>
      <c r="D673" s="1" t="s">
        <v>45</v>
      </c>
      <c r="F673" s="4" t="s">
        <v>462</v>
      </c>
      <c r="G673" s="1">
        <v>50</v>
      </c>
      <c r="H673" s="15">
        <v>50</v>
      </c>
      <c r="I673" s="1">
        <f>grand[[#This Row],[number]]-grand[[#This Row],[received]]</f>
        <v>0</v>
      </c>
      <c r="J673" s="30"/>
      <c r="K673" s="2">
        <v>23747</v>
      </c>
      <c r="L673" s="2">
        <v>23747</v>
      </c>
      <c r="M673" s="2">
        <f>K673-L673</f>
        <v>0</v>
      </c>
      <c r="N673" s="2">
        <v>14823.3</v>
      </c>
      <c r="O673" s="2"/>
      <c r="P673" s="7">
        <f>grand[[#This Row],[total weight]]/grand[[#This Row],[received]]</f>
        <v>474.94</v>
      </c>
      <c r="Q673" s="7">
        <f>grand[[#This Row],[receiving weight]]/grand[[#This Row],[received]]</f>
        <v>474.94</v>
      </c>
      <c r="R673" s="7">
        <f>grand[[#This Row],[transportation loss ]]/grand[[#This Row],[received]]</f>
        <v>0</v>
      </c>
      <c r="S673" s="7">
        <f>grand[[#This Row],[ carcass weight]]/grand[[#This Row],[received]]</f>
        <v>296.46600000000001</v>
      </c>
      <c r="T673" s="7">
        <f>grand[[#This Row],[ kidneys fat quantity]]/grand[[#This Row],[received]]</f>
        <v>0</v>
      </c>
      <c r="U673" s="15">
        <v>25</v>
      </c>
      <c r="V673" s="15">
        <v>5</v>
      </c>
      <c r="W673" s="15">
        <v>49.440000000000005</v>
      </c>
      <c r="X673" s="15">
        <v>10</v>
      </c>
      <c r="Y673" s="8">
        <v>8.5</v>
      </c>
      <c r="Z673" s="21">
        <f>grand[[#This Row],[av. Transportation loss]]/grand[[#This Row],[av.total weight]]</f>
        <v>0</v>
      </c>
      <c r="AA673" s="12">
        <f>AVERAGE((grand[[#This Row],[am]]/25),(grand[[#This Row],[pm]]/50))</f>
        <v>0.99440000000000006</v>
      </c>
      <c r="AB673" s="23">
        <f>grand[[#This Row],[ carcass weight]]/grand[[#This Row],[total weight]]</f>
        <v>0.62421779593211768</v>
      </c>
      <c r="AC673" s="24">
        <f>SUM(grand[[#This Row],[am]:[meat transportation]])/100</f>
        <v>0.97939999999999994</v>
      </c>
      <c r="AD673" s="9" t="s">
        <v>192</v>
      </c>
      <c r="AJ673" s="1">
        <v>0</v>
      </c>
      <c r="AK673" s="20"/>
      <c r="AL673" s="1">
        <v>0</v>
      </c>
    </row>
    <row r="674" spans="1:38" hidden="1" x14ac:dyDescent="0.2">
      <c r="A674" s="11">
        <v>44919</v>
      </c>
      <c r="B674" s="53" t="s">
        <v>1760</v>
      </c>
      <c r="C674" s="52" t="str">
        <f>IF(MID(B674,4,2)="09","Ramadan",IF(AND(MID(B674,4,2)="12",VALUE(LEFT(B674,2))&lt;=9),"Adha Season","Normal"))</f>
        <v>Normal</v>
      </c>
      <c r="D674" s="1" t="s">
        <v>45</v>
      </c>
      <c r="F674" s="4" t="s">
        <v>46</v>
      </c>
      <c r="G674" s="1">
        <v>30</v>
      </c>
      <c r="H674" s="15">
        <v>30</v>
      </c>
      <c r="I674" s="1">
        <f>grand[[#This Row],[number]]-grand[[#This Row],[received]]</f>
        <v>0</v>
      </c>
      <c r="J674" s="30"/>
      <c r="K674" s="2">
        <v>13620</v>
      </c>
      <c r="L674" s="2">
        <v>12710</v>
      </c>
      <c r="M674" s="2">
        <f>K674-L674</f>
        <v>910</v>
      </c>
      <c r="N674" s="2">
        <v>8171.6</v>
      </c>
      <c r="O674" s="2">
        <v>292</v>
      </c>
      <c r="P674" s="7">
        <f>grand[[#This Row],[total weight]]/grand[[#This Row],[received]]</f>
        <v>454</v>
      </c>
      <c r="Q674" s="7">
        <f>grand[[#This Row],[receiving weight]]/grand[[#This Row],[received]]</f>
        <v>423.66666666666669</v>
      </c>
      <c r="R674" s="7">
        <f>grand[[#This Row],[transportation loss ]]/grand[[#This Row],[received]]</f>
        <v>30.333333333333332</v>
      </c>
      <c r="S674" s="7">
        <f>grand[[#This Row],[ carcass weight]]/grand[[#This Row],[received]]</f>
        <v>272.38666666666666</v>
      </c>
      <c r="T674" s="7">
        <f>grand[[#This Row],[ kidneys fat quantity]]/grand[[#This Row],[received]]</f>
        <v>9.7333333333333325</v>
      </c>
      <c r="U674" s="15">
        <v>25</v>
      </c>
      <c r="V674" s="15">
        <v>0</v>
      </c>
      <c r="W674" s="15">
        <v>49.333333333333336</v>
      </c>
      <c r="X674" s="15">
        <v>10</v>
      </c>
      <c r="Y674" s="8">
        <v>8.5</v>
      </c>
      <c r="Z674" s="21">
        <f>grand[[#This Row],[av. Transportation loss]]/grand[[#This Row],[av.total weight]]</f>
        <v>6.681350954478707E-2</v>
      </c>
      <c r="AA674" s="12">
        <f>AVERAGE((grand[[#This Row],[am]]/25),(grand[[#This Row],[pm]]/50))</f>
        <v>0.9933333333333334</v>
      </c>
      <c r="AB674" s="23">
        <f>grand[[#This Row],[ carcass weight]]/grand[[#This Row],[total weight]]</f>
        <v>0.5999706314243759</v>
      </c>
      <c r="AC674" s="24">
        <f>SUM(grand[[#This Row],[am]:[meat transportation]])/100</f>
        <v>0.92833333333333345</v>
      </c>
      <c r="AD674" s="9" t="s">
        <v>72</v>
      </c>
      <c r="AJ674" s="1">
        <v>11</v>
      </c>
      <c r="AK674" s="20"/>
      <c r="AL674" s="1">
        <v>3</v>
      </c>
    </row>
    <row r="675" spans="1:38" hidden="1" x14ac:dyDescent="0.2">
      <c r="A675" s="11">
        <v>44920</v>
      </c>
      <c r="B675" s="53" t="s">
        <v>1761</v>
      </c>
      <c r="C675" s="52" t="str">
        <f>IF(MID(B675,4,2)="09","Ramadan",IF(AND(MID(B675,4,2)="12",VALUE(LEFT(B675,2))&lt;=9),"Adha Season","Normal"))</f>
        <v>Normal</v>
      </c>
      <c r="D675" s="1" t="s">
        <v>45</v>
      </c>
      <c r="F675" s="4" t="s">
        <v>39</v>
      </c>
      <c r="G675" s="1">
        <v>16</v>
      </c>
      <c r="H675" s="15">
        <v>16</v>
      </c>
      <c r="I675" s="1">
        <f>grand[[#This Row],[number]]-grand[[#This Row],[received]]</f>
        <v>0</v>
      </c>
      <c r="J675" s="30"/>
      <c r="K675" s="2">
        <v>7536</v>
      </c>
      <c r="L675" s="2">
        <v>6960</v>
      </c>
      <c r="M675" s="2">
        <f>K675-L675</f>
        <v>576</v>
      </c>
      <c r="N675" s="2">
        <v>4638.3999999999996</v>
      </c>
      <c r="O675" s="2">
        <v>163</v>
      </c>
      <c r="P675" s="7">
        <f>grand[[#This Row],[total weight]]/grand[[#This Row],[received]]</f>
        <v>471</v>
      </c>
      <c r="Q675" s="7">
        <f>grand[[#This Row],[receiving weight]]/grand[[#This Row],[received]]</f>
        <v>435</v>
      </c>
      <c r="R675" s="7">
        <f>grand[[#This Row],[transportation loss ]]/grand[[#This Row],[received]]</f>
        <v>36</v>
      </c>
      <c r="S675" s="7">
        <f>grand[[#This Row],[ carcass weight]]/grand[[#This Row],[received]]</f>
        <v>289.89999999999998</v>
      </c>
      <c r="T675" s="7">
        <f>grand[[#This Row],[ kidneys fat quantity]]/grand[[#This Row],[received]]</f>
        <v>10.1875</v>
      </c>
      <c r="U675" s="15">
        <v>25</v>
      </c>
      <c r="V675" s="15">
        <v>0</v>
      </c>
      <c r="W675" s="15">
        <v>48.1875</v>
      </c>
      <c r="X675" s="15">
        <v>10</v>
      </c>
      <c r="Y675" s="8">
        <v>8.5</v>
      </c>
      <c r="Z675" s="21">
        <f>grand[[#This Row],[av. Transportation loss]]/grand[[#This Row],[av.total weight]]</f>
        <v>7.6433121019108277E-2</v>
      </c>
      <c r="AA675" s="12">
        <f>AVERAGE((grand[[#This Row],[am]]/25),(grand[[#This Row],[pm]]/50))</f>
        <v>0.98187500000000005</v>
      </c>
      <c r="AB675" s="23">
        <f>grand[[#This Row],[ carcass weight]]/grand[[#This Row],[total weight]]</f>
        <v>0.61549893842887471</v>
      </c>
      <c r="AC675" s="24">
        <f>SUM(grand[[#This Row],[am]:[meat transportation]])/100</f>
        <v>0.916875</v>
      </c>
      <c r="AD675" s="9" t="s">
        <v>457</v>
      </c>
      <c r="AJ675" s="1">
        <v>0</v>
      </c>
      <c r="AK675" s="20"/>
      <c r="AL675" s="1">
        <v>10</v>
      </c>
    </row>
    <row r="676" spans="1:38" hidden="1" x14ac:dyDescent="0.2">
      <c r="A676" s="11">
        <v>44921</v>
      </c>
      <c r="B676" s="53" t="s">
        <v>1762</v>
      </c>
      <c r="C676" s="52" t="str">
        <f>IF(MID(B676,4,2)="09","Ramadan",IF(AND(MID(B676,4,2)="12",VALUE(LEFT(B676,2))&lt;=9),"Adha Season","Normal"))</f>
        <v>Normal</v>
      </c>
      <c r="D676" s="1" t="s">
        <v>45</v>
      </c>
      <c r="F676" s="4" t="s">
        <v>462</v>
      </c>
      <c r="G676" s="1">
        <v>26</v>
      </c>
      <c r="H676" s="15">
        <v>26</v>
      </c>
      <c r="I676" s="1">
        <f>grand[[#This Row],[number]]-grand[[#This Row],[received]]</f>
        <v>0</v>
      </c>
      <c r="J676" s="30"/>
      <c r="K676" s="2">
        <v>11900</v>
      </c>
      <c r="L676" s="2">
        <v>11900</v>
      </c>
      <c r="M676" s="2">
        <f>K676-L676</f>
        <v>0</v>
      </c>
      <c r="N676" s="2">
        <v>7420.7</v>
      </c>
      <c r="O676" s="2"/>
      <c r="P676" s="7">
        <f>grand[[#This Row],[total weight]]/grand[[#This Row],[received]]</f>
        <v>457.69230769230768</v>
      </c>
      <c r="Q676" s="7">
        <f>grand[[#This Row],[receiving weight]]/grand[[#This Row],[received]]</f>
        <v>457.69230769230768</v>
      </c>
      <c r="R676" s="7">
        <f>grand[[#This Row],[transportation loss ]]/grand[[#This Row],[received]]</f>
        <v>0</v>
      </c>
      <c r="S676" s="7">
        <f>grand[[#This Row],[ carcass weight]]/grand[[#This Row],[received]]</f>
        <v>285.41153846153844</v>
      </c>
      <c r="T676" s="7">
        <f>grand[[#This Row],[ kidneys fat quantity]]/grand[[#This Row],[received]]</f>
        <v>0</v>
      </c>
      <c r="U676" s="15">
        <v>25</v>
      </c>
      <c r="V676" s="15">
        <v>5</v>
      </c>
      <c r="W676" s="15">
        <v>50</v>
      </c>
      <c r="X676" s="15">
        <v>10</v>
      </c>
      <c r="Y676" s="8">
        <v>8.5</v>
      </c>
      <c r="Z676" s="21">
        <f>grand[[#This Row],[av. Transportation loss]]/grand[[#This Row],[av.total weight]]</f>
        <v>0</v>
      </c>
      <c r="AA676" s="12">
        <f>AVERAGE((grand[[#This Row],[am]]/25),(grand[[#This Row],[pm]]/50))</f>
        <v>1</v>
      </c>
      <c r="AB676" s="23">
        <f>grand[[#This Row],[ carcass weight]]/grand[[#This Row],[total weight]]</f>
        <v>0.62358823529411767</v>
      </c>
      <c r="AC676" s="24">
        <f>SUM(grand[[#This Row],[am]:[meat transportation]])/100</f>
        <v>0.98499999999999999</v>
      </c>
      <c r="AD676" s="2"/>
      <c r="AJ676" s="1">
        <v>0</v>
      </c>
      <c r="AK676" s="20"/>
      <c r="AL676" s="1">
        <v>0</v>
      </c>
    </row>
    <row r="677" spans="1:38" hidden="1" x14ac:dyDescent="0.2">
      <c r="A677" s="11">
        <v>44923</v>
      </c>
      <c r="B677" s="53" t="s">
        <v>1763</v>
      </c>
      <c r="C677" s="52" t="str">
        <f>IF(MID(B677,4,2)="09","Ramadan",IF(AND(MID(B677,4,2)="12",VALUE(LEFT(B677,2))&lt;=9),"Adha Season","Normal"))</f>
        <v>Normal</v>
      </c>
      <c r="D677" s="1" t="s">
        <v>45</v>
      </c>
      <c r="F677" s="4" t="s">
        <v>280</v>
      </c>
      <c r="G677" s="1">
        <v>26</v>
      </c>
      <c r="H677" s="15">
        <v>26</v>
      </c>
      <c r="I677" s="1">
        <f>grand[[#This Row],[number]]-grand[[#This Row],[received]]</f>
        <v>0</v>
      </c>
      <c r="J677" s="30"/>
      <c r="K677" s="2">
        <v>12927</v>
      </c>
      <c r="L677" s="2">
        <v>12305</v>
      </c>
      <c r="M677" s="2">
        <f>K677-L677</f>
        <v>622</v>
      </c>
      <c r="N677" s="2">
        <v>7755.8</v>
      </c>
      <c r="O677" s="2">
        <v>300</v>
      </c>
      <c r="P677" s="7">
        <f>grand[[#This Row],[total weight]]/grand[[#This Row],[received]]</f>
        <v>497.19230769230768</v>
      </c>
      <c r="Q677" s="7">
        <f>grand[[#This Row],[receiving weight]]/grand[[#This Row],[received]]</f>
        <v>473.26923076923077</v>
      </c>
      <c r="R677" s="7">
        <f>grand[[#This Row],[transportation loss ]]/grand[[#This Row],[received]]</f>
        <v>23.923076923076923</v>
      </c>
      <c r="S677" s="7">
        <f>grand[[#This Row],[ carcass weight]]/grand[[#This Row],[received]]</f>
        <v>298.3</v>
      </c>
      <c r="T677" s="7">
        <f>grand[[#This Row],[ kidneys fat quantity]]/grand[[#This Row],[received]]</f>
        <v>11.538461538461538</v>
      </c>
      <c r="U677" s="15">
        <v>25</v>
      </c>
      <c r="V677" s="15">
        <v>0</v>
      </c>
      <c r="W677" s="15">
        <v>49.730769230769226</v>
      </c>
      <c r="X677" s="15">
        <v>10</v>
      </c>
      <c r="Y677" s="8">
        <v>8.5</v>
      </c>
      <c r="Z677" s="21">
        <f>grand[[#This Row],[av. Transportation loss]]/grand[[#This Row],[av.total weight]]</f>
        <v>4.8116345633170882E-2</v>
      </c>
      <c r="AA677" s="12">
        <f>AVERAGE((grand[[#This Row],[am]]/25),(grand[[#This Row],[pm]]/50))</f>
        <v>0.99730769230769223</v>
      </c>
      <c r="AB677" s="23">
        <f>grand[[#This Row],[ carcass weight]]/grand[[#This Row],[total weight]]</f>
        <v>0.59996905701245462</v>
      </c>
      <c r="AC677" s="24">
        <f>SUM(grand[[#This Row],[am]:[meat transportation]])/100</f>
        <v>0.93230769230769228</v>
      </c>
      <c r="AD677" s="9" t="s">
        <v>188</v>
      </c>
      <c r="AJ677" s="1">
        <v>13</v>
      </c>
      <c r="AK677" s="20"/>
      <c r="AL677" s="1">
        <v>2</v>
      </c>
    </row>
    <row r="678" spans="1:38" hidden="1" x14ac:dyDescent="0.2">
      <c r="A678" s="11">
        <v>44926</v>
      </c>
      <c r="B678" s="53" t="s">
        <v>1765</v>
      </c>
      <c r="C678" s="52" t="str">
        <f>IF(MID(B678,4,2)="09","Ramadan",IF(AND(MID(B678,4,2)="12",VALUE(LEFT(B678,2))&lt;=9),"Adha Season","Normal"))</f>
        <v>Normal</v>
      </c>
      <c r="D678" s="1" t="s">
        <v>45</v>
      </c>
      <c r="F678" s="4" t="s">
        <v>43</v>
      </c>
      <c r="G678" s="1">
        <v>16</v>
      </c>
      <c r="H678" s="15">
        <v>16</v>
      </c>
      <c r="I678" s="1">
        <f>grand[[#This Row],[number]]-grand[[#This Row],[received]]</f>
        <v>0</v>
      </c>
      <c r="J678" s="30"/>
      <c r="K678" s="2">
        <v>8113</v>
      </c>
      <c r="L678" s="2">
        <v>7920</v>
      </c>
      <c r="M678" s="2">
        <f>K678-L678</f>
        <v>193</v>
      </c>
      <c r="N678" s="2">
        <v>4867.3999999999996</v>
      </c>
      <c r="O678" s="2">
        <v>175</v>
      </c>
      <c r="P678" s="7">
        <f>grand[[#This Row],[total weight]]/grand[[#This Row],[received]]</f>
        <v>507.0625</v>
      </c>
      <c r="Q678" s="7">
        <f>grand[[#This Row],[receiving weight]]/grand[[#This Row],[received]]</f>
        <v>495</v>
      </c>
      <c r="R678" s="7">
        <f>grand[[#This Row],[transportation loss ]]/grand[[#This Row],[received]]</f>
        <v>12.0625</v>
      </c>
      <c r="S678" s="7">
        <f>grand[[#This Row],[ carcass weight]]/grand[[#This Row],[received]]</f>
        <v>304.21249999999998</v>
      </c>
      <c r="T678" s="7">
        <f>grand[[#This Row],[ kidneys fat quantity]]/grand[[#This Row],[received]]</f>
        <v>10.9375</v>
      </c>
      <c r="U678" s="15">
        <v>25</v>
      </c>
      <c r="V678" s="15">
        <v>0</v>
      </c>
      <c r="W678" s="15">
        <v>50</v>
      </c>
      <c r="X678" s="15">
        <v>10</v>
      </c>
      <c r="Y678" s="8">
        <v>8.5</v>
      </c>
      <c r="Z678" s="20">
        <f>grand[[#This Row],[av. Transportation loss]]/grand[[#This Row],[av.total weight]]</f>
        <v>2.3788980648342166E-2</v>
      </c>
      <c r="AA678" s="12">
        <f>AVERAGE((grand[[#This Row],[am]]/25),(grand[[#This Row],[pm]]/50))</f>
        <v>1</v>
      </c>
      <c r="AB678" s="12">
        <f>grand[[#This Row],[ carcass weight]]/grand[[#This Row],[total weight]]</f>
        <v>0.59995069641316401</v>
      </c>
      <c r="AC678" s="22">
        <f>SUM(grand[[#This Row],[am]:[meat transportation]])/100</f>
        <v>0.93500000000000005</v>
      </c>
      <c r="AD678" s="9"/>
      <c r="AJ678" s="1">
        <v>7</v>
      </c>
      <c r="AK678" s="20"/>
      <c r="AL678" s="1">
        <v>0</v>
      </c>
    </row>
    <row r="679" spans="1:38" hidden="1" x14ac:dyDescent="0.2">
      <c r="A679" s="11">
        <v>44927</v>
      </c>
      <c r="B679" s="53" t="s">
        <v>1766</v>
      </c>
      <c r="C679" s="52" t="str">
        <f>IF(MID(B679,4,2)="09","Ramadan",IF(AND(MID(B679,4,2)="12",VALUE(LEFT(B679,2))&lt;=9),"Adha Season","Normal"))</f>
        <v>Normal</v>
      </c>
      <c r="D679" s="1" t="s">
        <v>45</v>
      </c>
      <c r="E679" s="1" t="s">
        <v>483</v>
      </c>
      <c r="F679" s="4" t="s">
        <v>46</v>
      </c>
      <c r="G679" s="1">
        <v>65</v>
      </c>
      <c r="H679" s="15">
        <v>65</v>
      </c>
      <c r="I679" s="1">
        <f>grand[[#This Row],[number]]-grand[[#This Row],[received]]</f>
        <v>0</v>
      </c>
      <c r="J679" s="30"/>
      <c r="K679" s="2">
        <v>29219</v>
      </c>
      <c r="L679" s="2">
        <v>27345</v>
      </c>
      <c r="M679" s="2">
        <f>K679-L679</f>
        <v>1874</v>
      </c>
      <c r="N679" s="2">
        <v>17530</v>
      </c>
      <c r="O679" s="2">
        <v>583</v>
      </c>
      <c r="P679" s="7">
        <f>grand[[#This Row],[total weight]]/grand[[#This Row],[received]]</f>
        <v>449.52307692307693</v>
      </c>
      <c r="Q679" s="7">
        <f>grand[[#This Row],[receiving weight]]/grand[[#This Row],[received]]</f>
        <v>420.69230769230768</v>
      </c>
      <c r="R679" s="7">
        <f>grand[[#This Row],[transportation loss ]]/grand[[#This Row],[received]]</f>
        <v>28.830769230769231</v>
      </c>
      <c r="S679" s="7">
        <f>grand[[#This Row],[ carcass weight]]/grand[[#This Row],[received]]</f>
        <v>269.69230769230768</v>
      </c>
      <c r="T679" s="7">
        <f>grand[[#This Row],[ kidneys fat quantity]]/grand[[#This Row],[received]]</f>
        <v>8.9692307692307693</v>
      </c>
      <c r="U679" s="15">
        <v>24.923076923076923</v>
      </c>
      <c r="V679" s="15">
        <v>0</v>
      </c>
      <c r="W679" s="15">
        <v>49.892307692307696</v>
      </c>
      <c r="X679" s="15">
        <v>10</v>
      </c>
      <c r="Y679" s="8">
        <v>8.5</v>
      </c>
      <c r="Z679" s="21">
        <f>grand[[#This Row],[av. Transportation loss]]/grand[[#This Row],[av.total weight]]</f>
        <v>6.4136349635511139E-2</v>
      </c>
      <c r="AA679" s="12">
        <f>AVERAGE((grand[[#This Row],[am]]/25),(grand[[#This Row],[pm]]/50))</f>
        <v>0.99738461538461542</v>
      </c>
      <c r="AB679" s="23">
        <f>grand[[#This Row],[ carcass weight]]/grand[[#This Row],[total weight]]</f>
        <v>0.59995208597145688</v>
      </c>
      <c r="AC679" s="24">
        <f>SUM(grand[[#This Row],[am]:[meat transportation]])/100</f>
        <v>0.93315384615384611</v>
      </c>
      <c r="AD679" s="2" t="s">
        <v>97</v>
      </c>
      <c r="AJ679" s="1">
        <v>14</v>
      </c>
      <c r="AK679" s="20"/>
      <c r="AL679" s="1">
        <v>8</v>
      </c>
    </row>
    <row r="680" spans="1:38" hidden="1" x14ac:dyDescent="0.2">
      <c r="A680" s="11">
        <v>44930</v>
      </c>
      <c r="B680" s="53" t="s">
        <v>1768</v>
      </c>
      <c r="C680" s="52" t="str">
        <f>IF(MID(B680,4,2)="09","Ramadan",IF(AND(MID(B680,4,2)="12",VALUE(LEFT(B680,2))&lt;=9),"Adha Season","Normal"))</f>
        <v>Normal</v>
      </c>
      <c r="D680" s="1" t="s">
        <v>45</v>
      </c>
      <c r="E680" s="1" t="s">
        <v>483</v>
      </c>
      <c r="F680" s="4" t="s">
        <v>280</v>
      </c>
      <c r="G680" s="1">
        <v>21</v>
      </c>
      <c r="H680" s="15">
        <v>21</v>
      </c>
      <c r="I680" s="1">
        <f>grand[[#This Row],[number]]-grand[[#This Row],[received]]</f>
        <v>0</v>
      </c>
      <c r="J680" s="30"/>
      <c r="K680" s="2">
        <v>9971</v>
      </c>
      <c r="L680" s="2">
        <v>9715</v>
      </c>
      <c r="M680" s="2">
        <f>K680-L680</f>
        <v>256</v>
      </c>
      <c r="N680" s="2">
        <v>5982.5</v>
      </c>
      <c r="O680" s="2">
        <v>218</v>
      </c>
      <c r="P680" s="7">
        <f>grand[[#This Row],[total weight]]/grand[[#This Row],[received]]</f>
        <v>474.8095238095238</v>
      </c>
      <c r="Q680" s="7">
        <f>grand[[#This Row],[receiving weight]]/grand[[#This Row],[received]]</f>
        <v>462.61904761904759</v>
      </c>
      <c r="R680" s="7">
        <f>grand[[#This Row],[transportation loss ]]/grand[[#This Row],[received]]</f>
        <v>12.19047619047619</v>
      </c>
      <c r="S680" s="7">
        <f>grand[[#This Row],[ carcass weight]]/grand[[#This Row],[received]]</f>
        <v>284.88095238095241</v>
      </c>
      <c r="T680" s="7">
        <f>grand[[#This Row],[ kidneys fat quantity]]/grand[[#This Row],[received]]</f>
        <v>10.380952380952381</v>
      </c>
      <c r="U680" s="15">
        <v>25</v>
      </c>
      <c r="V680" s="15">
        <v>0</v>
      </c>
      <c r="W680" s="15">
        <v>50</v>
      </c>
      <c r="X680" s="15">
        <v>10</v>
      </c>
      <c r="Y680" s="8">
        <v>8.5</v>
      </c>
      <c r="Z680" s="21">
        <f>grand[[#This Row],[av. Transportation loss]]/grand[[#This Row],[av.total weight]]</f>
        <v>2.5674455922174304E-2</v>
      </c>
      <c r="AA680" s="12">
        <f>AVERAGE((grand[[#This Row],[am]]/25),(grand[[#This Row],[pm]]/50))</f>
        <v>1</v>
      </c>
      <c r="AB680" s="23">
        <f>grand[[#This Row],[ carcass weight]]/grand[[#This Row],[total weight]]</f>
        <v>0.59998997091565542</v>
      </c>
      <c r="AC680" s="24">
        <f>SUM(grand[[#This Row],[am]:[meat transportation]])/100</f>
        <v>0.93500000000000005</v>
      </c>
      <c r="AD680" s="2"/>
      <c r="AJ680" s="1">
        <v>13</v>
      </c>
      <c r="AK680" s="20"/>
      <c r="AL680" s="1">
        <v>0</v>
      </c>
    </row>
    <row r="681" spans="1:38" hidden="1" x14ac:dyDescent="0.2">
      <c r="A681" s="11">
        <v>44936</v>
      </c>
      <c r="B681" s="53" t="s">
        <v>1772</v>
      </c>
      <c r="C681" s="52" t="str">
        <f>IF(MID(B681,4,2)="09","Ramadan",IF(AND(MID(B681,4,2)="12",VALUE(LEFT(B681,2))&lt;=9),"Adha Season","Normal"))</f>
        <v>Normal</v>
      </c>
      <c r="D681" s="1" t="s">
        <v>45</v>
      </c>
      <c r="E681" s="1" t="s">
        <v>483</v>
      </c>
      <c r="F681" s="4" t="s">
        <v>280</v>
      </c>
      <c r="G681" s="1">
        <v>21</v>
      </c>
      <c r="H681" s="15">
        <v>21</v>
      </c>
      <c r="I681" s="1">
        <f>grand[[#This Row],[number]]-grand[[#This Row],[received]]</f>
        <v>0</v>
      </c>
      <c r="J681" s="30"/>
      <c r="K681" s="2">
        <v>9340</v>
      </c>
      <c r="L681" s="2">
        <v>9125</v>
      </c>
      <c r="M681" s="2">
        <f>K681-L681</f>
        <v>215</v>
      </c>
      <c r="N681" s="2">
        <v>5604.3</v>
      </c>
      <c r="O681" s="2">
        <v>193</v>
      </c>
      <c r="P681" s="7">
        <f>grand[[#This Row],[total weight]]/grand[[#This Row],[received]]</f>
        <v>444.76190476190476</v>
      </c>
      <c r="Q681" s="7">
        <f>grand[[#This Row],[receiving weight]]/grand[[#This Row],[received]]</f>
        <v>434.52380952380952</v>
      </c>
      <c r="R681" s="7">
        <f>grand[[#This Row],[transportation loss ]]/grand[[#This Row],[received]]</f>
        <v>10.238095238095237</v>
      </c>
      <c r="S681" s="7">
        <f>grand[[#This Row],[ carcass weight]]/grand[[#This Row],[received]]</f>
        <v>266.87142857142857</v>
      </c>
      <c r="T681" s="7">
        <f>grand[[#This Row],[ kidneys fat quantity]]/grand[[#This Row],[received]]</f>
        <v>9.1904761904761898</v>
      </c>
      <c r="U681" s="15">
        <v>25</v>
      </c>
      <c r="V681" s="15">
        <v>0</v>
      </c>
      <c r="W681" s="15">
        <v>49.333333333333336</v>
      </c>
      <c r="X681" s="15">
        <v>10</v>
      </c>
      <c r="Y681" s="8">
        <v>8.5</v>
      </c>
      <c r="Z681" s="21">
        <f>grand[[#This Row],[av. Transportation loss]]/grand[[#This Row],[av.total weight]]</f>
        <v>2.3019271948608134E-2</v>
      </c>
      <c r="AA681" s="12">
        <f>AVERAGE((grand[[#This Row],[am]]/25),(grand[[#This Row],[pm]]/50))</f>
        <v>0.9933333333333334</v>
      </c>
      <c r="AB681" s="23">
        <f>grand[[#This Row],[ carcass weight]]/grand[[#This Row],[total weight]]</f>
        <v>0.60003211991434691</v>
      </c>
      <c r="AC681" s="24">
        <f>SUM(grand[[#This Row],[am]:[meat transportation]])/100</f>
        <v>0.92833333333333345</v>
      </c>
      <c r="AD681" s="2" t="s">
        <v>225</v>
      </c>
      <c r="AJ681" s="1">
        <v>9</v>
      </c>
      <c r="AK681" s="20"/>
      <c r="AL681" s="1">
        <v>10</v>
      </c>
    </row>
    <row r="682" spans="1:38" hidden="1" x14ac:dyDescent="0.2">
      <c r="A682" s="11">
        <v>44936</v>
      </c>
      <c r="B682" s="53" t="s">
        <v>1772</v>
      </c>
      <c r="C682" s="52" t="str">
        <f>IF(MID(B682,4,2)="09","Ramadan",IF(AND(MID(B682,4,2)="12",VALUE(LEFT(B682,2))&lt;=9),"Adha Season","Normal"))</f>
        <v>Normal</v>
      </c>
      <c r="D682" s="1" t="s">
        <v>45</v>
      </c>
      <c r="E682" s="1" t="s">
        <v>483</v>
      </c>
      <c r="F682" s="4" t="s">
        <v>39</v>
      </c>
      <c r="G682" s="1">
        <v>25</v>
      </c>
      <c r="H682" s="15">
        <v>25</v>
      </c>
      <c r="I682" s="1">
        <f>grand[[#This Row],[number]]-grand[[#This Row],[received]]</f>
        <v>0</v>
      </c>
      <c r="J682" s="30"/>
      <c r="K682" s="2">
        <v>10957</v>
      </c>
      <c r="L682" s="2">
        <v>10370</v>
      </c>
      <c r="M682" s="2">
        <f>K682-L682</f>
        <v>587</v>
      </c>
      <c r="N682" s="2">
        <v>6735</v>
      </c>
      <c r="O682" s="2">
        <v>220</v>
      </c>
      <c r="P682" s="7">
        <f>grand[[#This Row],[total weight]]/grand[[#This Row],[received]]</f>
        <v>438.28</v>
      </c>
      <c r="Q682" s="7">
        <f>grand[[#This Row],[receiving weight]]/grand[[#This Row],[received]]</f>
        <v>414.8</v>
      </c>
      <c r="R682" s="7">
        <f>grand[[#This Row],[transportation loss ]]/grand[[#This Row],[received]]</f>
        <v>23.48</v>
      </c>
      <c r="S682" s="7">
        <f>grand[[#This Row],[ carcass weight]]/grand[[#This Row],[received]]</f>
        <v>269.39999999999998</v>
      </c>
      <c r="T682" s="7">
        <f>grand[[#This Row],[ kidneys fat quantity]]/grand[[#This Row],[received]]</f>
        <v>8.8000000000000007</v>
      </c>
      <c r="U682" s="15">
        <v>24.8</v>
      </c>
      <c r="V682" s="15">
        <v>0</v>
      </c>
      <c r="W682" s="15">
        <v>49.360000000000007</v>
      </c>
      <c r="X682" s="15">
        <v>10</v>
      </c>
      <c r="Y682" s="8">
        <v>8.5</v>
      </c>
      <c r="Z682" s="21">
        <f>grand[[#This Row],[av. Transportation loss]]/grand[[#This Row],[av.total weight]]</f>
        <v>5.3573058318882913E-2</v>
      </c>
      <c r="AA682" s="12">
        <f>AVERAGE((grand[[#This Row],[am]]/25),(grand[[#This Row],[pm]]/50))</f>
        <v>0.98960000000000004</v>
      </c>
      <c r="AB682" s="23">
        <f>grand[[#This Row],[ carcass weight]]/grand[[#This Row],[total weight]]</f>
        <v>0.61467554987679107</v>
      </c>
      <c r="AC682" s="24">
        <f>SUM(grand[[#This Row],[am]:[meat transportation]])/100</f>
        <v>0.92660000000000009</v>
      </c>
      <c r="AD682" s="2" t="s">
        <v>418</v>
      </c>
      <c r="AJ682" s="1">
        <v>4</v>
      </c>
      <c r="AK682" s="20"/>
      <c r="AL682" s="1">
        <v>0</v>
      </c>
    </row>
    <row r="683" spans="1:38" hidden="1" x14ac:dyDescent="0.2">
      <c r="A683" s="11">
        <v>44940</v>
      </c>
      <c r="B683" s="53" t="s">
        <v>1774</v>
      </c>
      <c r="C683" s="52" t="str">
        <f>IF(MID(B683,4,2)="09","Ramadan",IF(AND(MID(B683,4,2)="12",VALUE(LEFT(B683,2))&lt;=9),"Adha Season","Normal"))</f>
        <v>Normal</v>
      </c>
      <c r="D683" s="1" t="s">
        <v>45</v>
      </c>
      <c r="E683" s="1" t="s">
        <v>483</v>
      </c>
      <c r="F683" s="4" t="s">
        <v>280</v>
      </c>
      <c r="G683" s="1">
        <v>26</v>
      </c>
      <c r="H683" s="15">
        <v>26</v>
      </c>
      <c r="I683" s="1">
        <f>grand[[#This Row],[number]]-grand[[#This Row],[received]]</f>
        <v>0</v>
      </c>
      <c r="J683" s="30"/>
      <c r="K683" s="2">
        <v>11880</v>
      </c>
      <c r="L683" s="2">
        <v>11565</v>
      </c>
      <c r="M683" s="2">
        <f>K683-L683</f>
        <v>315</v>
      </c>
      <c r="N683" s="2">
        <v>7132.6</v>
      </c>
      <c r="O683" s="2">
        <v>242</v>
      </c>
      <c r="P683" s="7">
        <f>grand[[#This Row],[total weight]]/grand[[#This Row],[received]]</f>
        <v>456.92307692307691</v>
      </c>
      <c r="Q683" s="7">
        <f>grand[[#This Row],[receiving weight]]/grand[[#This Row],[received]]</f>
        <v>444.80769230769232</v>
      </c>
      <c r="R683" s="7">
        <f>grand[[#This Row],[transportation loss ]]/grand[[#This Row],[received]]</f>
        <v>12.115384615384615</v>
      </c>
      <c r="S683" s="7">
        <f>grand[[#This Row],[ carcass weight]]/grand[[#This Row],[received]]</f>
        <v>274.33076923076925</v>
      </c>
      <c r="T683" s="7">
        <f>grand[[#This Row],[ kidneys fat quantity]]/grand[[#This Row],[received]]</f>
        <v>9.3076923076923084</v>
      </c>
      <c r="U683" s="15">
        <v>25</v>
      </c>
      <c r="V683" s="15">
        <v>0</v>
      </c>
      <c r="W683" s="15">
        <v>49.461538461538453</v>
      </c>
      <c r="X683" s="15">
        <v>9.2692307692307701</v>
      </c>
      <c r="Y683" s="8">
        <v>8.5</v>
      </c>
      <c r="Z683" s="21">
        <f>grand[[#This Row],[av. Transportation loss]]/grand[[#This Row],[av.total weight]]</f>
        <v>2.6515151515151516E-2</v>
      </c>
      <c r="AA683" s="12">
        <f>AVERAGE((grand[[#This Row],[am]]/25),(grand[[#This Row],[pm]]/50))</f>
        <v>0.99461538461538446</v>
      </c>
      <c r="AB683" s="23">
        <f>grand[[#This Row],[ carcass weight]]/grand[[#This Row],[total weight]]</f>
        <v>0.60038720538720547</v>
      </c>
      <c r="AC683" s="24">
        <f>SUM(grand[[#This Row],[am]:[meat transportation]])/100</f>
        <v>0.92230769230769227</v>
      </c>
      <c r="AD683" s="2" t="s">
        <v>459</v>
      </c>
      <c r="AJ683" s="1">
        <v>11</v>
      </c>
      <c r="AK683" s="20"/>
      <c r="AL683" s="1">
        <v>0</v>
      </c>
    </row>
    <row r="684" spans="1:38" hidden="1" x14ac:dyDescent="0.2">
      <c r="A684" s="11">
        <v>44940</v>
      </c>
      <c r="B684" s="53" t="s">
        <v>1774</v>
      </c>
      <c r="C684" s="52" t="str">
        <f>IF(MID(B684,4,2)="09","Ramadan",IF(AND(MID(B684,4,2)="12",VALUE(LEFT(B684,2))&lt;=9),"Adha Season","Normal"))</f>
        <v>Normal</v>
      </c>
      <c r="D684" s="1" t="s">
        <v>45</v>
      </c>
      <c r="E684" s="1" t="s">
        <v>528</v>
      </c>
      <c r="F684" s="4" t="s">
        <v>280</v>
      </c>
      <c r="G684" s="1">
        <v>16</v>
      </c>
      <c r="H684" s="15">
        <v>16</v>
      </c>
      <c r="I684" s="1">
        <f>grand[[#This Row],[number]]-grand[[#This Row],[received]]</f>
        <v>0</v>
      </c>
      <c r="J684" s="30"/>
      <c r="K684" s="2">
        <v>9417</v>
      </c>
      <c r="L684" s="2">
        <v>8870</v>
      </c>
      <c r="M684" s="2">
        <f>K684-L684</f>
        <v>547</v>
      </c>
      <c r="N684" s="2">
        <v>5853.7</v>
      </c>
      <c r="O684" s="2">
        <v>132</v>
      </c>
      <c r="P684" s="7">
        <f>grand[[#This Row],[total weight]]/grand[[#This Row],[received]]</f>
        <v>588.5625</v>
      </c>
      <c r="Q684" s="7">
        <f>grand[[#This Row],[receiving weight]]/grand[[#This Row],[received]]</f>
        <v>554.375</v>
      </c>
      <c r="R684" s="7">
        <f>grand[[#This Row],[transportation loss ]]/grand[[#This Row],[received]]</f>
        <v>34.1875</v>
      </c>
      <c r="S684" s="7">
        <f>grand[[#This Row],[ carcass weight]]/grand[[#This Row],[received]]</f>
        <v>365.85624999999999</v>
      </c>
      <c r="T684" s="7">
        <f>grand[[#This Row],[ kidneys fat quantity]]/grand[[#This Row],[received]]</f>
        <v>8.25</v>
      </c>
      <c r="U684" s="15">
        <v>24.6875</v>
      </c>
      <c r="V684" s="15">
        <v>0</v>
      </c>
      <c r="W684" s="15">
        <v>44.5625</v>
      </c>
      <c r="X684" s="15">
        <v>10</v>
      </c>
      <c r="Y684" s="8">
        <v>8.5</v>
      </c>
      <c r="Z684" s="21">
        <f>grand[[#This Row],[av. Transportation loss]]/grand[[#This Row],[av.total weight]]</f>
        <v>5.8086439418073697E-2</v>
      </c>
      <c r="AA684" s="12">
        <f>AVERAGE((grand[[#This Row],[am]]/25),(grand[[#This Row],[pm]]/50))</f>
        <v>0.93937500000000007</v>
      </c>
      <c r="AB684" s="23">
        <f>grand[[#This Row],[ carcass weight]]/grand[[#This Row],[total weight]]</f>
        <v>0.6216098545184241</v>
      </c>
      <c r="AC684" s="24">
        <f>SUM(grand[[#This Row],[am]:[meat transportation]])/100</f>
        <v>0.87749999999999995</v>
      </c>
      <c r="AD684" s="2" t="s">
        <v>113</v>
      </c>
      <c r="AJ684" s="1">
        <v>7</v>
      </c>
      <c r="AK684" s="20"/>
      <c r="AL684" s="1">
        <v>7</v>
      </c>
    </row>
    <row r="685" spans="1:38" hidden="1" x14ac:dyDescent="0.2">
      <c r="A685" s="11">
        <v>44941</v>
      </c>
      <c r="B685" s="53" t="s">
        <v>1775</v>
      </c>
      <c r="C685" s="52" t="str">
        <f>IF(MID(B685,4,2)="09","Ramadan",IF(AND(MID(B685,4,2)="12",VALUE(LEFT(B685,2))&lt;=9),"Adha Season","Normal"))</f>
        <v>Normal</v>
      </c>
      <c r="D685" s="1" t="s">
        <v>45</v>
      </c>
      <c r="E685" s="1" t="s">
        <v>530</v>
      </c>
      <c r="F685" s="4" t="s">
        <v>39</v>
      </c>
      <c r="G685" s="1">
        <v>26</v>
      </c>
      <c r="H685" s="15">
        <v>26</v>
      </c>
      <c r="I685" s="1">
        <f>grand[[#This Row],[number]]-grand[[#This Row],[received]]</f>
        <v>0</v>
      </c>
      <c r="J685" s="30"/>
      <c r="K685" s="2">
        <v>14101</v>
      </c>
      <c r="L685" s="2">
        <v>14101</v>
      </c>
      <c r="M685" s="2">
        <f>K685-L685</f>
        <v>0</v>
      </c>
      <c r="N685" s="2">
        <v>8297.4</v>
      </c>
      <c r="O685" s="2">
        <v>144</v>
      </c>
      <c r="P685" s="7">
        <f>grand[[#This Row],[total weight]]/grand[[#This Row],[received]]</f>
        <v>542.34615384615381</v>
      </c>
      <c r="Q685" s="7">
        <f>grand[[#This Row],[receiving weight]]/grand[[#This Row],[received]]</f>
        <v>542.34615384615381</v>
      </c>
      <c r="R685" s="7">
        <f>grand[[#This Row],[transportation loss ]]/grand[[#This Row],[received]]</f>
        <v>0</v>
      </c>
      <c r="S685" s="7">
        <f>grand[[#This Row],[ carcass weight]]/grand[[#This Row],[received]]</f>
        <v>319.1307692307692</v>
      </c>
      <c r="T685" s="7">
        <f>grand[[#This Row],[ kidneys fat quantity]]/grand[[#This Row],[received]]</f>
        <v>5.5384615384615383</v>
      </c>
      <c r="U685" s="15">
        <v>25</v>
      </c>
      <c r="V685" s="15">
        <v>0</v>
      </c>
      <c r="W685" s="15">
        <v>46.192307692307693</v>
      </c>
      <c r="X685" s="15">
        <v>10</v>
      </c>
      <c r="Y685" s="8">
        <v>8.5</v>
      </c>
      <c r="Z685" s="21">
        <f>grand[[#This Row],[av. Transportation loss]]/grand[[#This Row],[av.total weight]]</f>
        <v>0</v>
      </c>
      <c r="AA685" s="12">
        <f>AVERAGE((grand[[#This Row],[am]]/25),(grand[[#This Row],[pm]]/50))</f>
        <v>0.96192307692307688</v>
      </c>
      <c r="AB685" s="23">
        <f>grand[[#This Row],[ carcass weight]]/grand[[#This Row],[total weight]]</f>
        <v>0.58842635274094035</v>
      </c>
      <c r="AC685" s="24">
        <f>SUM(grand[[#This Row],[am]:[meat transportation]])/100</f>
        <v>0.89692307692307693</v>
      </c>
      <c r="AD685" s="2"/>
      <c r="AJ685" s="1">
        <v>0</v>
      </c>
      <c r="AK685" s="20"/>
      <c r="AL685" s="1">
        <v>0</v>
      </c>
    </row>
    <row r="686" spans="1:38" hidden="1" x14ac:dyDescent="0.2">
      <c r="A686" s="11">
        <v>44941</v>
      </c>
      <c r="B686" s="53" t="s">
        <v>1775</v>
      </c>
      <c r="C686" s="52" t="str">
        <f>IF(MID(B686,4,2)="09","Ramadan",IF(AND(MID(B686,4,2)="12",VALUE(LEFT(B686,2))&lt;=9),"Adha Season","Normal"))</f>
        <v>Normal</v>
      </c>
      <c r="D686" s="1" t="s">
        <v>45</v>
      </c>
      <c r="E686" s="1" t="s">
        <v>483</v>
      </c>
      <c r="F686" s="4" t="s">
        <v>39</v>
      </c>
      <c r="G686" s="1">
        <v>9</v>
      </c>
      <c r="H686" s="15">
        <v>9</v>
      </c>
      <c r="I686" s="1">
        <f>grand[[#This Row],[number]]-grand[[#This Row],[received]]</f>
        <v>0</v>
      </c>
      <c r="J686" s="30"/>
      <c r="K686" s="2">
        <v>4379</v>
      </c>
      <c r="L686" s="2">
        <v>4379</v>
      </c>
      <c r="M686" s="2">
        <f>K686-L686</f>
        <v>0</v>
      </c>
      <c r="N686" s="2">
        <v>2711.35</v>
      </c>
      <c r="O686" s="2">
        <v>119</v>
      </c>
      <c r="P686" s="7">
        <f>grand[[#This Row],[total weight]]/grand[[#This Row],[received]]</f>
        <v>486.55555555555554</v>
      </c>
      <c r="Q686" s="7">
        <f>grand[[#This Row],[receiving weight]]/grand[[#This Row],[received]]</f>
        <v>486.55555555555554</v>
      </c>
      <c r="R686" s="7">
        <f>grand[[#This Row],[transportation loss ]]/grand[[#This Row],[received]]</f>
        <v>0</v>
      </c>
      <c r="S686" s="7">
        <f>grand[[#This Row],[ carcass weight]]/grand[[#This Row],[received]]</f>
        <v>301.26111111111112</v>
      </c>
      <c r="T686" s="7">
        <f>grand[[#This Row],[ kidneys fat quantity]]/grand[[#This Row],[received]]</f>
        <v>13.222222222222221</v>
      </c>
      <c r="U686" s="15">
        <v>25</v>
      </c>
      <c r="V686" s="15">
        <v>0</v>
      </c>
      <c r="W686" s="15">
        <v>48.888888888888886</v>
      </c>
      <c r="X686" s="15">
        <v>10</v>
      </c>
      <c r="Y686" s="8">
        <v>8.5</v>
      </c>
      <c r="Z686" s="21">
        <f>grand[[#This Row],[av. Transportation loss]]/grand[[#This Row],[av.total weight]]</f>
        <v>0</v>
      </c>
      <c r="AA686" s="12">
        <f>AVERAGE((grand[[#This Row],[am]]/25),(grand[[#This Row],[pm]]/50))</f>
        <v>0.98888888888888893</v>
      </c>
      <c r="AB686" s="23">
        <f>grand[[#This Row],[ carcass weight]]/grand[[#This Row],[total weight]]</f>
        <v>0.61917104361726416</v>
      </c>
      <c r="AC686" s="24">
        <f>SUM(grand[[#This Row],[am]:[meat transportation]])/100</f>
        <v>0.92388888888888887</v>
      </c>
      <c r="AD686" s="2"/>
      <c r="AJ686" s="1">
        <v>4</v>
      </c>
      <c r="AK686" s="20"/>
      <c r="AL686" s="1">
        <v>9</v>
      </c>
    </row>
    <row r="687" spans="1:38" hidden="1" x14ac:dyDescent="0.2">
      <c r="A687" s="11">
        <v>44943</v>
      </c>
      <c r="B687" s="53" t="s">
        <v>1776</v>
      </c>
      <c r="C687" s="52" t="str">
        <f>IF(MID(B687,4,2)="09","Ramadan",IF(AND(MID(B687,4,2)="12",VALUE(LEFT(B687,2))&lt;=9),"Adha Season","Normal"))</f>
        <v>Normal</v>
      </c>
      <c r="D687" s="1" t="s">
        <v>45</v>
      </c>
      <c r="E687" s="1" t="s">
        <v>483</v>
      </c>
      <c r="F687" s="4" t="s">
        <v>280</v>
      </c>
      <c r="G687" s="1">
        <v>24</v>
      </c>
      <c r="H687" s="15">
        <v>24</v>
      </c>
      <c r="I687" s="1">
        <f>grand[[#This Row],[number]]-grand[[#This Row],[received]]</f>
        <v>0</v>
      </c>
      <c r="J687" s="30"/>
      <c r="K687" s="2">
        <v>11522</v>
      </c>
      <c r="L687" s="2">
        <v>11080</v>
      </c>
      <c r="M687" s="2">
        <f>K687-L687</f>
        <v>442</v>
      </c>
      <c r="N687" s="2">
        <v>6971.95</v>
      </c>
      <c r="O687" s="2">
        <v>242</v>
      </c>
      <c r="P687" s="7">
        <f>grand[[#This Row],[total weight]]/grand[[#This Row],[received]]</f>
        <v>480.08333333333331</v>
      </c>
      <c r="Q687" s="7">
        <f>grand[[#This Row],[receiving weight]]/grand[[#This Row],[received]]</f>
        <v>461.66666666666669</v>
      </c>
      <c r="R687" s="7">
        <f>grand[[#This Row],[transportation loss ]]/grand[[#This Row],[received]]</f>
        <v>18.416666666666668</v>
      </c>
      <c r="S687" s="7">
        <f>grand[[#This Row],[ carcass weight]]/grand[[#This Row],[received]]</f>
        <v>290.49791666666664</v>
      </c>
      <c r="T687" s="7">
        <f>grand[[#This Row],[ kidneys fat quantity]]/grand[[#This Row],[received]]</f>
        <v>10.083333333333334</v>
      </c>
      <c r="U687" s="15">
        <v>25</v>
      </c>
      <c r="V687" s="15">
        <v>0</v>
      </c>
      <c r="W687" s="15">
        <v>49.416666666666671</v>
      </c>
      <c r="X687" s="15">
        <v>10</v>
      </c>
      <c r="Y687" s="8">
        <v>8.5</v>
      </c>
      <c r="Z687" s="21">
        <f>grand[[#This Row],[av. Transportation loss]]/grand[[#This Row],[av.total weight]]</f>
        <v>3.8361395591043228E-2</v>
      </c>
      <c r="AA687" s="12">
        <f>AVERAGE((grand[[#This Row],[am]]/25),(grand[[#This Row],[pm]]/50))</f>
        <v>0.99416666666666664</v>
      </c>
      <c r="AB687" s="23">
        <f>grand[[#This Row],[ carcass weight]]/grand[[#This Row],[total weight]]</f>
        <v>0.60509894115604923</v>
      </c>
      <c r="AC687" s="24">
        <f>SUM(grand[[#This Row],[am]:[meat transportation]])/100</f>
        <v>0.9291666666666667</v>
      </c>
      <c r="AD687" s="2" t="s">
        <v>214</v>
      </c>
      <c r="AJ687" s="1">
        <v>5</v>
      </c>
      <c r="AK687" s="20"/>
      <c r="AL687" s="1">
        <v>8</v>
      </c>
    </row>
    <row r="688" spans="1:38" hidden="1" x14ac:dyDescent="0.2">
      <c r="A688" s="11">
        <v>44947</v>
      </c>
      <c r="B688" s="53" t="s">
        <v>1778</v>
      </c>
      <c r="C688" s="52" t="str">
        <f>IF(MID(B688,4,2)="09","Ramadan",IF(AND(MID(B688,4,2)="12",VALUE(LEFT(B688,2))&lt;=9),"Adha Season","Normal"))</f>
        <v>Normal</v>
      </c>
      <c r="D688" s="1" t="s">
        <v>45</v>
      </c>
      <c r="E688" s="1" t="s">
        <v>528</v>
      </c>
      <c r="F688" s="4" t="s">
        <v>462</v>
      </c>
      <c r="G688" s="1">
        <v>50</v>
      </c>
      <c r="H688" s="15">
        <v>50</v>
      </c>
      <c r="I688" s="1">
        <f>grand[[#This Row],[number]]-grand[[#This Row],[received]]</f>
        <v>0</v>
      </c>
      <c r="J688" s="30"/>
      <c r="K688" s="2">
        <v>22978.006329113901</v>
      </c>
      <c r="L688" s="2">
        <v>22978.006329113901</v>
      </c>
      <c r="M688" s="2">
        <f>K688-L688</f>
        <v>0</v>
      </c>
      <c r="N688" s="2">
        <v>14522.1</v>
      </c>
      <c r="O688" s="2"/>
      <c r="P688" s="7">
        <f>grand[[#This Row],[total weight]]/grand[[#This Row],[received]]</f>
        <v>459.56012658227803</v>
      </c>
      <c r="Q688" s="7">
        <f>grand[[#This Row],[receiving weight]]/grand[[#This Row],[received]]</f>
        <v>459.56012658227803</v>
      </c>
      <c r="R688" s="7">
        <f>grand[[#This Row],[transportation loss ]]/grand[[#This Row],[received]]</f>
        <v>0</v>
      </c>
      <c r="S688" s="7">
        <f>grand[[#This Row],[ carcass weight]]/grand[[#This Row],[received]]</f>
        <v>290.44200000000001</v>
      </c>
      <c r="T688" s="7">
        <f>grand[[#This Row],[ kidneys fat quantity]]/grand[[#This Row],[received]]</f>
        <v>0</v>
      </c>
      <c r="U688" s="15">
        <v>25</v>
      </c>
      <c r="V688" s="15">
        <v>5</v>
      </c>
      <c r="W688" s="15">
        <v>49.160000000000004</v>
      </c>
      <c r="X688" s="15">
        <v>10</v>
      </c>
      <c r="Y688" s="8">
        <v>8.5</v>
      </c>
      <c r="Z688" s="21">
        <f>grand[[#This Row],[av. Transportation loss]]/grand[[#This Row],[av.total weight]]</f>
        <v>0</v>
      </c>
      <c r="AA688" s="12">
        <f>AVERAGE((grand[[#This Row],[am]]/25),(grand[[#This Row],[pm]]/50))</f>
        <v>0.99160000000000004</v>
      </c>
      <c r="AB688" s="23">
        <f>grand[[#This Row],[ carcass weight]]/grand[[#This Row],[total weight]]</f>
        <v>0.63200000000000067</v>
      </c>
      <c r="AC688" s="24">
        <f>SUM(grand[[#This Row],[am]:[meat transportation]])/100</f>
        <v>0.97659999999999991</v>
      </c>
      <c r="AD688" s="2" t="s">
        <v>533</v>
      </c>
      <c r="AJ688" s="1">
        <v>0</v>
      </c>
      <c r="AK688" s="20"/>
      <c r="AL688" s="1">
        <v>0</v>
      </c>
    </row>
    <row r="689" spans="1:38" hidden="1" x14ac:dyDescent="0.2">
      <c r="A689" s="11">
        <v>44948</v>
      </c>
      <c r="B689" s="53" t="s">
        <v>1779</v>
      </c>
      <c r="C689" s="52" t="str">
        <f>IF(MID(B689,4,2)="09","Ramadan",IF(AND(MID(B689,4,2)="12",VALUE(LEFT(B689,2))&lt;=9),"Adha Season","Normal"))</f>
        <v>Normal</v>
      </c>
      <c r="D689" s="1" t="s">
        <v>45</v>
      </c>
      <c r="E689" s="1" t="s">
        <v>528</v>
      </c>
      <c r="F689" s="4" t="s">
        <v>462</v>
      </c>
      <c r="G689" s="1">
        <v>32</v>
      </c>
      <c r="H689" s="15">
        <v>32</v>
      </c>
      <c r="I689" s="1">
        <f>grand[[#This Row],[number]]-grand[[#This Row],[received]]</f>
        <v>0</v>
      </c>
      <c r="J689" s="30"/>
      <c r="K689" s="2">
        <v>13731.329113924099</v>
      </c>
      <c r="L689" s="2">
        <v>13731.329113924099</v>
      </c>
      <c r="M689" s="2">
        <f>K689-L689</f>
        <v>0</v>
      </c>
      <c r="N689" s="2">
        <v>8678.2000000000007</v>
      </c>
      <c r="O689" s="2"/>
      <c r="P689" s="7">
        <f>grand[[#This Row],[total weight]]/grand[[#This Row],[received]]</f>
        <v>429.1040348101281</v>
      </c>
      <c r="Q689" s="7">
        <f>grand[[#This Row],[receiving weight]]/grand[[#This Row],[received]]</f>
        <v>429.1040348101281</v>
      </c>
      <c r="R689" s="7">
        <f>grand[[#This Row],[transportation loss ]]/grand[[#This Row],[received]]</f>
        <v>0</v>
      </c>
      <c r="S689" s="7">
        <f>grand[[#This Row],[ carcass weight]]/grand[[#This Row],[received]]</f>
        <v>271.19375000000002</v>
      </c>
      <c r="T689" s="7">
        <f>grand[[#This Row],[ kidneys fat quantity]]/grand[[#This Row],[received]]</f>
        <v>0</v>
      </c>
      <c r="U689" s="15">
        <v>25</v>
      </c>
      <c r="V689" s="15">
        <v>5</v>
      </c>
      <c r="W689" s="15">
        <v>50</v>
      </c>
      <c r="X689" s="15">
        <v>10</v>
      </c>
      <c r="Y689" s="8">
        <v>8.5</v>
      </c>
      <c r="Z689" s="21">
        <f>grand[[#This Row],[av. Transportation loss]]/grand[[#This Row],[av.total weight]]</f>
        <v>0</v>
      </c>
      <c r="AA689" s="12">
        <f>AVERAGE((grand[[#This Row],[am]]/25),(grand[[#This Row],[pm]]/50))</f>
        <v>1</v>
      </c>
      <c r="AB689" s="23">
        <f>grand[[#This Row],[ carcass weight]]/grand[[#This Row],[total weight]]</f>
        <v>0.63199999999999779</v>
      </c>
      <c r="AC689" s="24">
        <f>SUM(grand[[#This Row],[am]:[meat transportation]])/100</f>
        <v>0.98499999999999999</v>
      </c>
      <c r="AD689" s="2"/>
      <c r="AK689" s="20"/>
      <c r="AL689" s="1">
        <v>0</v>
      </c>
    </row>
    <row r="690" spans="1:38" hidden="1" x14ac:dyDescent="0.2">
      <c r="A690" s="11">
        <v>44949</v>
      </c>
      <c r="B690" s="53" t="s">
        <v>1780</v>
      </c>
      <c r="C690" s="52" t="str">
        <f>IF(MID(B690,4,2)="09","Ramadan",IF(AND(MID(B690,4,2)="12",VALUE(LEFT(B690,2))&lt;=9),"Adha Season","Normal"))</f>
        <v>Normal</v>
      </c>
      <c r="D690" s="1" t="s">
        <v>45</v>
      </c>
      <c r="E690" s="1" t="s">
        <v>528</v>
      </c>
      <c r="F690" s="4" t="s">
        <v>462</v>
      </c>
      <c r="G690" s="1">
        <v>50</v>
      </c>
      <c r="H690" s="15">
        <v>50</v>
      </c>
      <c r="I690" s="1">
        <f>grand[[#This Row],[number]]-grand[[#This Row],[received]]</f>
        <v>0</v>
      </c>
      <c r="J690" s="30"/>
      <c r="K690" s="2">
        <v>21170.886075949398</v>
      </c>
      <c r="L690" s="2">
        <v>21170.886075949398</v>
      </c>
      <c r="M690" s="2">
        <f>K690-L690</f>
        <v>0</v>
      </c>
      <c r="N690" s="2">
        <v>13380</v>
      </c>
      <c r="O690" s="2"/>
      <c r="P690" s="7">
        <f>grand[[#This Row],[total weight]]/grand[[#This Row],[received]]</f>
        <v>423.41772151898795</v>
      </c>
      <c r="Q690" s="7">
        <f>grand[[#This Row],[receiving weight]]/grand[[#This Row],[received]]</f>
        <v>423.41772151898795</v>
      </c>
      <c r="R690" s="7">
        <f>grand[[#This Row],[transportation loss ]]/grand[[#This Row],[received]]</f>
        <v>0</v>
      </c>
      <c r="S690" s="7">
        <f>grand[[#This Row],[ carcass weight]]/grand[[#This Row],[received]]</f>
        <v>267.60000000000002</v>
      </c>
      <c r="T690" s="7">
        <f>grand[[#This Row],[ kidneys fat quantity]]/grand[[#This Row],[received]]</f>
        <v>0</v>
      </c>
      <c r="U690" s="15">
        <v>25</v>
      </c>
      <c r="V690" s="15">
        <v>5</v>
      </c>
      <c r="W690" s="15">
        <v>49.96</v>
      </c>
      <c r="X690" s="15">
        <v>9.9</v>
      </c>
      <c r="Y690" s="8">
        <v>8.5</v>
      </c>
      <c r="Z690" s="21">
        <f>grand[[#This Row],[av. Transportation loss]]/grand[[#This Row],[av.total weight]]</f>
        <v>0</v>
      </c>
      <c r="AA690" s="12">
        <f>AVERAGE((grand[[#This Row],[am]]/25),(grand[[#This Row],[pm]]/50))</f>
        <v>0.99960000000000004</v>
      </c>
      <c r="AB690" s="23">
        <f>grand[[#This Row],[ carcass weight]]/grand[[#This Row],[total weight]]</f>
        <v>0.63199999999999912</v>
      </c>
      <c r="AC690" s="24">
        <f>SUM(grand[[#This Row],[am]:[meat transportation]])/100</f>
        <v>0.98360000000000014</v>
      </c>
      <c r="AD690" s="2"/>
      <c r="AK690" s="20"/>
      <c r="AL690" s="1">
        <v>0</v>
      </c>
    </row>
    <row r="691" spans="1:38" hidden="1" x14ac:dyDescent="0.2">
      <c r="A691" s="11">
        <v>44952</v>
      </c>
      <c r="B691" s="53" t="s">
        <v>1782</v>
      </c>
      <c r="C691" s="52" t="str">
        <f>IF(MID(B691,4,2)="09","Ramadan",IF(AND(MID(B691,4,2)="12",VALUE(LEFT(B691,2))&lt;=9),"Adha Season","Normal"))</f>
        <v>Normal</v>
      </c>
      <c r="D691" s="1" t="s">
        <v>45</v>
      </c>
      <c r="E691" s="1" t="s">
        <v>530</v>
      </c>
      <c r="F691" s="4" t="s">
        <v>39</v>
      </c>
      <c r="G691" s="1">
        <v>19</v>
      </c>
      <c r="H691" s="15">
        <v>19</v>
      </c>
      <c r="I691" s="1">
        <f>grand[[#This Row],[number]]-grand[[#This Row],[received]]</f>
        <v>0</v>
      </c>
      <c r="J691" s="30"/>
      <c r="K691" s="2">
        <v>10484</v>
      </c>
      <c r="L691" s="2">
        <v>9885</v>
      </c>
      <c r="M691" s="2">
        <f>K691-L691</f>
        <v>599</v>
      </c>
      <c r="N691" s="2">
        <v>6039.6</v>
      </c>
      <c r="O691" s="2">
        <v>89</v>
      </c>
      <c r="P691" s="7">
        <f>grand[[#This Row],[total weight]]/grand[[#This Row],[received]]</f>
        <v>551.78947368421052</v>
      </c>
      <c r="Q691" s="7">
        <f>grand[[#This Row],[receiving weight]]/grand[[#This Row],[received]]</f>
        <v>520.26315789473688</v>
      </c>
      <c r="R691" s="7">
        <f>grand[[#This Row],[transportation loss ]]/grand[[#This Row],[received]]</f>
        <v>31.526315789473685</v>
      </c>
      <c r="S691" s="7">
        <f>grand[[#This Row],[ carcass weight]]/grand[[#This Row],[received]]</f>
        <v>317.87368421052633</v>
      </c>
      <c r="T691" s="7">
        <f>grand[[#This Row],[ kidneys fat quantity]]/grand[[#This Row],[received]]</f>
        <v>4.6842105263157894</v>
      </c>
      <c r="U691" s="15">
        <v>25</v>
      </c>
      <c r="V691" s="15">
        <v>0</v>
      </c>
      <c r="W691" s="15">
        <v>50</v>
      </c>
      <c r="X691" s="15">
        <v>10</v>
      </c>
      <c r="Y691" s="8">
        <v>8.5</v>
      </c>
      <c r="Z691" s="21">
        <f>grand[[#This Row],[av. Transportation loss]]/grand[[#This Row],[av.total weight]]</f>
        <v>5.7134681419305611E-2</v>
      </c>
      <c r="AA691" s="12">
        <f>AVERAGE((grand[[#This Row],[am]]/25),(grand[[#This Row],[pm]]/50))</f>
        <v>1</v>
      </c>
      <c r="AB691" s="23">
        <f>grand[[#This Row],[ carcass weight]]/grand[[#This Row],[total weight]]</f>
        <v>0.57607783288821068</v>
      </c>
      <c r="AC691" s="24">
        <f>SUM(grand[[#This Row],[am]:[meat transportation]])/100</f>
        <v>0.93500000000000005</v>
      </c>
      <c r="AD691" s="2"/>
      <c r="AK691" s="20"/>
      <c r="AL691" s="1">
        <v>0</v>
      </c>
    </row>
    <row r="692" spans="1:38" hidden="1" x14ac:dyDescent="0.2">
      <c r="A692" s="11">
        <v>44952</v>
      </c>
      <c r="B692" s="53" t="s">
        <v>1782</v>
      </c>
      <c r="C692" s="52" t="str">
        <f>IF(MID(B692,4,2)="09","Ramadan",IF(AND(MID(B692,4,2)="12",VALUE(LEFT(B692,2))&lt;=9),"Adha Season","Normal"))</f>
        <v>Normal</v>
      </c>
      <c r="D692" s="1" t="s">
        <v>45</v>
      </c>
      <c r="E692" s="1" t="s">
        <v>483</v>
      </c>
      <c r="F692" s="4" t="s">
        <v>39</v>
      </c>
      <c r="G692" s="1">
        <v>15</v>
      </c>
      <c r="H692" s="15">
        <v>15</v>
      </c>
      <c r="I692" s="1">
        <f>grand[[#This Row],[number]]-grand[[#This Row],[received]]</f>
        <v>0</v>
      </c>
      <c r="J692" s="30"/>
      <c r="K692" s="2">
        <v>6695</v>
      </c>
      <c r="L692" s="2">
        <v>6470</v>
      </c>
      <c r="M692" s="2">
        <f>K692-L692</f>
        <v>225</v>
      </c>
      <c r="N692" s="2">
        <v>4014</v>
      </c>
      <c r="O692" s="2">
        <v>118</v>
      </c>
      <c r="P692" s="7">
        <f>grand[[#This Row],[total weight]]/grand[[#This Row],[received]]</f>
        <v>446.33333333333331</v>
      </c>
      <c r="Q692" s="7">
        <f>grand[[#This Row],[receiving weight]]/grand[[#This Row],[received]]</f>
        <v>431.33333333333331</v>
      </c>
      <c r="R692" s="7">
        <f>grand[[#This Row],[transportation loss ]]/grand[[#This Row],[received]]</f>
        <v>15</v>
      </c>
      <c r="S692" s="7">
        <f>grand[[#This Row],[ carcass weight]]/grand[[#This Row],[received]]</f>
        <v>267.60000000000002</v>
      </c>
      <c r="T692" s="7">
        <f>grand[[#This Row],[ kidneys fat quantity]]/grand[[#This Row],[received]]</f>
        <v>7.8666666666666663</v>
      </c>
      <c r="U692" s="15">
        <v>25</v>
      </c>
      <c r="V692" s="15">
        <v>0</v>
      </c>
      <c r="W692" s="15">
        <v>50</v>
      </c>
      <c r="X692" s="15">
        <v>10</v>
      </c>
      <c r="Y692" s="8">
        <v>8.5</v>
      </c>
      <c r="Z692" s="21">
        <f>grand[[#This Row],[av. Transportation loss]]/grand[[#This Row],[av.total weight]]</f>
        <v>3.3607169529499631E-2</v>
      </c>
      <c r="AA692" s="12">
        <f>AVERAGE((grand[[#This Row],[am]]/25),(grand[[#This Row],[pm]]/50))</f>
        <v>1</v>
      </c>
      <c r="AB692" s="23">
        <f>grand[[#This Row],[ carcass weight]]/grand[[#This Row],[total weight]]</f>
        <v>0.59955190440627337</v>
      </c>
      <c r="AC692" s="24">
        <f>SUM(grand[[#This Row],[am]:[meat transportation]])/100</f>
        <v>0.93500000000000005</v>
      </c>
      <c r="AD692" s="2"/>
      <c r="AK692" s="20"/>
      <c r="AL692" s="1">
        <v>0</v>
      </c>
    </row>
    <row r="693" spans="1:38" hidden="1" x14ac:dyDescent="0.2">
      <c r="A693" s="11">
        <v>44954</v>
      </c>
      <c r="B693" s="53" t="s">
        <v>1783</v>
      </c>
      <c r="C693" s="52" t="str">
        <f>IF(MID(B693,4,2)="09","Ramadan",IF(AND(MID(B693,4,2)="12",VALUE(LEFT(B693,2))&lt;=9),"Adha Season","Normal"))</f>
        <v>Normal</v>
      </c>
      <c r="D693" s="1" t="s">
        <v>45</v>
      </c>
      <c r="E693" s="1" t="s">
        <v>530</v>
      </c>
      <c r="F693" s="4" t="s">
        <v>39</v>
      </c>
      <c r="G693" s="1">
        <v>12</v>
      </c>
      <c r="H693" s="15">
        <v>12</v>
      </c>
      <c r="I693" s="1">
        <f>grand[[#This Row],[number]]-grand[[#This Row],[received]]</f>
        <v>0</v>
      </c>
      <c r="J693" s="30"/>
      <c r="K693" s="2">
        <v>6094</v>
      </c>
      <c r="L693" s="2">
        <v>6094</v>
      </c>
      <c r="M693" s="2">
        <f>K693-L693</f>
        <v>0</v>
      </c>
      <c r="N693" s="2">
        <v>3529.3</v>
      </c>
      <c r="O693" s="2">
        <v>60</v>
      </c>
      <c r="P693" s="7">
        <f>grand[[#This Row],[total weight]]/grand[[#This Row],[received]]</f>
        <v>507.83333333333331</v>
      </c>
      <c r="Q693" s="7">
        <f>grand[[#This Row],[receiving weight]]/grand[[#This Row],[received]]</f>
        <v>507.83333333333331</v>
      </c>
      <c r="R693" s="7">
        <f>grand[[#This Row],[transportation loss ]]/grand[[#This Row],[received]]</f>
        <v>0</v>
      </c>
      <c r="S693" s="7">
        <f>grand[[#This Row],[ carcass weight]]/grand[[#This Row],[received]]</f>
        <v>294.10833333333335</v>
      </c>
      <c r="T693" s="7">
        <f>grand[[#This Row],[ kidneys fat quantity]]/grand[[#This Row],[received]]</f>
        <v>5</v>
      </c>
      <c r="U693" s="15">
        <v>25</v>
      </c>
      <c r="V693" s="15">
        <v>0</v>
      </c>
      <c r="W693" s="15">
        <v>48</v>
      </c>
      <c r="X693" s="15">
        <v>10</v>
      </c>
      <c r="Y693" s="8">
        <v>8.5</v>
      </c>
      <c r="Z693" s="21">
        <f>grand[[#This Row],[av. Transportation loss]]/grand[[#This Row],[av.total weight]]</f>
        <v>0</v>
      </c>
      <c r="AA693" s="12">
        <f>AVERAGE((grand[[#This Row],[am]]/25),(grand[[#This Row],[pm]]/50))</f>
        <v>0.98</v>
      </c>
      <c r="AB693" s="23">
        <f>grand[[#This Row],[ carcass weight]]/grand[[#This Row],[total weight]]</f>
        <v>0.57914341975713823</v>
      </c>
      <c r="AC693" s="24">
        <f>SUM(grand[[#This Row],[am]:[meat transportation]])/100</f>
        <v>0.91500000000000004</v>
      </c>
      <c r="AD693" s="2" t="s">
        <v>534</v>
      </c>
      <c r="AJ693" s="1">
        <v>0</v>
      </c>
      <c r="AK693" s="20"/>
      <c r="AL693" s="1">
        <v>0</v>
      </c>
    </row>
    <row r="694" spans="1:38" hidden="1" x14ac:dyDescent="0.2">
      <c r="A694" s="11">
        <v>44954</v>
      </c>
      <c r="B694" s="53" t="s">
        <v>1783</v>
      </c>
      <c r="C694" s="52" t="str">
        <f>IF(MID(B694,4,2)="09","Ramadan",IF(AND(MID(B694,4,2)="12",VALUE(LEFT(B694,2))&lt;=9),"Adha Season","Normal"))</f>
        <v>Normal</v>
      </c>
      <c r="D694" s="1" t="s">
        <v>45</v>
      </c>
      <c r="E694" s="1" t="s">
        <v>483</v>
      </c>
      <c r="F694" s="4" t="s">
        <v>39</v>
      </c>
      <c r="G694" s="1">
        <v>26</v>
      </c>
      <c r="H694" s="15">
        <v>26</v>
      </c>
      <c r="I694" s="1">
        <f>grand[[#This Row],[number]]-grand[[#This Row],[received]]</f>
        <v>0</v>
      </c>
      <c r="J694" s="30"/>
      <c r="K694" s="2">
        <v>10772</v>
      </c>
      <c r="L694" s="2">
        <v>10772</v>
      </c>
      <c r="M694" s="2">
        <f>K694-L694</f>
        <v>0</v>
      </c>
      <c r="N694" s="2">
        <v>6629.9</v>
      </c>
      <c r="O694" s="2">
        <v>210</v>
      </c>
      <c r="P694" s="7">
        <f>grand[[#This Row],[total weight]]/grand[[#This Row],[received]]</f>
        <v>414.30769230769232</v>
      </c>
      <c r="Q694" s="7">
        <f>grand[[#This Row],[receiving weight]]/grand[[#This Row],[received]]</f>
        <v>414.30769230769232</v>
      </c>
      <c r="R694" s="7">
        <f>grand[[#This Row],[transportation loss ]]/grand[[#This Row],[received]]</f>
        <v>0</v>
      </c>
      <c r="S694" s="7">
        <f>grand[[#This Row],[ carcass weight]]/grand[[#This Row],[received]]</f>
        <v>254.99615384615385</v>
      </c>
      <c r="T694" s="7">
        <f>grand[[#This Row],[ kidneys fat quantity]]/grand[[#This Row],[received]]</f>
        <v>8.0769230769230766</v>
      </c>
      <c r="U694" s="15">
        <v>25</v>
      </c>
      <c r="V694" s="15">
        <v>0</v>
      </c>
      <c r="W694" s="15">
        <v>48.923076923076927</v>
      </c>
      <c r="X694" s="15">
        <v>10</v>
      </c>
      <c r="Y694" s="8">
        <v>8.5</v>
      </c>
      <c r="Z694" s="21">
        <f>grand[[#This Row],[av. Transportation loss]]/grand[[#This Row],[av.total weight]]</f>
        <v>0</v>
      </c>
      <c r="AA694" s="12">
        <f>AVERAGE((grand[[#This Row],[am]]/25),(grand[[#This Row],[pm]]/50))</f>
        <v>0.98923076923076925</v>
      </c>
      <c r="AB694" s="23">
        <f>grand[[#This Row],[ carcass weight]]/grand[[#This Row],[total weight]]</f>
        <v>0.61547530634979575</v>
      </c>
      <c r="AC694" s="24">
        <f>SUM(grand[[#This Row],[am]:[meat transportation]])/100</f>
        <v>0.9242307692307693</v>
      </c>
      <c r="AD694" s="2" t="s">
        <v>535</v>
      </c>
      <c r="AJ694" s="1">
        <v>0</v>
      </c>
      <c r="AK694" s="20"/>
      <c r="AL694" s="1">
        <v>0</v>
      </c>
    </row>
    <row r="695" spans="1:38" hidden="1" x14ac:dyDescent="0.2">
      <c r="A695" s="11">
        <v>44955</v>
      </c>
      <c r="B695" s="53" t="s">
        <v>1784</v>
      </c>
      <c r="C695" s="52" t="str">
        <f>IF(MID(B695,4,2)="09","Ramadan",IF(AND(MID(B695,4,2)="12",VALUE(LEFT(B695,2))&lt;=9),"Adha Season","Normal"))</f>
        <v>Normal</v>
      </c>
      <c r="D695" s="1" t="s">
        <v>45</v>
      </c>
      <c r="E695" s="1" t="s">
        <v>528</v>
      </c>
      <c r="F695" s="4" t="s">
        <v>462</v>
      </c>
      <c r="G695" s="1">
        <v>50</v>
      </c>
      <c r="H695" s="15">
        <v>50</v>
      </c>
      <c r="I695" s="1">
        <f>grand[[#This Row],[number]]-grand[[#This Row],[received]]</f>
        <v>0</v>
      </c>
      <c r="J695" s="30"/>
      <c r="K695" s="2">
        <v>20127.215189873401</v>
      </c>
      <c r="L695" s="2">
        <v>20127.215189873401</v>
      </c>
      <c r="M695" s="2">
        <f>K695-L695</f>
        <v>0</v>
      </c>
      <c r="N695" s="2">
        <v>12720.4</v>
      </c>
      <c r="O695" s="2"/>
      <c r="P695" s="7">
        <f>grand[[#This Row],[total weight]]/grand[[#This Row],[received]]</f>
        <v>402.54430379746805</v>
      </c>
      <c r="Q695" s="7">
        <f>grand[[#This Row],[receiving weight]]/grand[[#This Row],[received]]</f>
        <v>402.54430379746805</v>
      </c>
      <c r="R695" s="7">
        <f>grand[[#This Row],[transportation loss ]]/grand[[#This Row],[received]]</f>
        <v>0</v>
      </c>
      <c r="S695" s="7">
        <f>grand[[#This Row],[ carcass weight]]/grand[[#This Row],[received]]</f>
        <v>254.40799999999999</v>
      </c>
      <c r="T695" s="7">
        <f>grand[[#This Row],[ kidneys fat quantity]]/grand[[#This Row],[received]]</f>
        <v>0</v>
      </c>
      <c r="U695" s="15">
        <v>25</v>
      </c>
      <c r="V695" s="15">
        <v>5</v>
      </c>
      <c r="W695" s="15">
        <v>49.459999999999994</v>
      </c>
      <c r="X695" s="15">
        <v>9.9</v>
      </c>
      <c r="Y695" s="8">
        <v>8.26</v>
      </c>
      <c r="Z695" s="21">
        <f>grand[[#This Row],[av. Transportation loss]]/grand[[#This Row],[av.total weight]]</f>
        <v>0</v>
      </c>
      <c r="AA695" s="12">
        <f>AVERAGE((grand[[#This Row],[am]]/25),(grand[[#This Row],[pm]]/50))</f>
        <v>0.99459999999999993</v>
      </c>
      <c r="AB695" s="23">
        <f>grand[[#This Row],[ carcass weight]]/grand[[#This Row],[total weight]]</f>
        <v>0.63200000000000056</v>
      </c>
      <c r="AC695" s="24">
        <f>SUM(grand[[#This Row],[am]:[meat transportation]])/100</f>
        <v>0.97620000000000007</v>
      </c>
      <c r="AD695" s="2" t="s">
        <v>536</v>
      </c>
      <c r="AJ695" s="1">
        <v>1</v>
      </c>
      <c r="AK695" s="20"/>
      <c r="AL695" s="1">
        <v>0</v>
      </c>
    </row>
    <row r="696" spans="1:38" hidden="1" x14ac:dyDescent="0.2">
      <c r="A696" s="11">
        <v>44961</v>
      </c>
      <c r="B696" s="53" t="s">
        <v>1788</v>
      </c>
      <c r="C696" s="52" t="str">
        <f>IF(MID(B696,4,2)="09","Ramadan",IF(AND(MID(B696,4,2)="12",VALUE(LEFT(B696,2))&lt;=9),"Adha Season","Normal"))</f>
        <v>Normal</v>
      </c>
      <c r="D696" s="1" t="s">
        <v>45</v>
      </c>
      <c r="E696" s="1" t="s">
        <v>528</v>
      </c>
      <c r="F696" s="4" t="s">
        <v>462</v>
      </c>
      <c r="G696" s="1">
        <v>50</v>
      </c>
      <c r="H696" s="15">
        <v>50</v>
      </c>
      <c r="I696" s="1">
        <f>grand[[#This Row],[number]]-grand[[#This Row],[received]]</f>
        <v>0</v>
      </c>
      <c r="J696" s="30"/>
      <c r="K696" s="2">
        <f>13371.9*100/63.2</f>
        <v>21158.069620253165</v>
      </c>
      <c r="L696" s="2">
        <f>13371.9*100/63.2</f>
        <v>21158.069620253165</v>
      </c>
      <c r="M696" s="2">
        <f>K696-L696</f>
        <v>0</v>
      </c>
      <c r="N696" s="2">
        <v>13372</v>
      </c>
      <c r="O696" s="2">
        <v>0</v>
      </c>
      <c r="P696" s="7">
        <f>grand[[#This Row],[total weight]]/grand[[#This Row],[received]]</f>
        <v>423.16139240506328</v>
      </c>
      <c r="Q696" s="7">
        <f>grand[[#This Row],[receiving weight]]/grand[[#This Row],[received]]</f>
        <v>423.16139240506328</v>
      </c>
      <c r="R696" s="7">
        <f>grand[[#This Row],[transportation loss ]]/grand[[#This Row],[received]]</f>
        <v>0</v>
      </c>
      <c r="S696" s="7">
        <f>grand[[#This Row],[ carcass weight]]/grand[[#This Row],[received]]</f>
        <v>267.44</v>
      </c>
      <c r="T696" s="7">
        <f>grand[[#This Row],[ kidneys fat quantity]]/grand[[#This Row],[received]]</f>
        <v>0</v>
      </c>
      <c r="U696" s="1">
        <v>25</v>
      </c>
      <c r="V696" s="1">
        <v>4</v>
      </c>
      <c r="W696" s="1">
        <v>47</v>
      </c>
      <c r="X696" s="1">
        <v>10</v>
      </c>
      <c r="Y696" s="1">
        <v>8.5</v>
      </c>
      <c r="Z696" s="18">
        <f>grand[[#This Row],[av. Transportation loss]]/grand[[#This Row],[av.total weight]]</f>
        <v>0</v>
      </c>
      <c r="AA696" s="12">
        <f>AVERAGE((grand[[#This Row],[am]]/25),(grand[[#This Row],[pm]]/50))</f>
        <v>0.97</v>
      </c>
      <c r="AB696" s="3">
        <f>grand[[#This Row],[ carcass weight]]/grand[[#This Row],[total weight]]</f>
        <v>0.6320047263290931</v>
      </c>
      <c r="AC696" s="18">
        <f>SUM(grand[[#This Row],[am]:[meat transportation]])/100</f>
        <v>0.94499999999999995</v>
      </c>
      <c r="AJ696" s="1">
        <v>0</v>
      </c>
      <c r="AK696" s="1"/>
      <c r="AL696" s="1"/>
    </row>
    <row r="697" spans="1:38" hidden="1" x14ac:dyDescent="0.2">
      <c r="A697" s="11">
        <v>44965</v>
      </c>
      <c r="B697" s="53" t="s">
        <v>1790</v>
      </c>
      <c r="C697" s="52" t="str">
        <f>IF(MID(B697,4,2)="09","Ramadan",IF(AND(MID(B697,4,2)="12",VALUE(LEFT(B697,2))&lt;=9),"Adha Season","Normal"))</f>
        <v>Normal</v>
      </c>
      <c r="D697" s="1" t="s">
        <v>45</v>
      </c>
      <c r="E697" s="1" t="s">
        <v>483</v>
      </c>
      <c r="F697" s="4" t="s">
        <v>280</v>
      </c>
      <c r="G697" s="1">
        <v>25</v>
      </c>
      <c r="H697" s="15">
        <v>25</v>
      </c>
      <c r="I697" s="1">
        <f>grand[[#This Row],[number]]-grand[[#This Row],[received]]</f>
        <v>0</v>
      </c>
      <c r="J697" s="30"/>
      <c r="K697" s="2">
        <v>12890</v>
      </c>
      <c r="L697" s="2">
        <v>12585</v>
      </c>
      <c r="M697" s="2">
        <f>K697-L697</f>
        <v>305</v>
      </c>
      <c r="N697" s="2">
        <v>7824.2</v>
      </c>
      <c r="O697" s="2">
        <v>287</v>
      </c>
      <c r="P697" s="7">
        <f>grand[[#This Row],[total weight]]/grand[[#This Row],[received]]</f>
        <v>515.6</v>
      </c>
      <c r="Q697" s="7">
        <f>grand[[#This Row],[receiving weight]]/grand[[#This Row],[received]]</f>
        <v>503.4</v>
      </c>
      <c r="R697" s="7">
        <f>grand[[#This Row],[transportation loss ]]/grand[[#This Row],[received]]</f>
        <v>12.2</v>
      </c>
      <c r="S697" s="7">
        <f>grand[[#This Row],[ carcass weight]]/grand[[#This Row],[received]]</f>
        <v>312.96800000000002</v>
      </c>
      <c r="T697" s="7">
        <f>grand[[#This Row],[ kidneys fat quantity]]/grand[[#This Row],[received]]</f>
        <v>11.48</v>
      </c>
      <c r="U697" s="1">
        <v>24.8</v>
      </c>
      <c r="V697" s="1">
        <v>0</v>
      </c>
      <c r="W697" s="1">
        <v>49.440000000000005</v>
      </c>
      <c r="X697" s="1">
        <v>9.8000000000000007</v>
      </c>
      <c r="Y697" s="1">
        <v>8.5</v>
      </c>
      <c r="Z697" s="18">
        <f>grand[[#This Row],[av. Transportation loss]]/grand[[#This Row],[av.total weight]]</f>
        <v>2.3661753297129554E-2</v>
      </c>
      <c r="AA697" s="12">
        <f>AVERAGE((grand[[#This Row],[am]]/25),(grand[[#This Row],[pm]]/50))</f>
        <v>0.99040000000000006</v>
      </c>
      <c r="AB697" s="3">
        <f>grand[[#This Row],[ carcass weight]]/grand[[#This Row],[total weight]]</f>
        <v>0.60699767261442983</v>
      </c>
      <c r="AC697" s="18">
        <f>SUM(grand[[#This Row],[am]:[meat transportation]])/100</f>
        <v>0.92540000000000011</v>
      </c>
      <c r="AD697" s="1" t="s">
        <v>543</v>
      </c>
      <c r="AJ697" s="1">
        <v>13</v>
      </c>
      <c r="AK697" s="1"/>
      <c r="AL697" s="1"/>
    </row>
    <row r="698" spans="1:38" hidden="1" x14ac:dyDescent="0.2">
      <c r="A698" s="11">
        <v>44969</v>
      </c>
      <c r="B698" s="53" t="s">
        <v>1793</v>
      </c>
      <c r="C698" s="52" t="str">
        <f>IF(MID(B698,4,2)="09","Ramadan",IF(AND(MID(B698,4,2)="12",VALUE(LEFT(B698,2))&lt;=9),"Adha Season","Normal"))</f>
        <v>Normal</v>
      </c>
      <c r="D698" s="1" t="s">
        <v>45</v>
      </c>
      <c r="E698" s="1" t="s">
        <v>483</v>
      </c>
      <c r="F698" s="4" t="s">
        <v>280</v>
      </c>
      <c r="G698" s="1">
        <v>21</v>
      </c>
      <c r="H698" s="15">
        <v>21</v>
      </c>
      <c r="I698" s="1">
        <f>grand[[#This Row],[number]]-grand[[#This Row],[received]]</f>
        <v>0</v>
      </c>
      <c r="J698" s="30"/>
      <c r="K698" s="2">
        <v>10380</v>
      </c>
      <c r="L698" s="2">
        <v>10380</v>
      </c>
      <c r="M698" s="2">
        <f>K698-L698</f>
        <v>0</v>
      </c>
      <c r="N698" s="2">
        <v>6277.3</v>
      </c>
      <c r="O698" s="2">
        <v>240</v>
      </c>
      <c r="P698" s="7">
        <f>grand[[#This Row],[total weight]]/grand[[#This Row],[received]]</f>
        <v>494.28571428571428</v>
      </c>
      <c r="Q698" s="7">
        <f>grand[[#This Row],[receiving weight]]/grand[[#This Row],[received]]</f>
        <v>494.28571428571428</v>
      </c>
      <c r="R698" s="7">
        <f>grand[[#This Row],[transportation loss ]]/grand[[#This Row],[received]]</f>
        <v>0</v>
      </c>
      <c r="S698" s="7">
        <f>grand[[#This Row],[ carcass weight]]/grand[[#This Row],[received]]</f>
        <v>298.9190476190476</v>
      </c>
      <c r="T698" s="7">
        <f>grand[[#This Row],[ kidneys fat quantity]]/grand[[#This Row],[received]]</f>
        <v>11.428571428571429</v>
      </c>
      <c r="U698" s="1">
        <v>24.761904761904763</v>
      </c>
      <c r="V698" s="1">
        <v>0</v>
      </c>
      <c r="W698" s="1">
        <v>50</v>
      </c>
      <c r="X698" s="1">
        <v>10</v>
      </c>
      <c r="Y698" s="1">
        <v>8.5</v>
      </c>
      <c r="Z698" s="18">
        <f>grand[[#This Row],[av. Transportation loss]]/grand[[#This Row],[av.total weight]]</f>
        <v>0</v>
      </c>
      <c r="AA698" s="12">
        <f>AVERAGE((grand[[#This Row],[am]]/25),(grand[[#This Row],[pm]]/50))</f>
        <v>0.99523809523809526</v>
      </c>
      <c r="AB698" s="3">
        <f>grand[[#This Row],[ carcass weight]]/grand[[#This Row],[total weight]]</f>
        <v>0.60474951830443158</v>
      </c>
      <c r="AC698" s="18">
        <f>SUM(grand[[#This Row],[am]:[meat transportation]])/100</f>
        <v>0.93261904761904757</v>
      </c>
      <c r="AJ698" s="1">
        <v>10</v>
      </c>
      <c r="AK698" s="1"/>
      <c r="AL698" s="1"/>
    </row>
    <row r="699" spans="1:38" hidden="1" x14ac:dyDescent="0.2">
      <c r="A699" s="11">
        <v>44969</v>
      </c>
      <c r="B699" s="53" t="s">
        <v>1793</v>
      </c>
      <c r="C699" s="52" t="str">
        <f>IF(MID(B699,4,2)="09","Ramadan",IF(AND(MID(B699,4,2)="12",VALUE(LEFT(B699,2))&lt;=9),"Adha Season","Normal"))</f>
        <v>Normal</v>
      </c>
      <c r="D699" s="1" t="s">
        <v>45</v>
      </c>
      <c r="E699" s="1" t="s">
        <v>528</v>
      </c>
      <c r="F699" s="4" t="s">
        <v>280</v>
      </c>
      <c r="G699" s="1">
        <v>31</v>
      </c>
      <c r="H699" s="15">
        <v>31</v>
      </c>
      <c r="I699" s="1">
        <f>grand[[#This Row],[number]]-grand[[#This Row],[received]]</f>
        <v>0</v>
      </c>
      <c r="J699" s="30"/>
      <c r="K699" s="2">
        <v>18227</v>
      </c>
      <c r="L699" s="2">
        <v>18227</v>
      </c>
      <c r="M699" s="2">
        <f>K699-L699</f>
        <v>0</v>
      </c>
      <c r="N699" s="2">
        <v>11596.7</v>
      </c>
      <c r="O699" s="2">
        <v>300</v>
      </c>
      <c r="P699" s="7">
        <f>grand[[#This Row],[total weight]]/grand[[#This Row],[received]]</f>
        <v>587.9677419354839</v>
      </c>
      <c r="Q699" s="7">
        <f>grand[[#This Row],[receiving weight]]/grand[[#This Row],[received]]</f>
        <v>587.9677419354839</v>
      </c>
      <c r="R699" s="7">
        <f>grand[[#This Row],[transportation loss ]]/grand[[#This Row],[received]]</f>
        <v>0</v>
      </c>
      <c r="S699" s="7">
        <f>grand[[#This Row],[ carcass weight]]/grand[[#This Row],[received]]</f>
        <v>374.08709677419358</v>
      </c>
      <c r="T699" s="7">
        <f>grand[[#This Row],[ kidneys fat quantity]]/grand[[#This Row],[received]]</f>
        <v>9.67741935483871</v>
      </c>
      <c r="U699" s="1">
        <v>24.516129032258064</v>
      </c>
      <c r="V699" s="1">
        <v>0</v>
      </c>
      <c r="W699" s="1">
        <v>49.29032258064516</v>
      </c>
      <c r="X699" s="1">
        <v>10</v>
      </c>
      <c r="Y699" s="1">
        <v>8.5</v>
      </c>
      <c r="Z699" s="18">
        <f>grand[[#This Row],[av. Transportation loss]]/grand[[#This Row],[av.total weight]]</f>
        <v>0</v>
      </c>
      <c r="AA699" s="12">
        <f>AVERAGE((grand[[#This Row],[am]]/25),(grand[[#This Row],[pm]]/50))</f>
        <v>0.98322580645161284</v>
      </c>
      <c r="AB699" s="3">
        <f>grand[[#This Row],[ carcass weight]]/grand[[#This Row],[total weight]]</f>
        <v>0.63623744993690678</v>
      </c>
      <c r="AC699" s="18">
        <f>SUM(grand[[#This Row],[am]:[meat transportation]])/100</f>
        <v>0.92306451612903229</v>
      </c>
      <c r="AD699" s="1" t="s">
        <v>188</v>
      </c>
      <c r="AJ699" s="1">
        <v>16</v>
      </c>
      <c r="AK699" s="1"/>
      <c r="AL699" s="1"/>
    </row>
    <row r="700" spans="1:38" hidden="1" x14ac:dyDescent="0.2">
      <c r="A700" s="11">
        <v>44971</v>
      </c>
      <c r="B700" s="53" t="s">
        <v>1794</v>
      </c>
      <c r="C700" s="52" t="str">
        <f>IF(MID(B700,4,2)="09","Ramadan",IF(AND(MID(B700,4,2)="12",VALUE(LEFT(B700,2))&lt;=9),"Adha Season","Normal"))</f>
        <v>Normal</v>
      </c>
      <c r="D700" s="1" t="s">
        <v>45</v>
      </c>
      <c r="E700" s="1" t="s">
        <v>483</v>
      </c>
      <c r="F700" s="4" t="s">
        <v>280</v>
      </c>
      <c r="G700" s="1">
        <v>18</v>
      </c>
      <c r="H700" s="15">
        <v>18</v>
      </c>
      <c r="I700" s="1">
        <f>grand[[#This Row],[number]]-grand[[#This Row],[received]]</f>
        <v>0</v>
      </c>
      <c r="J700" s="30"/>
      <c r="K700" s="2">
        <v>9038</v>
      </c>
      <c r="L700" s="2">
        <v>8780</v>
      </c>
      <c r="M700" s="2">
        <f>K700-L700</f>
        <v>258</v>
      </c>
      <c r="N700" s="2">
        <v>5422.4</v>
      </c>
      <c r="O700" s="2">
        <v>195</v>
      </c>
      <c r="P700" s="7">
        <f>grand[[#This Row],[total weight]]/grand[[#This Row],[received]]</f>
        <v>502.11111111111109</v>
      </c>
      <c r="Q700" s="7">
        <f>grand[[#This Row],[receiving weight]]/grand[[#This Row],[received]]</f>
        <v>487.77777777777777</v>
      </c>
      <c r="R700" s="7">
        <f>grand[[#This Row],[transportation loss ]]/grand[[#This Row],[received]]</f>
        <v>14.333333333333334</v>
      </c>
      <c r="S700" s="7">
        <f>grand[[#This Row],[ carcass weight]]/grand[[#This Row],[received]]</f>
        <v>301.24444444444441</v>
      </c>
      <c r="T700" s="7">
        <f>grand[[#This Row],[ kidneys fat quantity]]/grand[[#This Row],[received]]</f>
        <v>10.833333333333334</v>
      </c>
      <c r="U700" s="1">
        <v>25</v>
      </c>
      <c r="V700" s="1">
        <v>0</v>
      </c>
      <c r="W700" s="1">
        <v>49.611111111111107</v>
      </c>
      <c r="X700" s="1">
        <v>10</v>
      </c>
      <c r="Y700" s="1">
        <v>8.5</v>
      </c>
      <c r="Z700" s="18">
        <f>grand[[#This Row],[av. Transportation loss]]/grand[[#This Row],[av.total weight]]</f>
        <v>2.854613852622262E-2</v>
      </c>
      <c r="AA700" s="12">
        <f>AVERAGE((grand[[#This Row],[am]]/25),(grand[[#This Row],[pm]]/50))</f>
        <v>0.99611111111111106</v>
      </c>
      <c r="AB700" s="3">
        <f>grand[[#This Row],[ carcass weight]]/grand[[#This Row],[total weight]]</f>
        <v>0.59995574242088956</v>
      </c>
      <c r="AC700" s="18">
        <f>SUM(grand[[#This Row],[am]:[meat transportation]])/100</f>
        <v>0.93111111111111111</v>
      </c>
      <c r="AD700" s="1" t="s">
        <v>117</v>
      </c>
      <c r="AJ700" s="1">
        <v>10</v>
      </c>
      <c r="AK700" s="1"/>
      <c r="AL700" s="1"/>
    </row>
    <row r="701" spans="1:38" hidden="1" x14ac:dyDescent="0.2">
      <c r="A701" s="11">
        <v>44971</v>
      </c>
      <c r="B701" s="53" t="s">
        <v>1794</v>
      </c>
      <c r="C701" s="52" t="str">
        <f>IF(MID(B701,4,2)="09","Ramadan",IF(AND(MID(B701,4,2)="12",VALUE(LEFT(B701,2))&lt;=9),"Adha Season","Normal"))</f>
        <v>Normal</v>
      </c>
      <c r="D701" s="1" t="s">
        <v>45</v>
      </c>
      <c r="E701" s="1" t="s">
        <v>528</v>
      </c>
      <c r="F701" s="4" t="s">
        <v>280</v>
      </c>
      <c r="G701" s="1">
        <v>30</v>
      </c>
      <c r="H701" s="15">
        <v>30</v>
      </c>
      <c r="I701" s="1">
        <f>grand[[#This Row],[number]]-grand[[#This Row],[received]]</f>
        <v>0</v>
      </c>
      <c r="J701" s="30"/>
      <c r="K701" s="2">
        <v>17597</v>
      </c>
      <c r="L701" s="2">
        <v>16500</v>
      </c>
      <c r="M701" s="2">
        <f>K701-L701</f>
        <v>1097</v>
      </c>
      <c r="N701" s="2">
        <v>11127.9</v>
      </c>
      <c r="O701" s="2">
        <v>313</v>
      </c>
      <c r="P701" s="7">
        <f>grand[[#This Row],[total weight]]/grand[[#This Row],[received]]</f>
        <v>586.56666666666672</v>
      </c>
      <c r="Q701" s="7">
        <f>grand[[#This Row],[receiving weight]]/grand[[#This Row],[received]]</f>
        <v>550</v>
      </c>
      <c r="R701" s="7">
        <f>grand[[#This Row],[transportation loss ]]/grand[[#This Row],[received]]</f>
        <v>36.56666666666667</v>
      </c>
      <c r="S701" s="7">
        <f>grand[[#This Row],[ carcass weight]]/grand[[#This Row],[received]]</f>
        <v>370.93</v>
      </c>
      <c r="T701" s="7">
        <f>grand[[#This Row],[ kidneys fat quantity]]/grand[[#This Row],[received]]</f>
        <v>10.433333333333334</v>
      </c>
      <c r="U701" s="1">
        <v>24.633333333333333</v>
      </c>
      <c r="V701" s="1">
        <v>0</v>
      </c>
      <c r="W701" s="1">
        <v>48.699999999999996</v>
      </c>
      <c r="X701" s="1">
        <v>10</v>
      </c>
      <c r="Y701" s="1">
        <v>8.5</v>
      </c>
      <c r="Z701" s="18">
        <f>grand[[#This Row],[av. Transportation loss]]/grand[[#This Row],[av.total weight]]</f>
        <v>6.2340171620162525E-2</v>
      </c>
      <c r="AA701" s="12">
        <f>AVERAGE((grand[[#This Row],[am]]/25),(grand[[#This Row],[pm]]/50))</f>
        <v>0.97966666666666657</v>
      </c>
      <c r="AB701" s="3">
        <f>grand[[#This Row],[ carcass weight]]/grand[[#This Row],[total weight]]</f>
        <v>0.63237483661987837</v>
      </c>
      <c r="AC701" s="18">
        <f>SUM(grand[[#This Row],[am]:[meat transportation]])/100</f>
        <v>0.91833333333333333</v>
      </c>
      <c r="AJ701" s="1">
        <v>17</v>
      </c>
      <c r="AK701" s="1"/>
      <c r="AL701" s="1"/>
    </row>
    <row r="702" spans="1:38" hidden="1" x14ac:dyDescent="0.2">
      <c r="A702" s="11">
        <v>44973</v>
      </c>
      <c r="B702" s="53" t="s">
        <v>1795</v>
      </c>
      <c r="C702" s="52" t="str">
        <f>IF(MID(B702,4,2)="09","Ramadan",IF(AND(MID(B702,4,2)="12",VALUE(LEFT(B702,2))&lt;=9),"Adha Season","Normal"))</f>
        <v>Normal</v>
      </c>
      <c r="D702" s="1" t="s">
        <v>45</v>
      </c>
      <c r="E702" s="1" t="s">
        <v>483</v>
      </c>
      <c r="F702" s="4" t="s">
        <v>280</v>
      </c>
      <c r="G702" s="1">
        <v>2</v>
      </c>
      <c r="H702" s="15">
        <v>2</v>
      </c>
      <c r="I702" s="1">
        <f>grand[[#This Row],[number]]-grand[[#This Row],[received]]</f>
        <v>0</v>
      </c>
      <c r="J702" s="30"/>
      <c r="K702" s="2">
        <v>975</v>
      </c>
      <c r="L702" s="2">
        <v>965</v>
      </c>
      <c r="M702" s="2">
        <f>K702-L702</f>
        <v>10</v>
      </c>
      <c r="N702" s="2">
        <v>603.70000000000005</v>
      </c>
      <c r="O702" s="2">
        <v>16</v>
      </c>
      <c r="P702" s="7">
        <f>grand[[#This Row],[total weight]]/grand[[#This Row],[received]]</f>
        <v>487.5</v>
      </c>
      <c r="Q702" s="7">
        <f>grand[[#This Row],[receiving weight]]/grand[[#This Row],[received]]</f>
        <v>482.5</v>
      </c>
      <c r="R702" s="7">
        <f>grand[[#This Row],[transportation loss ]]/grand[[#This Row],[received]]</f>
        <v>5</v>
      </c>
      <c r="S702" s="7">
        <f>grand[[#This Row],[ carcass weight]]/grand[[#This Row],[received]]</f>
        <v>301.85000000000002</v>
      </c>
      <c r="T702" s="7">
        <f>grand[[#This Row],[ kidneys fat quantity]]/grand[[#This Row],[received]]</f>
        <v>8</v>
      </c>
      <c r="U702" s="1">
        <v>25</v>
      </c>
      <c r="V702" s="1">
        <v>0</v>
      </c>
      <c r="W702" s="1">
        <v>50</v>
      </c>
      <c r="X702" s="1">
        <v>10</v>
      </c>
      <c r="Y702" s="1">
        <v>8.5</v>
      </c>
      <c r="Z702" s="18">
        <f>grand[[#This Row],[av. Transportation loss]]/grand[[#This Row],[av.total weight]]</f>
        <v>1.0256410256410256E-2</v>
      </c>
      <c r="AA702" s="12">
        <f>AVERAGE((grand[[#This Row],[am]]/25),(grand[[#This Row],[pm]]/50))</f>
        <v>1</v>
      </c>
      <c r="AB702" s="3">
        <f>grand[[#This Row],[ carcass weight]]/grand[[#This Row],[total weight]]</f>
        <v>0.61917948717948723</v>
      </c>
      <c r="AC702" s="18">
        <f>SUM(grand[[#This Row],[am]:[meat transportation]])/100</f>
        <v>0.93500000000000005</v>
      </c>
      <c r="AJ702" s="1">
        <v>0</v>
      </c>
      <c r="AK702" s="1"/>
      <c r="AL702" s="1"/>
    </row>
    <row r="703" spans="1:38" hidden="1" x14ac:dyDescent="0.2">
      <c r="A703" s="11">
        <v>44973</v>
      </c>
      <c r="B703" s="53" t="s">
        <v>1795</v>
      </c>
      <c r="C703" s="52" t="str">
        <f>IF(MID(B703,4,2)="09","Ramadan",IF(AND(MID(B703,4,2)="12",VALUE(LEFT(B703,2))&lt;=9),"Adha Season","Normal"))</f>
        <v>Normal</v>
      </c>
      <c r="D703" s="1" t="s">
        <v>45</v>
      </c>
      <c r="E703" s="1" t="s">
        <v>528</v>
      </c>
      <c r="F703" s="4" t="s">
        <v>280</v>
      </c>
      <c r="G703" s="1">
        <v>50</v>
      </c>
      <c r="H703" s="15">
        <v>50</v>
      </c>
      <c r="I703" s="1">
        <f>grand[[#This Row],[number]]-grand[[#This Row],[received]]</f>
        <v>0</v>
      </c>
      <c r="J703" s="30"/>
      <c r="K703" s="2">
        <v>28563</v>
      </c>
      <c r="L703" s="2">
        <v>27550</v>
      </c>
      <c r="M703" s="2">
        <f>K703-L703</f>
        <v>1013</v>
      </c>
      <c r="N703" s="2">
        <v>18185.5</v>
      </c>
      <c r="O703" s="2">
        <v>395</v>
      </c>
      <c r="P703" s="7">
        <f>grand[[#This Row],[total weight]]/grand[[#This Row],[received]]</f>
        <v>571.26</v>
      </c>
      <c r="Q703" s="7">
        <f>grand[[#This Row],[receiving weight]]/grand[[#This Row],[received]]</f>
        <v>551</v>
      </c>
      <c r="R703" s="7">
        <f>grand[[#This Row],[transportation loss ]]/grand[[#This Row],[received]]</f>
        <v>20.260000000000002</v>
      </c>
      <c r="S703" s="7">
        <f>grand[[#This Row],[ carcass weight]]/grand[[#This Row],[received]]</f>
        <v>363.71</v>
      </c>
      <c r="T703" s="7">
        <f>grand[[#This Row],[ kidneys fat quantity]]/grand[[#This Row],[received]]</f>
        <v>7.9</v>
      </c>
      <c r="U703" s="1">
        <v>24.6</v>
      </c>
      <c r="V703" s="1">
        <v>0</v>
      </c>
      <c r="W703" s="1">
        <v>49.26</v>
      </c>
      <c r="X703" s="1">
        <v>10</v>
      </c>
      <c r="Y703" s="1">
        <v>8.5</v>
      </c>
      <c r="Z703" s="18">
        <f>grand[[#This Row],[av. Transportation loss]]/grand[[#This Row],[av.total weight]]</f>
        <v>3.5465462311381861E-2</v>
      </c>
      <c r="AA703" s="12">
        <f>AVERAGE((grand[[#This Row],[am]]/25),(grand[[#This Row],[pm]]/50))</f>
        <v>0.98460000000000003</v>
      </c>
      <c r="AB703" s="3">
        <f>grand[[#This Row],[ carcass weight]]/grand[[#This Row],[total weight]]</f>
        <v>0.6366803206946049</v>
      </c>
      <c r="AC703" s="18">
        <f>SUM(grand[[#This Row],[am]:[meat transportation]])/100</f>
        <v>0.92359999999999998</v>
      </c>
      <c r="AD703" s="1" t="s">
        <v>97</v>
      </c>
      <c r="AJ703" s="1">
        <v>16</v>
      </c>
      <c r="AK703" s="1"/>
      <c r="AL703" s="1"/>
    </row>
    <row r="704" spans="1:38" hidden="1" x14ac:dyDescent="0.2">
      <c r="A704" s="11">
        <v>44979</v>
      </c>
      <c r="B704" s="53" t="s">
        <v>1799</v>
      </c>
      <c r="C704" s="52" t="str">
        <f>IF(MID(B704,4,2)="09","Ramadan",IF(AND(MID(B704,4,2)="12",VALUE(LEFT(B704,2))&lt;=9),"Adha Season","Normal"))</f>
        <v>Normal</v>
      </c>
      <c r="D704" s="1" t="s">
        <v>45</v>
      </c>
      <c r="E704" s="1" t="s">
        <v>483</v>
      </c>
      <c r="F704" s="4" t="s">
        <v>280</v>
      </c>
      <c r="G704" s="1">
        <v>27</v>
      </c>
      <c r="H704" s="15">
        <v>27</v>
      </c>
      <c r="I704" s="1">
        <f>grand[[#This Row],[number]]-grand[[#This Row],[received]]</f>
        <v>0</v>
      </c>
      <c r="J704" s="30"/>
      <c r="K704" s="2">
        <v>13554</v>
      </c>
      <c r="L704" s="2">
        <v>13160</v>
      </c>
      <c r="M704" s="2">
        <f>K704-L704</f>
        <v>394</v>
      </c>
      <c r="N704" s="2">
        <v>8132</v>
      </c>
      <c r="O704" s="2">
        <v>293</v>
      </c>
      <c r="P704" s="7">
        <f>grand[[#This Row],[total weight]]/grand[[#This Row],[received]]</f>
        <v>502</v>
      </c>
      <c r="Q704" s="7">
        <f>grand[[#This Row],[receiving weight]]/grand[[#This Row],[received]]</f>
        <v>487.40740740740739</v>
      </c>
      <c r="R704" s="7">
        <f>grand[[#This Row],[transportation loss ]]/grand[[#This Row],[received]]</f>
        <v>14.592592592592593</v>
      </c>
      <c r="S704" s="7">
        <f>grand[[#This Row],[ carcass weight]]/grand[[#This Row],[received]]</f>
        <v>301.18518518518516</v>
      </c>
      <c r="T704" s="7">
        <f>grand[[#This Row],[ kidneys fat quantity]]/grand[[#This Row],[received]]</f>
        <v>10.851851851851851</v>
      </c>
      <c r="U704" s="1">
        <v>24.62962962962963</v>
      </c>
      <c r="V704" s="1">
        <v>0</v>
      </c>
      <c r="W704" s="1">
        <v>50</v>
      </c>
      <c r="X704" s="1">
        <v>10</v>
      </c>
      <c r="Y704" s="1">
        <v>8.5</v>
      </c>
      <c r="Z704" s="18">
        <f>grand[[#This Row],[av. Transportation loss]]/grand[[#This Row],[av.total weight]]</f>
        <v>2.9068909546997198E-2</v>
      </c>
      <c r="AA704" s="12">
        <f>AVERAGE((grand[[#This Row],[am]]/25),(grand[[#This Row],[pm]]/50))</f>
        <v>0.99259259259259258</v>
      </c>
      <c r="AB704" s="3">
        <f>grand[[#This Row],[ carcass weight]]/grand[[#This Row],[total weight]]</f>
        <v>0.59997048841670353</v>
      </c>
      <c r="AC704" s="18">
        <f>SUM(grand[[#This Row],[am]:[meat transportation]])/100</f>
        <v>0.93129629629629629</v>
      </c>
      <c r="AJ704" s="1">
        <v>10</v>
      </c>
      <c r="AK704" s="1"/>
      <c r="AL704" s="1"/>
    </row>
    <row r="705" spans="1:38" hidden="1" x14ac:dyDescent="0.2">
      <c r="A705" s="11">
        <v>44982</v>
      </c>
      <c r="B705" s="53" t="s">
        <v>1801</v>
      </c>
      <c r="C705" s="52" t="str">
        <f>IF(MID(B705,4,2)="09","Ramadan",IF(AND(MID(B705,4,2)="12",VALUE(LEFT(B705,2))&lt;=9),"Adha Season","Normal"))</f>
        <v>Normal</v>
      </c>
      <c r="D705" s="1" t="s">
        <v>45</v>
      </c>
      <c r="E705" s="1" t="s">
        <v>483</v>
      </c>
      <c r="F705" s="4" t="s">
        <v>280</v>
      </c>
      <c r="G705" s="1">
        <v>19</v>
      </c>
      <c r="H705" s="15">
        <v>19</v>
      </c>
      <c r="I705" s="1">
        <f>grand[[#This Row],[number]]-grand[[#This Row],[received]]</f>
        <v>0</v>
      </c>
      <c r="J705" s="30"/>
      <c r="K705" s="2">
        <v>8434</v>
      </c>
      <c r="L705" s="2">
        <v>8235</v>
      </c>
      <c r="M705" s="2">
        <f>K705-L705</f>
        <v>199</v>
      </c>
      <c r="N705" s="2">
        <v>5060.2</v>
      </c>
      <c r="O705" s="2">
        <v>175</v>
      </c>
      <c r="P705" s="7">
        <f>grand[[#This Row],[total weight]]/grand[[#This Row],[received]]</f>
        <v>443.89473684210526</v>
      </c>
      <c r="Q705" s="7">
        <f>grand[[#This Row],[receiving weight]]/grand[[#This Row],[received]]</f>
        <v>433.42105263157896</v>
      </c>
      <c r="R705" s="7">
        <f>grand[[#This Row],[transportation loss ]]/grand[[#This Row],[received]]</f>
        <v>10.473684210526315</v>
      </c>
      <c r="S705" s="7">
        <f>grand[[#This Row],[ carcass weight]]/grand[[#This Row],[received]]</f>
        <v>266.32631578947365</v>
      </c>
      <c r="T705" s="7">
        <f>grand[[#This Row],[ kidneys fat quantity]]/grand[[#This Row],[received]]</f>
        <v>9.2105263157894743</v>
      </c>
      <c r="U705" s="1">
        <v>24.736842105263158</v>
      </c>
      <c r="V705" s="1">
        <v>0</v>
      </c>
      <c r="W705" s="1">
        <v>49.789473684210527</v>
      </c>
      <c r="X705" s="1">
        <v>9.7368421052631575</v>
      </c>
      <c r="Y705" s="1">
        <v>8.5</v>
      </c>
      <c r="Z705" s="18">
        <f>grand[[#This Row],[av. Transportation loss]]/grand[[#This Row],[av.total weight]]</f>
        <v>2.3594972729428502E-2</v>
      </c>
      <c r="AA705" s="12">
        <f>AVERAGE((grand[[#This Row],[am]]/25),(grand[[#This Row],[pm]]/50))</f>
        <v>0.99263157894736842</v>
      </c>
      <c r="AB705" s="3">
        <f>grand[[#This Row],[ carcass weight]]/grand[[#This Row],[total weight]]</f>
        <v>0.59997628645956835</v>
      </c>
      <c r="AC705" s="18">
        <f>SUM(grand[[#This Row],[am]:[meat transportation]])/100</f>
        <v>0.92763157894736847</v>
      </c>
      <c r="AJ705" s="1">
        <v>7</v>
      </c>
      <c r="AK705" s="1"/>
      <c r="AL705" s="1"/>
    </row>
    <row r="706" spans="1:38" hidden="1" x14ac:dyDescent="0.2">
      <c r="A706" s="11">
        <v>44982</v>
      </c>
      <c r="B706" s="53" t="s">
        <v>1801</v>
      </c>
      <c r="C706" s="52" t="str">
        <f>IF(MID(B706,4,2)="09","Ramadan",IF(AND(MID(B706,4,2)="12",VALUE(LEFT(B706,2))&lt;=9),"Adha Season","Normal"))</f>
        <v>Normal</v>
      </c>
      <c r="D706" s="1" t="s">
        <v>45</v>
      </c>
      <c r="E706" s="1" t="s">
        <v>528</v>
      </c>
      <c r="F706" s="4" t="s">
        <v>280</v>
      </c>
      <c r="G706" s="1">
        <v>16</v>
      </c>
      <c r="H706" s="15">
        <v>16</v>
      </c>
      <c r="I706" s="1">
        <f>grand[[#This Row],[number]]-grand[[#This Row],[received]]</f>
        <v>0</v>
      </c>
      <c r="J706" s="30"/>
      <c r="K706" s="2">
        <v>9439</v>
      </c>
      <c r="L706" s="2">
        <v>9010</v>
      </c>
      <c r="M706" s="2">
        <f>K706-L706</f>
        <v>429</v>
      </c>
      <c r="N706" s="2">
        <v>6025.8</v>
      </c>
      <c r="O706" s="2">
        <v>161</v>
      </c>
      <c r="P706" s="7">
        <f>grand[[#This Row],[total weight]]/grand[[#This Row],[received]]</f>
        <v>589.9375</v>
      </c>
      <c r="Q706" s="7">
        <f>grand[[#This Row],[receiving weight]]/grand[[#This Row],[received]]</f>
        <v>563.125</v>
      </c>
      <c r="R706" s="7">
        <f>grand[[#This Row],[transportation loss ]]/grand[[#This Row],[received]]</f>
        <v>26.8125</v>
      </c>
      <c r="S706" s="7">
        <f>grand[[#This Row],[ carcass weight]]/grand[[#This Row],[received]]</f>
        <v>376.61250000000001</v>
      </c>
      <c r="T706" s="7">
        <f>grand[[#This Row],[ kidneys fat quantity]]/grand[[#This Row],[received]]</f>
        <v>10.0625</v>
      </c>
      <c r="U706" s="1">
        <v>24.375</v>
      </c>
      <c r="V706" s="1">
        <v>0</v>
      </c>
      <c r="W706" s="1">
        <v>49.25</v>
      </c>
      <c r="X706" s="1">
        <v>10</v>
      </c>
      <c r="Y706" s="1">
        <v>8.5</v>
      </c>
      <c r="Z706" s="18">
        <f>grand[[#This Row],[av. Transportation loss]]/grand[[#This Row],[av.total weight]]</f>
        <v>4.5449729844263161E-2</v>
      </c>
      <c r="AA706" s="12">
        <f>AVERAGE((grand[[#This Row],[am]]/25),(grand[[#This Row],[pm]]/50))</f>
        <v>0.98</v>
      </c>
      <c r="AB706" s="3">
        <f>grand[[#This Row],[ carcass weight]]/grand[[#This Row],[total weight]]</f>
        <v>0.63839389765865029</v>
      </c>
      <c r="AC706" s="18">
        <f>SUM(grand[[#This Row],[am]:[meat transportation]])/100</f>
        <v>0.92125000000000001</v>
      </c>
      <c r="AD706" s="1" t="s">
        <v>113</v>
      </c>
      <c r="AJ706" s="1">
        <v>9</v>
      </c>
      <c r="AK706" s="1"/>
      <c r="AL706" s="1"/>
    </row>
    <row r="707" spans="1:38" hidden="1" x14ac:dyDescent="0.2">
      <c r="A707" s="11">
        <v>44985</v>
      </c>
      <c r="B707" s="53" t="s">
        <v>1803</v>
      </c>
      <c r="C707" s="52" t="str">
        <f>IF(MID(B707,4,2)="09","Ramadan",IF(AND(MID(B707,4,2)="12",VALUE(LEFT(B707,2))&lt;=9),"Adha Season","Normal"))</f>
        <v>Normal</v>
      </c>
      <c r="D707" s="1" t="s">
        <v>45</v>
      </c>
      <c r="E707" s="1" t="s">
        <v>483</v>
      </c>
      <c r="F707" s="4" t="s">
        <v>280</v>
      </c>
      <c r="G707" s="1">
        <v>18</v>
      </c>
      <c r="H707" s="15">
        <v>18</v>
      </c>
      <c r="I707" s="1">
        <f>grand[[#This Row],[number]]-grand[[#This Row],[received]]</f>
        <v>0</v>
      </c>
      <c r="J707" s="30"/>
      <c r="K707" s="2">
        <v>9000</v>
      </c>
      <c r="L707" s="2">
        <v>8785</v>
      </c>
      <c r="M707" s="2">
        <f>K707-L707</f>
        <v>215</v>
      </c>
      <c r="N707" s="2">
        <v>5480.9</v>
      </c>
      <c r="O707" s="2">
        <v>217</v>
      </c>
      <c r="P707" s="7">
        <f>grand[[#This Row],[total weight]]/grand[[#This Row],[received]]</f>
        <v>500</v>
      </c>
      <c r="Q707" s="7">
        <f>grand[[#This Row],[receiving weight]]/grand[[#This Row],[received]]</f>
        <v>488.05555555555554</v>
      </c>
      <c r="R707" s="7">
        <f>grand[[#This Row],[transportation loss ]]/grand[[#This Row],[received]]</f>
        <v>11.944444444444445</v>
      </c>
      <c r="S707" s="7">
        <f>grand[[#This Row],[ carcass weight]]/grand[[#This Row],[received]]</f>
        <v>304.49444444444441</v>
      </c>
      <c r="T707" s="7">
        <f>grand[[#This Row],[ kidneys fat quantity]]/grand[[#This Row],[received]]</f>
        <v>12.055555555555555</v>
      </c>
      <c r="U707" s="1">
        <v>25</v>
      </c>
      <c r="V707" s="1">
        <v>0</v>
      </c>
      <c r="W707" s="1">
        <v>48.44444444444445</v>
      </c>
      <c r="X707" s="1">
        <v>10</v>
      </c>
      <c r="Y707" s="1">
        <v>8.5</v>
      </c>
      <c r="Z707" s="18">
        <f>grand[[#This Row],[av. Transportation loss]]/grand[[#This Row],[av.total weight]]</f>
        <v>2.388888888888889E-2</v>
      </c>
      <c r="AA707" s="12">
        <f>AVERAGE((grand[[#This Row],[am]]/25),(grand[[#This Row],[pm]]/50))</f>
        <v>0.98444444444444446</v>
      </c>
      <c r="AB707" s="3">
        <f>grand[[#This Row],[ carcass weight]]/grand[[#This Row],[total weight]]</f>
        <v>0.6089888888888888</v>
      </c>
      <c r="AC707" s="18">
        <f>SUM(grand[[#This Row],[am]:[meat transportation]])/100</f>
        <v>0.91944444444444462</v>
      </c>
      <c r="AD707" s="1" t="s">
        <v>81</v>
      </c>
      <c r="AJ707" s="1">
        <v>6</v>
      </c>
      <c r="AK707" s="1"/>
      <c r="AL707" s="1"/>
    </row>
    <row r="708" spans="1:38" hidden="1" x14ac:dyDescent="0.2">
      <c r="A708" s="11">
        <v>44985</v>
      </c>
      <c r="B708" s="53" t="s">
        <v>1803</v>
      </c>
      <c r="C708" s="52" t="str">
        <f>IF(MID(B708,4,2)="09","Ramadan",IF(AND(MID(B708,4,2)="12",VALUE(LEFT(B708,2))&lt;=9),"Adha Season","Normal"))</f>
        <v>Normal</v>
      </c>
      <c r="D708" s="1" t="s">
        <v>45</v>
      </c>
      <c r="E708" s="1" t="s">
        <v>528</v>
      </c>
      <c r="F708" s="4" t="s">
        <v>280</v>
      </c>
      <c r="G708" s="1">
        <v>18</v>
      </c>
      <c r="H708" s="15">
        <v>18</v>
      </c>
      <c r="I708" s="1">
        <f>grand[[#This Row],[number]]-grand[[#This Row],[received]]</f>
        <v>0</v>
      </c>
      <c r="J708" s="30"/>
      <c r="K708" s="2">
        <v>9786</v>
      </c>
      <c r="L708" s="2">
        <v>9230</v>
      </c>
      <c r="M708" s="2">
        <f>K708-L708</f>
        <v>556</v>
      </c>
      <c r="N708" s="2">
        <v>6201.8</v>
      </c>
      <c r="O708" s="2">
        <v>168</v>
      </c>
      <c r="P708" s="7">
        <f>grand[[#This Row],[total weight]]/grand[[#This Row],[received]]</f>
        <v>543.66666666666663</v>
      </c>
      <c r="Q708" s="7">
        <f>grand[[#This Row],[receiving weight]]/grand[[#This Row],[received]]</f>
        <v>512.77777777777783</v>
      </c>
      <c r="R708" s="7">
        <f>grand[[#This Row],[transportation loss ]]/grand[[#This Row],[received]]</f>
        <v>30.888888888888889</v>
      </c>
      <c r="S708" s="7">
        <f>grand[[#This Row],[ carcass weight]]/grand[[#This Row],[received]]</f>
        <v>344.54444444444448</v>
      </c>
      <c r="T708" s="7">
        <f>grand[[#This Row],[ kidneys fat quantity]]/grand[[#This Row],[received]]</f>
        <v>9.3333333333333339</v>
      </c>
      <c r="U708" s="1">
        <v>25</v>
      </c>
      <c r="V708" s="1">
        <v>0</v>
      </c>
      <c r="W708" s="1">
        <v>49.888888888888886</v>
      </c>
      <c r="X708" s="1">
        <v>10</v>
      </c>
      <c r="Y708" s="1">
        <v>8.5</v>
      </c>
      <c r="Z708" s="18">
        <f>grand[[#This Row],[av. Transportation loss]]/grand[[#This Row],[av.total weight]]</f>
        <v>5.6815859390966693E-2</v>
      </c>
      <c r="AA708" s="12">
        <f>AVERAGE((grand[[#This Row],[am]]/25),(grand[[#This Row],[pm]]/50))</f>
        <v>0.99888888888888894</v>
      </c>
      <c r="AB708" s="3">
        <f>grand[[#This Row],[ carcass weight]]/grand[[#This Row],[total weight]]</f>
        <v>0.63374208052319647</v>
      </c>
      <c r="AC708" s="18">
        <f>SUM(grand[[#This Row],[am]:[meat transportation]])/100</f>
        <v>0.93388888888888888</v>
      </c>
      <c r="AD708" s="1" t="s">
        <v>427</v>
      </c>
      <c r="AJ708" s="1">
        <v>4</v>
      </c>
      <c r="AK708" s="1"/>
      <c r="AL708" s="1"/>
    </row>
    <row r="709" spans="1:38" hidden="1" x14ac:dyDescent="0.2">
      <c r="A709" s="11">
        <v>44986</v>
      </c>
      <c r="B709" s="53" t="s">
        <v>1804</v>
      </c>
      <c r="C709" s="52" t="str">
        <f>IF(MID(B709,4,2)="09","Ramadan",IF(AND(MID(B709,4,2)="12",VALUE(LEFT(B709,2))&lt;=9),"Adha Season","Normal"))</f>
        <v>Normal</v>
      </c>
      <c r="D709" s="1" t="s">
        <v>45</v>
      </c>
      <c r="E709" s="1" t="s">
        <v>483</v>
      </c>
      <c r="F709" s="4" t="s">
        <v>43</v>
      </c>
      <c r="G709" s="1">
        <v>21</v>
      </c>
      <c r="H709" s="1">
        <v>21</v>
      </c>
      <c r="I709" s="1">
        <f>grand[[#This Row],[number]]-grand[[#This Row],[received]]</f>
        <v>0</v>
      </c>
      <c r="J709" s="30"/>
      <c r="K709" s="2">
        <v>9454</v>
      </c>
      <c r="L709" s="2">
        <v>9265</v>
      </c>
      <c r="M709" s="2">
        <f>K709-L709</f>
        <v>189</v>
      </c>
      <c r="N709" s="2">
        <v>5672.5</v>
      </c>
      <c r="O709" s="2">
        <v>204</v>
      </c>
      <c r="P709" s="7">
        <f>grand[[#This Row],[total weight]]/grand[[#This Row],[received]]</f>
        <v>450.1904761904762</v>
      </c>
      <c r="Q709" s="7">
        <f>grand[[#This Row],[receiving weight]]/grand[[#This Row],[received]]</f>
        <v>441.1904761904762</v>
      </c>
      <c r="R709" s="7">
        <f>grand[[#This Row],[transportation loss ]]/grand[[#This Row],[received]]</f>
        <v>9</v>
      </c>
      <c r="S709" s="7">
        <f>grand[[#This Row],[ carcass weight]]/grand[[#This Row],[received]]</f>
        <v>270.11904761904759</v>
      </c>
      <c r="T709" s="7">
        <f>grand[[#This Row],[ kidneys fat quantity]]/grand[[#This Row],[received]]</f>
        <v>9.7142857142857135</v>
      </c>
      <c r="U709" s="1">
        <v>24.761904761904763</v>
      </c>
      <c r="V709" s="1">
        <v>0</v>
      </c>
      <c r="W709" s="1">
        <v>49</v>
      </c>
      <c r="X709" s="1">
        <v>10</v>
      </c>
      <c r="Y709" s="1">
        <v>8.5</v>
      </c>
      <c r="Z709" s="18">
        <f>grand[[#This Row],[av. Transportation loss]]/grand[[#This Row],[av.total weight]]</f>
        <v>1.9991537973344617E-2</v>
      </c>
      <c r="AA709" s="12">
        <f>AVERAGE((grand[[#This Row],[am]]/25),(grand[[#This Row],[pm]]/50))</f>
        <v>0.98523809523809525</v>
      </c>
      <c r="AB709" s="3">
        <f>grand[[#This Row],[ carcass weight]]/grand[[#This Row],[total weight]]</f>
        <v>0.60001057753331921</v>
      </c>
      <c r="AC709" s="18">
        <f>SUM(grand[[#This Row],[am]:[meat transportation]])/100</f>
        <v>0.92261904761904756</v>
      </c>
      <c r="AJ709" s="1">
        <v>9</v>
      </c>
      <c r="AK709" s="1"/>
      <c r="AL709" s="1">
        <v>3</v>
      </c>
    </row>
    <row r="710" spans="1:38" hidden="1" x14ac:dyDescent="0.2">
      <c r="A710" s="11">
        <v>44989</v>
      </c>
      <c r="B710" s="53" t="s">
        <v>1806</v>
      </c>
      <c r="C710" s="52" t="str">
        <f>IF(MID(B710,4,2)="09","Ramadan",IF(AND(MID(B710,4,2)="12",VALUE(LEFT(B710,2))&lt;=9),"Adha Season","Normal"))</f>
        <v>Normal</v>
      </c>
      <c r="D710" s="1" t="s">
        <v>45</v>
      </c>
      <c r="E710" s="1" t="s">
        <v>483</v>
      </c>
      <c r="F710" s="4" t="s">
        <v>280</v>
      </c>
      <c r="G710" s="1">
        <v>19</v>
      </c>
      <c r="H710" s="1">
        <v>19</v>
      </c>
      <c r="I710" s="1">
        <f>grand[[#This Row],[number]]-grand[[#This Row],[received]]</f>
        <v>0</v>
      </c>
      <c r="J710" s="30"/>
      <c r="K710" s="2">
        <v>9970</v>
      </c>
      <c r="L710" s="2">
        <v>9915</v>
      </c>
      <c r="M710" s="2">
        <f>K710-L710</f>
        <v>55</v>
      </c>
      <c r="N710" s="2">
        <v>6068</v>
      </c>
      <c r="O710" s="2">
        <v>227</v>
      </c>
      <c r="P710" s="7">
        <f>grand[[#This Row],[total weight]]/grand[[#This Row],[received]]</f>
        <v>524.73684210526312</v>
      </c>
      <c r="Q710" s="7">
        <f>grand[[#This Row],[receiving weight]]/grand[[#This Row],[received]]</f>
        <v>521.84210526315792</v>
      </c>
      <c r="R710" s="7">
        <f>grand[[#This Row],[transportation loss ]]/grand[[#This Row],[received]]</f>
        <v>2.8947368421052633</v>
      </c>
      <c r="S710" s="7">
        <f>grand[[#This Row],[ carcass weight]]/grand[[#This Row],[received]]</f>
        <v>319.36842105263156</v>
      </c>
      <c r="T710" s="7">
        <f>grand[[#This Row],[ kidneys fat quantity]]/grand[[#This Row],[received]]</f>
        <v>11.947368421052632</v>
      </c>
      <c r="U710" s="1">
        <v>25</v>
      </c>
      <c r="V710" s="1">
        <v>0</v>
      </c>
      <c r="W710" s="1">
        <v>49.263157894736842</v>
      </c>
      <c r="X710" s="1">
        <v>10</v>
      </c>
      <c r="Y710" s="1">
        <v>8.5</v>
      </c>
      <c r="Z710" s="18">
        <f>grand[[#This Row],[av. Transportation loss]]/grand[[#This Row],[av.total weight]]</f>
        <v>5.5165496489468415E-3</v>
      </c>
      <c r="AA710" s="12">
        <f>AVERAGE((grand[[#This Row],[am]]/25),(grand[[#This Row],[pm]]/50))</f>
        <v>0.99263157894736842</v>
      </c>
      <c r="AB710" s="3">
        <f>grand[[#This Row],[ carcass weight]]/grand[[#This Row],[total weight]]</f>
        <v>0.60862587763289866</v>
      </c>
      <c r="AC710" s="18">
        <f>SUM(grand[[#This Row],[am]:[meat transportation]])/100</f>
        <v>0.92763157894736847</v>
      </c>
      <c r="AJ710" s="1">
        <v>10</v>
      </c>
      <c r="AK710" s="1"/>
      <c r="AL710" s="1">
        <v>17</v>
      </c>
    </row>
    <row r="711" spans="1:38" hidden="1" x14ac:dyDescent="0.2">
      <c r="A711" s="11">
        <v>44989</v>
      </c>
      <c r="B711" s="53" t="s">
        <v>1806</v>
      </c>
      <c r="C711" s="52" t="str">
        <f>IF(MID(B711,4,2)="09","Ramadan",IF(AND(MID(B711,4,2)="12",VALUE(LEFT(B711,2))&lt;=9),"Adha Season","Normal"))</f>
        <v>Normal</v>
      </c>
      <c r="D711" s="1" t="s">
        <v>45</v>
      </c>
      <c r="E711" s="1" t="s">
        <v>528</v>
      </c>
      <c r="F711" s="4" t="s">
        <v>280</v>
      </c>
      <c r="G711" s="1">
        <v>21</v>
      </c>
      <c r="H711" s="1">
        <v>21</v>
      </c>
      <c r="I711" s="1">
        <f>grand[[#This Row],[number]]-grand[[#This Row],[received]]</f>
        <v>0</v>
      </c>
      <c r="J711" s="30"/>
      <c r="K711" s="2">
        <v>12112</v>
      </c>
      <c r="L711" s="2">
        <v>11240</v>
      </c>
      <c r="M711" s="2">
        <f>K711-L711</f>
        <v>872</v>
      </c>
      <c r="N711" s="2">
        <v>7602.8</v>
      </c>
      <c r="O711" s="2">
        <v>190</v>
      </c>
      <c r="P711" s="7">
        <f>grand[[#This Row],[total weight]]/grand[[#This Row],[received]]</f>
        <v>576.76190476190482</v>
      </c>
      <c r="Q711" s="7">
        <f>grand[[#This Row],[receiving weight]]/grand[[#This Row],[received]]</f>
        <v>535.23809523809518</v>
      </c>
      <c r="R711" s="7">
        <f>grand[[#This Row],[transportation loss ]]/grand[[#This Row],[received]]</f>
        <v>41.523809523809526</v>
      </c>
      <c r="S711" s="7">
        <f>grand[[#This Row],[ carcass weight]]/grand[[#This Row],[received]]</f>
        <v>362.03809523809525</v>
      </c>
      <c r="T711" s="7">
        <f>grand[[#This Row],[ kidneys fat quantity]]/grand[[#This Row],[received]]</f>
        <v>9.0476190476190474</v>
      </c>
      <c r="U711" s="1">
        <v>23.80952380952381</v>
      </c>
      <c r="V711" s="1">
        <v>0</v>
      </c>
      <c r="W711" s="1">
        <v>49.666666666666664</v>
      </c>
      <c r="X711" s="1">
        <v>10</v>
      </c>
      <c r="Y711" s="1">
        <v>8.5</v>
      </c>
      <c r="Z711" s="18">
        <f>grand[[#This Row],[av. Transportation loss]]/grand[[#This Row],[av.total weight]]</f>
        <v>7.1994715984147944E-2</v>
      </c>
      <c r="AA711" s="12">
        <f>AVERAGE((grand[[#This Row],[am]]/25),(grand[[#This Row],[pm]]/50))</f>
        <v>0.97285714285714286</v>
      </c>
      <c r="AB711" s="3">
        <f>grand[[#This Row],[ carcass weight]]/grand[[#This Row],[total weight]]</f>
        <v>0.62770805812417441</v>
      </c>
      <c r="AC711" s="18">
        <f>SUM(grand[[#This Row],[am]:[meat transportation]])/100</f>
        <v>0.91976190476190478</v>
      </c>
      <c r="AJ711" s="1">
        <v>12</v>
      </c>
      <c r="AK711" s="1"/>
      <c r="AL711" s="1">
        <v>7</v>
      </c>
    </row>
    <row r="712" spans="1:38" hidden="1" x14ac:dyDescent="0.2">
      <c r="A712" s="11">
        <v>44990</v>
      </c>
      <c r="B712" s="53" t="s">
        <v>1807</v>
      </c>
      <c r="C712" s="52" t="str">
        <f>IF(MID(B712,4,2)="09","Ramadan",IF(AND(MID(B712,4,2)="12",VALUE(LEFT(B712,2))&lt;=9),"Adha Season","Normal"))</f>
        <v>Normal</v>
      </c>
      <c r="D712" s="1" t="s">
        <v>45</v>
      </c>
      <c r="E712" s="1" t="s">
        <v>483</v>
      </c>
      <c r="F712" s="4" t="s">
        <v>280</v>
      </c>
      <c r="G712" s="1">
        <v>27</v>
      </c>
      <c r="H712" s="1">
        <v>27</v>
      </c>
      <c r="I712" s="1">
        <f>grand[[#This Row],[number]]-grand[[#This Row],[received]]</f>
        <v>0</v>
      </c>
      <c r="J712" s="30"/>
      <c r="K712" s="2">
        <v>14435</v>
      </c>
      <c r="L712" s="2">
        <v>14125</v>
      </c>
      <c r="M712" s="2">
        <f>K712-L712</f>
        <v>310</v>
      </c>
      <c r="N712" s="2">
        <v>8811.6</v>
      </c>
      <c r="O712" s="2">
        <v>363</v>
      </c>
      <c r="P712" s="7">
        <f>grand[[#This Row],[total weight]]/grand[[#This Row],[received]]</f>
        <v>534.62962962962968</v>
      </c>
      <c r="Q712" s="7">
        <f>grand[[#This Row],[receiving weight]]/grand[[#This Row],[received]]</f>
        <v>523.14814814814815</v>
      </c>
      <c r="R712" s="7">
        <f>grand[[#This Row],[transportation loss ]]/grand[[#This Row],[received]]</f>
        <v>11.481481481481481</v>
      </c>
      <c r="S712" s="7">
        <f>grand[[#This Row],[ carcass weight]]/grand[[#This Row],[received]]</f>
        <v>326.35555555555555</v>
      </c>
      <c r="T712" s="7">
        <f>grand[[#This Row],[ kidneys fat quantity]]/grand[[#This Row],[received]]</f>
        <v>13.444444444444445</v>
      </c>
      <c r="U712" s="1">
        <v>24.814814814814817</v>
      </c>
      <c r="V712" s="1">
        <v>0</v>
      </c>
      <c r="W712" s="1">
        <v>49.222222222222221</v>
      </c>
      <c r="X712" s="1">
        <v>10</v>
      </c>
      <c r="Y712" s="1">
        <v>8.5</v>
      </c>
      <c r="Z712" s="18">
        <f>grand[[#This Row],[av. Transportation loss]]/grand[[#This Row],[av.total weight]]</f>
        <v>2.1475580187045373E-2</v>
      </c>
      <c r="AA712" s="12">
        <f>AVERAGE((grand[[#This Row],[am]]/25),(grand[[#This Row],[pm]]/50))</f>
        <v>0.98851851851851857</v>
      </c>
      <c r="AB712" s="3">
        <f>grand[[#This Row],[ carcass weight]]/grand[[#This Row],[total weight]]</f>
        <v>0.61043297540699692</v>
      </c>
      <c r="AC712" s="18">
        <f>SUM(grand[[#This Row],[am]:[meat transportation]])/100</f>
        <v>0.9253703703703704</v>
      </c>
      <c r="AJ712" s="1">
        <v>11</v>
      </c>
      <c r="AK712" s="1"/>
      <c r="AL712" s="1">
        <v>0</v>
      </c>
    </row>
    <row r="713" spans="1:38" hidden="1" x14ac:dyDescent="0.2">
      <c r="A713" s="11">
        <v>44990</v>
      </c>
      <c r="B713" s="53" t="s">
        <v>1807</v>
      </c>
      <c r="C713" s="52" t="str">
        <f>IF(MID(B713,4,2)="09","Ramadan",IF(AND(MID(B713,4,2)="12",VALUE(LEFT(B713,2))&lt;=9),"Adha Season","Normal"))</f>
        <v>Normal</v>
      </c>
      <c r="D713" s="1" t="s">
        <v>45</v>
      </c>
      <c r="E713" s="1" t="s">
        <v>528</v>
      </c>
      <c r="F713" s="4" t="s">
        <v>280</v>
      </c>
      <c r="G713" s="1">
        <v>20</v>
      </c>
      <c r="H713" s="1">
        <v>20</v>
      </c>
      <c r="I713" s="1">
        <f>grand[[#This Row],[number]]-grand[[#This Row],[received]]</f>
        <v>0</v>
      </c>
      <c r="J713" s="30"/>
      <c r="K713" s="2">
        <v>11369</v>
      </c>
      <c r="L713" s="2">
        <v>10770</v>
      </c>
      <c r="M713" s="2">
        <f>K713-L713</f>
        <v>599</v>
      </c>
      <c r="N713" s="2">
        <v>7232.5</v>
      </c>
      <c r="O713" s="2">
        <v>176</v>
      </c>
      <c r="P713" s="7">
        <f>grand[[#This Row],[total weight]]/grand[[#This Row],[received]]</f>
        <v>568.45000000000005</v>
      </c>
      <c r="Q713" s="7">
        <f>grand[[#This Row],[receiving weight]]/grand[[#This Row],[received]]</f>
        <v>538.5</v>
      </c>
      <c r="R713" s="7">
        <f>grand[[#This Row],[transportation loss ]]/grand[[#This Row],[received]]</f>
        <v>29.95</v>
      </c>
      <c r="S713" s="7">
        <f>grand[[#This Row],[ carcass weight]]/grand[[#This Row],[received]]</f>
        <v>361.625</v>
      </c>
      <c r="T713" s="7">
        <f>grand[[#This Row],[ kidneys fat quantity]]/grand[[#This Row],[received]]</f>
        <v>8.8000000000000007</v>
      </c>
      <c r="U713" s="1">
        <v>24.75</v>
      </c>
      <c r="V713" s="1">
        <v>0</v>
      </c>
      <c r="W713" s="1">
        <v>49.5</v>
      </c>
      <c r="X713" s="1">
        <v>10</v>
      </c>
      <c r="Y713" s="1">
        <v>8.5</v>
      </c>
      <c r="Z713" s="18">
        <f>grand[[#This Row],[av. Transportation loss]]/grand[[#This Row],[av.total weight]]</f>
        <v>5.2687131673849939E-2</v>
      </c>
      <c r="AA713" s="12">
        <f>AVERAGE((grand[[#This Row],[am]]/25),(grand[[#This Row],[pm]]/50))</f>
        <v>0.99</v>
      </c>
      <c r="AB713" s="3">
        <f>grand[[#This Row],[ carcass weight]]/grand[[#This Row],[total weight]]</f>
        <v>0.63615973260620984</v>
      </c>
      <c r="AC713" s="18">
        <f>SUM(grand[[#This Row],[am]:[meat transportation]])/100</f>
        <v>0.92749999999999999</v>
      </c>
      <c r="AJ713" s="1">
        <v>5</v>
      </c>
      <c r="AK713" s="1"/>
      <c r="AL713" s="1">
        <v>0</v>
      </c>
    </row>
    <row r="714" spans="1:38" hidden="1" x14ac:dyDescent="0.2">
      <c r="A714" s="11">
        <v>44991</v>
      </c>
      <c r="B714" s="53" t="s">
        <v>1808</v>
      </c>
      <c r="C714" s="52" t="str">
        <f>IF(MID(B714,4,2)="09","Ramadan",IF(AND(MID(B714,4,2)="12",VALUE(LEFT(B714,2))&lt;=9),"Adha Season","Normal"))</f>
        <v>Normal</v>
      </c>
      <c r="D714" s="1" t="s">
        <v>45</v>
      </c>
      <c r="E714" s="1" t="s">
        <v>528</v>
      </c>
      <c r="F714" s="4" t="s">
        <v>280</v>
      </c>
      <c r="G714" s="1">
        <v>24</v>
      </c>
      <c r="H714" s="1">
        <v>24</v>
      </c>
      <c r="I714" s="1">
        <f>grand[[#This Row],[number]]-grand[[#This Row],[received]]</f>
        <v>0</v>
      </c>
      <c r="J714" s="30"/>
      <c r="K714" s="2">
        <v>13473</v>
      </c>
      <c r="L714" s="2">
        <v>12895</v>
      </c>
      <c r="M714" s="2">
        <f>K714-L714</f>
        <v>578</v>
      </c>
      <c r="N714" s="2">
        <v>8635.7999999999993</v>
      </c>
      <c r="O714" s="2">
        <v>184</v>
      </c>
      <c r="P714" s="7">
        <f>grand[[#This Row],[total weight]]/grand[[#This Row],[received]]</f>
        <v>561.375</v>
      </c>
      <c r="Q714" s="7">
        <f>grand[[#This Row],[receiving weight]]/grand[[#This Row],[received]]</f>
        <v>537.29166666666663</v>
      </c>
      <c r="R714" s="7">
        <f>grand[[#This Row],[transportation loss ]]/grand[[#This Row],[received]]</f>
        <v>24.083333333333332</v>
      </c>
      <c r="S714" s="7">
        <f>grand[[#This Row],[ carcass weight]]/grand[[#This Row],[received]]</f>
        <v>359.82499999999999</v>
      </c>
      <c r="T714" s="7">
        <f>grand[[#This Row],[ kidneys fat quantity]]/grand[[#This Row],[received]]</f>
        <v>7.666666666666667</v>
      </c>
      <c r="U714" s="1">
        <v>24.583333333333332</v>
      </c>
      <c r="V714" s="1">
        <v>0</v>
      </c>
      <c r="W714" s="1">
        <v>49.833333333333336</v>
      </c>
      <c r="X714" s="1">
        <v>10</v>
      </c>
      <c r="Y714" s="1">
        <v>8.5</v>
      </c>
      <c r="Z714" s="18">
        <f>grand[[#This Row],[av. Transportation loss]]/grand[[#This Row],[av.total weight]]</f>
        <v>4.2900616046908632E-2</v>
      </c>
      <c r="AA714" s="12">
        <f>AVERAGE((grand[[#This Row],[am]]/25),(grand[[#This Row],[pm]]/50))</f>
        <v>0.99</v>
      </c>
      <c r="AB714" s="3">
        <f>grand[[#This Row],[ carcass weight]]/grand[[#This Row],[total weight]]</f>
        <v>0.64097083054998882</v>
      </c>
      <c r="AC714" s="18">
        <f>SUM(grand[[#This Row],[am]:[meat transportation]])/100</f>
        <v>0.9291666666666667</v>
      </c>
      <c r="AJ714" s="1">
        <v>7</v>
      </c>
      <c r="AK714" s="1"/>
      <c r="AL714" s="1">
        <v>0</v>
      </c>
    </row>
    <row r="715" spans="1:38" hidden="1" x14ac:dyDescent="0.2">
      <c r="A715" s="11">
        <v>44992</v>
      </c>
      <c r="B715" s="53" t="s">
        <v>1809</v>
      </c>
      <c r="C715" s="52" t="str">
        <f>IF(MID(B715,4,2)="09","Ramadan",IF(AND(MID(B715,4,2)="12",VALUE(LEFT(B715,2))&lt;=9),"Adha Season","Normal"))</f>
        <v>Normal</v>
      </c>
      <c r="D715" s="1" t="s">
        <v>45</v>
      </c>
      <c r="E715" s="1" t="s">
        <v>483</v>
      </c>
      <c r="F715" s="4" t="s">
        <v>46</v>
      </c>
      <c r="G715" s="1">
        <v>50</v>
      </c>
      <c r="H715" s="1">
        <v>50</v>
      </c>
      <c r="I715" s="1">
        <f>grand[[#This Row],[number]]-grand[[#This Row],[received]]</f>
        <v>0</v>
      </c>
      <c r="J715" s="30"/>
      <c r="K715" s="2">
        <v>21835</v>
      </c>
      <c r="L715" s="2">
        <v>20575</v>
      </c>
      <c r="M715" s="2">
        <f>K715-L715</f>
        <v>1260</v>
      </c>
      <c r="N715" s="2">
        <v>13101.2</v>
      </c>
      <c r="O715" s="2">
        <v>419</v>
      </c>
      <c r="P715" s="7">
        <f>grand[[#This Row],[total weight]]/grand[[#This Row],[received]]</f>
        <v>436.7</v>
      </c>
      <c r="Q715" s="7">
        <f>grand[[#This Row],[receiving weight]]/grand[[#This Row],[received]]</f>
        <v>411.5</v>
      </c>
      <c r="R715" s="7">
        <f>grand[[#This Row],[transportation loss ]]/grand[[#This Row],[received]]</f>
        <v>25.2</v>
      </c>
      <c r="S715" s="7">
        <f>grand[[#This Row],[ carcass weight]]/grand[[#This Row],[received]]</f>
        <v>262.024</v>
      </c>
      <c r="T715" s="7">
        <f>grand[[#This Row],[ kidneys fat quantity]]/grand[[#This Row],[received]]</f>
        <v>8.3800000000000008</v>
      </c>
      <c r="U715" s="1">
        <v>25</v>
      </c>
      <c r="V715" s="1">
        <v>0</v>
      </c>
      <c r="W715" s="1">
        <v>49.9</v>
      </c>
      <c r="X715" s="1">
        <v>10</v>
      </c>
      <c r="Y715" s="1">
        <v>8.5</v>
      </c>
      <c r="Z715" s="18">
        <f>grand[[#This Row],[av. Transportation loss]]/grand[[#This Row],[av.total weight]]</f>
        <v>5.7705518662697505E-2</v>
      </c>
      <c r="AA715" s="12">
        <f>AVERAGE((grand[[#This Row],[am]]/25),(grand[[#This Row],[pm]]/50))</f>
        <v>0.999</v>
      </c>
      <c r="AB715" s="3">
        <f>grand[[#This Row],[ carcass weight]]/grand[[#This Row],[total weight]]</f>
        <v>0.60000915960613699</v>
      </c>
      <c r="AC715" s="18">
        <f>SUM(grand[[#This Row],[am]:[meat transportation]])/100</f>
        <v>0.93400000000000005</v>
      </c>
      <c r="AJ715" s="1">
        <v>1</v>
      </c>
      <c r="AK715" s="1"/>
      <c r="AL715" s="1">
        <v>2</v>
      </c>
    </row>
    <row r="716" spans="1:38" hidden="1" x14ac:dyDescent="0.2">
      <c r="A716" s="11">
        <v>44993</v>
      </c>
      <c r="B716" s="53" t="s">
        <v>1810</v>
      </c>
      <c r="C716" s="52" t="str">
        <f>IF(MID(B716,4,2)="09","Ramadan",IF(AND(MID(B716,4,2)="12",VALUE(LEFT(B716,2))&lt;=9),"Adha Season","Normal"))</f>
        <v>Normal</v>
      </c>
      <c r="D716" s="1" t="s">
        <v>45</v>
      </c>
      <c r="E716" s="1" t="s">
        <v>483</v>
      </c>
      <c r="F716" s="4" t="s">
        <v>39</v>
      </c>
      <c r="G716" s="1">
        <v>33</v>
      </c>
      <c r="H716" s="1">
        <v>33</v>
      </c>
      <c r="I716" s="1">
        <f>grand[[#This Row],[number]]-grand[[#This Row],[received]]</f>
        <v>0</v>
      </c>
      <c r="J716" s="30"/>
      <c r="K716" s="2">
        <v>14770</v>
      </c>
      <c r="L716" s="2">
        <v>14025</v>
      </c>
      <c r="M716" s="2">
        <f>K716-L716</f>
        <v>745</v>
      </c>
      <c r="N716" s="2">
        <v>9074.7000000000007</v>
      </c>
      <c r="O716" s="2">
        <v>321</v>
      </c>
      <c r="P716" s="7">
        <f>grand[[#This Row],[total weight]]/grand[[#This Row],[received]]</f>
        <v>447.57575757575756</v>
      </c>
      <c r="Q716" s="7">
        <f>grand[[#This Row],[receiving weight]]/grand[[#This Row],[received]]</f>
        <v>425</v>
      </c>
      <c r="R716" s="7">
        <f>grand[[#This Row],[transportation loss ]]/grand[[#This Row],[received]]</f>
        <v>22.575757575757574</v>
      </c>
      <c r="S716" s="7">
        <f>grand[[#This Row],[ carcass weight]]/grand[[#This Row],[received]]</f>
        <v>274.9909090909091</v>
      </c>
      <c r="T716" s="7">
        <f>grand[[#This Row],[ kidneys fat quantity]]/grand[[#This Row],[received]]</f>
        <v>9.7272727272727266</v>
      </c>
      <c r="U716" s="1">
        <v>25</v>
      </c>
      <c r="V716" s="1">
        <v>0</v>
      </c>
      <c r="W716" s="1">
        <v>50</v>
      </c>
      <c r="X716" s="1">
        <v>10</v>
      </c>
      <c r="Y716" s="1">
        <v>8.5</v>
      </c>
      <c r="Z716" s="18">
        <f>grand[[#This Row],[av. Transportation loss]]/grand[[#This Row],[av.total weight]]</f>
        <v>5.0440081245768445E-2</v>
      </c>
      <c r="AA716" s="12">
        <f>AVERAGE((grand[[#This Row],[am]]/25),(grand[[#This Row],[pm]]/50))</f>
        <v>1</v>
      </c>
      <c r="AB716" s="3">
        <f>grand[[#This Row],[ carcass weight]]/grand[[#This Row],[total weight]]</f>
        <v>0.61440081245768452</v>
      </c>
      <c r="AC716" s="18">
        <f>SUM(grand[[#This Row],[am]:[meat transportation]])/100</f>
        <v>0.93500000000000005</v>
      </c>
      <c r="AJ716" s="1">
        <v>1</v>
      </c>
      <c r="AK716" s="1"/>
      <c r="AL716" s="1">
        <v>0</v>
      </c>
    </row>
    <row r="717" spans="1:38" hidden="1" x14ac:dyDescent="0.2">
      <c r="A717" s="11">
        <v>44996</v>
      </c>
      <c r="B717" s="53" t="s">
        <v>1812</v>
      </c>
      <c r="C717" s="52" t="str">
        <f>IF(MID(B717,4,2)="09","Ramadan",IF(AND(MID(B717,4,2)="12",VALUE(LEFT(B717,2))&lt;=9),"Adha Season","Normal"))</f>
        <v>Normal</v>
      </c>
      <c r="D717" s="1" t="s">
        <v>45</v>
      </c>
      <c r="E717" s="1" t="s">
        <v>528</v>
      </c>
      <c r="F717" s="4" t="s">
        <v>280</v>
      </c>
      <c r="G717" s="1">
        <v>21</v>
      </c>
      <c r="H717" s="1">
        <v>21</v>
      </c>
      <c r="I717" s="1">
        <f>grand[[#This Row],[number]]-grand[[#This Row],[received]]</f>
        <v>0</v>
      </c>
      <c r="J717" s="30"/>
      <c r="K717" s="2">
        <v>12073</v>
      </c>
      <c r="L717" s="2">
        <v>11800</v>
      </c>
      <c r="M717" s="2">
        <f>K717-L717</f>
        <v>273</v>
      </c>
      <c r="N717" s="2">
        <v>7948.1</v>
      </c>
      <c r="O717" s="2">
        <v>239</v>
      </c>
      <c r="P717" s="7">
        <f>grand[[#This Row],[total weight]]/grand[[#This Row],[received]]</f>
        <v>574.90476190476193</v>
      </c>
      <c r="Q717" s="7">
        <f>grand[[#This Row],[receiving weight]]/grand[[#This Row],[received]]</f>
        <v>561.90476190476193</v>
      </c>
      <c r="R717" s="7">
        <f>grand[[#This Row],[transportation loss ]]/grand[[#This Row],[received]]</f>
        <v>13</v>
      </c>
      <c r="S717" s="7">
        <f>grand[[#This Row],[ carcass weight]]/grand[[#This Row],[received]]</f>
        <v>378.48095238095237</v>
      </c>
      <c r="T717" s="7">
        <f>grand[[#This Row],[ kidneys fat quantity]]/grand[[#This Row],[received]]</f>
        <v>11.380952380952381</v>
      </c>
      <c r="U717" s="1">
        <v>24.761904761904763</v>
      </c>
      <c r="V717" s="1">
        <v>0</v>
      </c>
      <c r="W717" s="1">
        <v>49.047619047619051</v>
      </c>
      <c r="X717" s="1">
        <v>10</v>
      </c>
      <c r="Y717" s="1">
        <v>8.5</v>
      </c>
      <c r="Z717" s="18">
        <f>grand[[#This Row],[av. Transportation loss]]/grand[[#This Row],[av.total weight]]</f>
        <v>2.2612440984013913E-2</v>
      </c>
      <c r="AA717" s="12">
        <f>AVERAGE((grand[[#This Row],[am]]/25),(grand[[#This Row],[pm]]/50))</f>
        <v>0.98571428571428577</v>
      </c>
      <c r="AB717" s="3">
        <f>grand[[#This Row],[ carcass weight]]/grand[[#This Row],[total weight]]</f>
        <v>0.65833678456058975</v>
      </c>
      <c r="AC717" s="18">
        <f>SUM(grand[[#This Row],[am]:[meat transportation]])/100</f>
        <v>0.92309523809523808</v>
      </c>
      <c r="AJ717" s="1">
        <v>9</v>
      </c>
      <c r="AK717" s="1"/>
      <c r="AL717" s="1">
        <v>0</v>
      </c>
    </row>
    <row r="718" spans="1:38" hidden="1" x14ac:dyDescent="0.2">
      <c r="A718" s="11">
        <v>44997</v>
      </c>
      <c r="B718" s="53" t="s">
        <v>1813</v>
      </c>
      <c r="C718" s="52" t="str">
        <f>IF(MID(B718,4,2)="09","Ramadan",IF(AND(MID(B718,4,2)="12",VALUE(LEFT(B718,2))&lt;=9),"Adha Season","Normal"))</f>
        <v>Normal</v>
      </c>
      <c r="D718" s="1" t="s">
        <v>45</v>
      </c>
      <c r="E718" s="1" t="s">
        <v>483</v>
      </c>
      <c r="F718" s="4" t="s">
        <v>280</v>
      </c>
      <c r="G718" s="1">
        <v>17</v>
      </c>
      <c r="H718" s="1">
        <v>17</v>
      </c>
      <c r="I718" s="1">
        <f>grand[[#This Row],[number]]-grand[[#This Row],[received]]</f>
        <v>0</v>
      </c>
      <c r="J718" s="30"/>
      <c r="K718" s="2">
        <v>8100</v>
      </c>
      <c r="L718" s="2">
        <v>7900</v>
      </c>
      <c r="M718" s="2">
        <f>K718-L718</f>
        <v>200</v>
      </c>
      <c r="N718" s="2">
        <v>4920.5</v>
      </c>
      <c r="O718" s="2">
        <v>182</v>
      </c>
      <c r="P718" s="7">
        <f>grand[[#This Row],[total weight]]/grand[[#This Row],[received]]</f>
        <v>476.47058823529414</v>
      </c>
      <c r="Q718" s="7">
        <f>grand[[#This Row],[receiving weight]]/grand[[#This Row],[received]]</f>
        <v>464.70588235294116</v>
      </c>
      <c r="R718" s="7">
        <f>grand[[#This Row],[transportation loss ]]/grand[[#This Row],[received]]</f>
        <v>11.764705882352942</v>
      </c>
      <c r="S718" s="7">
        <f>grand[[#This Row],[ carcass weight]]/grand[[#This Row],[received]]</f>
        <v>289.44117647058823</v>
      </c>
      <c r="T718" s="7">
        <f>grand[[#This Row],[ kidneys fat quantity]]/grand[[#This Row],[received]]</f>
        <v>10.705882352941176</v>
      </c>
      <c r="U718" s="1">
        <v>24.705882352941178</v>
      </c>
      <c r="V718" s="1">
        <v>0</v>
      </c>
      <c r="W718" s="1">
        <v>49.588235294117645</v>
      </c>
      <c r="X718" s="1">
        <v>10</v>
      </c>
      <c r="Y718" s="1">
        <v>8.5</v>
      </c>
      <c r="Z718" s="18">
        <f>grand[[#This Row],[av. Transportation loss]]/grand[[#This Row],[av.total weight]]</f>
        <v>2.469135802469136E-2</v>
      </c>
      <c r="AA718" s="12">
        <f>AVERAGE((grand[[#This Row],[am]]/25),(grand[[#This Row],[pm]]/50))</f>
        <v>0.99</v>
      </c>
      <c r="AB718" s="3">
        <f>grand[[#This Row],[ carcass weight]]/grand[[#This Row],[total weight]]</f>
        <v>0.60746913580246908</v>
      </c>
      <c r="AC718" s="18">
        <f>SUM(grand[[#This Row],[am]:[meat transportation]])/100</f>
        <v>0.92794117647058827</v>
      </c>
      <c r="AJ718" s="1">
        <v>6</v>
      </c>
      <c r="AK718" s="1"/>
      <c r="AL718" s="1">
        <v>2</v>
      </c>
    </row>
    <row r="719" spans="1:38" hidden="1" x14ac:dyDescent="0.2">
      <c r="A719" s="11">
        <v>44997</v>
      </c>
      <c r="B719" s="53" t="s">
        <v>1813</v>
      </c>
      <c r="C719" s="52" t="str">
        <f>IF(MID(B719,4,2)="09","Ramadan",IF(AND(MID(B719,4,2)="12",VALUE(LEFT(B719,2))&lt;=9),"Adha Season","Normal"))</f>
        <v>Normal</v>
      </c>
      <c r="D719" s="1" t="s">
        <v>45</v>
      </c>
      <c r="E719" s="1" t="s">
        <v>528</v>
      </c>
      <c r="F719" s="4" t="s">
        <v>280</v>
      </c>
      <c r="G719" s="1">
        <v>28</v>
      </c>
      <c r="H719" s="1">
        <v>28</v>
      </c>
      <c r="I719" s="1">
        <f>grand[[#This Row],[number]]-grand[[#This Row],[received]]</f>
        <v>0</v>
      </c>
      <c r="J719" s="30"/>
      <c r="K719" s="2">
        <v>15306</v>
      </c>
      <c r="L719" s="2">
        <v>14630</v>
      </c>
      <c r="M719" s="2">
        <f>K719-L719</f>
        <v>676</v>
      </c>
      <c r="N719" s="2">
        <v>9736.6</v>
      </c>
      <c r="O719" s="2">
        <v>266</v>
      </c>
      <c r="P719" s="7">
        <f>grand[[#This Row],[total weight]]/grand[[#This Row],[received]]</f>
        <v>546.64285714285711</v>
      </c>
      <c r="Q719" s="7">
        <f>grand[[#This Row],[receiving weight]]/grand[[#This Row],[received]]</f>
        <v>522.5</v>
      </c>
      <c r="R719" s="7">
        <f>grand[[#This Row],[transportation loss ]]/grand[[#This Row],[received]]</f>
        <v>24.142857142857142</v>
      </c>
      <c r="S719" s="7">
        <f>grand[[#This Row],[ carcass weight]]/grand[[#This Row],[received]]</f>
        <v>347.73571428571432</v>
      </c>
      <c r="T719" s="7">
        <f>grand[[#This Row],[ kidneys fat quantity]]/grand[[#This Row],[received]]</f>
        <v>9.5</v>
      </c>
      <c r="U719" s="1">
        <v>24.642857142857142</v>
      </c>
      <c r="V719" s="1">
        <v>0</v>
      </c>
      <c r="W719" s="1">
        <v>49.392857142857146</v>
      </c>
      <c r="X719" s="1">
        <v>10</v>
      </c>
      <c r="Y719" s="1">
        <v>8.5</v>
      </c>
      <c r="Z719" s="18">
        <f>grand[[#This Row],[av. Transportation loss]]/grand[[#This Row],[av.total weight]]</f>
        <v>4.4165686658826607E-2</v>
      </c>
      <c r="AA719" s="12">
        <f>AVERAGE((grand[[#This Row],[am]]/25),(grand[[#This Row],[pm]]/50))</f>
        <v>0.98678571428571427</v>
      </c>
      <c r="AB719" s="3">
        <f>grand[[#This Row],[ carcass weight]]/grand[[#This Row],[total weight]]</f>
        <v>0.63612962237031234</v>
      </c>
      <c r="AC719" s="18">
        <f>SUM(grand[[#This Row],[am]:[meat transportation]])/100</f>
        <v>0.92535714285714288</v>
      </c>
      <c r="AJ719" s="1">
        <v>10</v>
      </c>
      <c r="AK719" s="1"/>
      <c r="AL719" s="1">
        <v>7</v>
      </c>
    </row>
    <row r="720" spans="1:38" hidden="1" x14ac:dyDescent="0.2">
      <c r="A720" s="11">
        <v>44998</v>
      </c>
      <c r="B720" s="53" t="s">
        <v>1814</v>
      </c>
      <c r="C720" s="52" t="str">
        <f>IF(MID(B720,4,2)="09","Ramadan",IF(AND(MID(B720,4,2)="12",VALUE(LEFT(B720,2))&lt;=9),"Adha Season","Normal"))</f>
        <v>Normal</v>
      </c>
      <c r="D720" s="1" t="s">
        <v>45</v>
      </c>
      <c r="E720" s="1" t="s">
        <v>483</v>
      </c>
      <c r="F720" s="4" t="s">
        <v>280</v>
      </c>
      <c r="G720" s="1">
        <v>14</v>
      </c>
      <c r="H720" s="1">
        <v>14</v>
      </c>
      <c r="I720" s="1">
        <f>grand[[#This Row],[number]]-grand[[#This Row],[received]]</f>
        <v>0</v>
      </c>
      <c r="J720" s="30"/>
      <c r="K720" s="2">
        <v>5577</v>
      </c>
      <c r="L720" s="2">
        <v>5469</v>
      </c>
      <c r="M720" s="2">
        <f>K720-L720</f>
        <v>108</v>
      </c>
      <c r="N720" s="2">
        <v>3346.3</v>
      </c>
      <c r="O720" s="2">
        <v>84</v>
      </c>
      <c r="P720" s="7">
        <f>grand[[#This Row],[total weight]]/grand[[#This Row],[received]]</f>
        <v>398.35714285714283</v>
      </c>
      <c r="Q720" s="7">
        <f>grand[[#This Row],[receiving weight]]/grand[[#This Row],[received]]</f>
        <v>390.64285714285717</v>
      </c>
      <c r="R720" s="7">
        <f>grand[[#This Row],[transportation loss ]]/grand[[#This Row],[received]]</f>
        <v>7.7142857142857144</v>
      </c>
      <c r="S720" s="7">
        <f>grand[[#This Row],[ carcass weight]]/grand[[#This Row],[received]]</f>
        <v>239.02142857142857</v>
      </c>
      <c r="T720" s="7">
        <f>grand[[#This Row],[ kidneys fat quantity]]/grand[[#This Row],[received]]</f>
        <v>6</v>
      </c>
      <c r="U720" s="1">
        <v>25</v>
      </c>
      <c r="V720" s="1">
        <v>0</v>
      </c>
      <c r="W720" s="1">
        <v>48.857142857142854</v>
      </c>
      <c r="X720" s="1">
        <v>10</v>
      </c>
      <c r="Y720" s="1">
        <v>8.5</v>
      </c>
      <c r="Z720" s="18">
        <f>grand[[#This Row],[av. Transportation loss]]/grand[[#This Row],[av.total weight]]</f>
        <v>1.9365250134480906E-2</v>
      </c>
      <c r="AA720" s="12">
        <f>AVERAGE((grand[[#This Row],[am]]/25),(grand[[#This Row],[pm]]/50))</f>
        <v>0.98857142857142855</v>
      </c>
      <c r="AB720" s="3">
        <f>grand[[#This Row],[ carcass weight]]/grand[[#This Row],[total weight]]</f>
        <v>0.60001793078716159</v>
      </c>
      <c r="AC720" s="18">
        <f>SUM(grand[[#This Row],[am]:[meat transportation]])/100</f>
        <v>0.9235714285714286</v>
      </c>
      <c r="AJ720" s="1">
        <v>2</v>
      </c>
      <c r="AK720" s="1"/>
      <c r="AL720" s="1">
        <v>9</v>
      </c>
    </row>
    <row r="721" spans="1:38" hidden="1" x14ac:dyDescent="0.2">
      <c r="A721" s="11">
        <v>44998</v>
      </c>
      <c r="B721" s="53" t="s">
        <v>1814</v>
      </c>
      <c r="C721" s="52" t="str">
        <f>IF(MID(B721,4,2)="09","Ramadan",IF(AND(MID(B721,4,2)="12",VALUE(LEFT(B721,2))&lt;=9),"Adha Season","Normal"))</f>
        <v>Normal</v>
      </c>
      <c r="D721" s="1" t="s">
        <v>45</v>
      </c>
      <c r="E721" s="1" t="s">
        <v>528</v>
      </c>
      <c r="F721" s="4" t="s">
        <v>280</v>
      </c>
      <c r="G721" s="1">
        <v>21</v>
      </c>
      <c r="H721" s="1">
        <v>21</v>
      </c>
      <c r="I721" s="1">
        <f>grand[[#This Row],[number]]-grand[[#This Row],[received]]</f>
        <v>0</v>
      </c>
      <c r="J721" s="30"/>
      <c r="K721" s="2">
        <v>10865</v>
      </c>
      <c r="L721" s="2">
        <v>10460</v>
      </c>
      <c r="M721" s="2">
        <f>K721-L721</f>
        <v>405</v>
      </c>
      <c r="N721" s="2">
        <v>6911.4</v>
      </c>
      <c r="O721" s="2">
        <v>198</v>
      </c>
      <c r="P721" s="7">
        <f>grand[[#This Row],[total weight]]/grand[[#This Row],[received]]</f>
        <v>517.38095238095241</v>
      </c>
      <c r="Q721" s="7">
        <f>grand[[#This Row],[receiving weight]]/grand[[#This Row],[received]]</f>
        <v>498.09523809523807</v>
      </c>
      <c r="R721" s="7">
        <f>grand[[#This Row],[transportation loss ]]/grand[[#This Row],[received]]</f>
        <v>19.285714285714285</v>
      </c>
      <c r="S721" s="7">
        <f>grand[[#This Row],[ carcass weight]]/grand[[#This Row],[received]]</f>
        <v>329.1142857142857</v>
      </c>
      <c r="T721" s="7">
        <f>grand[[#This Row],[ kidneys fat quantity]]/grand[[#This Row],[received]]</f>
        <v>9.4285714285714288</v>
      </c>
      <c r="U721" s="1">
        <v>24.761904761904763</v>
      </c>
      <c r="V721" s="1">
        <v>0</v>
      </c>
      <c r="W721" s="1">
        <v>49.666666666666664</v>
      </c>
      <c r="X721" s="1">
        <v>10</v>
      </c>
      <c r="Y721" s="1">
        <v>8.5</v>
      </c>
      <c r="Z721" s="18">
        <f>grand[[#This Row],[av. Transportation loss]]/grand[[#This Row],[av.total weight]]</f>
        <v>3.7275655775425673E-2</v>
      </c>
      <c r="AA721" s="12">
        <f>AVERAGE((grand[[#This Row],[am]]/25),(grand[[#This Row],[pm]]/50))</f>
        <v>0.99190476190476184</v>
      </c>
      <c r="AB721" s="3">
        <f>grand[[#This Row],[ carcass weight]]/grand[[#This Row],[total weight]]</f>
        <v>0.63611596870685683</v>
      </c>
      <c r="AC721" s="18">
        <f>SUM(grand[[#This Row],[am]:[meat transportation]])/100</f>
        <v>0.92928571428571427</v>
      </c>
      <c r="AJ721" s="1">
        <v>4</v>
      </c>
      <c r="AK721" s="1"/>
      <c r="AL721" s="1">
        <v>0</v>
      </c>
    </row>
    <row r="722" spans="1:38" hidden="1" x14ac:dyDescent="0.2">
      <c r="A722" s="11">
        <v>45000</v>
      </c>
      <c r="B722" s="53" t="s">
        <v>1816</v>
      </c>
      <c r="C722" s="52" t="str">
        <f>IF(MID(B722,4,2)="09","Ramadan",IF(AND(MID(B722,4,2)="12",VALUE(LEFT(B722,2))&lt;=9),"Adha Season","Normal"))</f>
        <v>Normal</v>
      </c>
      <c r="D722" s="1" t="s">
        <v>45</v>
      </c>
      <c r="E722" s="1" t="s">
        <v>483</v>
      </c>
      <c r="F722" s="4" t="s">
        <v>39</v>
      </c>
      <c r="G722" s="1">
        <v>25</v>
      </c>
      <c r="H722" s="1">
        <v>25</v>
      </c>
      <c r="I722" s="1">
        <f>grand[[#This Row],[number]]-grand[[#This Row],[received]]</f>
        <v>0</v>
      </c>
      <c r="J722" s="30"/>
      <c r="K722" s="2">
        <v>10591</v>
      </c>
      <c r="L722" s="2">
        <v>10075</v>
      </c>
      <c r="M722" s="2">
        <f>K722-L722</f>
        <v>516</v>
      </c>
      <c r="N722" s="2">
        <v>6407.3</v>
      </c>
      <c r="O722" s="2">
        <v>236</v>
      </c>
      <c r="P722" s="7">
        <f>grand[[#This Row],[total weight]]/grand[[#This Row],[received]]</f>
        <v>423.64</v>
      </c>
      <c r="Q722" s="7">
        <f>grand[[#This Row],[receiving weight]]/grand[[#This Row],[received]]</f>
        <v>403</v>
      </c>
      <c r="R722" s="7">
        <f>grand[[#This Row],[transportation loss ]]/grand[[#This Row],[received]]</f>
        <v>20.64</v>
      </c>
      <c r="S722" s="7">
        <f>grand[[#This Row],[ carcass weight]]/grand[[#This Row],[received]]</f>
        <v>256.29200000000003</v>
      </c>
      <c r="T722" s="7">
        <f>grand[[#This Row],[ kidneys fat quantity]]/grand[[#This Row],[received]]</f>
        <v>9.44</v>
      </c>
      <c r="U722" s="1">
        <v>25</v>
      </c>
      <c r="V722" s="1">
        <v>0</v>
      </c>
      <c r="W722" s="1">
        <v>49.791666666666671</v>
      </c>
      <c r="X722" s="1">
        <v>10</v>
      </c>
      <c r="Y722" s="1">
        <v>8.5</v>
      </c>
      <c r="Z722" s="18">
        <f>grand[[#This Row],[av. Transportation loss]]/grand[[#This Row],[av.total weight]]</f>
        <v>4.872061184024172E-2</v>
      </c>
      <c r="AA722" s="12">
        <f>AVERAGE((grand[[#This Row],[am]]/25),(grand[[#This Row],[pm]]/50))</f>
        <v>0.99791666666666679</v>
      </c>
      <c r="AB722" s="3">
        <f>grand[[#This Row],[ carcass weight]]/grand[[#This Row],[total weight]]</f>
        <v>0.60497592295345104</v>
      </c>
      <c r="AC722" s="18">
        <f>SUM(grand[[#This Row],[am]:[meat transportation]])/100</f>
        <v>0.93291666666666673</v>
      </c>
      <c r="AJ722" s="1">
        <v>3</v>
      </c>
      <c r="AK722" s="1"/>
      <c r="AL722" s="1">
        <v>0</v>
      </c>
    </row>
    <row r="723" spans="1:38" hidden="1" x14ac:dyDescent="0.2">
      <c r="A723" s="11">
        <v>45000</v>
      </c>
      <c r="B723" s="53" t="s">
        <v>1816</v>
      </c>
      <c r="C723" s="52" t="str">
        <f>IF(MID(B723,4,2)="09","Ramadan",IF(AND(MID(B723,4,2)="12",VALUE(LEFT(B723,2))&lt;=9),"Adha Season","Normal"))</f>
        <v>Normal</v>
      </c>
      <c r="D723" s="1" t="s">
        <v>45</v>
      </c>
      <c r="E723" s="1" t="s">
        <v>528</v>
      </c>
      <c r="F723" s="4" t="s">
        <v>39</v>
      </c>
      <c r="G723" s="1">
        <v>7</v>
      </c>
      <c r="H723" s="1">
        <v>7</v>
      </c>
      <c r="I723" s="1">
        <f>grand[[#This Row],[number]]-grand[[#This Row],[received]]</f>
        <v>0</v>
      </c>
      <c r="J723" s="30"/>
      <c r="K723" s="2">
        <v>4136</v>
      </c>
      <c r="L723" s="2">
        <v>3920</v>
      </c>
      <c r="M723" s="2">
        <f>K723-L723</f>
        <v>216</v>
      </c>
      <c r="N723" s="2">
        <v>2604.4</v>
      </c>
      <c r="O723" s="2">
        <v>47</v>
      </c>
      <c r="P723" s="7">
        <f>grand[[#This Row],[total weight]]/grand[[#This Row],[received]]</f>
        <v>590.85714285714289</v>
      </c>
      <c r="Q723" s="7">
        <f>grand[[#This Row],[receiving weight]]/grand[[#This Row],[received]]</f>
        <v>560</v>
      </c>
      <c r="R723" s="7">
        <f>grand[[#This Row],[transportation loss ]]/grand[[#This Row],[received]]</f>
        <v>30.857142857142858</v>
      </c>
      <c r="S723" s="7">
        <f>grand[[#This Row],[ carcass weight]]/grand[[#This Row],[received]]</f>
        <v>372.05714285714288</v>
      </c>
      <c r="T723" s="7">
        <f>grand[[#This Row],[ kidneys fat quantity]]/grand[[#This Row],[received]]</f>
        <v>6.7142857142857144</v>
      </c>
      <c r="U723" s="1">
        <v>25</v>
      </c>
      <c r="V723" s="1">
        <v>0</v>
      </c>
      <c r="W723" s="1">
        <v>50</v>
      </c>
      <c r="X723" s="1">
        <v>10</v>
      </c>
      <c r="Y723" s="1">
        <v>8.5</v>
      </c>
      <c r="Z723" s="18">
        <f>grand[[#This Row],[av. Transportation loss]]/grand[[#This Row],[av.total weight]]</f>
        <v>5.2224371373307543E-2</v>
      </c>
      <c r="AA723" s="12">
        <f>AVERAGE((grand[[#This Row],[am]]/25),(grand[[#This Row],[pm]]/50))</f>
        <v>1</v>
      </c>
      <c r="AB723" s="3">
        <f>grand[[#This Row],[ carcass weight]]/grand[[#This Row],[total weight]]</f>
        <v>0.6296905222437138</v>
      </c>
      <c r="AC723" s="18">
        <f>SUM(grand[[#This Row],[am]:[meat transportation]])/100</f>
        <v>0.93500000000000005</v>
      </c>
      <c r="AJ723" s="1">
        <v>0</v>
      </c>
      <c r="AK723" s="1"/>
      <c r="AL723" s="1">
        <v>0</v>
      </c>
    </row>
    <row r="724" spans="1:38" hidden="1" x14ac:dyDescent="0.2">
      <c r="A724" s="11">
        <v>45001</v>
      </c>
      <c r="B724" s="53" t="s">
        <v>1817</v>
      </c>
      <c r="C724" s="52" t="str">
        <f>IF(MID(B724,4,2)="09","Ramadan",IF(AND(MID(B724,4,2)="12",VALUE(LEFT(B724,2))&lt;=9),"Adha Season","Normal"))</f>
        <v>Normal</v>
      </c>
      <c r="D724" s="1" t="s">
        <v>45</v>
      </c>
      <c r="E724" s="1" t="s">
        <v>554</v>
      </c>
      <c r="F724" s="4" t="s">
        <v>280</v>
      </c>
      <c r="G724" s="1">
        <v>23</v>
      </c>
      <c r="H724" s="1">
        <v>23</v>
      </c>
      <c r="I724" s="1">
        <f>grand[[#This Row],[number]]-grand[[#This Row],[received]]</f>
        <v>0</v>
      </c>
      <c r="J724" s="30"/>
      <c r="K724" s="2">
        <v>14321</v>
      </c>
      <c r="L724" s="2">
        <v>14321</v>
      </c>
      <c r="M724" s="2">
        <f>K724-L724</f>
        <v>0</v>
      </c>
      <c r="N724" s="2">
        <v>8592.6</v>
      </c>
      <c r="O724" s="2">
        <v>0</v>
      </c>
      <c r="P724" s="7">
        <f>grand[[#This Row],[total weight]]/grand[[#This Row],[received]]</f>
        <v>622.6521739130435</v>
      </c>
      <c r="Q724" s="7">
        <f>grand[[#This Row],[receiving weight]]/grand[[#This Row],[received]]</f>
        <v>622.6521739130435</v>
      </c>
      <c r="R724" s="7">
        <f>grand[[#This Row],[transportation loss ]]/grand[[#This Row],[received]]</f>
        <v>0</v>
      </c>
      <c r="S724" s="7">
        <f>grand[[#This Row],[ carcass weight]]/grand[[#This Row],[received]]</f>
        <v>373.59130434782611</v>
      </c>
      <c r="T724" s="7">
        <f>grand[[#This Row],[ kidneys fat quantity]]/grand[[#This Row],[received]]</f>
        <v>0</v>
      </c>
      <c r="U724" s="1">
        <v>25</v>
      </c>
      <c r="V724" s="1">
        <v>0</v>
      </c>
      <c r="W724" s="1">
        <v>45</v>
      </c>
      <c r="X724" s="1">
        <v>10</v>
      </c>
      <c r="Y724" s="1">
        <v>8.5</v>
      </c>
      <c r="Z724" s="18">
        <f>grand[[#This Row],[av. Transportation loss]]/grand[[#This Row],[av.total weight]]</f>
        <v>0</v>
      </c>
      <c r="AA724" s="12">
        <f>AVERAGE((grand[[#This Row],[am]]/25),(grand[[#This Row],[pm]]/50))</f>
        <v>0.95</v>
      </c>
      <c r="AB724" s="3">
        <f>grand[[#This Row],[ carcass weight]]/grand[[#This Row],[total weight]]</f>
        <v>0.6</v>
      </c>
      <c r="AC724" s="18">
        <f>SUM(grand[[#This Row],[am]:[meat transportation]])/100</f>
        <v>0.88500000000000001</v>
      </c>
      <c r="AJ724" s="1">
        <v>23</v>
      </c>
      <c r="AK724" s="1"/>
      <c r="AL724" s="1">
        <v>0</v>
      </c>
    </row>
    <row r="725" spans="1:38" hidden="1" x14ac:dyDescent="0.2">
      <c r="A725" s="11">
        <v>45001</v>
      </c>
      <c r="B725" s="53" t="s">
        <v>1817</v>
      </c>
      <c r="C725" s="52" t="str">
        <f>IF(MID(B725,4,2)="09","Ramadan",IF(AND(MID(B725,4,2)="12",VALUE(LEFT(B725,2))&lt;=9),"Adha Season","Normal"))</f>
        <v>Normal</v>
      </c>
      <c r="D725" s="1" t="s">
        <v>45</v>
      </c>
      <c r="E725" s="1" t="s">
        <v>483</v>
      </c>
      <c r="F725" s="4" t="s">
        <v>550</v>
      </c>
      <c r="G725" s="1">
        <v>16</v>
      </c>
      <c r="H725" s="1">
        <v>16</v>
      </c>
      <c r="I725" s="1">
        <f>grand[[#This Row],[number]]-grand[[#This Row],[received]]</f>
        <v>0</v>
      </c>
      <c r="J725" s="30"/>
      <c r="K725" s="2">
        <v>7288</v>
      </c>
      <c r="L725" s="2">
        <v>7288</v>
      </c>
      <c r="M725" s="2">
        <f>K725-L725</f>
        <v>0</v>
      </c>
      <c r="N725" s="2">
        <v>4372.8</v>
      </c>
      <c r="O725" s="2">
        <v>90</v>
      </c>
      <c r="P725" s="7">
        <f>grand[[#This Row],[total weight]]/grand[[#This Row],[received]]</f>
        <v>455.5</v>
      </c>
      <c r="Q725" s="7">
        <f>grand[[#This Row],[receiving weight]]/grand[[#This Row],[received]]</f>
        <v>455.5</v>
      </c>
      <c r="R725" s="7">
        <f>grand[[#This Row],[transportation loss ]]/grand[[#This Row],[received]]</f>
        <v>0</v>
      </c>
      <c r="S725" s="7">
        <f>grand[[#This Row],[ carcass weight]]/grand[[#This Row],[received]]</f>
        <v>273.3</v>
      </c>
      <c r="T725" s="7">
        <f>grand[[#This Row],[ kidneys fat quantity]]/grand[[#This Row],[received]]</f>
        <v>5.625</v>
      </c>
      <c r="U725" s="1">
        <v>25</v>
      </c>
      <c r="V725" s="1">
        <v>0</v>
      </c>
      <c r="W725" s="1">
        <v>48.625</v>
      </c>
      <c r="X725" s="1">
        <v>10</v>
      </c>
      <c r="Y725" s="1">
        <v>8.5</v>
      </c>
      <c r="Z725" s="18">
        <f>grand[[#This Row],[av. Transportation loss]]/grand[[#This Row],[av.total weight]]</f>
        <v>0</v>
      </c>
      <c r="AA725" s="12">
        <f>AVERAGE((grand[[#This Row],[am]]/25),(grand[[#This Row],[pm]]/50))</f>
        <v>0.98625000000000007</v>
      </c>
      <c r="AB725" s="3">
        <f>grand[[#This Row],[ carcass weight]]/grand[[#This Row],[total weight]]</f>
        <v>0.6</v>
      </c>
      <c r="AC725" s="18">
        <f>SUM(grand[[#This Row],[am]:[meat transportation]])/100</f>
        <v>0.92125000000000001</v>
      </c>
      <c r="AJ725" s="1">
        <v>8</v>
      </c>
      <c r="AK725" s="1"/>
      <c r="AL725" s="1">
        <v>0</v>
      </c>
    </row>
    <row r="726" spans="1:38" hidden="1" x14ac:dyDescent="0.2">
      <c r="A726" s="11">
        <v>45001</v>
      </c>
      <c r="B726" s="53" t="s">
        <v>1817</v>
      </c>
      <c r="C726" s="52" t="str">
        <f>IF(MID(B726,4,2)="09","Ramadan",IF(AND(MID(B726,4,2)="12",VALUE(LEFT(B726,2))&lt;=9),"Adha Season","Normal"))</f>
        <v>Normal</v>
      </c>
      <c r="D726" s="1" t="s">
        <v>45</v>
      </c>
      <c r="E726" s="1" t="s">
        <v>528</v>
      </c>
      <c r="F726" s="4" t="s">
        <v>46</v>
      </c>
      <c r="G726" s="1">
        <v>38</v>
      </c>
      <c r="H726" s="1">
        <v>38</v>
      </c>
      <c r="I726" s="1">
        <f>grand[[#This Row],[number]]-grand[[#This Row],[received]]</f>
        <v>0</v>
      </c>
      <c r="J726" s="30"/>
      <c r="K726" s="2">
        <v>22580</v>
      </c>
      <c r="L726" s="2">
        <v>22005</v>
      </c>
      <c r="M726" s="2">
        <f>K726-L726</f>
        <v>575</v>
      </c>
      <c r="N726" s="2">
        <v>13548.9</v>
      </c>
      <c r="O726" s="2">
        <v>256</v>
      </c>
      <c r="P726" s="7">
        <f>grand[[#This Row],[total weight]]/grand[[#This Row],[received]]</f>
        <v>594.21052631578948</v>
      </c>
      <c r="Q726" s="7">
        <f>grand[[#This Row],[receiving weight]]/grand[[#This Row],[received]]</f>
        <v>579.07894736842104</v>
      </c>
      <c r="R726" s="7">
        <f>grand[[#This Row],[transportation loss ]]/grand[[#This Row],[received]]</f>
        <v>15.131578947368421</v>
      </c>
      <c r="S726" s="7">
        <f>grand[[#This Row],[ carcass weight]]/grand[[#This Row],[received]]</f>
        <v>356.55</v>
      </c>
      <c r="T726" s="7">
        <f>grand[[#This Row],[ kidneys fat quantity]]/grand[[#This Row],[received]]</f>
        <v>6.7368421052631575</v>
      </c>
      <c r="U726" s="1">
        <v>25</v>
      </c>
      <c r="V726" s="1">
        <v>0</v>
      </c>
      <c r="W726" s="1">
        <v>48.10526315789474</v>
      </c>
      <c r="X726" s="1">
        <v>10</v>
      </c>
      <c r="Y726" s="1">
        <v>8.5</v>
      </c>
      <c r="Z726" s="18">
        <f>grand[[#This Row],[av. Transportation loss]]/grand[[#This Row],[av.total weight]]</f>
        <v>2.546501328609389E-2</v>
      </c>
      <c r="AA726" s="12">
        <f>AVERAGE((grand[[#This Row],[am]]/25),(grand[[#This Row],[pm]]/50))</f>
        <v>0.9810526315789474</v>
      </c>
      <c r="AB726" s="3">
        <f>grand[[#This Row],[ carcass weight]]/grand[[#This Row],[total weight]]</f>
        <v>0.60003985828166517</v>
      </c>
      <c r="AC726" s="18">
        <f>SUM(grand[[#This Row],[am]:[meat transportation]])/100</f>
        <v>0.91605263157894745</v>
      </c>
      <c r="AJ726" s="1">
        <v>14</v>
      </c>
      <c r="AK726" s="1"/>
      <c r="AL726" s="1">
        <v>0</v>
      </c>
    </row>
    <row r="727" spans="1:38" hidden="1" x14ac:dyDescent="0.2">
      <c r="A727" s="11">
        <v>45003</v>
      </c>
      <c r="B727" s="53" t="s">
        <v>1818</v>
      </c>
      <c r="C727" s="52" t="str">
        <f>IF(MID(B727,4,2)="09","Ramadan",IF(AND(MID(B727,4,2)="12",VALUE(LEFT(B727,2))&lt;=9),"Adha Season","Normal"))</f>
        <v>Normal</v>
      </c>
      <c r="D727" s="1" t="s">
        <v>45</v>
      </c>
      <c r="E727" s="1" t="s">
        <v>483</v>
      </c>
      <c r="F727" s="4" t="s">
        <v>280</v>
      </c>
      <c r="G727" s="1">
        <v>24</v>
      </c>
      <c r="H727" s="1">
        <v>24</v>
      </c>
      <c r="I727" s="1">
        <f>grand[[#This Row],[number]]-grand[[#This Row],[received]]</f>
        <v>0</v>
      </c>
      <c r="J727" s="30"/>
      <c r="K727" s="2">
        <v>11535</v>
      </c>
      <c r="L727" s="2">
        <v>11320</v>
      </c>
      <c r="M727" s="2">
        <f>K727-L727</f>
        <v>215</v>
      </c>
      <c r="N727" s="2">
        <v>6986.7</v>
      </c>
      <c r="O727" s="2">
        <v>219</v>
      </c>
      <c r="P727" s="7">
        <f>grand[[#This Row],[total weight]]/grand[[#This Row],[received]]</f>
        <v>480.625</v>
      </c>
      <c r="Q727" s="7">
        <f>grand[[#This Row],[receiving weight]]/grand[[#This Row],[received]]</f>
        <v>471.66666666666669</v>
      </c>
      <c r="R727" s="7">
        <f>grand[[#This Row],[transportation loss ]]/grand[[#This Row],[received]]</f>
        <v>8.9583333333333339</v>
      </c>
      <c r="S727" s="7">
        <f>grand[[#This Row],[ carcass weight]]/grand[[#This Row],[received]]</f>
        <v>291.11250000000001</v>
      </c>
      <c r="T727" s="7">
        <f>grand[[#This Row],[ kidneys fat quantity]]/grand[[#This Row],[received]]</f>
        <v>9.125</v>
      </c>
      <c r="U727" s="1">
        <v>25</v>
      </c>
      <c r="V727" s="1">
        <v>0</v>
      </c>
      <c r="W727" s="1">
        <v>49.708333333333329</v>
      </c>
      <c r="X727" s="1">
        <v>10</v>
      </c>
      <c r="Y727" s="1">
        <v>8.5</v>
      </c>
      <c r="Z727" s="18">
        <f>grand[[#This Row],[av. Transportation loss]]/grand[[#This Row],[av.total weight]]</f>
        <v>1.8638925010836586E-2</v>
      </c>
      <c r="AA727" s="12">
        <f>AVERAGE((grand[[#This Row],[am]]/25),(grand[[#This Row],[pm]]/50))</f>
        <v>0.99708333333333332</v>
      </c>
      <c r="AB727" s="3">
        <f>grand[[#This Row],[ carcass weight]]/grand[[#This Row],[total weight]]</f>
        <v>0.6056957087126138</v>
      </c>
      <c r="AC727" s="18">
        <f>SUM(grand[[#This Row],[am]:[meat transportation]])/100</f>
        <v>0.93208333333333326</v>
      </c>
      <c r="AJ727" s="1">
        <v>12</v>
      </c>
      <c r="AK727" s="1"/>
      <c r="AL727" s="1">
        <v>6</v>
      </c>
    </row>
    <row r="728" spans="1:38" hidden="1" x14ac:dyDescent="0.2">
      <c r="A728" s="11">
        <v>45004</v>
      </c>
      <c r="B728" s="53" t="s">
        <v>1819</v>
      </c>
      <c r="C728" s="52" t="str">
        <f>IF(MID(B728,4,2)="09","Ramadan",IF(AND(MID(B728,4,2)="12",VALUE(LEFT(B728,2))&lt;=9),"Adha Season","Normal"))</f>
        <v>Normal</v>
      </c>
      <c r="D728" s="1" t="s">
        <v>45</v>
      </c>
      <c r="E728" s="1" t="s">
        <v>483</v>
      </c>
      <c r="F728" s="4" t="s">
        <v>280</v>
      </c>
      <c r="G728" s="1">
        <v>28</v>
      </c>
      <c r="H728" s="1">
        <v>28</v>
      </c>
      <c r="I728" s="1">
        <f>grand[[#This Row],[number]]-grand[[#This Row],[received]]</f>
        <v>0</v>
      </c>
      <c r="J728" s="30"/>
      <c r="K728" s="2">
        <v>13545</v>
      </c>
      <c r="L728" s="2">
        <v>13180</v>
      </c>
      <c r="M728" s="2">
        <f>K728-L728</f>
        <v>365</v>
      </c>
      <c r="N728" s="2">
        <v>8126.6</v>
      </c>
      <c r="O728" s="2">
        <v>305</v>
      </c>
      <c r="P728" s="7">
        <f>grand[[#This Row],[total weight]]/grand[[#This Row],[received]]</f>
        <v>483.75</v>
      </c>
      <c r="Q728" s="7">
        <f>grand[[#This Row],[receiving weight]]/grand[[#This Row],[received]]</f>
        <v>470.71428571428572</v>
      </c>
      <c r="R728" s="7">
        <f>grand[[#This Row],[transportation loss ]]/grand[[#This Row],[received]]</f>
        <v>13.035714285714286</v>
      </c>
      <c r="S728" s="7">
        <f>grand[[#This Row],[ carcass weight]]/grand[[#This Row],[received]]</f>
        <v>290.23571428571432</v>
      </c>
      <c r="T728" s="7">
        <f>grand[[#This Row],[ kidneys fat quantity]]/grand[[#This Row],[received]]</f>
        <v>10.892857142857142</v>
      </c>
      <c r="U728" s="1">
        <v>25</v>
      </c>
      <c r="V728" s="1">
        <v>0</v>
      </c>
      <c r="W728" s="1">
        <v>48.321428571428569</v>
      </c>
      <c r="X728" s="1">
        <v>10</v>
      </c>
      <c r="Y728" s="1">
        <v>8.5</v>
      </c>
      <c r="Z728" s="18">
        <f>grand[[#This Row],[av. Transportation loss]]/grand[[#This Row],[av.total weight]]</f>
        <v>2.6947212993724622E-2</v>
      </c>
      <c r="AA728" s="12">
        <f>AVERAGE((grand[[#This Row],[am]]/25),(grand[[#This Row],[pm]]/50))</f>
        <v>0.98321428571428571</v>
      </c>
      <c r="AB728" s="3">
        <f>grand[[#This Row],[ carcass weight]]/grand[[#This Row],[total weight]]</f>
        <v>0.59997046880767813</v>
      </c>
      <c r="AC728" s="18">
        <f>SUM(grand[[#This Row],[am]:[meat transportation]])/100</f>
        <v>0.91821428571428565</v>
      </c>
      <c r="AJ728" s="1">
        <v>12</v>
      </c>
      <c r="AK728" s="1"/>
      <c r="AL728" s="1">
        <v>7</v>
      </c>
    </row>
    <row r="729" spans="1:38" hidden="1" x14ac:dyDescent="0.2">
      <c r="A729" s="11">
        <v>45007</v>
      </c>
      <c r="B729" s="53" t="s">
        <v>1821</v>
      </c>
      <c r="C729" s="52" t="str">
        <f>IF(MID(B729,4,2)="09","Ramadan",IF(AND(MID(B729,4,2)="12",VALUE(LEFT(B729,2))&lt;=9),"Adha Season","Normal"))</f>
        <v>Normal</v>
      </c>
      <c r="D729" s="1" t="s">
        <v>45</v>
      </c>
      <c r="E729" s="1" t="s">
        <v>528</v>
      </c>
      <c r="F729" s="4" t="s">
        <v>39</v>
      </c>
      <c r="G729" s="1">
        <v>52</v>
      </c>
      <c r="H729" s="1">
        <v>52</v>
      </c>
      <c r="I729" s="1">
        <f>grand[[#This Row],[number]]-grand[[#This Row],[received]]</f>
        <v>0</v>
      </c>
      <c r="J729" s="30"/>
      <c r="K729" s="2">
        <v>28935</v>
      </c>
      <c r="L729" s="2">
        <v>27920</v>
      </c>
      <c r="M729" s="2">
        <f>K729-L729</f>
        <v>1015</v>
      </c>
      <c r="N729" s="2">
        <v>18638.099999999999</v>
      </c>
      <c r="O729" s="2">
        <v>305</v>
      </c>
      <c r="P729" s="7">
        <f>grand[[#This Row],[total weight]]/grand[[#This Row],[received]]</f>
        <v>556.44230769230774</v>
      </c>
      <c r="Q729" s="7">
        <f>grand[[#This Row],[receiving weight]]/grand[[#This Row],[received]]</f>
        <v>536.92307692307691</v>
      </c>
      <c r="R729" s="7">
        <f>grand[[#This Row],[transportation loss ]]/grand[[#This Row],[received]]</f>
        <v>19.51923076923077</v>
      </c>
      <c r="S729" s="7">
        <f>grand[[#This Row],[ carcass weight]]/grand[[#This Row],[received]]</f>
        <v>358.42499999999995</v>
      </c>
      <c r="T729" s="7">
        <f>grand[[#This Row],[ kidneys fat quantity]]/grand[[#This Row],[received]]</f>
        <v>5.865384615384615</v>
      </c>
      <c r="U729" s="1">
        <v>25</v>
      </c>
      <c r="V729" s="1">
        <v>0</v>
      </c>
      <c r="W729" s="1">
        <v>49.09615384615384</v>
      </c>
      <c r="X729" s="1">
        <v>10</v>
      </c>
      <c r="Y729" s="1">
        <v>8.5</v>
      </c>
      <c r="Z729" s="18">
        <f>grand[[#This Row],[av. Transportation loss]]/grand[[#This Row],[av.total weight]]</f>
        <v>3.507862450319682E-2</v>
      </c>
      <c r="AA729" s="12">
        <f>AVERAGE((grand[[#This Row],[am]]/25),(grand[[#This Row],[pm]]/50))</f>
        <v>0.99096153846153845</v>
      </c>
      <c r="AB729" s="3">
        <f>grand[[#This Row],[ carcass weight]]/grand[[#This Row],[total weight]]</f>
        <v>0.64413685847589419</v>
      </c>
      <c r="AC729" s="18">
        <f>SUM(grand[[#This Row],[am]:[meat transportation]])/100</f>
        <v>0.92596153846153839</v>
      </c>
      <c r="AJ729" s="1">
        <v>0</v>
      </c>
      <c r="AK729" s="1"/>
      <c r="AL729" s="1">
        <v>0</v>
      </c>
    </row>
    <row r="730" spans="1:38" hidden="1" x14ac:dyDescent="0.2">
      <c r="A730" s="11">
        <v>45008</v>
      </c>
      <c r="B730" s="53" t="s">
        <v>1822</v>
      </c>
      <c r="C730" s="52" t="str">
        <f>IF(MID(B730,4,2)="09","Ramadan",IF(AND(MID(B730,4,2)="12",VALUE(LEFT(B730,2))&lt;=9),"Adha Season","Normal"))</f>
        <v>Ramadan</v>
      </c>
      <c r="D730" s="1" t="s">
        <v>45</v>
      </c>
      <c r="E730" s="1" t="s">
        <v>483</v>
      </c>
      <c r="F730" s="4" t="s">
        <v>550</v>
      </c>
      <c r="G730" s="1">
        <v>43</v>
      </c>
      <c r="H730" s="1">
        <v>43</v>
      </c>
      <c r="I730" s="1">
        <f>grand[[#This Row],[number]]-grand[[#This Row],[received]]</f>
        <v>0</v>
      </c>
      <c r="J730" s="30"/>
      <c r="K730" s="2">
        <v>17975</v>
      </c>
      <c r="L730" s="2">
        <v>16275</v>
      </c>
      <c r="M730" s="2">
        <f>K730-L730</f>
        <v>1700</v>
      </c>
      <c r="N730" s="2">
        <v>10784.7</v>
      </c>
      <c r="O730" s="2">
        <v>165</v>
      </c>
      <c r="P730" s="7">
        <f>grand[[#This Row],[total weight]]/grand[[#This Row],[received]]</f>
        <v>418.02325581395348</v>
      </c>
      <c r="Q730" s="7">
        <f>grand[[#This Row],[receiving weight]]/grand[[#This Row],[received]]</f>
        <v>378.48837209302326</v>
      </c>
      <c r="R730" s="7">
        <f>grand[[#This Row],[transportation loss ]]/grand[[#This Row],[received]]</f>
        <v>39.534883720930232</v>
      </c>
      <c r="S730" s="7">
        <f>grand[[#This Row],[ carcass weight]]/grand[[#This Row],[received]]</f>
        <v>250.80697674418607</v>
      </c>
      <c r="T730" s="7">
        <f>grand[[#This Row],[ kidneys fat quantity]]/grand[[#This Row],[received]]</f>
        <v>3.8372093023255816</v>
      </c>
      <c r="U730" s="1">
        <v>23</v>
      </c>
      <c r="V730" s="1">
        <v>0</v>
      </c>
      <c r="W730" s="1">
        <v>49.395348837209305</v>
      </c>
      <c r="X730" s="1">
        <v>10</v>
      </c>
      <c r="Y730" s="1">
        <v>8.5</v>
      </c>
      <c r="Z730" s="18">
        <f>grand[[#This Row],[av. Transportation loss]]/grand[[#This Row],[av.total weight]]</f>
        <v>9.4575799721835885E-2</v>
      </c>
      <c r="AA730" s="12">
        <f>AVERAGE((grand[[#This Row],[am]]/25),(grand[[#This Row],[pm]]/50))</f>
        <v>0.95395348837209304</v>
      </c>
      <c r="AB730" s="3">
        <f>grand[[#This Row],[ carcass weight]]/grand[[#This Row],[total weight]]</f>
        <v>0.59998331015299033</v>
      </c>
      <c r="AC730" s="18">
        <f>SUM(grand[[#This Row],[am]:[meat transportation]])/100</f>
        <v>0.908953488372093</v>
      </c>
      <c r="AJ730" s="1">
        <v>20</v>
      </c>
      <c r="AK730" s="1"/>
      <c r="AL730" s="1">
        <v>14</v>
      </c>
    </row>
    <row r="731" spans="1:38" hidden="1" x14ac:dyDescent="0.2">
      <c r="A731" s="11">
        <v>45012</v>
      </c>
      <c r="B731" s="53" t="s">
        <v>1823</v>
      </c>
      <c r="C731" s="52" t="str">
        <f>IF(MID(B731,4,2)="09","Ramadan",IF(AND(MID(B731,4,2)="12",VALUE(LEFT(B731,2))&lt;=9),"Adha Season","Normal"))</f>
        <v>Ramadan</v>
      </c>
      <c r="D731" s="1" t="s">
        <v>45</v>
      </c>
      <c r="E731" s="1" t="s">
        <v>483</v>
      </c>
      <c r="F731" s="4" t="s">
        <v>280</v>
      </c>
      <c r="G731" s="1">
        <v>27</v>
      </c>
      <c r="H731" s="1">
        <v>27</v>
      </c>
      <c r="I731" s="1">
        <f>grand[[#This Row],[number]]-grand[[#This Row],[received]]</f>
        <v>0</v>
      </c>
      <c r="J731" s="30"/>
      <c r="K731" s="2">
        <v>11680</v>
      </c>
      <c r="L731" s="2">
        <v>11335</v>
      </c>
      <c r="M731" s="2">
        <f>K731-L731</f>
        <v>345</v>
      </c>
      <c r="N731" s="2">
        <v>7008.2</v>
      </c>
      <c r="O731" s="2">
        <v>195</v>
      </c>
      <c r="P731" s="7">
        <f>grand[[#This Row],[total weight]]/grand[[#This Row],[received]]</f>
        <v>432.59259259259261</v>
      </c>
      <c r="Q731" s="7">
        <f>grand[[#This Row],[receiving weight]]/grand[[#This Row],[received]]</f>
        <v>419.81481481481484</v>
      </c>
      <c r="R731" s="7">
        <f>grand[[#This Row],[transportation loss ]]/grand[[#This Row],[received]]</f>
        <v>12.777777777777779</v>
      </c>
      <c r="S731" s="7">
        <f>grand[[#This Row],[ carcass weight]]/grand[[#This Row],[received]]</f>
        <v>259.56296296296296</v>
      </c>
      <c r="T731" s="7">
        <f>grand[[#This Row],[ kidneys fat quantity]]/grand[[#This Row],[received]]</f>
        <v>7.2222222222222223</v>
      </c>
      <c r="U731" s="1">
        <v>25</v>
      </c>
      <c r="V731" s="1">
        <v>0</v>
      </c>
      <c r="W731" s="1">
        <v>49.18518518518519</v>
      </c>
      <c r="X731" s="1">
        <v>10</v>
      </c>
      <c r="Y731" s="1">
        <v>8.5</v>
      </c>
      <c r="Z731" s="18">
        <f>grand[[#This Row],[av. Transportation loss]]/grand[[#This Row],[av.total weight]]</f>
        <v>2.9537671232876712E-2</v>
      </c>
      <c r="AA731" s="12">
        <f>AVERAGE((grand[[#This Row],[am]]/25),(grand[[#This Row],[pm]]/50))</f>
        <v>0.99185185185185198</v>
      </c>
      <c r="AB731" s="3">
        <f>grand[[#This Row],[ carcass weight]]/grand[[#This Row],[total weight]]</f>
        <v>0.60001712328767121</v>
      </c>
      <c r="AC731" s="18">
        <f>SUM(grand[[#This Row],[am]:[meat transportation]])/100</f>
        <v>0.92685185185185193</v>
      </c>
      <c r="AJ731" s="1">
        <v>7</v>
      </c>
      <c r="AK731" s="1"/>
      <c r="AL731" s="1">
        <v>0</v>
      </c>
    </row>
    <row r="732" spans="1:38" hidden="1" x14ac:dyDescent="0.2">
      <c r="A732" s="11">
        <v>45013</v>
      </c>
      <c r="B732" s="53" t="s">
        <v>1824</v>
      </c>
      <c r="C732" s="52" t="str">
        <f>IF(MID(B732,4,2)="09","Ramadan",IF(AND(MID(B732,4,2)="12",VALUE(LEFT(B732,2))&lt;=9),"Adha Season","Normal"))</f>
        <v>Ramadan</v>
      </c>
      <c r="D732" s="1" t="s">
        <v>45</v>
      </c>
      <c r="E732" s="1" t="s">
        <v>483</v>
      </c>
      <c r="F732" s="4" t="s">
        <v>39</v>
      </c>
      <c r="G732" s="1">
        <v>24</v>
      </c>
      <c r="H732" s="1">
        <v>24</v>
      </c>
      <c r="I732" s="1">
        <f>grand[[#This Row],[number]]-grand[[#This Row],[received]]</f>
        <v>0</v>
      </c>
      <c r="J732" s="30"/>
      <c r="K732" s="2">
        <v>11034</v>
      </c>
      <c r="L732" s="2">
        <v>10435</v>
      </c>
      <c r="M732" s="2">
        <f>K732-L732</f>
        <v>599</v>
      </c>
      <c r="N732" s="2">
        <v>6698.3</v>
      </c>
      <c r="O732" s="2">
        <v>227</v>
      </c>
      <c r="P732" s="7">
        <f>grand[[#This Row],[total weight]]/grand[[#This Row],[received]]</f>
        <v>459.75</v>
      </c>
      <c r="Q732" s="7">
        <f>grand[[#This Row],[receiving weight]]/grand[[#This Row],[received]]</f>
        <v>434.79166666666669</v>
      </c>
      <c r="R732" s="7">
        <f>grand[[#This Row],[transportation loss ]]/grand[[#This Row],[received]]</f>
        <v>24.958333333333332</v>
      </c>
      <c r="S732" s="7">
        <f>grand[[#This Row],[ carcass weight]]/grand[[#This Row],[received]]</f>
        <v>279.09583333333336</v>
      </c>
      <c r="T732" s="7">
        <f>grand[[#This Row],[ kidneys fat quantity]]/grand[[#This Row],[received]]</f>
        <v>9.4583333333333339</v>
      </c>
      <c r="U732" s="1">
        <v>25</v>
      </c>
      <c r="V732" s="1">
        <v>0</v>
      </c>
      <c r="W732" s="1">
        <v>49.708333333333329</v>
      </c>
      <c r="X732" s="1">
        <v>10</v>
      </c>
      <c r="Y732" s="1">
        <v>8.5</v>
      </c>
      <c r="Z732" s="18">
        <f>grand[[#This Row],[av. Transportation loss]]/grand[[#This Row],[av.total weight]]</f>
        <v>5.4286750045314483E-2</v>
      </c>
      <c r="AA732" s="12">
        <f>AVERAGE((grand[[#This Row],[am]]/25),(grand[[#This Row],[pm]]/50))</f>
        <v>0.99708333333333332</v>
      </c>
      <c r="AB732" s="3">
        <f>grand[[#This Row],[ carcass weight]]/grand[[#This Row],[total weight]]</f>
        <v>0.60705999637484143</v>
      </c>
      <c r="AC732" s="18">
        <f>SUM(grand[[#This Row],[am]:[meat transportation]])/100</f>
        <v>0.93208333333333326</v>
      </c>
      <c r="AJ732" s="1">
        <v>3</v>
      </c>
      <c r="AK732" s="1"/>
      <c r="AL732" s="1">
        <v>1</v>
      </c>
    </row>
    <row r="733" spans="1:38" hidden="1" x14ac:dyDescent="0.2">
      <c r="A733" s="11">
        <v>45013</v>
      </c>
      <c r="B733" s="53" t="s">
        <v>1824</v>
      </c>
      <c r="C733" s="52" t="str">
        <f>IF(MID(B733,4,2)="09","Ramadan",IF(AND(MID(B733,4,2)="12",VALUE(LEFT(B733,2))&lt;=9),"Adha Season","Normal"))</f>
        <v>Ramadan</v>
      </c>
      <c r="D733" s="1" t="s">
        <v>45</v>
      </c>
      <c r="E733" s="1" t="s">
        <v>528</v>
      </c>
      <c r="F733" s="4" t="s">
        <v>46</v>
      </c>
      <c r="G733" s="1">
        <v>8</v>
      </c>
      <c r="H733" s="1">
        <v>8</v>
      </c>
      <c r="I733" s="1">
        <f>grand[[#This Row],[number]]-grand[[#This Row],[received]]</f>
        <v>0</v>
      </c>
      <c r="J733" s="30"/>
      <c r="K733" s="2">
        <v>4740</v>
      </c>
      <c r="L733" s="2">
        <v>4740</v>
      </c>
      <c r="M733" s="2">
        <f>K733-L733</f>
        <v>0</v>
      </c>
      <c r="N733" s="2">
        <v>2927.2</v>
      </c>
      <c r="O733" s="2">
        <v>92</v>
      </c>
      <c r="P733" s="7">
        <f>grand[[#This Row],[total weight]]/grand[[#This Row],[received]]</f>
        <v>592.5</v>
      </c>
      <c r="Q733" s="7">
        <f>grand[[#This Row],[receiving weight]]/grand[[#This Row],[received]]</f>
        <v>592.5</v>
      </c>
      <c r="R733" s="7">
        <f>grand[[#This Row],[transportation loss ]]/grand[[#This Row],[received]]</f>
        <v>0</v>
      </c>
      <c r="S733" s="7">
        <f>grand[[#This Row],[ carcass weight]]/grand[[#This Row],[received]]</f>
        <v>365.9</v>
      </c>
      <c r="T733" s="7">
        <f>grand[[#This Row],[ kidneys fat quantity]]/grand[[#This Row],[received]]</f>
        <v>11.5</v>
      </c>
      <c r="U733" s="1">
        <v>25</v>
      </c>
      <c r="V733" s="1">
        <v>0</v>
      </c>
      <c r="W733" s="1">
        <v>47.875</v>
      </c>
      <c r="X733" s="1">
        <v>10</v>
      </c>
      <c r="Y733" s="1">
        <v>8.5</v>
      </c>
      <c r="Z733" s="18">
        <f>grand[[#This Row],[av. Transportation loss]]/grand[[#This Row],[av.total weight]]</f>
        <v>0</v>
      </c>
      <c r="AA733" s="12">
        <f>AVERAGE((grand[[#This Row],[am]]/25),(grand[[#This Row],[pm]]/50))</f>
        <v>0.97875000000000001</v>
      </c>
      <c r="AB733" s="3">
        <f>grand[[#This Row],[ carcass weight]]/grand[[#This Row],[total weight]]</f>
        <v>0.61755274261603377</v>
      </c>
      <c r="AC733" s="18">
        <f>SUM(grand[[#This Row],[am]:[meat transportation]])/100</f>
        <v>0.91374999999999995</v>
      </c>
      <c r="AJ733" s="1">
        <v>2</v>
      </c>
      <c r="AK733" s="1"/>
      <c r="AL733" s="1">
        <v>5</v>
      </c>
    </row>
    <row r="734" spans="1:38" hidden="1" x14ac:dyDescent="0.2">
      <c r="A734" s="11">
        <v>45014</v>
      </c>
      <c r="B734" s="53" t="s">
        <v>1825</v>
      </c>
      <c r="C734" s="52" t="str">
        <f>IF(MID(B734,4,2)="09","Ramadan",IF(AND(MID(B734,4,2)="12",VALUE(LEFT(B734,2))&lt;=9),"Adha Season","Normal"))</f>
        <v>Ramadan</v>
      </c>
      <c r="D734" s="1" t="s">
        <v>45</v>
      </c>
      <c r="E734" s="1" t="s">
        <v>483</v>
      </c>
      <c r="F734" s="4" t="s">
        <v>43</v>
      </c>
      <c r="G734" s="1">
        <v>27</v>
      </c>
      <c r="H734" s="1">
        <v>27</v>
      </c>
      <c r="I734" s="1">
        <f>grand[[#This Row],[number]]-grand[[#This Row],[received]]</f>
        <v>0</v>
      </c>
      <c r="J734" s="30"/>
      <c r="K734" s="2">
        <v>13689</v>
      </c>
      <c r="L734" s="2">
        <v>13460</v>
      </c>
      <c r="M734" s="2">
        <f>K734-L734</f>
        <v>229</v>
      </c>
      <c r="N734" s="2">
        <v>8212.7999999999993</v>
      </c>
      <c r="O734" s="2">
        <v>315</v>
      </c>
      <c r="P734" s="7">
        <f>grand[[#This Row],[total weight]]/grand[[#This Row],[received]]</f>
        <v>507</v>
      </c>
      <c r="Q734" s="7">
        <f>grand[[#This Row],[receiving weight]]/grand[[#This Row],[received]]</f>
        <v>498.51851851851853</v>
      </c>
      <c r="R734" s="7">
        <f>grand[[#This Row],[transportation loss ]]/grand[[#This Row],[received]]</f>
        <v>8.481481481481481</v>
      </c>
      <c r="S734" s="7">
        <f>grand[[#This Row],[ carcass weight]]/grand[[#This Row],[received]]</f>
        <v>304.17777777777775</v>
      </c>
      <c r="T734" s="7">
        <f>grand[[#This Row],[ kidneys fat quantity]]/grand[[#This Row],[received]]</f>
        <v>11.666666666666666</v>
      </c>
      <c r="U734" s="1">
        <v>24.62962962962963</v>
      </c>
      <c r="V734" s="1">
        <v>0</v>
      </c>
      <c r="W734" s="1">
        <v>50</v>
      </c>
      <c r="X734" s="1">
        <v>10</v>
      </c>
      <c r="Y734" s="1">
        <v>8.5</v>
      </c>
      <c r="Z734" s="18">
        <f>grand[[#This Row],[av. Transportation loss]]/grand[[#This Row],[av.total weight]]</f>
        <v>1.6728760318503906E-2</v>
      </c>
      <c r="AA734" s="12">
        <f>AVERAGE((grand[[#This Row],[am]]/25),(grand[[#This Row],[pm]]/50))</f>
        <v>0.99259259259259258</v>
      </c>
      <c r="AB734" s="3">
        <f>grand[[#This Row],[ carcass weight]]/grand[[#This Row],[total weight]]</f>
        <v>0.59995616918693839</v>
      </c>
      <c r="AC734" s="18">
        <f>SUM(grand[[#This Row],[am]:[meat transportation]])/100</f>
        <v>0.93129629629629629</v>
      </c>
      <c r="AJ734" s="1">
        <v>9</v>
      </c>
      <c r="AK734" s="1"/>
      <c r="AL734" s="1">
        <v>0</v>
      </c>
    </row>
    <row r="735" spans="1:38" hidden="1" x14ac:dyDescent="0.2">
      <c r="A735" s="11">
        <v>45014</v>
      </c>
      <c r="B735" s="53" t="s">
        <v>1825</v>
      </c>
      <c r="C735" s="52" t="str">
        <f>IF(MID(B735,4,2)="09","Ramadan",IF(AND(MID(B735,4,2)="12",VALUE(LEFT(B735,2))&lt;=9),"Adha Season","Normal"))</f>
        <v>Ramadan</v>
      </c>
      <c r="D735" s="1" t="s">
        <v>45</v>
      </c>
      <c r="E735" s="1" t="s">
        <v>483</v>
      </c>
      <c r="F735" s="4" t="s">
        <v>550</v>
      </c>
      <c r="G735" s="1">
        <v>16</v>
      </c>
      <c r="H735" s="1">
        <v>16</v>
      </c>
      <c r="I735" s="1">
        <f>grand[[#This Row],[number]]-grand[[#This Row],[received]]</f>
        <v>0</v>
      </c>
      <c r="J735" s="30"/>
      <c r="K735" s="2">
        <v>6334</v>
      </c>
      <c r="L735" s="2">
        <v>6265</v>
      </c>
      <c r="M735" s="2">
        <f>K735-L735</f>
        <v>69</v>
      </c>
      <c r="N735" s="2">
        <v>3800.5</v>
      </c>
      <c r="O735" s="2">
        <v>77</v>
      </c>
      <c r="P735" s="7">
        <f>grand[[#This Row],[total weight]]/grand[[#This Row],[received]]</f>
        <v>395.875</v>
      </c>
      <c r="Q735" s="7">
        <f>grand[[#This Row],[receiving weight]]/grand[[#This Row],[received]]</f>
        <v>391.5625</v>
      </c>
      <c r="R735" s="7">
        <f>grand[[#This Row],[transportation loss ]]/grand[[#This Row],[received]]</f>
        <v>4.3125</v>
      </c>
      <c r="S735" s="7">
        <f>grand[[#This Row],[ carcass weight]]/grand[[#This Row],[received]]</f>
        <v>237.53125</v>
      </c>
      <c r="T735" s="7">
        <f>grand[[#This Row],[ kidneys fat quantity]]/grand[[#This Row],[received]]</f>
        <v>4.8125</v>
      </c>
      <c r="U735" s="1">
        <v>25</v>
      </c>
      <c r="V735" s="1">
        <v>0</v>
      </c>
      <c r="W735" s="1">
        <v>50</v>
      </c>
      <c r="X735" s="1">
        <v>10</v>
      </c>
      <c r="Y735" s="1">
        <v>8.5</v>
      </c>
      <c r="Z735" s="18">
        <f>grand[[#This Row],[av. Transportation loss]]/grand[[#This Row],[av.total weight]]</f>
        <v>1.089359014840543E-2</v>
      </c>
      <c r="AA735" s="12">
        <f>AVERAGE((grand[[#This Row],[am]]/25),(grand[[#This Row],[pm]]/50))</f>
        <v>1</v>
      </c>
      <c r="AB735" s="3">
        <f>grand[[#This Row],[ carcass weight]]/grand[[#This Row],[total weight]]</f>
        <v>0.60001578781180931</v>
      </c>
      <c r="AC735" s="18">
        <f>SUM(grand[[#This Row],[am]:[meat transportation]])/100</f>
        <v>0.93500000000000005</v>
      </c>
      <c r="AJ735" s="1">
        <v>4</v>
      </c>
      <c r="AK735" s="1"/>
      <c r="AL735" s="1">
        <v>0</v>
      </c>
    </row>
    <row r="736" spans="1:38" hidden="1" x14ac:dyDescent="0.2">
      <c r="A736" s="11">
        <v>45015</v>
      </c>
      <c r="B736" s="53" t="s">
        <v>1826</v>
      </c>
      <c r="C736" s="52" t="str">
        <f>IF(MID(B736,4,2)="09","Ramadan",IF(AND(MID(B736,4,2)="12",VALUE(LEFT(B736,2))&lt;=9),"Adha Season","Normal"))</f>
        <v>Ramadan</v>
      </c>
      <c r="D736" s="1" t="s">
        <v>45</v>
      </c>
      <c r="E736" s="1" t="s">
        <v>483</v>
      </c>
      <c r="F736" s="4" t="s">
        <v>46</v>
      </c>
      <c r="G736" s="1">
        <v>28</v>
      </c>
      <c r="H736" s="1">
        <v>28</v>
      </c>
      <c r="I736" s="1">
        <f>grand[[#This Row],[number]]-grand[[#This Row],[received]]</f>
        <v>0</v>
      </c>
      <c r="J736" s="30"/>
      <c r="K736" s="2">
        <v>12358</v>
      </c>
      <c r="L736" s="2">
        <v>12055</v>
      </c>
      <c r="M736" s="2">
        <f>K736-L736</f>
        <v>303</v>
      </c>
      <c r="N736" s="2">
        <v>7414.5</v>
      </c>
      <c r="O736" s="2">
        <v>234</v>
      </c>
      <c r="P736" s="7">
        <f>grand[[#This Row],[total weight]]/grand[[#This Row],[received]]</f>
        <v>441.35714285714283</v>
      </c>
      <c r="Q736" s="7">
        <f>grand[[#This Row],[receiving weight]]/grand[[#This Row],[received]]</f>
        <v>430.53571428571428</v>
      </c>
      <c r="R736" s="7">
        <f>grand[[#This Row],[transportation loss ]]/grand[[#This Row],[received]]</f>
        <v>10.821428571428571</v>
      </c>
      <c r="S736" s="7">
        <f>grand[[#This Row],[ carcass weight]]/grand[[#This Row],[received]]</f>
        <v>264.80357142857144</v>
      </c>
      <c r="T736" s="7">
        <f>grand[[#This Row],[ kidneys fat quantity]]/grand[[#This Row],[received]]</f>
        <v>8.3571428571428577</v>
      </c>
      <c r="U736" s="1">
        <v>25</v>
      </c>
      <c r="V736" s="1">
        <v>0</v>
      </c>
      <c r="W736" s="1">
        <v>49.464285714285715</v>
      </c>
      <c r="X736" s="1">
        <v>10</v>
      </c>
      <c r="Y736" s="1">
        <v>8.5</v>
      </c>
      <c r="Z736" s="18">
        <f>grand[[#This Row],[av. Transportation loss]]/grand[[#This Row],[av.total weight]]</f>
        <v>2.4518530506554458E-2</v>
      </c>
      <c r="AA736" s="12">
        <f>AVERAGE((grand[[#This Row],[am]]/25),(grand[[#This Row],[pm]]/50))</f>
        <v>0.99464285714285716</v>
      </c>
      <c r="AB736" s="3">
        <f>grand[[#This Row],[ carcass weight]]/grand[[#This Row],[total weight]]</f>
        <v>0.59997572422722123</v>
      </c>
      <c r="AC736" s="18">
        <f>SUM(grand[[#This Row],[am]:[meat transportation]])/100</f>
        <v>0.92964285714285722</v>
      </c>
      <c r="AJ736" s="1">
        <v>0</v>
      </c>
      <c r="AK736" s="1"/>
      <c r="AL736" s="1">
        <v>0</v>
      </c>
    </row>
    <row r="737" spans="1:38" hidden="1" x14ac:dyDescent="0.2">
      <c r="A737" s="11">
        <v>45015</v>
      </c>
      <c r="B737" s="53" t="s">
        <v>1826</v>
      </c>
      <c r="C737" s="52" t="str">
        <f>IF(MID(B737,4,2)="09","Ramadan",IF(AND(MID(B737,4,2)="12",VALUE(LEFT(B737,2))&lt;=9),"Adha Season","Normal"))</f>
        <v>Ramadan</v>
      </c>
      <c r="D737" s="1" t="s">
        <v>45</v>
      </c>
      <c r="E737" s="1" t="s">
        <v>528</v>
      </c>
      <c r="F737" s="4" t="s">
        <v>46</v>
      </c>
      <c r="G737" s="1">
        <v>14</v>
      </c>
      <c r="H737" s="1">
        <v>14</v>
      </c>
      <c r="I737" s="1">
        <f>grand[[#This Row],[number]]-grand[[#This Row],[received]]</f>
        <v>0</v>
      </c>
      <c r="J737" s="30"/>
      <c r="K737" s="2">
        <v>8087</v>
      </c>
      <c r="L737" s="2">
        <v>7984</v>
      </c>
      <c r="M737" s="2">
        <f>K737-L737</f>
        <v>103</v>
      </c>
      <c r="N737" s="2">
        <v>4852.3</v>
      </c>
      <c r="O737" s="2">
        <v>114</v>
      </c>
      <c r="P737" s="7">
        <f>grand[[#This Row],[total weight]]/grand[[#This Row],[received]]</f>
        <v>577.64285714285711</v>
      </c>
      <c r="Q737" s="7">
        <f>grand[[#This Row],[receiving weight]]/grand[[#This Row],[received]]</f>
        <v>570.28571428571433</v>
      </c>
      <c r="R737" s="7">
        <f>grand[[#This Row],[transportation loss ]]/grand[[#This Row],[received]]</f>
        <v>7.3571428571428568</v>
      </c>
      <c r="S737" s="7">
        <f>grand[[#This Row],[ carcass weight]]/grand[[#This Row],[received]]</f>
        <v>346.59285714285716</v>
      </c>
      <c r="T737" s="7">
        <f>grand[[#This Row],[ kidneys fat quantity]]/grand[[#This Row],[received]]</f>
        <v>8.1428571428571423</v>
      </c>
      <c r="U737" s="1">
        <v>21.785714285714288</v>
      </c>
      <c r="V737" s="1">
        <v>0</v>
      </c>
      <c r="W737" s="1">
        <v>49.142857142857139</v>
      </c>
      <c r="X737" s="1">
        <v>10</v>
      </c>
      <c r="Y737" s="1">
        <v>8.5</v>
      </c>
      <c r="Z737" s="18">
        <f>grand[[#This Row],[av. Transportation loss]]/grand[[#This Row],[av.total weight]]</f>
        <v>1.2736490664028688E-2</v>
      </c>
      <c r="AA737" s="12">
        <f>AVERAGE((grand[[#This Row],[am]]/25),(grand[[#This Row],[pm]]/50))</f>
        <v>0.92714285714285716</v>
      </c>
      <c r="AB737" s="3">
        <f>grand[[#This Row],[ carcass weight]]/grand[[#This Row],[total weight]]</f>
        <v>0.60001236552491655</v>
      </c>
      <c r="AC737" s="18">
        <f>SUM(grand[[#This Row],[am]:[meat transportation]])/100</f>
        <v>0.89428571428571435</v>
      </c>
      <c r="AJ737" s="1">
        <v>9</v>
      </c>
      <c r="AK737" s="1"/>
      <c r="AL737" s="1">
        <v>0</v>
      </c>
    </row>
    <row r="738" spans="1:38" hidden="1" x14ac:dyDescent="0.2">
      <c r="A738" s="11">
        <v>45017</v>
      </c>
      <c r="B738" s="53" t="s">
        <v>2782</v>
      </c>
      <c r="C738" s="52" t="str">
        <f>IF(MID(B738,4,2)="09","Ramadan",IF(AND(MID(B738,4,2)="12",VALUE(LEFT(B738,2))&lt;=9),"Adha Season","Normal"))</f>
        <v>Ramadan</v>
      </c>
      <c r="D738" s="2" t="s">
        <v>294</v>
      </c>
      <c r="E738" s="1" t="s">
        <v>483</v>
      </c>
      <c r="F738" s="4" t="s">
        <v>35</v>
      </c>
      <c r="G738" s="1">
        <v>27</v>
      </c>
      <c r="H738" s="1">
        <v>27</v>
      </c>
      <c r="I738" s="1">
        <f>grand[[#This Row],[number]]-grand[[#This Row],[received]]</f>
        <v>0</v>
      </c>
      <c r="J738" s="30"/>
      <c r="K738" s="2">
        <v>1239</v>
      </c>
      <c r="L738" s="2">
        <v>1185</v>
      </c>
      <c r="M738" s="2">
        <f>K738-L738</f>
        <v>54</v>
      </c>
      <c r="N738" s="2">
        <v>684.1</v>
      </c>
      <c r="O738" s="2">
        <v>0</v>
      </c>
      <c r="P738" s="7">
        <f>grand[[#This Row],[total weight]]/grand[[#This Row],[received]]</f>
        <v>45.888888888888886</v>
      </c>
      <c r="Q738" s="7">
        <f>grand[[#This Row],[receiving weight]]/grand[[#This Row],[received]]</f>
        <v>43.888888888888886</v>
      </c>
      <c r="R738" s="7">
        <f>grand[[#This Row],[transportation loss ]]/grand[[#This Row],[received]]</f>
        <v>2</v>
      </c>
      <c r="S738" s="7">
        <f>grand[[#This Row],[ carcass weight]]/grand[[#This Row],[received]]</f>
        <v>25.337037037037039</v>
      </c>
      <c r="T738" s="7">
        <f>grand[[#This Row],[ kidneys fat quantity]]/grand[[#This Row],[received]]</f>
        <v>0</v>
      </c>
      <c r="U738" s="1">
        <v>25</v>
      </c>
      <c r="V738" s="1">
        <v>0</v>
      </c>
      <c r="W738" s="1">
        <v>50</v>
      </c>
      <c r="X738" s="1">
        <v>10</v>
      </c>
      <c r="Y738" s="1">
        <v>8.5</v>
      </c>
      <c r="Z738" s="18">
        <f>grand[[#This Row],[av. Transportation loss]]/grand[[#This Row],[av.total weight]]</f>
        <v>4.3583535108958842E-2</v>
      </c>
      <c r="AA738" s="12">
        <f>AVERAGE((grand[[#This Row],[am]]/25),(grand[[#This Row],[pm]]/50))</f>
        <v>1</v>
      </c>
      <c r="AB738" s="3">
        <f>grand[[#This Row],[ carcass weight]]/grand[[#This Row],[total weight]]</f>
        <v>0.55213882163034711</v>
      </c>
      <c r="AC738" s="18">
        <f>SUM(grand[[#This Row],[am]:[meat transportation]])/100</f>
        <v>0.93500000000000005</v>
      </c>
      <c r="AJ738" s="1">
        <v>0</v>
      </c>
      <c r="AK738" s="1"/>
      <c r="AL738" s="1"/>
    </row>
    <row r="739" spans="1:38" hidden="1" x14ac:dyDescent="0.2">
      <c r="A739" s="11">
        <v>45018</v>
      </c>
      <c r="B739" s="53" t="s">
        <v>1827</v>
      </c>
      <c r="C739" s="52" t="str">
        <f>IF(MID(B739,4,2)="09","Ramadan",IF(AND(MID(B739,4,2)="12",VALUE(LEFT(B739,2))&lt;=9),"Adha Season","Normal"))</f>
        <v>Ramadan</v>
      </c>
      <c r="D739" s="1" t="s">
        <v>45</v>
      </c>
      <c r="E739" s="1" t="s">
        <v>528</v>
      </c>
      <c r="F739" s="4" t="s">
        <v>43</v>
      </c>
      <c r="G739" s="1">
        <v>24</v>
      </c>
      <c r="H739" s="1">
        <v>24</v>
      </c>
      <c r="I739" s="1">
        <f>grand[[#This Row],[number]]-grand[[#This Row],[received]]</f>
        <v>0</v>
      </c>
      <c r="J739" s="30"/>
      <c r="K739" s="2">
        <v>14368</v>
      </c>
      <c r="L739" s="2">
        <v>13825</v>
      </c>
      <c r="M739" s="2">
        <f>K739-L739</f>
        <v>543</v>
      </c>
      <c r="N739" s="2">
        <v>8705</v>
      </c>
      <c r="O739" s="2">
        <v>233</v>
      </c>
      <c r="P739" s="7">
        <f>grand[[#This Row],[total weight]]/grand[[#This Row],[received]]</f>
        <v>598.66666666666663</v>
      </c>
      <c r="Q739" s="7">
        <f>grand[[#This Row],[receiving weight]]/grand[[#This Row],[received]]</f>
        <v>576.04166666666663</v>
      </c>
      <c r="R739" s="7">
        <f>grand[[#This Row],[transportation loss ]]/grand[[#This Row],[received]]</f>
        <v>22.625</v>
      </c>
      <c r="S739" s="7">
        <f>grand[[#This Row],[ carcass weight]]/grand[[#This Row],[received]]</f>
        <v>362.70833333333331</v>
      </c>
      <c r="T739" s="7">
        <f>grand[[#This Row],[ kidneys fat quantity]]/grand[[#This Row],[received]]</f>
        <v>9.7083333333333339</v>
      </c>
      <c r="U739" s="1">
        <v>25</v>
      </c>
      <c r="V739" s="1">
        <v>0</v>
      </c>
      <c r="W739" s="1">
        <v>47.75</v>
      </c>
      <c r="X739" s="1">
        <v>10</v>
      </c>
      <c r="Y739" s="1">
        <v>8.5</v>
      </c>
      <c r="Z739" s="18">
        <f>grand[[#This Row],[av. Transportation loss]]/grand[[#This Row],[av.total weight]]</f>
        <v>3.7792316258351895E-2</v>
      </c>
      <c r="AA739" s="12">
        <f>AVERAGE((grand[[#This Row],[am]]/25),(grand[[#This Row],[pm]]/50))</f>
        <v>0.97750000000000004</v>
      </c>
      <c r="AB739" s="3">
        <f>grand[[#This Row],[ carcass weight]]/grand[[#This Row],[total weight]]</f>
        <v>0.60586024498886415</v>
      </c>
      <c r="AC739" s="18">
        <f>SUM(grand[[#This Row],[am]:[meat transportation]])/100</f>
        <v>0.91249999999999998</v>
      </c>
      <c r="AJ739" s="1">
        <v>15</v>
      </c>
      <c r="AK739" s="1"/>
      <c r="AL739" s="1"/>
    </row>
    <row r="740" spans="1:38" hidden="1" x14ac:dyDescent="0.2">
      <c r="A740" s="11">
        <v>45018</v>
      </c>
      <c r="B740" s="53" t="s">
        <v>1827</v>
      </c>
      <c r="C740" s="52" t="str">
        <f>IF(MID(B740,4,2)="09","Ramadan",IF(AND(MID(B740,4,2)="12",VALUE(LEFT(B740,2))&lt;=9),"Adha Season","Normal"))</f>
        <v>Ramadan</v>
      </c>
      <c r="D740" s="1" t="s">
        <v>45</v>
      </c>
      <c r="E740" s="1" t="s">
        <v>483</v>
      </c>
      <c r="F740" s="4" t="s">
        <v>46</v>
      </c>
      <c r="G740" s="1">
        <v>18</v>
      </c>
      <c r="H740" s="1">
        <v>18</v>
      </c>
      <c r="I740" s="1">
        <f>grand[[#This Row],[number]]-grand[[#This Row],[received]]</f>
        <v>0</v>
      </c>
      <c r="J740" s="30"/>
      <c r="K740" s="2">
        <v>8120</v>
      </c>
      <c r="L740" s="2">
        <v>7630</v>
      </c>
      <c r="M740" s="2">
        <f>K740-L740</f>
        <v>490</v>
      </c>
      <c r="N740" s="2">
        <v>4942.3</v>
      </c>
      <c r="O740" s="2">
        <v>139</v>
      </c>
      <c r="P740" s="7">
        <f>grand[[#This Row],[total weight]]/grand[[#This Row],[received]]</f>
        <v>451.11111111111109</v>
      </c>
      <c r="Q740" s="7">
        <f>grand[[#This Row],[receiving weight]]/grand[[#This Row],[received]]</f>
        <v>423.88888888888891</v>
      </c>
      <c r="R740" s="7">
        <f>grand[[#This Row],[transportation loss ]]/grand[[#This Row],[received]]</f>
        <v>27.222222222222221</v>
      </c>
      <c r="S740" s="7">
        <f>grand[[#This Row],[ carcass weight]]/grand[[#This Row],[received]]</f>
        <v>274.57222222222225</v>
      </c>
      <c r="T740" s="7">
        <f>grand[[#This Row],[ kidneys fat quantity]]/grand[[#This Row],[received]]</f>
        <v>7.7222222222222223</v>
      </c>
      <c r="U740" s="1">
        <v>25</v>
      </c>
      <c r="V740" s="1">
        <v>0</v>
      </c>
      <c r="W740" s="1">
        <v>50</v>
      </c>
      <c r="X740" s="1">
        <v>10</v>
      </c>
      <c r="Y740" s="1">
        <v>8.5</v>
      </c>
      <c r="Z740" s="18">
        <f>grand[[#This Row],[av. Transportation loss]]/grand[[#This Row],[av.total weight]]</f>
        <v>6.0344827586206899E-2</v>
      </c>
      <c r="AA740" s="12">
        <f>AVERAGE((grand[[#This Row],[am]]/25),(grand[[#This Row],[pm]]/50))</f>
        <v>1</v>
      </c>
      <c r="AB740" s="3">
        <f>grand[[#This Row],[ carcass weight]]/grand[[#This Row],[total weight]]</f>
        <v>0.60865763546798035</v>
      </c>
      <c r="AC740" s="18">
        <f>SUM(grand[[#This Row],[am]:[meat transportation]])/100</f>
        <v>0.93500000000000005</v>
      </c>
      <c r="AJ740" s="1">
        <v>6</v>
      </c>
      <c r="AK740" s="1"/>
      <c r="AL740" s="1"/>
    </row>
    <row r="741" spans="1:38" hidden="1" x14ac:dyDescent="0.2">
      <c r="A741" s="11">
        <v>45019</v>
      </c>
      <c r="B741" s="53" t="s">
        <v>1828</v>
      </c>
      <c r="C741" s="52" t="str">
        <f>IF(MID(B741,4,2)="09","Ramadan",IF(AND(MID(B741,4,2)="12",VALUE(LEFT(B741,2))&lt;=9),"Adha Season","Normal"))</f>
        <v>Ramadan</v>
      </c>
      <c r="D741" s="1" t="s">
        <v>45</v>
      </c>
      <c r="E741" s="1" t="s">
        <v>483</v>
      </c>
      <c r="F741" s="4" t="s">
        <v>39</v>
      </c>
      <c r="G741" s="1">
        <v>36</v>
      </c>
      <c r="H741" s="1">
        <v>36</v>
      </c>
      <c r="I741" s="1">
        <f>grand[[#This Row],[number]]-grand[[#This Row],[received]]</f>
        <v>0</v>
      </c>
      <c r="J741" s="30"/>
      <c r="K741" s="2">
        <v>16083</v>
      </c>
      <c r="L741" s="2">
        <v>15180</v>
      </c>
      <c r="M741" s="2">
        <f>K741-L741</f>
        <v>903</v>
      </c>
      <c r="N741" s="2">
        <v>9922.4</v>
      </c>
      <c r="O741" s="2">
        <v>358</v>
      </c>
      <c r="P741" s="7">
        <f>grand[[#This Row],[total weight]]/grand[[#This Row],[received]]</f>
        <v>446.75</v>
      </c>
      <c r="Q741" s="7">
        <f>grand[[#This Row],[receiving weight]]/grand[[#This Row],[received]]</f>
        <v>421.66666666666669</v>
      </c>
      <c r="R741" s="7">
        <f>grand[[#This Row],[transportation loss ]]/grand[[#This Row],[received]]</f>
        <v>25.083333333333332</v>
      </c>
      <c r="S741" s="7">
        <f>grand[[#This Row],[ carcass weight]]/grand[[#This Row],[received]]</f>
        <v>275.62222222222221</v>
      </c>
      <c r="T741" s="7">
        <f>grand[[#This Row],[ kidneys fat quantity]]/grand[[#This Row],[received]]</f>
        <v>9.9444444444444446</v>
      </c>
      <c r="U741" s="1">
        <v>25</v>
      </c>
      <c r="V741" s="1">
        <v>0</v>
      </c>
      <c r="W741" s="1">
        <v>49.611111111111107</v>
      </c>
      <c r="X741" s="1">
        <v>10</v>
      </c>
      <c r="Y741" s="1">
        <v>8.5</v>
      </c>
      <c r="Z741" s="18">
        <f>grand[[#This Row],[av. Transportation loss]]/grand[[#This Row],[av.total weight]]</f>
        <v>5.6146241372878193E-2</v>
      </c>
      <c r="AA741" s="12">
        <f>AVERAGE((grand[[#This Row],[am]]/25),(grand[[#This Row],[pm]]/50))</f>
        <v>0.99611111111111106</v>
      </c>
      <c r="AB741" s="3">
        <f>grand[[#This Row],[ carcass weight]]/grand[[#This Row],[total weight]]</f>
        <v>0.61694957408443696</v>
      </c>
      <c r="AC741" s="18">
        <f>SUM(grand[[#This Row],[am]:[meat transportation]])/100</f>
        <v>0.93111111111111111</v>
      </c>
      <c r="AJ741" s="1">
        <v>3</v>
      </c>
      <c r="AK741" s="1"/>
      <c r="AL741" s="1"/>
    </row>
    <row r="742" spans="1:38" hidden="1" x14ac:dyDescent="0.2">
      <c r="A742" s="11">
        <v>45021</v>
      </c>
      <c r="B742" s="53" t="s">
        <v>1830</v>
      </c>
      <c r="C742" s="52" t="str">
        <f>IF(MID(B742,4,2)="09","Ramadan",IF(AND(MID(B742,4,2)="12",VALUE(LEFT(B742,2))&lt;=9),"Adha Season","Normal"))</f>
        <v>Ramadan</v>
      </c>
      <c r="D742" s="2" t="s">
        <v>294</v>
      </c>
      <c r="E742" s="1" t="s">
        <v>483</v>
      </c>
      <c r="F742" s="4" t="s">
        <v>35</v>
      </c>
      <c r="G742" s="1">
        <v>30</v>
      </c>
      <c r="H742" s="1">
        <v>30</v>
      </c>
      <c r="I742" s="1">
        <f>grand[[#This Row],[number]]-grand[[#This Row],[received]]</f>
        <v>0</v>
      </c>
      <c r="J742" s="30"/>
      <c r="K742" s="2">
        <v>1696</v>
      </c>
      <c r="L742" s="2">
        <v>1635</v>
      </c>
      <c r="M742" s="2">
        <f>K742-L742</f>
        <v>61</v>
      </c>
      <c r="N742" s="2">
        <v>999.1</v>
      </c>
      <c r="O742" s="2">
        <v>0</v>
      </c>
      <c r="P742" s="7">
        <f>grand[[#This Row],[total weight]]/grand[[#This Row],[received]]</f>
        <v>56.533333333333331</v>
      </c>
      <c r="Q742" s="7">
        <f>grand[[#This Row],[receiving weight]]/grand[[#This Row],[received]]</f>
        <v>54.5</v>
      </c>
      <c r="R742" s="7">
        <f>grand[[#This Row],[transportation loss ]]/grand[[#This Row],[received]]</f>
        <v>2.0333333333333332</v>
      </c>
      <c r="S742" s="7">
        <f>grand[[#This Row],[ carcass weight]]/grand[[#This Row],[received]]</f>
        <v>33.303333333333335</v>
      </c>
      <c r="T742" s="7">
        <f>grand[[#This Row],[ kidneys fat quantity]]/grand[[#This Row],[received]]</f>
        <v>0</v>
      </c>
      <c r="U742" s="1">
        <v>25</v>
      </c>
      <c r="V742" s="1">
        <v>0</v>
      </c>
      <c r="W742" s="1">
        <v>49.666666666666671</v>
      </c>
      <c r="X742" s="1">
        <v>10</v>
      </c>
      <c r="Y742" s="1">
        <v>8.5</v>
      </c>
      <c r="Z742" s="18">
        <f>grand[[#This Row],[av. Transportation loss]]/grand[[#This Row],[av.total weight]]</f>
        <v>3.5966981132075471E-2</v>
      </c>
      <c r="AA742" s="12">
        <f>AVERAGE((grand[[#This Row],[am]]/25),(grand[[#This Row],[pm]]/50))</f>
        <v>0.9966666666666667</v>
      </c>
      <c r="AB742" s="3">
        <f>grand[[#This Row],[ carcass weight]]/grand[[#This Row],[total weight]]</f>
        <v>0.5890919811320755</v>
      </c>
      <c r="AC742" s="18">
        <f>SUM(grand[[#This Row],[am]:[meat transportation]])/100</f>
        <v>0.93166666666666675</v>
      </c>
      <c r="AK742" s="1"/>
      <c r="AL742" s="1"/>
    </row>
    <row r="743" spans="1:38" hidden="1" x14ac:dyDescent="0.2">
      <c r="A743" s="11">
        <v>45022</v>
      </c>
      <c r="B743" s="53" t="s">
        <v>1831</v>
      </c>
      <c r="C743" s="52" t="str">
        <f>IF(MID(B743,4,2)="09","Ramadan",IF(AND(MID(B743,4,2)="12",VALUE(LEFT(B743,2))&lt;=9),"Adha Season","Normal"))</f>
        <v>Ramadan</v>
      </c>
      <c r="D743" s="2" t="s">
        <v>294</v>
      </c>
      <c r="E743" s="1" t="s">
        <v>483</v>
      </c>
      <c r="F743" s="4" t="s">
        <v>280</v>
      </c>
      <c r="G743" s="1">
        <v>3</v>
      </c>
      <c r="H743" s="1">
        <v>3</v>
      </c>
      <c r="I743" s="1">
        <f>grand[[#This Row],[number]]-grand[[#This Row],[received]]</f>
        <v>0</v>
      </c>
      <c r="J743" s="30"/>
      <c r="K743" s="2">
        <v>164</v>
      </c>
      <c r="L743" s="2">
        <v>164</v>
      </c>
      <c r="M743" s="2">
        <f>K743-L743</f>
        <v>0</v>
      </c>
      <c r="N743" s="2">
        <v>79.8</v>
      </c>
      <c r="O743" s="2">
        <v>0</v>
      </c>
      <c r="P743" s="7">
        <f>grand[[#This Row],[total weight]]/grand[[#This Row],[received]]</f>
        <v>54.666666666666664</v>
      </c>
      <c r="Q743" s="7">
        <f>grand[[#This Row],[receiving weight]]/grand[[#This Row],[received]]</f>
        <v>54.666666666666664</v>
      </c>
      <c r="R743" s="7">
        <f>grand[[#This Row],[transportation loss ]]/grand[[#This Row],[received]]</f>
        <v>0</v>
      </c>
      <c r="S743" s="7">
        <f>grand[[#This Row],[ carcass weight]]/grand[[#This Row],[received]]</f>
        <v>26.599999999999998</v>
      </c>
      <c r="T743" s="7">
        <f>grand[[#This Row],[ kidneys fat quantity]]/grand[[#This Row],[received]]</f>
        <v>0</v>
      </c>
      <c r="U743" s="1">
        <v>25</v>
      </c>
      <c r="V743" s="1">
        <v>0</v>
      </c>
      <c r="W743" s="1">
        <v>49.333333333333329</v>
      </c>
      <c r="X743" s="1">
        <v>10</v>
      </c>
      <c r="Y743" s="1">
        <v>8.5</v>
      </c>
      <c r="Z743" s="18">
        <f>grand[[#This Row],[av. Transportation loss]]/grand[[#This Row],[av.total weight]]</f>
        <v>0</v>
      </c>
      <c r="AA743" s="12">
        <f>AVERAGE((grand[[#This Row],[am]]/25),(grand[[#This Row],[pm]]/50))</f>
        <v>0.99333333333333329</v>
      </c>
      <c r="AB743" s="3">
        <f>grand[[#This Row],[ carcass weight]]/grand[[#This Row],[total weight]]</f>
        <v>0.48658536585365852</v>
      </c>
      <c r="AC743" s="18">
        <f>SUM(grand[[#This Row],[am]:[meat transportation]])/100</f>
        <v>0.92833333333333323</v>
      </c>
      <c r="AK743" s="1"/>
      <c r="AL743" s="1"/>
    </row>
    <row r="744" spans="1:38" hidden="1" x14ac:dyDescent="0.2">
      <c r="A744" s="11">
        <v>45022</v>
      </c>
      <c r="B744" s="53" t="s">
        <v>1831</v>
      </c>
      <c r="C744" s="52" t="str">
        <f>IF(MID(B744,4,2)="09","Ramadan",IF(AND(MID(B744,4,2)="12",VALUE(LEFT(B744,2))&lt;=9),"Adha Season","Normal"))</f>
        <v>Ramadan</v>
      </c>
      <c r="D744" s="1" t="s">
        <v>45</v>
      </c>
      <c r="E744" s="1" t="s">
        <v>528</v>
      </c>
      <c r="F744" s="4" t="s">
        <v>43</v>
      </c>
      <c r="G744" s="1">
        <v>64</v>
      </c>
      <c r="H744" s="1">
        <v>64</v>
      </c>
      <c r="I744" s="1">
        <f>grand[[#This Row],[number]]-grand[[#This Row],[received]]</f>
        <v>0</v>
      </c>
      <c r="J744" s="30"/>
      <c r="K744" s="2">
        <v>33946</v>
      </c>
      <c r="L744" s="2">
        <v>33946</v>
      </c>
      <c r="M744" s="2">
        <f>K744-L744</f>
        <v>0</v>
      </c>
      <c r="N744" s="2">
        <v>20522.400000000001</v>
      </c>
      <c r="O744" s="2">
        <v>510</v>
      </c>
      <c r="P744" s="7">
        <f>grand[[#This Row],[total weight]]/grand[[#This Row],[received]]</f>
        <v>530.40625</v>
      </c>
      <c r="Q744" s="7">
        <f>grand[[#This Row],[receiving weight]]/grand[[#This Row],[received]]</f>
        <v>530.40625</v>
      </c>
      <c r="R744" s="7">
        <f>grand[[#This Row],[transportation loss ]]/grand[[#This Row],[received]]</f>
        <v>0</v>
      </c>
      <c r="S744" s="7">
        <f>grand[[#This Row],[ carcass weight]]/grand[[#This Row],[received]]</f>
        <v>320.66250000000002</v>
      </c>
      <c r="T744" s="7">
        <f>grand[[#This Row],[ kidneys fat quantity]]/grand[[#This Row],[received]]</f>
        <v>7.96875</v>
      </c>
      <c r="U744" s="1">
        <v>24.921875</v>
      </c>
      <c r="V744" s="1">
        <v>0</v>
      </c>
      <c r="W744" s="1">
        <v>48.40625</v>
      </c>
      <c r="X744" s="1">
        <v>10</v>
      </c>
      <c r="Y744" s="1">
        <v>8.5</v>
      </c>
      <c r="Z744" s="18">
        <f>grand[[#This Row],[av. Transportation loss]]/grand[[#This Row],[av.total weight]]</f>
        <v>0</v>
      </c>
      <c r="AA744" s="12">
        <f>AVERAGE((grand[[#This Row],[am]]/25),(grand[[#This Row],[pm]]/50))</f>
        <v>0.98249999999999993</v>
      </c>
      <c r="AB744" s="3">
        <f>grand[[#This Row],[ carcass weight]]/grand[[#This Row],[total weight]]</f>
        <v>0.60456018382136334</v>
      </c>
      <c r="AC744" s="18">
        <f>SUM(grand[[#This Row],[am]:[meat transportation]])/100</f>
        <v>0.91828125000000005</v>
      </c>
      <c r="AJ744" s="1">
        <v>15</v>
      </c>
      <c r="AK744" s="1"/>
      <c r="AL744" s="1"/>
    </row>
    <row r="745" spans="1:38" hidden="1" x14ac:dyDescent="0.2">
      <c r="A745" s="11">
        <v>45024</v>
      </c>
      <c r="B745" s="53" t="s">
        <v>2783</v>
      </c>
      <c r="C745" s="52" t="str">
        <f>IF(MID(B745,4,2)="09","Ramadan",IF(AND(MID(B745,4,2)="12",VALUE(LEFT(B745,2))&lt;=9),"Adha Season","Normal"))</f>
        <v>Ramadan</v>
      </c>
      <c r="D745" s="1" t="s">
        <v>45</v>
      </c>
      <c r="E745" s="1" t="s">
        <v>528</v>
      </c>
      <c r="F745" s="4" t="s">
        <v>560</v>
      </c>
      <c r="G745" s="1">
        <v>40</v>
      </c>
      <c r="H745" s="1">
        <v>40</v>
      </c>
      <c r="I745" s="1">
        <f>grand[[#This Row],[number]]-grand[[#This Row],[received]]</f>
        <v>0</v>
      </c>
      <c r="J745" s="30"/>
      <c r="K745" s="2">
        <v>19220</v>
      </c>
      <c r="L745" s="2">
        <v>18610</v>
      </c>
      <c r="M745" s="2">
        <f>K745-L745</f>
        <v>610</v>
      </c>
      <c r="N745" s="2">
        <v>11701.5</v>
      </c>
      <c r="O745" s="2">
        <v>267</v>
      </c>
      <c r="P745" s="7">
        <f>grand[[#This Row],[total weight]]/grand[[#This Row],[received]]</f>
        <v>480.5</v>
      </c>
      <c r="Q745" s="7">
        <f>grand[[#This Row],[receiving weight]]/grand[[#This Row],[received]]</f>
        <v>465.25</v>
      </c>
      <c r="R745" s="7">
        <f>grand[[#This Row],[transportation loss ]]/grand[[#This Row],[received]]</f>
        <v>15.25</v>
      </c>
      <c r="S745" s="7">
        <f>grand[[#This Row],[ carcass weight]]/grand[[#This Row],[received]]</f>
        <v>292.53750000000002</v>
      </c>
      <c r="T745" s="7">
        <f>grand[[#This Row],[ kidneys fat quantity]]/grand[[#This Row],[received]]</f>
        <v>6.6749999999999998</v>
      </c>
      <c r="U745" s="1">
        <v>25</v>
      </c>
      <c r="V745" s="1">
        <v>0</v>
      </c>
      <c r="W745" s="1">
        <v>49.725000000000001</v>
      </c>
      <c r="X745" s="1">
        <v>10</v>
      </c>
      <c r="Y745" s="1">
        <v>8.5</v>
      </c>
      <c r="Z745" s="18">
        <f>grand[[#This Row],[av. Transportation loss]]/grand[[#This Row],[av.total weight]]</f>
        <v>3.1737773152965658E-2</v>
      </c>
      <c r="AA745" s="12">
        <f>AVERAGE((grand[[#This Row],[am]]/25),(grand[[#This Row],[pm]]/50))</f>
        <v>0.99724999999999997</v>
      </c>
      <c r="AB745" s="3">
        <f>grand[[#This Row],[ carcass weight]]/grand[[#This Row],[total weight]]</f>
        <v>0.6088189386056192</v>
      </c>
      <c r="AC745" s="18">
        <f>SUM(grand[[#This Row],[am]:[meat transportation]])/100</f>
        <v>0.93224999999999991</v>
      </c>
      <c r="AK745" s="1"/>
      <c r="AL745" s="1"/>
    </row>
    <row r="746" spans="1:38" hidden="1" x14ac:dyDescent="0.2">
      <c r="A746" s="11">
        <v>45025</v>
      </c>
      <c r="B746" s="53" t="s">
        <v>1832</v>
      </c>
      <c r="C746" s="52" t="str">
        <f>IF(MID(B746,4,2)="09","Ramadan",IF(AND(MID(B746,4,2)="12",VALUE(LEFT(B746,2))&lt;=9),"Adha Season","Normal"))</f>
        <v>Ramadan</v>
      </c>
      <c r="D746" s="1" t="s">
        <v>45</v>
      </c>
      <c r="E746" s="1" t="s">
        <v>528</v>
      </c>
      <c r="F746" s="4" t="s">
        <v>43</v>
      </c>
      <c r="G746" s="1">
        <v>45</v>
      </c>
      <c r="H746" s="1">
        <v>45</v>
      </c>
      <c r="I746" s="1">
        <f>grand[[#This Row],[number]]-grand[[#This Row],[received]]</f>
        <v>0</v>
      </c>
      <c r="J746" s="30"/>
      <c r="K746" s="2">
        <v>21210</v>
      </c>
      <c r="L746" s="2">
        <v>20545</v>
      </c>
      <c r="M746" s="2">
        <f>K746-L746</f>
        <v>665</v>
      </c>
      <c r="N746" s="2">
        <v>12816.5</v>
      </c>
      <c r="O746" s="2">
        <v>266</v>
      </c>
      <c r="P746" s="7">
        <f>grand[[#This Row],[total weight]]/grand[[#This Row],[received]]</f>
        <v>471.33333333333331</v>
      </c>
      <c r="Q746" s="7">
        <f>grand[[#This Row],[receiving weight]]/grand[[#This Row],[received]]</f>
        <v>456.55555555555554</v>
      </c>
      <c r="R746" s="7">
        <f>grand[[#This Row],[transportation loss ]]/grand[[#This Row],[received]]</f>
        <v>14.777777777777779</v>
      </c>
      <c r="S746" s="7">
        <f>grand[[#This Row],[ carcass weight]]/grand[[#This Row],[received]]</f>
        <v>284.81111111111113</v>
      </c>
      <c r="T746" s="7">
        <f>grand[[#This Row],[ kidneys fat quantity]]/grand[[#This Row],[received]]</f>
        <v>5.9111111111111114</v>
      </c>
      <c r="U746" s="1">
        <v>25</v>
      </c>
      <c r="V746" s="1">
        <v>0</v>
      </c>
      <c r="W746" s="1">
        <v>49.644444444444446</v>
      </c>
      <c r="X746" s="1">
        <v>10</v>
      </c>
      <c r="Y746" s="1">
        <v>8.5</v>
      </c>
      <c r="Z746" s="18">
        <f>grand[[#This Row],[av. Transportation loss]]/grand[[#This Row],[av.total weight]]</f>
        <v>3.1353135313531358E-2</v>
      </c>
      <c r="AA746" s="12">
        <f>AVERAGE((grand[[#This Row],[am]]/25),(grand[[#This Row],[pm]]/50))</f>
        <v>0.99644444444444447</v>
      </c>
      <c r="AB746" s="3">
        <f>grand[[#This Row],[ carcass weight]]/grand[[#This Row],[total weight]]</f>
        <v>0.60426685525695423</v>
      </c>
      <c r="AC746" s="18">
        <f>SUM(grand[[#This Row],[am]:[meat transportation]])/100</f>
        <v>0.93144444444444441</v>
      </c>
      <c r="AK746" s="1"/>
      <c r="AL746" s="1"/>
    </row>
    <row r="747" spans="1:38" hidden="1" x14ac:dyDescent="0.2">
      <c r="A747" s="11">
        <v>45026</v>
      </c>
      <c r="B747" s="53" t="s">
        <v>1833</v>
      </c>
      <c r="C747" s="52" t="str">
        <f>IF(MID(B747,4,2)="09","Ramadan",IF(AND(MID(B747,4,2)="12",VALUE(LEFT(B747,2))&lt;=9),"Adha Season","Normal"))</f>
        <v>Ramadan</v>
      </c>
      <c r="D747" s="1" t="s">
        <v>45</v>
      </c>
      <c r="E747" s="1" t="s">
        <v>483</v>
      </c>
      <c r="F747" s="4" t="s">
        <v>560</v>
      </c>
      <c r="G747" s="1">
        <v>40</v>
      </c>
      <c r="H747" s="1">
        <v>40</v>
      </c>
      <c r="I747" s="1">
        <f>grand[[#This Row],[number]]-grand[[#This Row],[received]]</f>
        <v>0</v>
      </c>
      <c r="J747" s="30"/>
      <c r="K747" s="2">
        <v>19190</v>
      </c>
      <c r="L747" s="2">
        <v>18575</v>
      </c>
      <c r="M747" s="2">
        <f>K747-L747</f>
        <v>615</v>
      </c>
      <c r="N747" s="2">
        <v>11523.9</v>
      </c>
      <c r="O747" s="2">
        <v>276</v>
      </c>
      <c r="P747" s="7">
        <f>grand[[#This Row],[total weight]]/grand[[#This Row],[received]]</f>
        <v>479.75</v>
      </c>
      <c r="Q747" s="7">
        <f>grand[[#This Row],[receiving weight]]/grand[[#This Row],[received]]</f>
        <v>464.375</v>
      </c>
      <c r="R747" s="7">
        <f>grand[[#This Row],[transportation loss ]]/grand[[#This Row],[received]]</f>
        <v>15.375</v>
      </c>
      <c r="S747" s="7">
        <f>grand[[#This Row],[ carcass weight]]/grand[[#This Row],[received]]</f>
        <v>288.09749999999997</v>
      </c>
      <c r="T747" s="7">
        <f>grand[[#This Row],[ kidneys fat quantity]]/grand[[#This Row],[received]]</f>
        <v>6.9</v>
      </c>
      <c r="U747" s="1">
        <v>25</v>
      </c>
      <c r="V747" s="1">
        <v>0</v>
      </c>
      <c r="W747" s="1">
        <v>49.05</v>
      </c>
      <c r="X747" s="1">
        <v>10</v>
      </c>
      <c r="Y747" s="1">
        <v>8.5</v>
      </c>
      <c r="Z747" s="18">
        <f>grand[[#This Row],[av. Transportation loss]]/grand[[#This Row],[av.total weight]]</f>
        <v>3.2047941636268888E-2</v>
      </c>
      <c r="AA747" s="12">
        <f>AVERAGE((grand[[#This Row],[am]]/25),(grand[[#This Row],[pm]]/50))</f>
        <v>0.99049999999999994</v>
      </c>
      <c r="AB747" s="3">
        <f>grand[[#This Row],[ carcass weight]]/grand[[#This Row],[total weight]]</f>
        <v>0.60051589369463265</v>
      </c>
      <c r="AC747" s="18">
        <f>SUM(grand[[#This Row],[am]:[meat transportation]])/100</f>
        <v>0.92549999999999999</v>
      </c>
      <c r="AK747" s="1"/>
      <c r="AL747" s="1"/>
    </row>
    <row r="748" spans="1:38" hidden="1" x14ac:dyDescent="0.2">
      <c r="A748" s="11">
        <v>45028</v>
      </c>
      <c r="B748" s="53" t="s">
        <v>1835</v>
      </c>
      <c r="C748" s="52" t="str">
        <f>IF(MID(B748,4,2)="09","Ramadan",IF(AND(MID(B748,4,2)="12",VALUE(LEFT(B748,2))&lt;=9),"Adha Season","Normal"))</f>
        <v>Ramadan</v>
      </c>
      <c r="D748" s="2" t="s">
        <v>294</v>
      </c>
      <c r="E748" s="1" t="s">
        <v>483</v>
      </c>
      <c r="F748" s="4" t="s">
        <v>35</v>
      </c>
      <c r="G748" s="1">
        <v>32</v>
      </c>
      <c r="H748" s="1">
        <v>32</v>
      </c>
      <c r="I748" s="1">
        <f>grand[[#This Row],[number]]-grand[[#This Row],[received]]</f>
        <v>0</v>
      </c>
      <c r="J748" s="30"/>
      <c r="K748" s="2">
        <v>1835</v>
      </c>
      <c r="L748" s="2">
        <v>1790</v>
      </c>
      <c r="M748" s="2">
        <f>K748-L748</f>
        <v>45</v>
      </c>
      <c r="N748" s="2">
        <v>1124.2</v>
      </c>
      <c r="O748" s="2">
        <v>0</v>
      </c>
      <c r="P748" s="7">
        <f>grand[[#This Row],[total weight]]/grand[[#This Row],[received]]</f>
        <v>57.34375</v>
      </c>
      <c r="Q748" s="7">
        <f>grand[[#This Row],[receiving weight]]/grand[[#This Row],[received]]</f>
        <v>55.9375</v>
      </c>
      <c r="R748" s="7">
        <f>grand[[#This Row],[transportation loss ]]/grand[[#This Row],[received]]</f>
        <v>1.40625</v>
      </c>
      <c r="S748" s="7">
        <f>grand[[#This Row],[ carcass weight]]/grand[[#This Row],[received]]</f>
        <v>35.131250000000001</v>
      </c>
      <c r="T748" s="7">
        <f>grand[[#This Row],[ kidneys fat quantity]]/grand[[#This Row],[received]]</f>
        <v>0</v>
      </c>
      <c r="U748" s="1">
        <v>25</v>
      </c>
      <c r="V748" s="1">
        <v>0</v>
      </c>
      <c r="W748" s="1">
        <v>49.03125</v>
      </c>
      <c r="X748" s="1">
        <v>10</v>
      </c>
      <c r="Y748" s="1">
        <v>8.5</v>
      </c>
      <c r="Z748" s="18">
        <f>grand[[#This Row],[av. Transportation loss]]/grand[[#This Row],[av.total weight]]</f>
        <v>2.4523160762942781E-2</v>
      </c>
      <c r="AA748" s="12">
        <f>AVERAGE((grand[[#This Row],[am]]/25),(grand[[#This Row],[pm]]/50))</f>
        <v>0.99031249999999993</v>
      </c>
      <c r="AB748" s="3">
        <f>grand[[#This Row],[ carcass weight]]/grand[[#This Row],[total weight]]</f>
        <v>0.61264305177111722</v>
      </c>
      <c r="AC748" s="18">
        <f>SUM(grand[[#This Row],[am]:[meat transportation]])/100</f>
        <v>0.92531249999999998</v>
      </c>
      <c r="AK748" s="1"/>
      <c r="AL748" s="1"/>
    </row>
    <row r="749" spans="1:38" hidden="1" x14ac:dyDescent="0.2">
      <c r="A749" s="11">
        <v>45029</v>
      </c>
      <c r="B749" s="53" t="s">
        <v>1836</v>
      </c>
      <c r="C749" s="52" t="str">
        <f>IF(MID(B749,4,2)="09","Ramadan",IF(AND(MID(B749,4,2)="12",VALUE(LEFT(B749,2))&lt;=9),"Adha Season","Normal"))</f>
        <v>Ramadan</v>
      </c>
      <c r="D749" s="1" t="s">
        <v>45</v>
      </c>
      <c r="E749" s="1" t="s">
        <v>528</v>
      </c>
      <c r="F749" s="4" t="s">
        <v>560</v>
      </c>
      <c r="G749" s="1">
        <v>63</v>
      </c>
      <c r="H749" s="1">
        <v>63</v>
      </c>
      <c r="I749" s="1">
        <f>grand[[#This Row],[number]]-grand[[#This Row],[received]]</f>
        <v>0</v>
      </c>
      <c r="J749" s="30"/>
      <c r="K749" s="2">
        <v>29930</v>
      </c>
      <c r="L749" s="2">
        <v>29600</v>
      </c>
      <c r="M749" s="2">
        <f>K749-L749</f>
        <v>330</v>
      </c>
      <c r="N749" s="2">
        <v>17944.7</v>
      </c>
      <c r="O749" s="2">
        <v>391</v>
      </c>
      <c r="P749" s="7">
        <f>grand[[#This Row],[total weight]]/grand[[#This Row],[received]]</f>
        <v>475.07936507936506</v>
      </c>
      <c r="Q749" s="7">
        <f>grand[[#This Row],[receiving weight]]/grand[[#This Row],[received]]</f>
        <v>469.84126984126982</v>
      </c>
      <c r="R749" s="7">
        <f>grand[[#This Row],[transportation loss ]]/grand[[#This Row],[received]]</f>
        <v>5.2380952380952381</v>
      </c>
      <c r="S749" s="7">
        <f>grand[[#This Row],[ carcass weight]]/grand[[#This Row],[received]]</f>
        <v>284.83650793650793</v>
      </c>
      <c r="T749" s="7">
        <f>grand[[#This Row],[ kidneys fat quantity]]/grand[[#This Row],[received]]</f>
        <v>6.2063492063492065</v>
      </c>
      <c r="U749" s="1">
        <v>25</v>
      </c>
      <c r="V749" s="1">
        <v>0</v>
      </c>
      <c r="W749" s="1">
        <v>49.714285714285715</v>
      </c>
      <c r="X749" s="1">
        <v>10</v>
      </c>
      <c r="Y749" s="1">
        <v>8.5</v>
      </c>
      <c r="Z749" s="18">
        <f>grand[[#This Row],[av. Transportation loss]]/grand[[#This Row],[av.total weight]]</f>
        <v>1.1025726695623121E-2</v>
      </c>
      <c r="AA749" s="12">
        <f>AVERAGE((grand[[#This Row],[am]]/25),(grand[[#This Row],[pm]]/50))</f>
        <v>0.99714285714285711</v>
      </c>
      <c r="AB749" s="3">
        <f>grand[[#This Row],[ carcass weight]]/grand[[#This Row],[total weight]]</f>
        <v>0.59955562980287336</v>
      </c>
      <c r="AC749" s="18">
        <f>SUM(grand[[#This Row],[am]:[meat transportation]])/100</f>
        <v>0.93214285714285727</v>
      </c>
      <c r="AK749" s="1"/>
      <c r="AL749" s="1"/>
    </row>
    <row r="750" spans="1:38" hidden="1" x14ac:dyDescent="0.2">
      <c r="A750" s="11">
        <v>45031</v>
      </c>
      <c r="B750" s="53" t="s">
        <v>2784</v>
      </c>
      <c r="C750" s="52" t="str">
        <f>IF(MID(B750,4,2)="09","Ramadan",IF(AND(MID(B750,4,2)="12",VALUE(LEFT(B750,2))&lt;=9),"Adha Season","Normal"))</f>
        <v>Ramadan</v>
      </c>
      <c r="D750" s="1" t="s">
        <v>45</v>
      </c>
      <c r="E750" s="1" t="s">
        <v>528</v>
      </c>
      <c r="F750" s="4" t="s">
        <v>560</v>
      </c>
      <c r="G750" s="1">
        <v>40</v>
      </c>
      <c r="H750" s="1">
        <v>40</v>
      </c>
      <c r="I750" s="1">
        <f>grand[[#This Row],[number]]-grand[[#This Row],[received]]</f>
        <v>0</v>
      </c>
      <c r="J750" s="30"/>
      <c r="K750" s="2">
        <v>19260</v>
      </c>
      <c r="L750" s="2">
        <v>18690</v>
      </c>
      <c r="M750" s="2">
        <f>K750-L750</f>
        <v>570</v>
      </c>
      <c r="N750" s="2">
        <v>11586.3</v>
      </c>
      <c r="O750" s="2">
        <v>265</v>
      </c>
      <c r="P750" s="7">
        <f>grand[[#This Row],[total weight]]/grand[[#This Row],[received]]</f>
        <v>481.5</v>
      </c>
      <c r="Q750" s="7">
        <f>grand[[#This Row],[receiving weight]]/grand[[#This Row],[received]]</f>
        <v>467.25</v>
      </c>
      <c r="R750" s="7">
        <f>grand[[#This Row],[transportation loss ]]/grand[[#This Row],[received]]</f>
        <v>14.25</v>
      </c>
      <c r="S750" s="7">
        <f>grand[[#This Row],[ carcass weight]]/grand[[#This Row],[received]]</f>
        <v>289.65749999999997</v>
      </c>
      <c r="T750" s="7">
        <f>grand[[#This Row],[ kidneys fat quantity]]/grand[[#This Row],[received]]</f>
        <v>6.625</v>
      </c>
      <c r="U750" s="1">
        <v>25</v>
      </c>
      <c r="V750" s="1">
        <v>0</v>
      </c>
      <c r="W750" s="1">
        <v>49.825000000000003</v>
      </c>
      <c r="X750" s="1">
        <v>10</v>
      </c>
      <c r="Y750" s="1">
        <v>8.5</v>
      </c>
      <c r="Z750" s="18">
        <f>grand[[#This Row],[av. Transportation loss]]/grand[[#This Row],[av.total weight]]</f>
        <v>2.9595015576323987E-2</v>
      </c>
      <c r="AA750" s="12">
        <f>AVERAGE((grand[[#This Row],[am]]/25),(grand[[#This Row],[pm]]/50))</f>
        <v>0.99825000000000008</v>
      </c>
      <c r="AB750" s="3">
        <f>grand[[#This Row],[ carcass weight]]/grand[[#This Row],[total weight]]</f>
        <v>0.60157320872274145</v>
      </c>
      <c r="AC750" s="18">
        <f>SUM(grand[[#This Row],[am]:[meat transportation]])/100</f>
        <v>0.93325000000000002</v>
      </c>
      <c r="AK750" s="1"/>
      <c r="AL750" s="1"/>
    </row>
    <row r="751" spans="1:38" hidden="1" x14ac:dyDescent="0.2">
      <c r="A751" s="11">
        <v>45032</v>
      </c>
      <c r="B751" s="53" t="s">
        <v>1837</v>
      </c>
      <c r="C751" s="52" t="str">
        <f>IF(MID(B751,4,2)="09","Ramadan",IF(AND(MID(B751,4,2)="12",VALUE(LEFT(B751,2))&lt;=9),"Adha Season","Normal"))</f>
        <v>Ramadan</v>
      </c>
      <c r="D751" s="1" t="s">
        <v>45</v>
      </c>
      <c r="E751" s="1" t="s">
        <v>528</v>
      </c>
      <c r="F751" s="4" t="s">
        <v>560</v>
      </c>
      <c r="G751" s="1">
        <v>46</v>
      </c>
      <c r="H751" s="1">
        <v>46</v>
      </c>
      <c r="I751" s="1">
        <f>grand[[#This Row],[number]]-grand[[#This Row],[received]]</f>
        <v>0</v>
      </c>
      <c r="J751" s="30"/>
      <c r="K751" s="2">
        <v>22210</v>
      </c>
      <c r="L751" s="2">
        <v>21520</v>
      </c>
      <c r="M751" s="2">
        <f>K751-L751</f>
        <v>690</v>
      </c>
      <c r="N751" s="2">
        <v>13325.6</v>
      </c>
      <c r="O751" s="2">
        <v>318</v>
      </c>
      <c r="P751" s="7">
        <f>grand[[#This Row],[total weight]]/grand[[#This Row],[received]]</f>
        <v>482.82608695652175</v>
      </c>
      <c r="Q751" s="7">
        <f>grand[[#This Row],[receiving weight]]/grand[[#This Row],[received]]</f>
        <v>467.82608695652175</v>
      </c>
      <c r="R751" s="7">
        <f>grand[[#This Row],[transportation loss ]]/grand[[#This Row],[received]]</f>
        <v>15</v>
      </c>
      <c r="S751" s="7">
        <f>grand[[#This Row],[ carcass weight]]/grand[[#This Row],[received]]</f>
        <v>289.68695652173915</v>
      </c>
      <c r="T751" s="7">
        <f>grand[[#This Row],[ kidneys fat quantity]]/grand[[#This Row],[received]]</f>
        <v>6.9130434782608692</v>
      </c>
      <c r="U751" s="1">
        <v>25</v>
      </c>
      <c r="V751" s="1">
        <v>0</v>
      </c>
      <c r="W751" s="1">
        <v>49.478260869565212</v>
      </c>
      <c r="X751" s="1">
        <v>10</v>
      </c>
      <c r="Y751" s="1">
        <v>8.5</v>
      </c>
      <c r="Z751" s="18">
        <f>grand[[#This Row],[av. Transportation loss]]/grand[[#This Row],[av.total weight]]</f>
        <v>3.1067086897793784E-2</v>
      </c>
      <c r="AA751" s="12">
        <f>AVERAGE((grand[[#This Row],[am]]/25),(grand[[#This Row],[pm]]/50))</f>
        <v>0.99478260869565216</v>
      </c>
      <c r="AB751" s="3">
        <f>grand[[#This Row],[ carcass weight]]/grand[[#This Row],[total weight]]</f>
        <v>0.599981990094552</v>
      </c>
      <c r="AC751" s="18">
        <f>SUM(grand[[#This Row],[am]:[meat transportation]])/100</f>
        <v>0.92978260869565221</v>
      </c>
      <c r="AK751" s="1"/>
      <c r="AL751" s="1"/>
    </row>
    <row r="752" spans="1:38" hidden="1" x14ac:dyDescent="0.2">
      <c r="A752" s="11">
        <v>45033</v>
      </c>
      <c r="B752" s="53" t="s">
        <v>1838</v>
      </c>
      <c r="C752" s="52" t="str">
        <f>IF(MID(B752,4,2)="09","Ramadan",IF(AND(MID(B752,4,2)="12",VALUE(LEFT(B752,2))&lt;=9),"Adha Season","Normal"))</f>
        <v>Ramadan</v>
      </c>
      <c r="D752" s="1" t="s">
        <v>45</v>
      </c>
      <c r="E752" s="1" t="s">
        <v>483</v>
      </c>
      <c r="F752" s="4" t="s">
        <v>280</v>
      </c>
      <c r="G752" s="1">
        <v>40</v>
      </c>
      <c r="H752" s="1">
        <v>40</v>
      </c>
      <c r="I752" s="1">
        <f>grand[[#This Row],[number]]-grand[[#This Row],[received]]</f>
        <v>0</v>
      </c>
      <c r="J752" s="30"/>
      <c r="K752" s="2">
        <v>19825</v>
      </c>
      <c r="L752" s="2">
        <v>18900</v>
      </c>
      <c r="M752" s="2">
        <f>K752-L752</f>
        <v>925</v>
      </c>
      <c r="N752" s="2">
        <v>11894.1</v>
      </c>
      <c r="O752" s="2">
        <v>379</v>
      </c>
      <c r="P752" s="7">
        <f>grand[[#This Row],[total weight]]/grand[[#This Row],[received]]</f>
        <v>495.625</v>
      </c>
      <c r="Q752" s="7">
        <f>grand[[#This Row],[receiving weight]]/grand[[#This Row],[received]]</f>
        <v>472.5</v>
      </c>
      <c r="R752" s="7">
        <f>grand[[#This Row],[transportation loss ]]/grand[[#This Row],[received]]</f>
        <v>23.125</v>
      </c>
      <c r="S752" s="7">
        <f>grand[[#This Row],[ carcass weight]]/grand[[#This Row],[received]]</f>
        <v>297.35250000000002</v>
      </c>
      <c r="T752" s="7">
        <f>grand[[#This Row],[ kidneys fat quantity]]/grand[[#This Row],[received]]</f>
        <v>9.4749999999999996</v>
      </c>
      <c r="U752" s="1">
        <v>24.375</v>
      </c>
      <c r="V752" s="1">
        <v>0</v>
      </c>
      <c r="W752" s="1">
        <v>48.875</v>
      </c>
      <c r="X752" s="1">
        <v>10</v>
      </c>
      <c r="Y752" s="1">
        <v>8.5</v>
      </c>
      <c r="Z752" s="18">
        <f>grand[[#This Row],[av. Transportation loss]]/grand[[#This Row],[av.total weight]]</f>
        <v>4.6658259773013869E-2</v>
      </c>
      <c r="AA752" s="12">
        <f>AVERAGE((grand[[#This Row],[am]]/25),(grand[[#This Row],[pm]]/50))</f>
        <v>0.97625000000000006</v>
      </c>
      <c r="AB752" s="3">
        <f>grand[[#This Row],[ carcass weight]]/grand[[#This Row],[total weight]]</f>
        <v>0.59995460277427493</v>
      </c>
      <c r="AC752" s="18">
        <f>SUM(grand[[#This Row],[am]:[meat transportation]])/100</f>
        <v>0.91749999999999998</v>
      </c>
      <c r="AK752" s="1"/>
      <c r="AL752" s="1"/>
    </row>
    <row r="753" spans="1:38" hidden="1" x14ac:dyDescent="0.2">
      <c r="A753" s="11">
        <v>45034</v>
      </c>
      <c r="B753" s="53" t="s">
        <v>1839</v>
      </c>
      <c r="C753" s="52" t="str">
        <f>IF(MID(B753,4,2)="09","Ramadan",IF(AND(MID(B753,4,2)="12",VALUE(LEFT(B753,2))&lt;=9),"Adha Season","Normal"))</f>
        <v>Ramadan</v>
      </c>
      <c r="D753" s="1" t="s">
        <v>45</v>
      </c>
      <c r="E753" s="1" t="s">
        <v>528</v>
      </c>
      <c r="F753" s="4" t="s">
        <v>560</v>
      </c>
      <c r="G753" s="1">
        <v>40</v>
      </c>
      <c r="H753" s="1">
        <v>40</v>
      </c>
      <c r="I753" s="1">
        <f>grand[[#This Row],[number]]-grand[[#This Row],[received]]</f>
        <v>0</v>
      </c>
      <c r="J753" s="30"/>
      <c r="K753" s="2">
        <v>19640</v>
      </c>
      <c r="L753" s="2">
        <v>18915</v>
      </c>
      <c r="M753" s="2">
        <f>K753-L753</f>
        <v>725</v>
      </c>
      <c r="N753" s="2">
        <v>11716</v>
      </c>
      <c r="O753" s="2">
        <v>257</v>
      </c>
      <c r="P753" s="7">
        <f>grand[[#This Row],[total weight]]/grand[[#This Row],[received]]</f>
        <v>491</v>
      </c>
      <c r="Q753" s="7">
        <f>grand[[#This Row],[receiving weight]]/grand[[#This Row],[received]]</f>
        <v>472.875</v>
      </c>
      <c r="R753" s="7">
        <f>grand[[#This Row],[transportation loss ]]/grand[[#This Row],[received]]</f>
        <v>18.125</v>
      </c>
      <c r="S753" s="7">
        <f>grand[[#This Row],[ carcass weight]]/grand[[#This Row],[received]]</f>
        <v>292.89999999999998</v>
      </c>
      <c r="T753" s="7">
        <f>grand[[#This Row],[ kidneys fat quantity]]/grand[[#This Row],[received]]</f>
        <v>6.4249999999999998</v>
      </c>
      <c r="U753" s="1">
        <v>25</v>
      </c>
      <c r="V753" s="1">
        <v>0</v>
      </c>
      <c r="W753" s="1">
        <v>49.674999999999997</v>
      </c>
      <c r="X753" s="1">
        <v>10</v>
      </c>
      <c r="Y753" s="1">
        <v>8.5</v>
      </c>
      <c r="Z753" s="18">
        <f>grand[[#This Row],[av. Transportation loss]]/grand[[#This Row],[av.total weight]]</f>
        <v>3.6914460285132386E-2</v>
      </c>
      <c r="AA753" s="12">
        <f>AVERAGE((grand[[#This Row],[am]]/25),(grand[[#This Row],[pm]]/50))</f>
        <v>0.99675000000000002</v>
      </c>
      <c r="AB753" s="3">
        <f>grand[[#This Row],[ carcass weight]]/grand[[#This Row],[total weight]]</f>
        <v>0.59653767820773929</v>
      </c>
      <c r="AC753" s="18">
        <f>SUM(grand[[#This Row],[am]:[meat transportation]])/100</f>
        <v>0.93174999999999997</v>
      </c>
      <c r="AK753" s="1"/>
      <c r="AL753" s="1"/>
    </row>
    <row r="754" spans="1:38" hidden="1" x14ac:dyDescent="0.2">
      <c r="A754" s="11">
        <v>45035</v>
      </c>
      <c r="B754" s="53" t="s">
        <v>1840</v>
      </c>
      <c r="C754" s="52" t="str">
        <f>IF(MID(B754,4,2)="09","Ramadan",IF(AND(MID(B754,4,2)="12",VALUE(LEFT(B754,2))&lt;=9),"Adha Season","Normal"))</f>
        <v>Ramadan</v>
      </c>
      <c r="D754" s="1" t="s">
        <v>45</v>
      </c>
      <c r="E754" s="1" t="s">
        <v>483</v>
      </c>
      <c r="F754" s="4" t="s">
        <v>280</v>
      </c>
      <c r="G754" s="1">
        <v>35</v>
      </c>
      <c r="H754" s="1">
        <v>35</v>
      </c>
      <c r="I754" s="1">
        <f>grand[[#This Row],[number]]-grand[[#This Row],[received]]</f>
        <v>0</v>
      </c>
      <c r="J754" s="30"/>
      <c r="K754" s="2">
        <v>17673</v>
      </c>
      <c r="L754" s="2">
        <v>17065</v>
      </c>
      <c r="M754" s="2">
        <f>K754-L754</f>
        <v>608</v>
      </c>
      <c r="N754" s="2">
        <v>10603.3</v>
      </c>
      <c r="O754" s="2">
        <v>345</v>
      </c>
      <c r="P754" s="7">
        <f>grand[[#This Row],[total weight]]/grand[[#This Row],[received]]</f>
        <v>504.94285714285712</v>
      </c>
      <c r="Q754" s="7">
        <f>grand[[#This Row],[receiving weight]]/grand[[#This Row],[received]]</f>
        <v>487.57142857142856</v>
      </c>
      <c r="R754" s="7">
        <f>grand[[#This Row],[transportation loss ]]/grand[[#This Row],[received]]</f>
        <v>17.37142857142857</v>
      </c>
      <c r="S754" s="7">
        <f>grand[[#This Row],[ carcass weight]]/grand[[#This Row],[received]]</f>
        <v>302.95142857142855</v>
      </c>
      <c r="T754" s="7">
        <f>grand[[#This Row],[ kidneys fat quantity]]/grand[[#This Row],[received]]</f>
        <v>9.8571428571428577</v>
      </c>
      <c r="U754" s="1">
        <v>25</v>
      </c>
      <c r="V754" s="1">
        <v>0</v>
      </c>
      <c r="W754" s="1">
        <v>50</v>
      </c>
      <c r="X754" s="1">
        <v>10</v>
      </c>
      <c r="Y754" s="1">
        <v>8.5</v>
      </c>
      <c r="Z754" s="18">
        <f>grand[[#This Row],[av. Transportation loss]]/grand[[#This Row],[av.total weight]]</f>
        <v>3.4402761274260167E-2</v>
      </c>
      <c r="AA754" s="12">
        <f>AVERAGE((grand[[#This Row],[am]]/25),(grand[[#This Row],[pm]]/50))</f>
        <v>1</v>
      </c>
      <c r="AB754" s="3">
        <f>grand[[#This Row],[ carcass weight]]/grand[[#This Row],[total weight]]</f>
        <v>0.59997170825553103</v>
      </c>
      <c r="AC754" s="18">
        <f>SUM(grand[[#This Row],[am]:[meat transportation]])/100</f>
        <v>0.93500000000000005</v>
      </c>
      <c r="AJ754" s="1">
        <v>6</v>
      </c>
      <c r="AK754" s="1"/>
      <c r="AL754" s="1"/>
    </row>
    <row r="755" spans="1:38" hidden="1" x14ac:dyDescent="0.2">
      <c r="A755" s="11">
        <v>45041</v>
      </c>
      <c r="B755" s="53" t="s">
        <v>2785</v>
      </c>
      <c r="C755" s="52" t="str">
        <f>IF(MID(B755,4,2)="09","Ramadan",IF(AND(MID(B755,4,2)="12",VALUE(LEFT(B755,2))&lt;=9),"Adha Season","Normal"))</f>
        <v>Normal</v>
      </c>
      <c r="D755" s="1" t="s">
        <v>45</v>
      </c>
      <c r="E755" s="1" t="s">
        <v>528</v>
      </c>
      <c r="F755" s="4" t="s">
        <v>39</v>
      </c>
      <c r="G755" s="1">
        <v>49</v>
      </c>
      <c r="H755" s="1">
        <v>49</v>
      </c>
      <c r="I755" s="1">
        <f>grand[[#This Row],[number]]-grand[[#This Row],[received]]</f>
        <v>0</v>
      </c>
      <c r="J755" s="30"/>
      <c r="K755" s="2">
        <v>27173</v>
      </c>
      <c r="L755" s="2">
        <v>27173</v>
      </c>
      <c r="M755" s="2">
        <f>K755-L755</f>
        <v>0</v>
      </c>
      <c r="N755" s="2">
        <v>17438.2</v>
      </c>
      <c r="O755" s="2">
        <v>253</v>
      </c>
      <c r="P755" s="7">
        <f>grand[[#This Row],[total weight]]/grand[[#This Row],[received]]</f>
        <v>554.55102040816325</v>
      </c>
      <c r="Q755" s="7">
        <f>grand[[#This Row],[receiving weight]]/grand[[#This Row],[received]]</f>
        <v>554.55102040816325</v>
      </c>
      <c r="R755" s="7">
        <f>grand[[#This Row],[transportation loss ]]/grand[[#This Row],[received]]</f>
        <v>0</v>
      </c>
      <c r="S755" s="7">
        <f>grand[[#This Row],[ carcass weight]]/grand[[#This Row],[received]]</f>
        <v>355.88163265306122</v>
      </c>
      <c r="T755" s="7">
        <f>grand[[#This Row],[ kidneys fat quantity]]/grand[[#This Row],[received]]</f>
        <v>5.1632653061224492</v>
      </c>
      <c r="U755" s="1">
        <v>25</v>
      </c>
      <c r="V755" s="1">
        <v>0</v>
      </c>
      <c r="W755" s="1">
        <v>48.408163265306122</v>
      </c>
      <c r="X755" s="1">
        <v>10</v>
      </c>
      <c r="Y755" s="1">
        <v>8.5</v>
      </c>
      <c r="Z755" s="18">
        <f>grand[[#This Row],[av. Transportation loss]]/grand[[#This Row],[av.total weight]]</f>
        <v>0</v>
      </c>
      <c r="AA755" s="12">
        <f>AVERAGE((grand[[#This Row],[am]]/25),(grand[[#This Row],[pm]]/50))</f>
        <v>0.98408163265306126</v>
      </c>
      <c r="AB755" s="3">
        <f>grand[[#This Row],[ carcass weight]]/grand[[#This Row],[total weight]]</f>
        <v>0.64174732271004309</v>
      </c>
      <c r="AC755" s="18">
        <f>SUM(grand[[#This Row],[am]:[meat transportation]])/100</f>
        <v>0.9190816326530612</v>
      </c>
      <c r="AK755" s="1"/>
      <c r="AL755" s="1"/>
    </row>
    <row r="756" spans="1:38" hidden="1" x14ac:dyDescent="0.2">
      <c r="A756" s="11">
        <v>45043</v>
      </c>
      <c r="B756" s="53" t="s">
        <v>2786</v>
      </c>
      <c r="C756" s="52" t="str">
        <f>IF(MID(B756,4,2)="09","Ramadan",IF(AND(MID(B756,4,2)="12",VALUE(LEFT(B756,2))&lt;=9),"Adha Season","Normal"))</f>
        <v>Normal</v>
      </c>
      <c r="D756" s="1" t="s">
        <v>45</v>
      </c>
      <c r="E756" s="1" t="s">
        <v>483</v>
      </c>
      <c r="F756" s="4" t="s">
        <v>550</v>
      </c>
      <c r="G756" s="1">
        <v>16</v>
      </c>
      <c r="H756" s="1">
        <v>16</v>
      </c>
      <c r="I756" s="1">
        <f>grand[[#This Row],[number]]-grand[[#This Row],[received]]</f>
        <v>0</v>
      </c>
      <c r="J756" s="30"/>
      <c r="K756" s="2">
        <v>6039</v>
      </c>
      <c r="L756" s="2">
        <v>5485</v>
      </c>
      <c r="M756" s="2">
        <f>K756-L756</f>
        <v>554</v>
      </c>
      <c r="N756" s="2">
        <v>3623.6</v>
      </c>
      <c r="O756" s="2">
        <v>66</v>
      </c>
      <c r="P756" s="7">
        <f>grand[[#This Row],[total weight]]/grand[[#This Row],[received]]</f>
        <v>377.4375</v>
      </c>
      <c r="Q756" s="7">
        <f>grand[[#This Row],[receiving weight]]/grand[[#This Row],[received]]</f>
        <v>342.8125</v>
      </c>
      <c r="R756" s="7">
        <f>grand[[#This Row],[transportation loss ]]/grand[[#This Row],[received]]</f>
        <v>34.625</v>
      </c>
      <c r="S756" s="7">
        <f>grand[[#This Row],[ carcass weight]]/grand[[#This Row],[received]]</f>
        <v>226.47499999999999</v>
      </c>
      <c r="T756" s="7">
        <f>grand[[#This Row],[ kidneys fat quantity]]/grand[[#This Row],[received]]</f>
        <v>4.125</v>
      </c>
      <c r="U756" s="1">
        <v>25</v>
      </c>
      <c r="V756" s="1">
        <v>0</v>
      </c>
      <c r="W756" s="1">
        <v>47.625</v>
      </c>
      <c r="X756" s="1">
        <v>10</v>
      </c>
      <c r="Y756" s="1">
        <v>8.5</v>
      </c>
      <c r="Z756" s="18">
        <f>grand[[#This Row],[av. Transportation loss]]/grand[[#This Row],[av.total weight]]</f>
        <v>9.1737042556714693E-2</v>
      </c>
      <c r="AA756" s="12">
        <f>AVERAGE((grand[[#This Row],[am]]/25),(grand[[#This Row],[pm]]/50))</f>
        <v>0.97625000000000006</v>
      </c>
      <c r="AB756" s="3">
        <f>grand[[#This Row],[ carcass weight]]/grand[[#This Row],[total weight]]</f>
        <v>0.60003311806590498</v>
      </c>
      <c r="AC756" s="18">
        <f>SUM(grand[[#This Row],[am]:[meat transportation]])/100</f>
        <v>0.91125</v>
      </c>
      <c r="AJ756" s="1">
        <v>8</v>
      </c>
      <c r="AK756" s="1"/>
      <c r="AL756" s="1"/>
    </row>
    <row r="757" spans="1:38" hidden="1" x14ac:dyDescent="0.2">
      <c r="A757" s="11">
        <v>45043</v>
      </c>
      <c r="B757" s="53" t="s">
        <v>2786</v>
      </c>
      <c r="C757" s="52" t="str">
        <f>IF(MID(B757,4,2)="09","Ramadan",IF(AND(MID(B757,4,2)="12",VALUE(LEFT(B757,2))&lt;=9),"Adha Season","Normal"))</f>
        <v>Normal</v>
      </c>
      <c r="D757" s="1" t="s">
        <v>45</v>
      </c>
      <c r="E757" s="1" t="s">
        <v>483</v>
      </c>
      <c r="F757" s="4" t="s">
        <v>39</v>
      </c>
      <c r="G757" s="1">
        <v>18</v>
      </c>
      <c r="H757" s="1">
        <v>18</v>
      </c>
      <c r="I757" s="1">
        <f>grand[[#This Row],[number]]-grand[[#This Row],[received]]</f>
        <v>0</v>
      </c>
      <c r="J757" s="30"/>
      <c r="K757" s="2">
        <v>7980</v>
      </c>
      <c r="L757" s="2">
        <v>7525</v>
      </c>
      <c r="M757" s="2">
        <f>K757-L757</f>
        <v>455</v>
      </c>
      <c r="N757" s="2">
        <v>4873.2</v>
      </c>
      <c r="O757" s="2">
        <v>197</v>
      </c>
      <c r="P757" s="7">
        <f>grand[[#This Row],[total weight]]/grand[[#This Row],[received]]</f>
        <v>443.33333333333331</v>
      </c>
      <c r="Q757" s="7">
        <f>grand[[#This Row],[receiving weight]]/grand[[#This Row],[received]]</f>
        <v>418.05555555555554</v>
      </c>
      <c r="R757" s="7">
        <f>grand[[#This Row],[transportation loss ]]/grand[[#This Row],[received]]</f>
        <v>25.277777777777779</v>
      </c>
      <c r="S757" s="7">
        <f>grand[[#This Row],[ carcass weight]]/grand[[#This Row],[received]]</f>
        <v>270.73333333333335</v>
      </c>
      <c r="T757" s="7">
        <f>grand[[#This Row],[ kidneys fat quantity]]/grand[[#This Row],[received]]</f>
        <v>10.944444444444445</v>
      </c>
      <c r="U757" s="1">
        <v>25</v>
      </c>
      <c r="V757" s="1">
        <v>0</v>
      </c>
      <c r="W757" s="1">
        <v>49.5</v>
      </c>
      <c r="X757" s="1">
        <v>10</v>
      </c>
      <c r="Y757" s="1">
        <v>8.5</v>
      </c>
      <c r="Z757" s="18">
        <f>grand[[#This Row],[av. Transportation loss]]/grand[[#This Row],[av.total weight]]</f>
        <v>5.7017543859649127E-2</v>
      </c>
      <c r="AA757" s="12">
        <f>AVERAGE((grand[[#This Row],[am]]/25),(grand[[#This Row],[pm]]/50))</f>
        <v>0.995</v>
      </c>
      <c r="AB757" s="3">
        <f>grand[[#This Row],[ carcass weight]]/grand[[#This Row],[total weight]]</f>
        <v>0.61067669172932326</v>
      </c>
      <c r="AC757" s="18">
        <f>SUM(grand[[#This Row],[am]:[meat transportation]])/100</f>
        <v>0.93</v>
      </c>
      <c r="AJ757" s="1">
        <v>6</v>
      </c>
      <c r="AK757" s="1"/>
      <c r="AL757" s="1"/>
    </row>
    <row r="758" spans="1:38" hidden="1" x14ac:dyDescent="0.2">
      <c r="A758" s="11">
        <v>45043</v>
      </c>
      <c r="B758" s="53" t="s">
        <v>2786</v>
      </c>
      <c r="C758" s="52" t="str">
        <f>IF(MID(B758,4,2)="09","Ramadan",IF(AND(MID(B758,4,2)="12",VALUE(LEFT(B758,2))&lt;=9),"Adha Season","Normal"))</f>
        <v>Normal</v>
      </c>
      <c r="D758" s="1" t="s">
        <v>45</v>
      </c>
      <c r="E758" s="1" t="s">
        <v>528</v>
      </c>
      <c r="F758" s="4" t="s">
        <v>39</v>
      </c>
      <c r="G758" s="1">
        <v>21</v>
      </c>
      <c r="H758" s="1">
        <v>21</v>
      </c>
      <c r="I758" s="1">
        <f>grand[[#This Row],[number]]-grand[[#This Row],[received]]</f>
        <v>0</v>
      </c>
      <c r="J758" s="30"/>
      <c r="K758" s="2">
        <v>11678</v>
      </c>
      <c r="L758" s="2">
        <v>11070</v>
      </c>
      <c r="M758" s="2">
        <f>K758-L758</f>
        <v>608</v>
      </c>
      <c r="N758" s="2">
        <v>7529</v>
      </c>
      <c r="O758" s="2">
        <v>130</v>
      </c>
      <c r="P758" s="7">
        <f>grand[[#This Row],[total weight]]/grand[[#This Row],[received]]</f>
        <v>556.09523809523807</v>
      </c>
      <c r="Q758" s="7">
        <f>grand[[#This Row],[receiving weight]]/grand[[#This Row],[received]]</f>
        <v>527.14285714285711</v>
      </c>
      <c r="R758" s="7">
        <f>grand[[#This Row],[transportation loss ]]/grand[[#This Row],[received]]</f>
        <v>28.952380952380953</v>
      </c>
      <c r="S758" s="7">
        <f>grand[[#This Row],[ carcass weight]]/grand[[#This Row],[received]]</f>
        <v>358.52380952380952</v>
      </c>
      <c r="T758" s="7">
        <f>grand[[#This Row],[ kidneys fat quantity]]/grand[[#This Row],[received]]</f>
        <v>6.1904761904761907</v>
      </c>
      <c r="U758" s="1">
        <v>25</v>
      </c>
      <c r="V758" s="1">
        <v>0</v>
      </c>
      <c r="W758" s="1">
        <v>50</v>
      </c>
      <c r="X758" s="1">
        <v>10</v>
      </c>
      <c r="Y758" s="1">
        <v>8.5</v>
      </c>
      <c r="Z758" s="18">
        <f>grand[[#This Row],[av. Transportation loss]]/grand[[#This Row],[av.total weight]]</f>
        <v>5.2063709539304677E-2</v>
      </c>
      <c r="AA758" s="12">
        <f>AVERAGE((grand[[#This Row],[am]]/25),(grand[[#This Row],[pm]]/50))</f>
        <v>1</v>
      </c>
      <c r="AB758" s="3">
        <f>grand[[#This Row],[ carcass weight]]/grand[[#This Row],[total weight]]</f>
        <v>0.64471656105497521</v>
      </c>
      <c r="AC758" s="18">
        <f>SUM(grand[[#This Row],[am]:[meat transportation]])/100</f>
        <v>0.93500000000000005</v>
      </c>
      <c r="AK758" s="1"/>
      <c r="AL758" s="1"/>
    </row>
    <row r="759" spans="1:38" hidden="1" x14ac:dyDescent="0.2">
      <c r="A759" s="11">
        <v>45046</v>
      </c>
      <c r="B759" s="53" t="s">
        <v>1842</v>
      </c>
      <c r="C759" s="52" t="str">
        <f>IF(MID(B759,4,2)="09","Ramadan",IF(AND(MID(B759,4,2)="12",VALUE(LEFT(B759,2))&lt;=9),"Adha Season","Normal"))</f>
        <v>Normal</v>
      </c>
      <c r="D759" s="1" t="s">
        <v>45</v>
      </c>
      <c r="E759" s="1" t="s">
        <v>483</v>
      </c>
      <c r="F759" s="4" t="s">
        <v>46</v>
      </c>
      <c r="G759" s="1">
        <v>62</v>
      </c>
      <c r="H759" s="1">
        <v>62</v>
      </c>
      <c r="I759" s="1">
        <f>grand[[#This Row],[number]]-grand[[#This Row],[received]]</f>
        <v>0</v>
      </c>
      <c r="J759" s="30"/>
      <c r="K759" s="2">
        <v>28477</v>
      </c>
      <c r="L759" s="2">
        <v>26832</v>
      </c>
      <c r="M759" s="2">
        <f>K759-L759</f>
        <v>1645</v>
      </c>
      <c r="N759" s="2">
        <v>17084.900000000001</v>
      </c>
      <c r="O759" s="2">
        <v>525</v>
      </c>
      <c r="P759" s="7">
        <f>grand[[#This Row],[total weight]]/grand[[#This Row],[received]]</f>
        <v>459.30645161290323</v>
      </c>
      <c r="Q759" s="7">
        <f>grand[[#This Row],[receiving weight]]/grand[[#This Row],[received]]</f>
        <v>432.77419354838707</v>
      </c>
      <c r="R759" s="7">
        <f>grand[[#This Row],[transportation loss ]]/grand[[#This Row],[received]]</f>
        <v>26.532258064516128</v>
      </c>
      <c r="S759" s="7">
        <f>grand[[#This Row],[ carcass weight]]/grand[[#This Row],[received]]</f>
        <v>275.56290322580645</v>
      </c>
      <c r="T759" s="7">
        <f>grand[[#This Row],[ kidneys fat quantity]]/grand[[#This Row],[received]]</f>
        <v>8.4677419354838701</v>
      </c>
      <c r="U759" s="1">
        <v>24.91935483870968</v>
      </c>
      <c r="V759" s="1">
        <v>0</v>
      </c>
      <c r="W759" s="1">
        <v>48.725806451612904</v>
      </c>
      <c r="X759" s="1">
        <v>10</v>
      </c>
      <c r="Y759" s="1">
        <v>8.5</v>
      </c>
      <c r="Z759" s="18">
        <f>grand[[#This Row],[av. Transportation loss]]/grand[[#This Row],[av.total weight]]</f>
        <v>5.7765916353548476E-2</v>
      </c>
      <c r="AA759" s="12">
        <f>AVERAGE((grand[[#This Row],[am]]/25),(grand[[#This Row],[pm]]/50))</f>
        <v>0.98564516129032254</v>
      </c>
      <c r="AB759" s="3">
        <f>grand[[#This Row],[ carcass weight]]/grand[[#This Row],[total weight]]</f>
        <v>0.59995434912385437</v>
      </c>
      <c r="AC759" s="18">
        <f>SUM(grand[[#This Row],[am]:[meat transportation]])/100</f>
        <v>0.92145161290322586</v>
      </c>
      <c r="AJ759" s="1">
        <v>18</v>
      </c>
      <c r="AK759" s="1"/>
      <c r="AL759" s="1"/>
    </row>
    <row r="760" spans="1:38" hidden="1" x14ac:dyDescent="0.2">
      <c r="A760" s="11">
        <v>45050</v>
      </c>
      <c r="B760" s="53" t="s">
        <v>2789</v>
      </c>
      <c r="C760" s="52" t="str">
        <f>IF(MID(B760,4,2)="09","Ramadan",IF(AND(MID(B760,4,2)="12",VALUE(LEFT(B760,2))&lt;=9),"Adha Season","Normal"))</f>
        <v>Normal</v>
      </c>
      <c r="D760" s="1" t="s">
        <v>45</v>
      </c>
      <c r="E760" s="1" t="s">
        <v>483</v>
      </c>
      <c r="F760" s="4" t="s">
        <v>46</v>
      </c>
      <c r="G760" s="1">
        <v>63</v>
      </c>
      <c r="H760" s="1">
        <v>63</v>
      </c>
      <c r="I760" s="1">
        <f>grand[[#This Row],[number]]-grand[[#This Row],[received]]</f>
        <v>0</v>
      </c>
      <c r="J760" s="30"/>
      <c r="K760" s="2">
        <v>27954</v>
      </c>
      <c r="L760" s="2">
        <v>26525</v>
      </c>
      <c r="M760" s="2">
        <f>K760-L760</f>
        <v>1429</v>
      </c>
      <c r="N760" s="2">
        <v>16771.5</v>
      </c>
      <c r="O760" s="2">
        <v>595</v>
      </c>
      <c r="P760" s="7">
        <f>grand[[#This Row],[total weight]]/grand[[#This Row],[received]]</f>
        <v>443.71428571428572</v>
      </c>
      <c r="Q760" s="7">
        <f>grand[[#This Row],[receiving weight]]/grand[[#This Row],[received]]</f>
        <v>421.03174603174602</v>
      </c>
      <c r="R760" s="7">
        <f>grand[[#This Row],[transportation loss ]]/grand[[#This Row],[received]]</f>
        <v>22.682539682539684</v>
      </c>
      <c r="S760" s="7">
        <f>grand[[#This Row],[ carcass weight]]/grand[[#This Row],[received]]</f>
        <v>266.21428571428572</v>
      </c>
      <c r="T760" s="7">
        <f>grand[[#This Row],[ kidneys fat quantity]]/grand[[#This Row],[received]]</f>
        <v>9.4444444444444446</v>
      </c>
      <c r="U760" s="1">
        <v>25</v>
      </c>
      <c r="V760" s="1">
        <v>0</v>
      </c>
      <c r="W760" s="1">
        <v>49.587301587301582</v>
      </c>
      <c r="X760" s="1">
        <v>10</v>
      </c>
      <c r="Y760" s="1">
        <v>8.5</v>
      </c>
      <c r="Z760" s="18">
        <f>grand[[#This Row],[av. Transportation loss]]/grand[[#This Row],[av.total weight]]</f>
        <v>5.1119696644487372E-2</v>
      </c>
      <c r="AA760" s="12">
        <f>AVERAGE((grand[[#This Row],[am]]/25),(grand[[#This Row],[pm]]/50))</f>
        <v>0.9958730158730158</v>
      </c>
      <c r="AB760" s="3">
        <f>grand[[#This Row],[ carcass weight]]/grand[[#This Row],[total weight]]</f>
        <v>0.59996780424983898</v>
      </c>
      <c r="AC760" s="18">
        <f>SUM(grand[[#This Row],[am]:[meat transportation]])/100</f>
        <v>0.93087301587301585</v>
      </c>
      <c r="AJ760" s="1">
        <v>11</v>
      </c>
      <c r="AK760" s="1"/>
      <c r="AL760" s="1">
        <v>0</v>
      </c>
    </row>
    <row r="761" spans="1:38" hidden="1" x14ac:dyDescent="0.2">
      <c r="A761" s="11">
        <v>45050</v>
      </c>
      <c r="B761" s="53" t="s">
        <v>2789</v>
      </c>
      <c r="C761" s="52" t="str">
        <f>IF(MID(B761,4,2)="09","Ramadan",IF(AND(MID(B761,4,2)="12",VALUE(LEFT(B761,2))&lt;=9),"Adha Season","Normal"))</f>
        <v>Normal</v>
      </c>
      <c r="D761" s="1" t="s">
        <v>45</v>
      </c>
      <c r="E761" s="1" t="s">
        <v>483</v>
      </c>
      <c r="F761" s="4" t="s">
        <v>39</v>
      </c>
      <c r="G761" s="1">
        <v>16</v>
      </c>
      <c r="H761" s="1">
        <v>16</v>
      </c>
      <c r="I761" s="1">
        <f>grand[[#This Row],[number]]-grand[[#This Row],[received]]</f>
        <v>0</v>
      </c>
      <c r="J761" s="30"/>
      <c r="K761" s="2">
        <v>7096</v>
      </c>
      <c r="L761" s="2">
        <v>6770</v>
      </c>
      <c r="M761" s="2">
        <f>K761-L761</f>
        <v>326</v>
      </c>
      <c r="N761" s="2">
        <v>4358.7</v>
      </c>
      <c r="O761" s="2">
        <v>152</v>
      </c>
      <c r="P761" s="7">
        <f>grand[[#This Row],[total weight]]/grand[[#This Row],[received]]</f>
        <v>443.5</v>
      </c>
      <c r="Q761" s="7">
        <f>grand[[#This Row],[receiving weight]]/grand[[#This Row],[received]]</f>
        <v>423.125</v>
      </c>
      <c r="R761" s="7">
        <f>grand[[#This Row],[transportation loss ]]/grand[[#This Row],[received]]</f>
        <v>20.375</v>
      </c>
      <c r="S761" s="7">
        <f>grand[[#This Row],[ carcass weight]]/grand[[#This Row],[received]]</f>
        <v>272.41874999999999</v>
      </c>
      <c r="T761" s="7">
        <f>grand[[#This Row],[ kidneys fat quantity]]/grand[[#This Row],[received]]</f>
        <v>9.5</v>
      </c>
      <c r="U761" s="1">
        <v>25</v>
      </c>
      <c r="V761" s="1">
        <v>0</v>
      </c>
      <c r="W761" s="1">
        <v>49.5625</v>
      </c>
      <c r="X761" s="1">
        <v>9.6875</v>
      </c>
      <c r="Y761" s="1">
        <v>8.5</v>
      </c>
      <c r="Z761" s="18">
        <f>grand[[#This Row],[av. Transportation loss]]/grand[[#This Row],[av.total weight]]</f>
        <v>4.5941375422773392E-2</v>
      </c>
      <c r="AA761" s="12">
        <f>AVERAGE((grand[[#This Row],[am]]/25),(grand[[#This Row],[pm]]/50))</f>
        <v>0.99562499999999998</v>
      </c>
      <c r="AB761" s="3">
        <f>grand[[#This Row],[ carcass weight]]/grand[[#This Row],[total weight]]</f>
        <v>0.6142474633596392</v>
      </c>
      <c r="AC761" s="18">
        <f>SUM(grand[[#This Row],[am]:[meat transportation]])/100</f>
        <v>0.92749999999999999</v>
      </c>
      <c r="AJ761" s="1">
        <v>0</v>
      </c>
      <c r="AK761" s="1"/>
      <c r="AL761" s="1">
        <v>0</v>
      </c>
    </row>
    <row r="762" spans="1:38" hidden="1" x14ac:dyDescent="0.2">
      <c r="A762" s="11">
        <v>45052</v>
      </c>
      <c r="B762" s="53" t="s">
        <v>2790</v>
      </c>
      <c r="C762" s="52" t="str">
        <f>IF(MID(B762,4,2)="09","Ramadan",IF(AND(MID(B762,4,2)="12",VALUE(LEFT(B762,2))&lt;=9),"Adha Season","Normal"))</f>
        <v>Normal</v>
      </c>
      <c r="D762" s="1" t="s">
        <v>45</v>
      </c>
      <c r="E762" s="1" t="s">
        <v>483</v>
      </c>
      <c r="F762" s="4" t="s">
        <v>46</v>
      </c>
      <c r="G762" s="1">
        <v>24</v>
      </c>
      <c r="H762" s="1">
        <v>24</v>
      </c>
      <c r="I762" s="1">
        <f>grand[[#This Row],[number]]-grand[[#This Row],[received]]</f>
        <v>0</v>
      </c>
      <c r="J762" s="30"/>
      <c r="K762" s="2">
        <v>10350</v>
      </c>
      <c r="L762" s="2">
        <v>10095</v>
      </c>
      <c r="M762" s="2">
        <f>K762-L762</f>
        <v>255</v>
      </c>
      <c r="N762" s="2">
        <v>6209.6</v>
      </c>
      <c r="O762" s="2">
        <v>242</v>
      </c>
      <c r="P762" s="7">
        <f>grand[[#This Row],[total weight]]/grand[[#This Row],[received]]</f>
        <v>431.25</v>
      </c>
      <c r="Q762" s="7">
        <f>grand[[#This Row],[receiving weight]]/grand[[#This Row],[received]]</f>
        <v>420.625</v>
      </c>
      <c r="R762" s="7">
        <f>grand[[#This Row],[transportation loss ]]/grand[[#This Row],[received]]</f>
        <v>10.625</v>
      </c>
      <c r="S762" s="7">
        <f>grand[[#This Row],[ carcass weight]]/grand[[#This Row],[received]]</f>
        <v>258.73333333333335</v>
      </c>
      <c r="T762" s="7">
        <f>grand[[#This Row],[ kidneys fat quantity]]/grand[[#This Row],[received]]</f>
        <v>10.083333333333334</v>
      </c>
      <c r="U762" s="1">
        <v>25</v>
      </c>
      <c r="V762" s="1">
        <v>0</v>
      </c>
      <c r="W762" s="1">
        <v>49</v>
      </c>
      <c r="X762" s="1">
        <v>10</v>
      </c>
      <c r="Y762" s="1">
        <v>8.5</v>
      </c>
      <c r="Z762" s="18">
        <f>grand[[#This Row],[av. Transportation loss]]/grand[[#This Row],[av.total weight]]</f>
        <v>2.4637681159420291E-2</v>
      </c>
      <c r="AA762" s="12">
        <f>AVERAGE((grand[[#This Row],[am]]/25),(grand[[#This Row],[pm]]/50))</f>
        <v>0.99</v>
      </c>
      <c r="AB762" s="3">
        <f>grand[[#This Row],[ carcass weight]]/grand[[#This Row],[total weight]]</f>
        <v>0.5999613526570049</v>
      </c>
      <c r="AC762" s="18">
        <f>SUM(grand[[#This Row],[am]:[meat transportation]])/100</f>
        <v>0.92500000000000004</v>
      </c>
      <c r="AJ762" s="1">
        <v>8</v>
      </c>
      <c r="AK762" s="1"/>
      <c r="AL762" s="1">
        <v>3</v>
      </c>
    </row>
    <row r="763" spans="1:38" hidden="1" x14ac:dyDescent="0.2">
      <c r="A763" s="11">
        <v>45053</v>
      </c>
      <c r="B763" s="53" t="s">
        <v>1843</v>
      </c>
      <c r="C763" s="52" t="str">
        <f>IF(MID(B763,4,2)="09","Ramadan",IF(AND(MID(B763,4,2)="12",VALUE(LEFT(B763,2))&lt;=9),"Adha Season","Normal"))</f>
        <v>Normal</v>
      </c>
      <c r="D763" s="1" t="s">
        <v>45</v>
      </c>
      <c r="E763" s="1" t="s">
        <v>483</v>
      </c>
      <c r="F763" s="4" t="s">
        <v>550</v>
      </c>
      <c r="G763" s="1">
        <v>9</v>
      </c>
      <c r="H763" s="1">
        <v>9</v>
      </c>
      <c r="I763" s="1">
        <f>grand[[#This Row],[number]]-grand[[#This Row],[received]]</f>
        <v>0</v>
      </c>
      <c r="J763" s="30"/>
      <c r="K763" s="2">
        <v>3523</v>
      </c>
      <c r="L763" s="2">
        <v>3480</v>
      </c>
      <c r="M763" s="2">
        <f>K763-L763</f>
        <v>43</v>
      </c>
      <c r="N763" s="2">
        <v>2114.1</v>
      </c>
      <c r="O763" s="2">
        <v>43</v>
      </c>
      <c r="P763" s="7">
        <f>grand[[#This Row],[total weight]]/grand[[#This Row],[received]]</f>
        <v>391.44444444444446</v>
      </c>
      <c r="Q763" s="7">
        <f>grand[[#This Row],[receiving weight]]/grand[[#This Row],[received]]</f>
        <v>386.66666666666669</v>
      </c>
      <c r="R763" s="7">
        <f>grand[[#This Row],[transportation loss ]]/grand[[#This Row],[received]]</f>
        <v>4.7777777777777777</v>
      </c>
      <c r="S763" s="7">
        <f>grand[[#This Row],[ carcass weight]]/grand[[#This Row],[received]]</f>
        <v>234.89999999999998</v>
      </c>
      <c r="T763" s="7">
        <f>grand[[#This Row],[ kidneys fat quantity]]/grand[[#This Row],[received]]</f>
        <v>4.7777777777777777</v>
      </c>
      <c r="U763" s="1">
        <v>25</v>
      </c>
      <c r="V763" s="1">
        <v>0</v>
      </c>
      <c r="W763" s="1">
        <v>50</v>
      </c>
      <c r="X763" s="1">
        <v>10</v>
      </c>
      <c r="Y763" s="1">
        <v>8.5</v>
      </c>
      <c r="Z763" s="18">
        <f>grand[[#This Row],[av. Transportation loss]]/grand[[#This Row],[av.total weight]]</f>
        <v>1.2205506670451319E-2</v>
      </c>
      <c r="AA763" s="12">
        <f>AVERAGE((grand[[#This Row],[am]]/25),(grand[[#This Row],[pm]]/50))</f>
        <v>1</v>
      </c>
      <c r="AB763" s="3">
        <f>grand[[#This Row],[ carcass weight]]/grand[[#This Row],[total weight]]</f>
        <v>0.60008515469770085</v>
      </c>
      <c r="AC763" s="18">
        <f>SUM(grand[[#This Row],[am]:[meat transportation]])/100</f>
        <v>0.93500000000000005</v>
      </c>
      <c r="AJ763" s="1">
        <v>6</v>
      </c>
      <c r="AK763" s="1"/>
      <c r="AL763" s="1">
        <v>0</v>
      </c>
    </row>
    <row r="764" spans="1:38" hidden="1" x14ac:dyDescent="0.2">
      <c r="A764" s="11">
        <v>45053</v>
      </c>
      <c r="B764" s="53" t="s">
        <v>1843</v>
      </c>
      <c r="C764" s="52" t="str">
        <f>IF(MID(B764,4,2)="09","Ramadan",IF(AND(MID(B764,4,2)="12",VALUE(LEFT(B764,2))&lt;=9),"Adha Season","Normal"))</f>
        <v>Normal</v>
      </c>
      <c r="D764" s="1" t="s">
        <v>45</v>
      </c>
      <c r="E764" s="1" t="s">
        <v>483</v>
      </c>
      <c r="F764" s="4" t="s">
        <v>280</v>
      </c>
      <c r="G764" s="1">
        <v>48</v>
      </c>
      <c r="H764" s="1">
        <v>48</v>
      </c>
      <c r="I764" s="1">
        <f>grand[[#This Row],[number]]-grand[[#This Row],[received]]</f>
        <v>0</v>
      </c>
      <c r="J764" s="30"/>
      <c r="K764" s="2">
        <v>24901</v>
      </c>
      <c r="L764" s="2">
        <v>23855</v>
      </c>
      <c r="M764" s="2">
        <f>K764-L764</f>
        <v>1046</v>
      </c>
      <c r="N764" s="2">
        <v>15082.5</v>
      </c>
      <c r="O764" s="2">
        <v>520</v>
      </c>
      <c r="P764" s="7">
        <f>grand[[#This Row],[total weight]]/grand[[#This Row],[received]]</f>
        <v>518.77083333333337</v>
      </c>
      <c r="Q764" s="7">
        <f>grand[[#This Row],[receiving weight]]/grand[[#This Row],[received]]</f>
        <v>496.97916666666669</v>
      </c>
      <c r="R764" s="7">
        <f>grand[[#This Row],[transportation loss ]]/grand[[#This Row],[received]]</f>
        <v>21.791666666666668</v>
      </c>
      <c r="S764" s="7">
        <f>grand[[#This Row],[ carcass weight]]/grand[[#This Row],[received]]</f>
        <v>314.21875</v>
      </c>
      <c r="T764" s="7">
        <f>grand[[#This Row],[ kidneys fat quantity]]/grand[[#This Row],[received]]</f>
        <v>10.833333333333334</v>
      </c>
      <c r="U764" s="1">
        <v>24.6875</v>
      </c>
      <c r="V764" s="1">
        <v>0</v>
      </c>
      <c r="W764" s="1">
        <v>48.75</v>
      </c>
      <c r="X764" s="1">
        <v>10</v>
      </c>
      <c r="Y764" s="1">
        <v>8.5</v>
      </c>
      <c r="Z764" s="18">
        <f>grand[[#This Row],[av. Transportation loss]]/grand[[#This Row],[av.total weight]]</f>
        <v>4.200634512670174E-2</v>
      </c>
      <c r="AA764" s="12">
        <f>AVERAGE((grand[[#This Row],[am]]/25),(grand[[#This Row],[pm]]/50))</f>
        <v>0.98124999999999996</v>
      </c>
      <c r="AB764" s="3">
        <f>grand[[#This Row],[ carcass weight]]/grand[[#This Row],[total weight]]</f>
        <v>0.60569856632263763</v>
      </c>
      <c r="AC764" s="18">
        <f>SUM(grand[[#This Row],[am]:[meat transportation]])/100</f>
        <v>0.91937500000000005</v>
      </c>
      <c r="AJ764" s="1">
        <v>20</v>
      </c>
      <c r="AK764" s="1"/>
      <c r="AL764" s="1">
        <v>18</v>
      </c>
    </row>
    <row r="765" spans="1:38" hidden="1" x14ac:dyDescent="0.2">
      <c r="A765" s="11">
        <v>45055</v>
      </c>
      <c r="B765" s="53" t="s">
        <v>2791</v>
      </c>
      <c r="C765" s="52" t="str">
        <f>IF(MID(B765,4,2)="09","Ramadan",IF(AND(MID(B765,4,2)="12",VALUE(LEFT(B765,2))&lt;=9),"Adha Season","Normal"))</f>
        <v>Normal</v>
      </c>
      <c r="D765" s="1" t="s">
        <v>45</v>
      </c>
      <c r="E765" s="1" t="s">
        <v>483</v>
      </c>
      <c r="F765" s="4" t="s">
        <v>46</v>
      </c>
      <c r="G765" s="1">
        <v>36</v>
      </c>
      <c r="H765" s="1">
        <v>36</v>
      </c>
      <c r="I765" s="1">
        <f>grand[[#This Row],[number]]-grand[[#This Row],[received]]</f>
        <v>0</v>
      </c>
      <c r="J765" s="30"/>
      <c r="K765" s="2">
        <v>15547</v>
      </c>
      <c r="L765" s="2">
        <v>14745</v>
      </c>
      <c r="M765" s="2">
        <f>K765-L765</f>
        <v>802</v>
      </c>
      <c r="N765" s="2">
        <v>9327.9</v>
      </c>
      <c r="O765" s="2">
        <v>238</v>
      </c>
      <c r="P765" s="7">
        <f>grand[[#This Row],[total weight]]/grand[[#This Row],[received]]</f>
        <v>431.86111111111109</v>
      </c>
      <c r="Q765" s="7">
        <f>grand[[#This Row],[receiving weight]]/grand[[#This Row],[received]]</f>
        <v>409.58333333333331</v>
      </c>
      <c r="R765" s="7">
        <f>grand[[#This Row],[transportation loss ]]/grand[[#This Row],[received]]</f>
        <v>22.277777777777779</v>
      </c>
      <c r="S765" s="7">
        <f>grand[[#This Row],[ carcass weight]]/grand[[#This Row],[received]]</f>
        <v>259.10833333333335</v>
      </c>
      <c r="T765" s="7">
        <f>grand[[#This Row],[ kidneys fat quantity]]/grand[[#This Row],[received]]</f>
        <v>6.6111111111111107</v>
      </c>
      <c r="U765" s="1">
        <v>24.166666666666668</v>
      </c>
      <c r="V765" s="1">
        <v>0</v>
      </c>
      <c r="W765" s="1">
        <v>49</v>
      </c>
      <c r="X765" s="1">
        <v>10</v>
      </c>
      <c r="Y765" s="1">
        <v>8.5</v>
      </c>
      <c r="Z765" s="18">
        <f>grand[[#This Row],[av. Transportation loss]]/grand[[#This Row],[av.total weight]]</f>
        <v>5.1585514890332543E-2</v>
      </c>
      <c r="AA765" s="12">
        <f>AVERAGE((grand[[#This Row],[am]]/25),(grand[[#This Row],[pm]]/50))</f>
        <v>0.97333333333333338</v>
      </c>
      <c r="AB765" s="3">
        <f>grand[[#This Row],[ carcass weight]]/grand[[#This Row],[total weight]]</f>
        <v>0.59998070367273426</v>
      </c>
      <c r="AC765" s="18">
        <f>SUM(grand[[#This Row],[am]:[meat transportation]])/100</f>
        <v>0.91666666666666674</v>
      </c>
      <c r="AJ765" s="1">
        <v>11</v>
      </c>
      <c r="AK765" s="1"/>
      <c r="AL765" s="1">
        <v>13</v>
      </c>
    </row>
    <row r="766" spans="1:38" hidden="1" x14ac:dyDescent="0.2">
      <c r="A766" s="11">
        <v>45057</v>
      </c>
      <c r="B766" s="53" t="s">
        <v>2792</v>
      </c>
      <c r="C766" s="52" t="str">
        <f>IF(MID(B766,4,2)="09","Ramadan",IF(AND(MID(B766,4,2)="12",VALUE(LEFT(B766,2))&lt;=9),"Adha Season","Normal"))</f>
        <v>Normal</v>
      </c>
      <c r="D766" s="1" t="s">
        <v>45</v>
      </c>
      <c r="E766" s="1" t="s">
        <v>483</v>
      </c>
      <c r="F766" s="4" t="s">
        <v>280</v>
      </c>
      <c r="G766" s="1">
        <v>18</v>
      </c>
      <c r="H766" s="1">
        <v>18</v>
      </c>
      <c r="I766" s="1">
        <f>grand[[#This Row],[number]]-grand[[#This Row],[received]]</f>
        <v>0</v>
      </c>
      <c r="J766" s="30"/>
      <c r="K766" s="2">
        <v>9505</v>
      </c>
      <c r="L766" s="2">
        <v>9505</v>
      </c>
      <c r="M766" s="2">
        <f>K766-L766</f>
        <v>0</v>
      </c>
      <c r="N766" s="2">
        <v>5744.5</v>
      </c>
      <c r="O766" s="2">
        <v>193</v>
      </c>
      <c r="P766" s="7">
        <f>grand[[#This Row],[total weight]]/grand[[#This Row],[received]]</f>
        <v>528.05555555555554</v>
      </c>
      <c r="Q766" s="7">
        <f>grand[[#This Row],[receiving weight]]/grand[[#This Row],[received]]</f>
        <v>528.05555555555554</v>
      </c>
      <c r="R766" s="7">
        <f>grand[[#This Row],[transportation loss ]]/grand[[#This Row],[received]]</f>
        <v>0</v>
      </c>
      <c r="S766" s="7">
        <f>grand[[#This Row],[ carcass weight]]/grand[[#This Row],[received]]</f>
        <v>319.13888888888891</v>
      </c>
      <c r="T766" s="7">
        <f>grand[[#This Row],[ kidneys fat quantity]]/grand[[#This Row],[received]]</f>
        <v>10.722222222222221</v>
      </c>
      <c r="U766" s="1">
        <v>24.166666666666668</v>
      </c>
      <c r="V766" s="1">
        <v>0</v>
      </c>
      <c r="W766" s="1">
        <v>50</v>
      </c>
      <c r="X766" s="1">
        <v>10</v>
      </c>
      <c r="Y766" s="1">
        <v>8.5</v>
      </c>
      <c r="Z766" s="18">
        <f>grand[[#This Row],[av. Transportation loss]]/grand[[#This Row],[av.total weight]]</f>
        <v>0</v>
      </c>
      <c r="AA766" s="12">
        <f>AVERAGE((grand[[#This Row],[am]]/25),(grand[[#This Row],[pm]]/50))</f>
        <v>0.98333333333333339</v>
      </c>
      <c r="AB766" s="3">
        <f>grand[[#This Row],[ carcass weight]]/grand[[#This Row],[total weight]]</f>
        <v>0.60436612309310889</v>
      </c>
      <c r="AC766" s="18">
        <f>SUM(grand[[#This Row],[am]:[meat transportation]])/100</f>
        <v>0.92666666666666675</v>
      </c>
      <c r="AJ766" s="1">
        <v>6</v>
      </c>
      <c r="AK766" s="1"/>
      <c r="AL766" s="1">
        <v>0</v>
      </c>
    </row>
    <row r="767" spans="1:38" hidden="1" x14ac:dyDescent="0.2">
      <c r="A767" s="11">
        <v>45062</v>
      </c>
      <c r="B767" s="53" t="s">
        <v>2794</v>
      </c>
      <c r="C767" s="52" t="str">
        <f>IF(MID(B767,4,2)="09","Ramadan",IF(AND(MID(B767,4,2)="12",VALUE(LEFT(B767,2))&lt;=9),"Adha Season","Normal"))</f>
        <v>Normal</v>
      </c>
      <c r="D767" s="1" t="s">
        <v>45</v>
      </c>
      <c r="E767" s="1" t="s">
        <v>483</v>
      </c>
      <c r="F767" s="4" t="s">
        <v>280</v>
      </c>
      <c r="G767" s="1">
        <v>53</v>
      </c>
      <c r="H767" s="1">
        <v>53</v>
      </c>
      <c r="I767" s="1">
        <f>grand[[#This Row],[number]]-grand[[#This Row],[received]]</f>
        <v>0</v>
      </c>
      <c r="J767" s="30"/>
      <c r="K767" s="2">
        <v>25970</v>
      </c>
      <c r="L767" s="2">
        <v>25180</v>
      </c>
      <c r="M767" s="2">
        <f>K767-L767</f>
        <v>790</v>
      </c>
      <c r="N767" s="2">
        <v>15583</v>
      </c>
      <c r="O767" s="2">
        <v>504</v>
      </c>
      <c r="P767" s="7">
        <f>grand[[#This Row],[total weight]]/grand[[#This Row],[received]]</f>
        <v>490</v>
      </c>
      <c r="Q767" s="7">
        <f>grand[[#This Row],[receiving weight]]/grand[[#This Row],[received]]</f>
        <v>475.09433962264148</v>
      </c>
      <c r="R767" s="7">
        <f>grand[[#This Row],[transportation loss ]]/grand[[#This Row],[received]]</f>
        <v>14.90566037735849</v>
      </c>
      <c r="S767" s="7">
        <f>grand[[#This Row],[ carcass weight]]/grand[[#This Row],[received]]</f>
        <v>294.01886792452831</v>
      </c>
      <c r="T767" s="7">
        <f>grand[[#This Row],[ kidneys fat quantity]]/grand[[#This Row],[received]]</f>
        <v>9.5094339622641506</v>
      </c>
      <c r="U767" s="1">
        <v>24.528301886792452</v>
      </c>
      <c r="V767" s="1">
        <v>0</v>
      </c>
      <c r="W767" s="1">
        <v>49.39622641509434</v>
      </c>
      <c r="X767" s="1">
        <v>10</v>
      </c>
      <c r="Y767" s="1">
        <v>8.5</v>
      </c>
      <c r="Z767" s="18">
        <f>grand[[#This Row],[av. Transportation loss]]/grand[[#This Row],[av.total weight]]</f>
        <v>3.0419715055833654E-2</v>
      </c>
      <c r="AA767" s="12">
        <f>AVERAGE((grand[[#This Row],[am]]/25),(grand[[#This Row],[pm]]/50))</f>
        <v>0.98452830188679252</v>
      </c>
      <c r="AB767" s="3">
        <f>grand[[#This Row],[ carcass weight]]/grand[[#This Row],[total weight]]</f>
        <v>0.60003850596842512</v>
      </c>
      <c r="AC767" s="18">
        <f>SUM(grand[[#This Row],[am]:[meat transportation]])/100</f>
        <v>0.92424528301886799</v>
      </c>
      <c r="AJ767" s="1">
        <v>16</v>
      </c>
      <c r="AK767" s="1"/>
      <c r="AL767" s="1">
        <v>14</v>
      </c>
    </row>
    <row r="768" spans="1:38" hidden="1" x14ac:dyDescent="0.2">
      <c r="A768" s="11">
        <v>45069</v>
      </c>
      <c r="B768" s="53" t="s">
        <v>2797</v>
      </c>
      <c r="C768" s="52" t="str">
        <f>IF(MID(B768,4,2)="09","Ramadan",IF(AND(MID(B768,4,2)="12",VALUE(LEFT(B768,2))&lt;=9),"Adha Season","Normal"))</f>
        <v>Normal</v>
      </c>
      <c r="D768" s="1" t="s">
        <v>45</v>
      </c>
      <c r="E768" s="1" t="s">
        <v>483</v>
      </c>
      <c r="F768" s="4" t="s">
        <v>46</v>
      </c>
      <c r="G768" s="1">
        <v>44</v>
      </c>
      <c r="H768" s="1">
        <v>44</v>
      </c>
      <c r="I768" s="1">
        <f>grand[[#This Row],[number]]-grand[[#This Row],[received]]</f>
        <v>0</v>
      </c>
      <c r="J768" s="30"/>
      <c r="K768" s="2">
        <v>19617</v>
      </c>
      <c r="L768" s="2">
        <v>19035</v>
      </c>
      <c r="M768" s="2">
        <f>K768-L768</f>
        <v>582</v>
      </c>
      <c r="N768" s="2">
        <v>11769.5</v>
      </c>
      <c r="O768" s="2">
        <v>267</v>
      </c>
      <c r="P768" s="7">
        <f>grand[[#This Row],[total weight]]/grand[[#This Row],[received]]</f>
        <v>445.84090909090907</v>
      </c>
      <c r="Q768" s="7">
        <f>grand[[#This Row],[receiving weight]]/grand[[#This Row],[received]]</f>
        <v>432.61363636363637</v>
      </c>
      <c r="R768" s="7">
        <f>grand[[#This Row],[transportation loss ]]/grand[[#This Row],[received]]</f>
        <v>13.227272727272727</v>
      </c>
      <c r="S768" s="7">
        <f>grand[[#This Row],[ carcass weight]]/grand[[#This Row],[received]]</f>
        <v>267.48863636363637</v>
      </c>
      <c r="T768" s="7">
        <f>grand[[#This Row],[ kidneys fat quantity]]/grand[[#This Row],[received]]</f>
        <v>6.0681818181818183</v>
      </c>
      <c r="U768" s="1">
        <v>24.886363636363637</v>
      </c>
      <c r="V768" s="1">
        <v>0</v>
      </c>
      <c r="W768" s="1">
        <v>48.409090909090907</v>
      </c>
      <c r="X768" s="1">
        <v>10</v>
      </c>
      <c r="Y768" s="1">
        <v>8.5</v>
      </c>
      <c r="Z768" s="18">
        <f>grand[[#This Row],[av. Transportation loss]]/grand[[#This Row],[av.total weight]]</f>
        <v>2.9668144976296069E-2</v>
      </c>
      <c r="AA768" s="12">
        <f>AVERAGE((grand[[#This Row],[am]]/25),(grand[[#This Row],[pm]]/50))</f>
        <v>0.98181818181818181</v>
      </c>
      <c r="AB768" s="3">
        <f>grand[[#This Row],[ carcass weight]]/grand[[#This Row],[total weight]]</f>
        <v>0.59996431666411787</v>
      </c>
      <c r="AC768" s="18">
        <f>SUM(grand[[#This Row],[am]:[meat transportation]])/100</f>
        <v>0.91795454545454547</v>
      </c>
      <c r="AJ768" s="1">
        <v>21</v>
      </c>
      <c r="AK768" s="1"/>
      <c r="AL768" s="1">
        <v>0</v>
      </c>
    </row>
    <row r="769" spans="1:38" hidden="1" x14ac:dyDescent="0.2">
      <c r="A769" s="11">
        <v>45071</v>
      </c>
      <c r="B769" s="53" t="s">
        <v>2798</v>
      </c>
      <c r="C769" s="52" t="str">
        <f>IF(MID(B769,4,2)="09","Ramadan",IF(AND(MID(B769,4,2)="12",VALUE(LEFT(B769,2))&lt;=9),"Adha Season","Normal"))</f>
        <v>Normal</v>
      </c>
      <c r="D769" s="1" t="s">
        <v>45</v>
      </c>
      <c r="E769" s="1" t="s">
        <v>528</v>
      </c>
      <c r="F769" s="4" t="s">
        <v>39</v>
      </c>
      <c r="G769" s="1">
        <v>48</v>
      </c>
      <c r="H769" s="1">
        <v>48</v>
      </c>
      <c r="I769" s="1">
        <f>grand[[#This Row],[number]]-grand[[#This Row],[received]]</f>
        <v>0</v>
      </c>
      <c r="J769" s="30"/>
      <c r="K769" s="2">
        <v>25075</v>
      </c>
      <c r="L769" s="2">
        <v>23836</v>
      </c>
      <c r="M769" s="2">
        <f>K769-L769</f>
        <v>1239</v>
      </c>
      <c r="N769" s="2">
        <v>15493.5</v>
      </c>
      <c r="O769" s="2">
        <v>267</v>
      </c>
      <c r="P769" s="7">
        <f>grand[[#This Row],[total weight]]/grand[[#This Row],[received]]</f>
        <v>522.39583333333337</v>
      </c>
      <c r="Q769" s="7">
        <f>grand[[#This Row],[receiving weight]]/grand[[#This Row],[received]]</f>
        <v>496.58333333333331</v>
      </c>
      <c r="R769" s="7">
        <f>grand[[#This Row],[transportation loss ]]/grand[[#This Row],[received]]</f>
        <v>25.8125</v>
      </c>
      <c r="S769" s="7">
        <f>grand[[#This Row],[ carcass weight]]/grand[[#This Row],[received]]</f>
        <v>322.78125</v>
      </c>
      <c r="T769" s="7">
        <f>grand[[#This Row],[ kidneys fat quantity]]/grand[[#This Row],[received]]</f>
        <v>5.5625</v>
      </c>
      <c r="U769" s="1">
        <v>25</v>
      </c>
      <c r="V769" s="1">
        <v>0</v>
      </c>
      <c r="W769" s="1">
        <v>48.979166666666664</v>
      </c>
      <c r="X769" s="1">
        <v>10</v>
      </c>
      <c r="Y769" s="1">
        <v>8.5</v>
      </c>
      <c r="Z769" s="18">
        <f>grand[[#This Row],[av. Transportation loss]]/grand[[#This Row],[av.total weight]]</f>
        <v>4.9411764705882349E-2</v>
      </c>
      <c r="AA769" s="12">
        <f>AVERAGE((grand[[#This Row],[am]]/25),(grand[[#This Row],[pm]]/50))</f>
        <v>0.98979166666666663</v>
      </c>
      <c r="AB769" s="3">
        <f>grand[[#This Row],[ carcass weight]]/grand[[#This Row],[total weight]]</f>
        <v>0.61788634097706885</v>
      </c>
      <c r="AC769" s="18">
        <f>SUM(grand[[#This Row],[am]:[meat transportation]])/100</f>
        <v>0.92479166666666657</v>
      </c>
      <c r="AJ769" s="1">
        <v>0</v>
      </c>
      <c r="AK769" s="1"/>
      <c r="AL769" s="1">
        <v>25</v>
      </c>
    </row>
    <row r="770" spans="1:38" hidden="1" x14ac:dyDescent="0.2">
      <c r="A770" s="11">
        <v>45076</v>
      </c>
      <c r="B770" s="53" t="s">
        <v>2800</v>
      </c>
      <c r="C770" s="52" t="str">
        <f>IF(MID(B770,4,2)="09","Ramadan",IF(AND(MID(B770,4,2)="12",VALUE(LEFT(B770,2))&lt;=9),"Adha Season","Normal"))</f>
        <v>Normal</v>
      </c>
      <c r="D770" s="1" t="s">
        <v>45</v>
      </c>
      <c r="E770" s="1" t="s">
        <v>528</v>
      </c>
      <c r="F770" s="4" t="s">
        <v>39</v>
      </c>
      <c r="G770" s="1">
        <v>60</v>
      </c>
      <c r="H770" s="1">
        <v>60</v>
      </c>
      <c r="I770" s="1">
        <f>grand[[#This Row],[number]]-grand[[#This Row],[received]]</f>
        <v>0</v>
      </c>
      <c r="J770" s="30"/>
      <c r="K770" s="2">
        <v>31319</v>
      </c>
      <c r="L770" s="2">
        <v>30015</v>
      </c>
      <c r="M770" s="2">
        <f>K770-L770</f>
        <v>1304</v>
      </c>
      <c r="N770" s="2">
        <v>19168.900000000001</v>
      </c>
      <c r="O770" s="2">
        <v>521</v>
      </c>
      <c r="P770" s="7">
        <f>grand[[#This Row],[total weight]]/grand[[#This Row],[received]]</f>
        <v>521.98333333333335</v>
      </c>
      <c r="Q770" s="7">
        <f>grand[[#This Row],[receiving weight]]/grand[[#This Row],[received]]</f>
        <v>500.25</v>
      </c>
      <c r="R770" s="7">
        <f>grand[[#This Row],[transportation loss ]]/grand[[#This Row],[received]]</f>
        <v>21.733333333333334</v>
      </c>
      <c r="S770" s="7">
        <f>grand[[#This Row],[ carcass weight]]/grand[[#This Row],[received]]</f>
        <v>319.48166666666668</v>
      </c>
      <c r="T770" s="7">
        <f>grand[[#This Row],[ kidneys fat quantity]]/grand[[#This Row],[received]]</f>
        <v>8.6833333333333336</v>
      </c>
      <c r="U770" s="1">
        <v>25</v>
      </c>
      <c r="V770" s="1">
        <v>0</v>
      </c>
      <c r="W770" s="1">
        <v>49.083333333333329</v>
      </c>
      <c r="X770" s="1">
        <v>10</v>
      </c>
      <c r="Y770" s="1">
        <v>8.5</v>
      </c>
      <c r="Z770" s="18">
        <f>grand[[#This Row],[av. Transportation loss]]/grand[[#This Row],[av.total weight]]</f>
        <v>4.1636067562821288E-2</v>
      </c>
      <c r="AA770" s="12">
        <f>AVERAGE((grand[[#This Row],[am]]/25),(grand[[#This Row],[pm]]/50))</f>
        <v>0.99083333333333323</v>
      </c>
      <c r="AB770" s="3">
        <f>grand[[#This Row],[ carcass weight]]/grand[[#This Row],[total weight]]</f>
        <v>0.61205338612343951</v>
      </c>
      <c r="AC770" s="18">
        <f>SUM(grand[[#This Row],[am]:[meat transportation]])/100</f>
        <v>0.92583333333333329</v>
      </c>
      <c r="AJ770" s="1">
        <v>0</v>
      </c>
      <c r="AK770" s="1"/>
      <c r="AL770" s="1">
        <v>20</v>
      </c>
    </row>
    <row r="771" spans="1:38" hidden="1" x14ac:dyDescent="0.2">
      <c r="A771" s="11">
        <v>45078</v>
      </c>
      <c r="B771" s="53" t="s">
        <v>2801</v>
      </c>
      <c r="C771" s="52" t="str">
        <f>IF(MID(B771,4,2)="09","Ramadan",IF(AND(MID(B771,4,2)="12",VALUE(LEFT(B771,2))&lt;=9),"Adha Season","Normal"))</f>
        <v>Normal</v>
      </c>
      <c r="D771" s="1" t="s">
        <v>45</v>
      </c>
      <c r="E771" s="1" t="s">
        <v>528</v>
      </c>
      <c r="F771" s="4" t="s">
        <v>46</v>
      </c>
      <c r="G771" s="1">
        <v>61</v>
      </c>
      <c r="H771" s="1">
        <v>61</v>
      </c>
      <c r="I771" s="1">
        <f>grand[[#This Row],[number]]-grand[[#This Row],[received]]</f>
        <v>0</v>
      </c>
      <c r="J771" s="30"/>
      <c r="K771" s="2">
        <v>41550</v>
      </c>
      <c r="L771" s="2">
        <v>39550</v>
      </c>
      <c r="M771" s="2">
        <f>K771-L771</f>
        <v>2000</v>
      </c>
      <c r="N771" s="2">
        <v>25159.3</v>
      </c>
      <c r="O771" s="2">
        <v>688</v>
      </c>
      <c r="P771" s="7">
        <f>grand[[#This Row],[total weight]]/grand[[#This Row],[received]]</f>
        <v>681.14754098360652</v>
      </c>
      <c r="Q771" s="7">
        <f>grand[[#This Row],[receiving weight]]/grand[[#This Row],[received]]</f>
        <v>648.36065573770497</v>
      </c>
      <c r="R771" s="7">
        <f>grand[[#This Row],[transportation loss ]]/grand[[#This Row],[received]]</f>
        <v>32.786885245901637</v>
      </c>
      <c r="S771" s="7">
        <f>grand[[#This Row],[ carcass weight]]/grand[[#This Row],[received]]</f>
        <v>412.44754098360653</v>
      </c>
      <c r="T771" s="7">
        <f>grand[[#This Row],[ kidneys fat quantity]]/grand[[#This Row],[received]]</f>
        <v>11.278688524590164</v>
      </c>
      <c r="U771" s="1">
        <v>25</v>
      </c>
      <c r="V771" s="1">
        <v>0</v>
      </c>
      <c r="W771" s="1">
        <v>48.352459016393439</v>
      </c>
      <c r="X771" s="1">
        <v>10</v>
      </c>
      <c r="Y771" s="1">
        <v>8.5</v>
      </c>
      <c r="Z771" s="18">
        <f>grand[[#This Row],[av. Transportation loss]]/grand[[#This Row],[av.total weight]]</f>
        <v>4.8134777376654635E-2</v>
      </c>
      <c r="AA771" s="12">
        <f>AVERAGE((grand[[#This Row],[am]]/25),(grand[[#This Row],[pm]]/50))</f>
        <v>0.98352459016393445</v>
      </c>
      <c r="AB771" s="3">
        <f>grand[[#This Row],[ carcass weight]]/grand[[#This Row],[total weight]]</f>
        <v>0.60551865222623347</v>
      </c>
      <c r="AC771" s="18">
        <f>SUM(grand[[#This Row],[am]:[meat transportation]])/100</f>
        <v>0.9185245901639344</v>
      </c>
      <c r="AJ771" s="1">
        <v>43</v>
      </c>
      <c r="AK771" s="1"/>
      <c r="AL771" s="1"/>
    </row>
    <row r="772" spans="1:38" hidden="1" x14ac:dyDescent="0.2">
      <c r="A772" s="11">
        <v>45081</v>
      </c>
      <c r="B772" s="53" t="s">
        <v>2802</v>
      </c>
      <c r="C772" s="52" t="str">
        <f>IF(MID(B772,4,2)="09","Ramadan",IF(AND(MID(B772,4,2)="12",VALUE(LEFT(B772,2))&lt;=9),"Adha Season","Normal"))</f>
        <v>Normal</v>
      </c>
      <c r="D772" s="1" t="s">
        <v>45</v>
      </c>
      <c r="E772" s="1" t="s">
        <v>483</v>
      </c>
      <c r="F772" s="4" t="s">
        <v>280</v>
      </c>
      <c r="G772" s="1">
        <v>48</v>
      </c>
      <c r="H772" s="1">
        <v>48</v>
      </c>
      <c r="I772" s="1">
        <f>grand[[#This Row],[number]]-grand[[#This Row],[received]]</f>
        <v>0</v>
      </c>
      <c r="J772" s="30"/>
      <c r="K772" s="2">
        <v>22669</v>
      </c>
      <c r="L772" s="2">
        <v>22500</v>
      </c>
      <c r="M772" s="2">
        <f>K772-L772</f>
        <v>169</v>
      </c>
      <c r="N772" s="2">
        <v>13600.7</v>
      </c>
      <c r="O772" s="2">
        <v>424</v>
      </c>
      <c r="P772" s="7">
        <f>grand[[#This Row],[total weight]]/grand[[#This Row],[received]]</f>
        <v>472.27083333333331</v>
      </c>
      <c r="Q772" s="7">
        <f>grand[[#This Row],[receiving weight]]/grand[[#This Row],[received]]</f>
        <v>468.75</v>
      </c>
      <c r="R772" s="7">
        <f>grand[[#This Row],[transportation loss ]]/grand[[#This Row],[received]]</f>
        <v>3.5208333333333335</v>
      </c>
      <c r="S772" s="7">
        <f>grand[[#This Row],[ carcass weight]]/grand[[#This Row],[received]]</f>
        <v>283.34791666666666</v>
      </c>
      <c r="T772" s="7">
        <f>grand[[#This Row],[ kidneys fat quantity]]/grand[[#This Row],[received]]</f>
        <v>8.8333333333333339</v>
      </c>
      <c r="U772" s="1">
        <v>24.0625</v>
      </c>
      <c r="V772" s="1">
        <v>0</v>
      </c>
      <c r="W772" s="1">
        <v>48.791666666666671</v>
      </c>
      <c r="X772" s="1">
        <v>10</v>
      </c>
      <c r="Y772" s="1">
        <v>8.5</v>
      </c>
      <c r="Z772" s="18">
        <f>grand[[#This Row],[av. Transportation loss]]/grand[[#This Row],[av.total weight]]</f>
        <v>7.4551149146411403E-3</v>
      </c>
      <c r="AA772" s="12">
        <f>AVERAGE((grand[[#This Row],[am]]/25),(grand[[#This Row],[pm]]/50))</f>
        <v>0.96916666666666673</v>
      </c>
      <c r="AB772" s="3">
        <f>grand[[#This Row],[ carcass weight]]/grand[[#This Row],[total weight]]</f>
        <v>0.59996912082579734</v>
      </c>
      <c r="AC772" s="18">
        <f>SUM(grand[[#This Row],[am]:[meat transportation]])/100</f>
        <v>0.9135416666666667</v>
      </c>
      <c r="AJ772" s="1">
        <v>30</v>
      </c>
      <c r="AK772" s="1"/>
      <c r="AL772" s="1"/>
    </row>
    <row r="773" spans="1:38" hidden="1" x14ac:dyDescent="0.2">
      <c r="A773" s="11">
        <v>45083</v>
      </c>
      <c r="B773" s="53" t="s">
        <v>2803</v>
      </c>
      <c r="C773" s="52" t="str">
        <f>IF(MID(B773,4,2)="09","Ramadan",IF(AND(MID(B773,4,2)="12",VALUE(LEFT(B773,2))&lt;=9),"Adha Season","Normal"))</f>
        <v>Normal</v>
      </c>
      <c r="D773" s="1" t="s">
        <v>45</v>
      </c>
      <c r="E773" s="1" t="s">
        <v>483</v>
      </c>
      <c r="F773" s="4" t="s">
        <v>39</v>
      </c>
      <c r="G773" s="1">
        <v>48</v>
      </c>
      <c r="H773" s="1">
        <v>48</v>
      </c>
      <c r="I773" s="1">
        <f>grand[[#This Row],[number]]-grand[[#This Row],[received]]</f>
        <v>0</v>
      </c>
      <c r="J773" s="30"/>
      <c r="K773" s="2">
        <v>20848</v>
      </c>
      <c r="L773" s="2">
        <v>20130</v>
      </c>
      <c r="M773" s="2">
        <f>K773-L773</f>
        <v>718</v>
      </c>
      <c r="N773" s="2">
        <v>12861</v>
      </c>
      <c r="O773" s="2">
        <v>521</v>
      </c>
      <c r="P773" s="7">
        <f>grand[[#This Row],[total weight]]/grand[[#This Row],[received]]</f>
        <v>434.33333333333331</v>
      </c>
      <c r="Q773" s="7">
        <f>grand[[#This Row],[receiving weight]]/grand[[#This Row],[received]]</f>
        <v>419.375</v>
      </c>
      <c r="R773" s="7">
        <f>grand[[#This Row],[transportation loss ]]/grand[[#This Row],[received]]</f>
        <v>14.958333333333334</v>
      </c>
      <c r="S773" s="7">
        <f>grand[[#This Row],[ carcass weight]]/grand[[#This Row],[received]]</f>
        <v>267.9375</v>
      </c>
      <c r="T773" s="7">
        <f>grand[[#This Row],[ kidneys fat quantity]]/grand[[#This Row],[received]]</f>
        <v>10.854166666666666</v>
      </c>
      <c r="U773" s="1">
        <v>25</v>
      </c>
      <c r="V773" s="1">
        <v>0</v>
      </c>
      <c r="W773" s="1">
        <v>49.416666666666671</v>
      </c>
      <c r="X773" s="1">
        <v>10</v>
      </c>
      <c r="Y773" s="1">
        <v>8.5</v>
      </c>
      <c r="Z773" s="18">
        <f>grand[[#This Row],[av. Transportation loss]]/grand[[#This Row],[av.total weight]]</f>
        <v>3.4439754412893327E-2</v>
      </c>
      <c r="AA773" s="12">
        <f>AVERAGE((grand[[#This Row],[am]]/25),(grand[[#This Row],[pm]]/50))</f>
        <v>0.99416666666666664</v>
      </c>
      <c r="AB773" s="3">
        <f>grand[[#This Row],[ carcass weight]]/grand[[#This Row],[total weight]]</f>
        <v>0.61689370683039135</v>
      </c>
      <c r="AC773" s="18">
        <f>SUM(grand[[#This Row],[am]:[meat transportation]])/100</f>
        <v>0.9291666666666667</v>
      </c>
      <c r="AJ773" s="1">
        <v>5</v>
      </c>
      <c r="AK773" s="1"/>
      <c r="AL773" s="1"/>
    </row>
    <row r="774" spans="1:38" hidden="1" x14ac:dyDescent="0.2">
      <c r="A774" s="11">
        <v>45084</v>
      </c>
      <c r="B774" s="53" t="s">
        <v>1844</v>
      </c>
      <c r="C774" s="52" t="str">
        <f>IF(MID(B774,4,2)="09","Ramadan",IF(AND(MID(B774,4,2)="12",VALUE(LEFT(B774,2))&lt;=9),"Adha Season","Normal"))</f>
        <v>Normal</v>
      </c>
      <c r="D774" s="1" t="s">
        <v>45</v>
      </c>
      <c r="E774" s="1" t="s">
        <v>483</v>
      </c>
      <c r="F774" s="4" t="s">
        <v>39</v>
      </c>
      <c r="G774" s="1">
        <v>34</v>
      </c>
      <c r="H774" s="1">
        <v>34</v>
      </c>
      <c r="I774" s="1">
        <f>grand[[#This Row],[number]]-grand[[#This Row],[received]]</f>
        <v>0</v>
      </c>
      <c r="J774" s="30"/>
      <c r="K774" s="2">
        <v>14978</v>
      </c>
      <c r="L774" s="2">
        <v>14320</v>
      </c>
      <c r="M774" s="2">
        <f>K774-L774</f>
        <v>658</v>
      </c>
      <c r="N774" s="2">
        <v>9322.9</v>
      </c>
      <c r="O774" s="2">
        <v>345</v>
      </c>
      <c r="P774" s="7">
        <f>grand[[#This Row],[total weight]]/grand[[#This Row],[received]]</f>
        <v>440.52941176470586</v>
      </c>
      <c r="Q774" s="7">
        <f>grand[[#This Row],[receiving weight]]/grand[[#This Row],[received]]</f>
        <v>421.1764705882353</v>
      </c>
      <c r="R774" s="7">
        <f>grand[[#This Row],[transportation loss ]]/grand[[#This Row],[received]]</f>
        <v>19.352941176470587</v>
      </c>
      <c r="S774" s="7">
        <f>grand[[#This Row],[ carcass weight]]/grand[[#This Row],[received]]</f>
        <v>274.20294117647057</v>
      </c>
      <c r="T774" s="7">
        <f>grand[[#This Row],[ kidneys fat quantity]]/grand[[#This Row],[received]]</f>
        <v>10.147058823529411</v>
      </c>
      <c r="U774" s="1">
        <v>25</v>
      </c>
      <c r="V774" s="1">
        <v>0</v>
      </c>
      <c r="W774" s="1">
        <v>49.279411764705884</v>
      </c>
      <c r="X774" s="1">
        <v>10</v>
      </c>
      <c r="Y774" s="1">
        <v>8.5</v>
      </c>
      <c r="Z774" s="18">
        <f>grand[[#This Row],[av. Transportation loss]]/grand[[#This Row],[av.total weight]]</f>
        <v>4.3931098945119505E-2</v>
      </c>
      <c r="AA774" s="12">
        <f>AVERAGE((grand[[#This Row],[am]]/25),(grand[[#This Row],[pm]]/50))</f>
        <v>0.99279411764705883</v>
      </c>
      <c r="AB774" s="3">
        <f>grand[[#This Row],[ carcass weight]]/grand[[#This Row],[total weight]]</f>
        <v>0.62243957804780337</v>
      </c>
      <c r="AC774" s="18">
        <f>SUM(grand[[#This Row],[am]:[meat transportation]])/100</f>
        <v>0.92779411764705888</v>
      </c>
      <c r="AJ774" s="1">
        <v>0</v>
      </c>
      <c r="AK774" s="1"/>
      <c r="AL774" s="1"/>
    </row>
    <row r="775" spans="1:38" hidden="1" x14ac:dyDescent="0.2">
      <c r="A775" s="11">
        <v>45085</v>
      </c>
      <c r="B775" s="53" t="s">
        <v>1845</v>
      </c>
      <c r="C775" s="52" t="str">
        <f>IF(MID(B775,4,2)="09","Ramadan",IF(AND(MID(B775,4,2)="12",VALUE(LEFT(B775,2))&lt;=9),"Adha Season","Normal"))</f>
        <v>Normal</v>
      </c>
      <c r="D775" s="1" t="s">
        <v>45</v>
      </c>
      <c r="E775" s="1" t="s">
        <v>483</v>
      </c>
      <c r="F775" s="4" t="s">
        <v>280</v>
      </c>
      <c r="G775" s="1">
        <v>4</v>
      </c>
      <c r="H775" s="1">
        <v>4</v>
      </c>
      <c r="I775" s="1">
        <f>grand[[#This Row],[number]]-grand[[#This Row],[received]]</f>
        <v>0</v>
      </c>
      <c r="J775" s="30"/>
      <c r="K775" s="2">
        <v>1907</v>
      </c>
      <c r="L775" s="2">
        <v>1855</v>
      </c>
      <c r="M775" s="2">
        <f>K775-L775</f>
        <v>52</v>
      </c>
      <c r="N775" s="2">
        <v>1136.5</v>
      </c>
      <c r="O775" s="2">
        <v>43</v>
      </c>
      <c r="P775" s="7">
        <f>grand[[#This Row],[total weight]]/grand[[#This Row],[received]]</f>
        <v>476.75</v>
      </c>
      <c r="Q775" s="7">
        <f>grand[[#This Row],[receiving weight]]/grand[[#This Row],[received]]</f>
        <v>463.75</v>
      </c>
      <c r="R775" s="7">
        <f>grand[[#This Row],[transportation loss ]]/grand[[#This Row],[received]]</f>
        <v>13</v>
      </c>
      <c r="S775" s="7">
        <f>grand[[#This Row],[ carcass weight]]/grand[[#This Row],[received]]</f>
        <v>284.125</v>
      </c>
      <c r="T775" s="7">
        <f>grand[[#This Row],[ kidneys fat quantity]]/grand[[#This Row],[received]]</f>
        <v>10.75</v>
      </c>
      <c r="U775" s="1">
        <v>25</v>
      </c>
      <c r="V775" s="1">
        <v>0</v>
      </c>
      <c r="W775" s="1">
        <v>47.5</v>
      </c>
      <c r="X775" s="1">
        <v>10</v>
      </c>
      <c r="Y775" s="1">
        <v>8.5</v>
      </c>
      <c r="Z775" s="18">
        <f>grand[[#This Row],[av. Transportation loss]]/grand[[#This Row],[av.total weight]]</f>
        <v>2.7267960146827478E-2</v>
      </c>
      <c r="AA775" s="12">
        <f>AVERAGE((grand[[#This Row],[am]]/25),(grand[[#This Row],[pm]]/50))</f>
        <v>0.97499999999999998</v>
      </c>
      <c r="AB775" s="3">
        <f>grand[[#This Row],[ carcass weight]]/grand[[#This Row],[total weight]]</f>
        <v>0.59596224436287359</v>
      </c>
      <c r="AC775" s="18">
        <f>SUM(grand[[#This Row],[am]:[meat transportation]])/100</f>
        <v>0.91</v>
      </c>
      <c r="AJ775" s="1">
        <v>0</v>
      </c>
      <c r="AK775" s="1"/>
      <c r="AL775" s="1"/>
    </row>
    <row r="776" spans="1:38" hidden="1" x14ac:dyDescent="0.2">
      <c r="A776" s="11">
        <v>45085</v>
      </c>
      <c r="B776" s="53" t="s">
        <v>1845</v>
      </c>
      <c r="C776" s="52" t="str">
        <f>IF(MID(B776,4,2)="09","Ramadan",IF(AND(MID(B776,4,2)="12",VALUE(LEFT(B776,2))&lt;=9),"Adha Season","Normal"))</f>
        <v>Normal</v>
      </c>
      <c r="D776" s="1" t="s">
        <v>45</v>
      </c>
      <c r="E776" s="1" t="s">
        <v>483</v>
      </c>
      <c r="F776" s="4" t="s">
        <v>46</v>
      </c>
      <c r="G776" s="1">
        <v>55</v>
      </c>
      <c r="H776" s="1">
        <v>55</v>
      </c>
      <c r="I776" s="1">
        <f>grand[[#This Row],[number]]-grand[[#This Row],[received]]</f>
        <v>0</v>
      </c>
      <c r="J776" s="30"/>
      <c r="K776" s="2">
        <v>24582</v>
      </c>
      <c r="L776" s="2">
        <v>24070</v>
      </c>
      <c r="M776" s="2">
        <f>K776-L776</f>
        <v>512</v>
      </c>
      <c r="N776" s="2">
        <v>14748.1</v>
      </c>
      <c r="O776" s="2">
        <v>316</v>
      </c>
      <c r="P776" s="7">
        <f>grand[[#This Row],[total weight]]/grand[[#This Row],[received]]</f>
        <v>446.94545454545454</v>
      </c>
      <c r="Q776" s="7">
        <f>grand[[#This Row],[receiving weight]]/grand[[#This Row],[received]]</f>
        <v>437.63636363636363</v>
      </c>
      <c r="R776" s="7">
        <f>grand[[#This Row],[transportation loss ]]/grand[[#This Row],[received]]</f>
        <v>9.3090909090909086</v>
      </c>
      <c r="S776" s="7">
        <f>grand[[#This Row],[ carcass weight]]/grand[[#This Row],[received]]</f>
        <v>268.14727272727271</v>
      </c>
      <c r="T776" s="7">
        <f>grand[[#This Row],[ kidneys fat quantity]]/grand[[#This Row],[received]]</f>
        <v>5.7454545454545451</v>
      </c>
      <c r="U776" s="1">
        <v>24.81818181818182</v>
      </c>
      <c r="V776" s="1">
        <v>0</v>
      </c>
      <c r="W776" s="1">
        <v>49.127272727272725</v>
      </c>
      <c r="X776" s="1">
        <v>10</v>
      </c>
      <c r="Y776" s="1">
        <v>8.5</v>
      </c>
      <c r="Z776" s="18">
        <f>grand[[#This Row],[av. Transportation loss]]/grand[[#This Row],[av.total weight]]</f>
        <v>2.0828248311772841E-2</v>
      </c>
      <c r="AA776" s="12">
        <f>AVERAGE((grand[[#This Row],[am]]/25),(grand[[#This Row],[pm]]/50))</f>
        <v>0.98763636363636365</v>
      </c>
      <c r="AB776" s="3">
        <f>grand[[#This Row],[ carcass weight]]/grand[[#This Row],[total weight]]</f>
        <v>0.59995525181026765</v>
      </c>
      <c r="AC776" s="18">
        <f>SUM(grand[[#This Row],[am]:[meat transportation]])/100</f>
        <v>0.92445454545454542</v>
      </c>
      <c r="AJ776" s="1">
        <v>17</v>
      </c>
      <c r="AK776" s="1"/>
      <c r="AL776" s="1"/>
    </row>
    <row r="777" spans="1:38" hidden="1" x14ac:dyDescent="0.2">
      <c r="A777" s="11">
        <v>45087</v>
      </c>
      <c r="B777" s="53" t="s">
        <v>2804</v>
      </c>
      <c r="C777" s="52" t="str">
        <f>IF(MID(B777,4,2)="09","Ramadan",IF(AND(MID(B777,4,2)="12",VALUE(LEFT(B777,2))&lt;=9),"Adha Season","Normal"))</f>
        <v>Normal</v>
      </c>
      <c r="D777" s="1" t="s">
        <v>45</v>
      </c>
      <c r="E777" s="1" t="s">
        <v>528</v>
      </c>
      <c r="F777" s="4" t="s">
        <v>560</v>
      </c>
      <c r="G777" s="1">
        <v>30</v>
      </c>
      <c r="H777" s="1">
        <v>30</v>
      </c>
      <c r="I777" s="1">
        <f>grand[[#This Row],[number]]-grand[[#This Row],[received]]</f>
        <v>0</v>
      </c>
      <c r="J777" s="30"/>
      <c r="K777" s="2">
        <v>14980</v>
      </c>
      <c r="L777" s="2">
        <v>14425</v>
      </c>
      <c r="M777" s="2">
        <f>K777-L777</f>
        <v>555</v>
      </c>
      <c r="N777" s="2">
        <v>9021</v>
      </c>
      <c r="O777" s="2">
        <v>191</v>
      </c>
      <c r="P777" s="7">
        <f>grand[[#This Row],[total weight]]/grand[[#This Row],[received]]</f>
        <v>499.33333333333331</v>
      </c>
      <c r="Q777" s="7">
        <f>grand[[#This Row],[receiving weight]]/grand[[#This Row],[received]]</f>
        <v>480.83333333333331</v>
      </c>
      <c r="R777" s="7">
        <f>grand[[#This Row],[transportation loss ]]/grand[[#This Row],[received]]</f>
        <v>18.5</v>
      </c>
      <c r="S777" s="7">
        <f>grand[[#This Row],[ carcass weight]]/grand[[#This Row],[received]]</f>
        <v>300.7</v>
      </c>
      <c r="T777" s="7">
        <f>grand[[#This Row],[ kidneys fat quantity]]/grand[[#This Row],[received]]</f>
        <v>6.3666666666666663</v>
      </c>
      <c r="U777" s="1">
        <v>25</v>
      </c>
      <c r="V777" s="1">
        <v>0</v>
      </c>
      <c r="W777" s="1">
        <v>49.733333333333334</v>
      </c>
      <c r="X777" s="1">
        <v>10</v>
      </c>
      <c r="Y777" s="1">
        <v>8.5</v>
      </c>
      <c r="Z777" s="18">
        <f>grand[[#This Row],[av. Transportation loss]]/grand[[#This Row],[av.total weight]]</f>
        <v>3.7049399198931909E-2</v>
      </c>
      <c r="AA777" s="12">
        <f>AVERAGE((grand[[#This Row],[am]]/25),(grand[[#This Row],[pm]]/50))</f>
        <v>0.9973333333333334</v>
      </c>
      <c r="AB777" s="3">
        <f>grand[[#This Row],[ carcass weight]]/grand[[#This Row],[total weight]]</f>
        <v>0.60220293724966623</v>
      </c>
      <c r="AC777" s="18">
        <f>SUM(grand[[#This Row],[am]:[meat transportation]])/100</f>
        <v>0.93233333333333335</v>
      </c>
      <c r="AJ777" s="1">
        <v>0</v>
      </c>
      <c r="AK777" s="1"/>
      <c r="AL777" s="1"/>
    </row>
    <row r="778" spans="1:38" hidden="1" x14ac:dyDescent="0.2">
      <c r="A778" s="11">
        <v>45088</v>
      </c>
      <c r="B778" s="53" t="s">
        <v>1846</v>
      </c>
      <c r="C778" s="52" t="str">
        <f>IF(MID(B778,4,2)="09","Ramadan",IF(AND(MID(B778,4,2)="12",VALUE(LEFT(B778,2))&lt;=9),"Adha Season","Normal"))</f>
        <v>Normal</v>
      </c>
      <c r="D778" s="1" t="s">
        <v>45</v>
      </c>
      <c r="E778" s="1" t="s">
        <v>483</v>
      </c>
      <c r="F778" s="4" t="s">
        <v>280</v>
      </c>
      <c r="G778" s="1">
        <v>54</v>
      </c>
      <c r="H778" s="1">
        <v>54</v>
      </c>
      <c r="I778" s="1">
        <f>grand[[#This Row],[number]]-grand[[#This Row],[received]]</f>
        <v>0</v>
      </c>
      <c r="J778" s="30"/>
      <c r="K778" s="2">
        <v>24528</v>
      </c>
      <c r="L778" s="2">
        <v>23970</v>
      </c>
      <c r="M778" s="2">
        <f>K778-L778</f>
        <v>558</v>
      </c>
      <c r="N778" s="2">
        <v>14716.5</v>
      </c>
      <c r="O778" s="2">
        <v>453</v>
      </c>
      <c r="P778" s="7">
        <f>grand[[#This Row],[total weight]]/grand[[#This Row],[received]]</f>
        <v>454.22222222222223</v>
      </c>
      <c r="Q778" s="7">
        <f>grand[[#This Row],[receiving weight]]/grand[[#This Row],[received]]</f>
        <v>443.88888888888891</v>
      </c>
      <c r="R778" s="7">
        <f>grand[[#This Row],[transportation loss ]]/grand[[#This Row],[received]]</f>
        <v>10.333333333333334</v>
      </c>
      <c r="S778" s="7">
        <f>grand[[#This Row],[ carcass weight]]/grand[[#This Row],[received]]</f>
        <v>272.52777777777777</v>
      </c>
      <c r="T778" s="7">
        <f>grand[[#This Row],[ kidneys fat quantity]]/grand[[#This Row],[received]]</f>
        <v>8.3888888888888893</v>
      </c>
      <c r="U778" s="1">
        <v>24.25925925925926</v>
      </c>
      <c r="V778" s="1">
        <v>0</v>
      </c>
      <c r="W778" s="1">
        <v>49.777777777777779</v>
      </c>
      <c r="X778" s="1">
        <v>10</v>
      </c>
      <c r="Y778" s="1">
        <v>8.5</v>
      </c>
      <c r="Z778" s="18">
        <f>grand[[#This Row],[av. Transportation loss]]/grand[[#This Row],[av.total weight]]</f>
        <v>2.2749510763209396E-2</v>
      </c>
      <c r="AA778" s="12">
        <f>AVERAGE((grand[[#This Row],[am]]/25),(grand[[#This Row],[pm]]/50))</f>
        <v>0.98296296296296293</v>
      </c>
      <c r="AB778" s="3">
        <f>grand[[#This Row],[ carcass weight]]/grand[[#This Row],[total weight]]</f>
        <v>0.59998776908023488</v>
      </c>
      <c r="AC778" s="18">
        <f>SUM(grand[[#This Row],[am]:[meat transportation]])/100</f>
        <v>0.9253703703703704</v>
      </c>
      <c r="AJ778" s="1">
        <v>8</v>
      </c>
      <c r="AK778" s="1"/>
      <c r="AL778" s="1"/>
    </row>
    <row r="779" spans="1:38" hidden="1" x14ac:dyDescent="0.2">
      <c r="A779" s="11">
        <v>45089</v>
      </c>
      <c r="B779" s="53" t="s">
        <v>1847</v>
      </c>
      <c r="C779" s="52" t="str">
        <f>IF(MID(B779,4,2)="09","Ramadan",IF(AND(MID(B779,4,2)="12",VALUE(LEFT(B779,2))&lt;=9),"Adha Season","Normal"))</f>
        <v>Normal</v>
      </c>
      <c r="D779" s="1" t="s">
        <v>45</v>
      </c>
      <c r="E779" s="1" t="s">
        <v>483</v>
      </c>
      <c r="F779" s="4" t="s">
        <v>1023</v>
      </c>
      <c r="G779" s="1">
        <v>9</v>
      </c>
      <c r="H779" s="1">
        <v>9</v>
      </c>
      <c r="I779" s="1">
        <f>grand[[#This Row],[number]]-grand[[#This Row],[received]]</f>
        <v>0</v>
      </c>
      <c r="J779" s="30"/>
      <c r="K779" s="2">
        <v>3759</v>
      </c>
      <c r="L779" s="2">
        <v>3759</v>
      </c>
      <c r="M779" s="2">
        <f>K779-L779</f>
        <v>0</v>
      </c>
      <c r="N779" s="2">
        <v>2309.6999999999998</v>
      </c>
      <c r="O779" s="2">
        <v>46</v>
      </c>
      <c r="P779" s="7">
        <f>grand[[#This Row],[total weight]]/grand[[#This Row],[received]]</f>
        <v>417.66666666666669</v>
      </c>
      <c r="Q779" s="7">
        <f>grand[[#This Row],[receiving weight]]/grand[[#This Row],[received]]</f>
        <v>417.66666666666669</v>
      </c>
      <c r="R779" s="7">
        <f>grand[[#This Row],[transportation loss ]]/grand[[#This Row],[received]]</f>
        <v>0</v>
      </c>
      <c r="S779" s="7">
        <f>grand[[#This Row],[ carcass weight]]/grand[[#This Row],[received]]</f>
        <v>256.63333333333333</v>
      </c>
      <c r="T779" s="7">
        <f>grand[[#This Row],[ kidneys fat quantity]]/grand[[#This Row],[received]]</f>
        <v>5.1111111111111107</v>
      </c>
      <c r="U779" s="1">
        <v>25</v>
      </c>
      <c r="V779" s="1">
        <v>0</v>
      </c>
      <c r="W779" s="1">
        <v>50</v>
      </c>
      <c r="X779" s="1">
        <v>10</v>
      </c>
      <c r="Y779" s="1">
        <v>8.5</v>
      </c>
      <c r="Z779" s="18">
        <f>grand[[#This Row],[av. Transportation loss]]/grand[[#This Row],[av.total weight]]</f>
        <v>0</v>
      </c>
      <c r="AA779" s="12">
        <f>AVERAGE((grand[[#This Row],[am]]/25),(grand[[#This Row],[pm]]/50))</f>
        <v>1</v>
      </c>
      <c r="AB779" s="3">
        <f>grand[[#This Row],[ carcass weight]]/grand[[#This Row],[total weight]]</f>
        <v>0.61444533120510769</v>
      </c>
      <c r="AC779" s="18">
        <f>SUM(grand[[#This Row],[am]:[meat transportation]])/100</f>
        <v>0.93500000000000005</v>
      </c>
      <c r="AJ779" s="1">
        <v>0</v>
      </c>
      <c r="AK779" s="1"/>
      <c r="AL779" s="1"/>
    </row>
    <row r="780" spans="1:38" hidden="1" x14ac:dyDescent="0.2">
      <c r="A780" s="11">
        <v>45090</v>
      </c>
      <c r="B780" s="53" t="s">
        <v>1848</v>
      </c>
      <c r="C780" s="52" t="str">
        <f>IF(MID(B780,4,2)="09","Ramadan",IF(AND(MID(B780,4,2)="12",VALUE(LEFT(B780,2))&lt;=9),"Adha Season","Normal"))</f>
        <v>Normal</v>
      </c>
      <c r="D780" s="1" t="s">
        <v>45</v>
      </c>
      <c r="E780" s="1" t="s">
        <v>483</v>
      </c>
      <c r="F780" s="4" t="s">
        <v>39</v>
      </c>
      <c r="G780" s="1">
        <v>35</v>
      </c>
      <c r="H780" s="1">
        <v>35</v>
      </c>
      <c r="I780" s="1">
        <f>grand[[#This Row],[number]]-grand[[#This Row],[received]]</f>
        <v>0</v>
      </c>
      <c r="J780" s="30"/>
      <c r="K780" s="2">
        <v>15669</v>
      </c>
      <c r="L780" s="2">
        <v>15669</v>
      </c>
      <c r="M780" s="2">
        <f>K780-L780</f>
        <v>0</v>
      </c>
      <c r="N780" s="2">
        <v>9630.9</v>
      </c>
      <c r="O780" s="2">
        <v>366</v>
      </c>
      <c r="P780" s="7">
        <f>grand[[#This Row],[total weight]]/grand[[#This Row],[received]]</f>
        <v>447.68571428571431</v>
      </c>
      <c r="Q780" s="7">
        <f>grand[[#This Row],[receiving weight]]/grand[[#This Row],[received]]</f>
        <v>447.68571428571431</v>
      </c>
      <c r="R780" s="7">
        <f>grand[[#This Row],[transportation loss ]]/grand[[#This Row],[received]]</f>
        <v>0</v>
      </c>
      <c r="S780" s="7">
        <f>grand[[#This Row],[ carcass weight]]/grand[[#This Row],[received]]</f>
        <v>275.1685714285714</v>
      </c>
      <c r="T780" s="7">
        <f>grand[[#This Row],[ kidneys fat quantity]]/grand[[#This Row],[received]]</f>
        <v>10.457142857142857</v>
      </c>
      <c r="U780" s="1">
        <v>25</v>
      </c>
      <c r="V780" s="1">
        <v>0</v>
      </c>
      <c r="W780" s="1">
        <v>49.6</v>
      </c>
      <c r="X780" s="1">
        <v>10</v>
      </c>
      <c r="Y780" s="1">
        <v>8.5</v>
      </c>
      <c r="Z780" s="18">
        <f>grand[[#This Row],[av. Transportation loss]]/grand[[#This Row],[av.total weight]]</f>
        <v>0</v>
      </c>
      <c r="AA780" s="12">
        <f>AVERAGE((grand[[#This Row],[am]]/25),(grand[[#This Row],[pm]]/50))</f>
        <v>0.996</v>
      </c>
      <c r="AB780" s="3">
        <f>grand[[#This Row],[ carcass weight]]/grand[[#This Row],[total weight]]</f>
        <v>0.61464675473865593</v>
      </c>
      <c r="AC780" s="18">
        <f>SUM(grand[[#This Row],[am]:[meat transportation]])/100</f>
        <v>0.93099999999999994</v>
      </c>
      <c r="AJ780" s="1">
        <v>4</v>
      </c>
      <c r="AK780" s="1"/>
      <c r="AL780" s="1"/>
    </row>
    <row r="781" spans="1:38" hidden="1" x14ac:dyDescent="0.2">
      <c r="A781" s="11">
        <v>45091</v>
      </c>
      <c r="B781" s="53" t="s">
        <v>1849</v>
      </c>
      <c r="C781" s="52" t="str">
        <f>IF(MID(B781,4,2)="09","Ramadan",IF(AND(MID(B781,4,2)="12",VALUE(LEFT(B781,2))&lt;=9),"Adha Season","Normal"))</f>
        <v>Normal</v>
      </c>
      <c r="D781" s="1" t="s">
        <v>45</v>
      </c>
      <c r="E781" s="1" t="s">
        <v>528</v>
      </c>
      <c r="F781" s="4" t="s">
        <v>1023</v>
      </c>
      <c r="G781" s="1">
        <v>9</v>
      </c>
      <c r="H781" s="1">
        <v>9</v>
      </c>
      <c r="I781" s="1">
        <f>grand[[#This Row],[number]]-grand[[#This Row],[received]]</f>
        <v>0</v>
      </c>
      <c r="J781" s="30"/>
      <c r="K781" s="2">
        <v>5078</v>
      </c>
      <c r="L781" s="2">
        <v>5078</v>
      </c>
      <c r="M781" s="2">
        <f>K781-L781</f>
        <v>0</v>
      </c>
      <c r="N781" s="2">
        <v>3108.4</v>
      </c>
      <c r="O781" s="2">
        <v>0</v>
      </c>
      <c r="P781" s="7">
        <f>grand[[#This Row],[total weight]]/grand[[#This Row],[received]]</f>
        <v>564.22222222222217</v>
      </c>
      <c r="Q781" s="7">
        <f>grand[[#This Row],[receiving weight]]/grand[[#This Row],[received]]</f>
        <v>564.22222222222217</v>
      </c>
      <c r="R781" s="7">
        <f>grand[[#This Row],[transportation loss ]]/grand[[#This Row],[received]]</f>
        <v>0</v>
      </c>
      <c r="S781" s="7">
        <f>grand[[#This Row],[ carcass weight]]/grand[[#This Row],[received]]</f>
        <v>345.37777777777779</v>
      </c>
      <c r="T781" s="7">
        <f>grand[[#This Row],[ kidneys fat quantity]]/grand[[#This Row],[received]]</f>
        <v>0</v>
      </c>
      <c r="U781" s="1">
        <v>25</v>
      </c>
      <c r="V781" s="1">
        <v>0</v>
      </c>
      <c r="W781" s="1">
        <v>50</v>
      </c>
      <c r="X781" s="1">
        <v>10</v>
      </c>
      <c r="Y781" s="1">
        <v>8.5</v>
      </c>
      <c r="Z781" s="18">
        <f>grand[[#This Row],[av. Transportation loss]]/grand[[#This Row],[av.total weight]]</f>
        <v>0</v>
      </c>
      <c r="AA781" s="12">
        <f>AVERAGE((grand[[#This Row],[am]]/25),(grand[[#This Row],[pm]]/50))</f>
        <v>1</v>
      </c>
      <c r="AB781" s="3">
        <f>grand[[#This Row],[ carcass weight]]/grand[[#This Row],[total weight]]</f>
        <v>0.61213076014178813</v>
      </c>
      <c r="AC781" s="18">
        <f>SUM(grand[[#This Row],[am]:[meat transportation]])/100</f>
        <v>0.93500000000000005</v>
      </c>
      <c r="AJ781" s="1">
        <v>1</v>
      </c>
      <c r="AK781" s="1"/>
      <c r="AL781" s="1"/>
    </row>
    <row r="782" spans="1:38" hidden="1" x14ac:dyDescent="0.2">
      <c r="A782" s="11">
        <v>45095</v>
      </c>
      <c r="B782" s="53" t="s">
        <v>1850</v>
      </c>
      <c r="C782" s="52" t="str">
        <f>IF(MID(B782,4,2)="09","Ramadan",IF(AND(MID(B782,4,2)="12",VALUE(LEFT(B782,2))&lt;=9),"Adha Season","Normal"))</f>
        <v>Normal</v>
      </c>
      <c r="D782" s="2" t="s">
        <v>294</v>
      </c>
      <c r="F782" s="4" t="s">
        <v>280</v>
      </c>
      <c r="G782" s="1">
        <v>33</v>
      </c>
      <c r="H782" s="1">
        <v>33</v>
      </c>
      <c r="I782" s="1">
        <f>grand[[#This Row],[number]]-grand[[#This Row],[received]]</f>
        <v>0</v>
      </c>
      <c r="J782" s="30"/>
      <c r="K782" s="2">
        <v>1771</v>
      </c>
      <c r="L782" s="2">
        <v>1771</v>
      </c>
      <c r="M782" s="2">
        <f>K782-L782</f>
        <v>0</v>
      </c>
      <c r="N782" s="2">
        <v>1068.8</v>
      </c>
      <c r="O782" s="2">
        <v>0</v>
      </c>
      <c r="P782" s="7">
        <f>grand[[#This Row],[total weight]]/grand[[#This Row],[received]]</f>
        <v>53.666666666666664</v>
      </c>
      <c r="Q782" s="7">
        <f>grand[[#This Row],[receiving weight]]/grand[[#This Row],[received]]</f>
        <v>53.666666666666664</v>
      </c>
      <c r="R782" s="7">
        <f>grand[[#This Row],[transportation loss ]]/grand[[#This Row],[received]]</f>
        <v>0</v>
      </c>
      <c r="S782" s="7">
        <f>grand[[#This Row],[ carcass weight]]/grand[[#This Row],[received]]</f>
        <v>32.387878787878783</v>
      </c>
      <c r="T782" s="7">
        <f>grand[[#This Row],[ kidneys fat quantity]]/grand[[#This Row],[received]]</f>
        <v>0</v>
      </c>
      <c r="U782" s="1">
        <v>25</v>
      </c>
      <c r="V782" s="1">
        <v>0</v>
      </c>
      <c r="W782" s="1">
        <v>49.575757575757578</v>
      </c>
      <c r="X782" s="1">
        <v>10</v>
      </c>
      <c r="Y782" s="1">
        <v>8.5</v>
      </c>
      <c r="Z782" s="18">
        <f>grand[[#This Row],[av. Transportation loss]]/grand[[#This Row],[av.total weight]]</f>
        <v>0</v>
      </c>
      <c r="AA782" s="12">
        <f>AVERAGE((grand[[#This Row],[am]]/25),(grand[[#This Row],[pm]]/50))</f>
        <v>0.99575757575757584</v>
      </c>
      <c r="AB782" s="3">
        <f>grand[[#This Row],[ carcass weight]]/grand[[#This Row],[total weight]]</f>
        <v>0.60350084697910777</v>
      </c>
      <c r="AC782" s="18">
        <f>SUM(grand[[#This Row],[am]:[meat transportation]])/100</f>
        <v>0.93075757575757578</v>
      </c>
      <c r="AJ782" s="1">
        <v>0</v>
      </c>
      <c r="AK782" s="1"/>
      <c r="AL782" s="1"/>
    </row>
    <row r="783" spans="1:38" hidden="1" x14ac:dyDescent="0.2">
      <c r="A783" s="11">
        <v>45096</v>
      </c>
      <c r="B783" s="53" t="s">
        <v>1851</v>
      </c>
      <c r="C783" s="52" t="str">
        <f>IF(MID(B783,4,2)="09","Ramadan",IF(AND(MID(B783,4,2)="12",VALUE(LEFT(B783,2))&lt;=9),"Adha Season","Normal"))</f>
        <v>Normal</v>
      </c>
      <c r="D783" s="2" t="s">
        <v>294</v>
      </c>
      <c r="F783" s="4" t="s">
        <v>280</v>
      </c>
      <c r="G783" s="1">
        <v>25</v>
      </c>
      <c r="H783" s="1">
        <v>25</v>
      </c>
      <c r="I783" s="1">
        <f>grand[[#This Row],[number]]-grand[[#This Row],[received]]</f>
        <v>0</v>
      </c>
      <c r="J783" s="30"/>
      <c r="K783" s="2">
        <v>1203</v>
      </c>
      <c r="L783" s="2">
        <v>1203</v>
      </c>
      <c r="M783" s="2">
        <f>K783-L783</f>
        <v>0</v>
      </c>
      <c r="N783" s="2">
        <v>695</v>
      </c>
      <c r="O783" s="2">
        <v>0</v>
      </c>
      <c r="P783" s="7">
        <f>grand[[#This Row],[total weight]]/grand[[#This Row],[received]]</f>
        <v>48.12</v>
      </c>
      <c r="Q783" s="7">
        <f>grand[[#This Row],[receiving weight]]/grand[[#This Row],[received]]</f>
        <v>48.12</v>
      </c>
      <c r="R783" s="7">
        <f>grand[[#This Row],[transportation loss ]]/grand[[#This Row],[received]]</f>
        <v>0</v>
      </c>
      <c r="S783" s="7">
        <f>grand[[#This Row],[ carcass weight]]/grand[[#This Row],[received]]</f>
        <v>27.8</v>
      </c>
      <c r="T783" s="7">
        <f>grand[[#This Row],[ kidneys fat quantity]]/grand[[#This Row],[received]]</f>
        <v>0</v>
      </c>
      <c r="U783" s="1">
        <v>25</v>
      </c>
      <c r="V783" s="1">
        <v>0</v>
      </c>
      <c r="W783" s="1">
        <v>49.6</v>
      </c>
      <c r="X783" s="1">
        <v>10</v>
      </c>
      <c r="Y783" s="1">
        <v>8.5</v>
      </c>
      <c r="Z783" s="18">
        <f>grand[[#This Row],[av. Transportation loss]]/grand[[#This Row],[av.total weight]]</f>
        <v>0</v>
      </c>
      <c r="AA783" s="12">
        <f>AVERAGE((grand[[#This Row],[am]]/25),(grand[[#This Row],[pm]]/50))</f>
        <v>0.996</v>
      </c>
      <c r="AB783" s="3">
        <f>grand[[#This Row],[ carcass weight]]/grand[[#This Row],[total weight]]</f>
        <v>0.57772236076475481</v>
      </c>
      <c r="AC783" s="18">
        <f>SUM(grand[[#This Row],[am]:[meat transportation]])/100</f>
        <v>0.93099999999999994</v>
      </c>
      <c r="AJ783" s="1">
        <v>0</v>
      </c>
      <c r="AK783" s="1"/>
      <c r="AL783" s="1"/>
    </row>
    <row r="784" spans="1:38" hidden="1" x14ac:dyDescent="0.2">
      <c r="A784" s="11">
        <v>45097</v>
      </c>
      <c r="B784" s="53" t="s">
        <v>1852</v>
      </c>
      <c r="C784" s="52" t="str">
        <f>IF(MID(B784,4,2)="09","Ramadan",IF(AND(MID(B784,4,2)="12",VALUE(LEFT(B784,2))&lt;=9),"Adha Season","Normal"))</f>
        <v>Adha Season</v>
      </c>
      <c r="D784" s="2" t="s">
        <v>294</v>
      </c>
      <c r="F784" s="4" t="s">
        <v>280</v>
      </c>
      <c r="G784" s="1">
        <v>35</v>
      </c>
      <c r="H784" s="1">
        <v>35</v>
      </c>
      <c r="I784" s="1">
        <f>grand[[#This Row],[number]]-grand[[#This Row],[received]]</f>
        <v>0</v>
      </c>
      <c r="J784" s="30"/>
      <c r="K784" s="2">
        <v>1896</v>
      </c>
      <c r="L784" s="2">
        <v>1896</v>
      </c>
      <c r="M784" s="2">
        <f>K784-L784</f>
        <v>0</v>
      </c>
      <c r="N784" s="2">
        <v>1138.0999999999999</v>
      </c>
      <c r="O784" s="2">
        <v>0</v>
      </c>
      <c r="P784" s="7">
        <f>grand[[#This Row],[total weight]]/grand[[#This Row],[received]]</f>
        <v>54.171428571428571</v>
      </c>
      <c r="Q784" s="7">
        <f>grand[[#This Row],[receiving weight]]/grand[[#This Row],[received]]</f>
        <v>54.171428571428571</v>
      </c>
      <c r="R784" s="7">
        <f>grand[[#This Row],[transportation loss ]]/grand[[#This Row],[received]]</f>
        <v>0</v>
      </c>
      <c r="S784" s="7">
        <f>grand[[#This Row],[ carcass weight]]/grand[[#This Row],[received]]</f>
        <v>32.517142857142858</v>
      </c>
      <c r="T784" s="7">
        <f>grand[[#This Row],[ kidneys fat quantity]]/grand[[#This Row],[received]]</f>
        <v>0</v>
      </c>
      <c r="U784" s="1">
        <v>25</v>
      </c>
      <c r="V784" s="1">
        <v>0</v>
      </c>
      <c r="W784" s="1">
        <v>50</v>
      </c>
      <c r="X784" s="1">
        <v>10</v>
      </c>
      <c r="Y784" s="1">
        <v>8.5</v>
      </c>
      <c r="Z784" s="18">
        <f>grand[[#This Row],[av. Transportation loss]]/grand[[#This Row],[av.total weight]]</f>
        <v>0</v>
      </c>
      <c r="AA784" s="12">
        <f>AVERAGE((grand[[#This Row],[am]]/25),(grand[[#This Row],[pm]]/50))</f>
        <v>1</v>
      </c>
      <c r="AB784" s="3">
        <f>grand[[#This Row],[ carcass weight]]/grand[[#This Row],[total weight]]</f>
        <v>0.60026371308016868</v>
      </c>
      <c r="AC784" s="18">
        <f>SUM(grand[[#This Row],[am]:[meat transportation]])/100</f>
        <v>0.93500000000000005</v>
      </c>
      <c r="AJ784" s="1">
        <v>0</v>
      </c>
      <c r="AK784" s="1"/>
      <c r="AL784" s="1"/>
    </row>
    <row r="785" spans="1:38" hidden="1" x14ac:dyDescent="0.2">
      <c r="A785" s="11">
        <v>45097</v>
      </c>
      <c r="B785" s="53" t="s">
        <v>1852</v>
      </c>
      <c r="C785" s="52" t="str">
        <f>IF(MID(B785,4,2)="09","Ramadan",IF(AND(MID(B785,4,2)="12",VALUE(LEFT(B785,2))&lt;=9),"Adha Season","Normal"))</f>
        <v>Adha Season</v>
      </c>
      <c r="D785" s="1" t="s">
        <v>45</v>
      </c>
      <c r="E785" s="1" t="s">
        <v>554</v>
      </c>
      <c r="F785" s="4" t="s">
        <v>280</v>
      </c>
      <c r="G785" s="1">
        <v>1</v>
      </c>
      <c r="H785" s="1">
        <v>1</v>
      </c>
      <c r="I785" s="1">
        <f>grand[[#This Row],[number]]-grand[[#This Row],[received]]</f>
        <v>0</v>
      </c>
      <c r="J785" s="30"/>
      <c r="K785" s="2">
        <v>567</v>
      </c>
      <c r="L785" s="2">
        <v>567</v>
      </c>
      <c r="M785" s="2">
        <f>K785-L785</f>
        <v>0</v>
      </c>
      <c r="N785" s="2">
        <v>354.5</v>
      </c>
      <c r="O785" s="2">
        <v>0</v>
      </c>
      <c r="P785" s="7">
        <f>grand[[#This Row],[total weight]]/grand[[#This Row],[received]]</f>
        <v>567</v>
      </c>
      <c r="Q785" s="7">
        <f>grand[[#This Row],[receiving weight]]/grand[[#This Row],[received]]</f>
        <v>567</v>
      </c>
      <c r="R785" s="7">
        <f>grand[[#This Row],[transportation loss ]]/grand[[#This Row],[received]]</f>
        <v>0</v>
      </c>
      <c r="S785" s="7">
        <f>grand[[#This Row],[ carcass weight]]/grand[[#This Row],[received]]</f>
        <v>354.5</v>
      </c>
      <c r="T785" s="7">
        <f>grand[[#This Row],[ kidneys fat quantity]]/grand[[#This Row],[received]]</f>
        <v>0</v>
      </c>
      <c r="U785" s="1">
        <v>20</v>
      </c>
      <c r="V785" s="1">
        <v>0</v>
      </c>
      <c r="W785" s="1">
        <v>50</v>
      </c>
      <c r="X785" s="1">
        <v>10</v>
      </c>
      <c r="Y785" s="1">
        <v>8.5</v>
      </c>
      <c r="Z785" s="18">
        <f>grand[[#This Row],[av. Transportation loss]]/grand[[#This Row],[av.total weight]]</f>
        <v>0</v>
      </c>
      <c r="AA785" s="12">
        <f>AVERAGE((grand[[#This Row],[am]]/25),(grand[[#This Row],[pm]]/50))</f>
        <v>0.9</v>
      </c>
      <c r="AB785" s="3">
        <f>grand[[#This Row],[ carcass weight]]/grand[[#This Row],[total weight]]</f>
        <v>0.62522045855379194</v>
      </c>
      <c r="AC785" s="18">
        <f>SUM(grand[[#This Row],[am]:[meat transportation]])/100</f>
        <v>0.88500000000000001</v>
      </c>
      <c r="AJ785" s="1">
        <v>1</v>
      </c>
      <c r="AK785" s="1"/>
      <c r="AL785" s="1"/>
    </row>
    <row r="786" spans="1:38" hidden="1" x14ac:dyDescent="0.2">
      <c r="A786" s="11">
        <v>45098</v>
      </c>
      <c r="B786" s="53" t="s">
        <v>1853</v>
      </c>
      <c r="C786" s="52" t="str">
        <f>IF(MID(B786,4,2)="09","Ramadan",IF(AND(MID(B786,4,2)="12",VALUE(LEFT(B786,2))&lt;=9),"Adha Season","Normal"))</f>
        <v>Adha Season</v>
      </c>
      <c r="D786" s="1" t="s">
        <v>45</v>
      </c>
      <c r="E786" s="1" t="s">
        <v>483</v>
      </c>
      <c r="F786" s="4" t="s">
        <v>1023</v>
      </c>
      <c r="G786" s="1">
        <v>50</v>
      </c>
      <c r="H786" s="1">
        <v>50</v>
      </c>
      <c r="I786" s="1">
        <f>grand[[#This Row],[number]]-grand[[#This Row],[received]]</f>
        <v>0</v>
      </c>
      <c r="J786" s="30"/>
      <c r="K786" s="2">
        <v>19999</v>
      </c>
      <c r="L786" s="2">
        <v>19999</v>
      </c>
      <c r="M786" s="2">
        <f>K786-L786</f>
        <v>0</v>
      </c>
      <c r="N786" s="2">
        <v>11738.2</v>
      </c>
      <c r="O786" s="2">
        <v>255</v>
      </c>
      <c r="P786" s="7">
        <f>grand[[#This Row],[total weight]]/grand[[#This Row],[received]]</f>
        <v>399.98</v>
      </c>
      <c r="Q786" s="7">
        <f>grand[[#This Row],[receiving weight]]/grand[[#This Row],[received]]</f>
        <v>399.98</v>
      </c>
      <c r="R786" s="7">
        <f>grand[[#This Row],[transportation loss ]]/grand[[#This Row],[received]]</f>
        <v>0</v>
      </c>
      <c r="S786" s="7">
        <f>grand[[#This Row],[ carcass weight]]/grand[[#This Row],[received]]</f>
        <v>234.76400000000001</v>
      </c>
      <c r="T786" s="7">
        <f>grand[[#This Row],[ kidneys fat quantity]]/grand[[#This Row],[received]]</f>
        <v>5.0999999999999996</v>
      </c>
      <c r="U786" s="1">
        <v>25</v>
      </c>
      <c r="V786" s="1">
        <v>0</v>
      </c>
      <c r="W786" s="1">
        <v>49.379999999999995</v>
      </c>
      <c r="X786" s="1">
        <v>10</v>
      </c>
      <c r="Y786" s="1">
        <v>8.5</v>
      </c>
      <c r="Z786" s="18">
        <f>grand[[#This Row],[av. Transportation loss]]/grand[[#This Row],[av.total weight]]</f>
        <v>0</v>
      </c>
      <c r="AA786" s="12">
        <f>AVERAGE((grand[[#This Row],[am]]/25),(grand[[#This Row],[pm]]/50))</f>
        <v>0.99380000000000002</v>
      </c>
      <c r="AB786" s="3">
        <f>grand[[#This Row],[ carcass weight]]/grand[[#This Row],[total weight]]</f>
        <v>0.5869393469673484</v>
      </c>
      <c r="AC786" s="18">
        <f>SUM(grand[[#This Row],[am]:[meat transportation]])/100</f>
        <v>0.92879999999999996</v>
      </c>
      <c r="AJ786" s="1">
        <v>8</v>
      </c>
      <c r="AK786" s="1"/>
      <c r="AL786" s="1"/>
    </row>
    <row r="787" spans="1:38" hidden="1" x14ac:dyDescent="0.2">
      <c r="A787" s="11">
        <v>45098</v>
      </c>
      <c r="B787" s="53" t="s">
        <v>1853</v>
      </c>
      <c r="C787" s="52" t="str">
        <f>IF(MID(B787,4,2)="09","Ramadan",IF(AND(MID(B787,4,2)="12",VALUE(LEFT(B787,2))&lt;=9),"Adha Season","Normal"))</f>
        <v>Adha Season</v>
      </c>
      <c r="D787" s="2" t="s">
        <v>294</v>
      </c>
      <c r="F787" s="4" t="s">
        <v>35</v>
      </c>
      <c r="G787" s="1">
        <v>30</v>
      </c>
      <c r="H787" s="1">
        <v>30</v>
      </c>
      <c r="I787" s="1">
        <f>grand[[#This Row],[number]]-grand[[#This Row],[received]]</f>
        <v>0</v>
      </c>
      <c r="J787" s="30"/>
      <c r="K787" s="2">
        <v>1490</v>
      </c>
      <c r="L787" s="2">
        <v>1490</v>
      </c>
      <c r="M787" s="2">
        <f>K787-L787</f>
        <v>0</v>
      </c>
      <c r="N787" s="2">
        <v>879.7</v>
      </c>
      <c r="O787" s="2">
        <v>0</v>
      </c>
      <c r="P787" s="7">
        <f>grand[[#This Row],[total weight]]/grand[[#This Row],[received]]</f>
        <v>49.666666666666664</v>
      </c>
      <c r="Q787" s="7">
        <f>grand[[#This Row],[receiving weight]]/grand[[#This Row],[received]]</f>
        <v>49.666666666666664</v>
      </c>
      <c r="R787" s="7">
        <f>grand[[#This Row],[transportation loss ]]/grand[[#This Row],[received]]</f>
        <v>0</v>
      </c>
      <c r="S787" s="7">
        <f>grand[[#This Row],[ carcass weight]]/grand[[#This Row],[received]]</f>
        <v>29.323333333333334</v>
      </c>
      <c r="T787" s="7">
        <f>grand[[#This Row],[ kidneys fat quantity]]/grand[[#This Row],[received]]</f>
        <v>0</v>
      </c>
      <c r="U787" s="1">
        <v>25</v>
      </c>
      <c r="V787" s="1">
        <v>0</v>
      </c>
      <c r="W787" s="1">
        <v>49.066666666666663</v>
      </c>
      <c r="X787" s="1">
        <v>10</v>
      </c>
      <c r="Y787" s="1">
        <v>8.5</v>
      </c>
      <c r="Z787" s="18">
        <f>grand[[#This Row],[av. Transportation loss]]/grand[[#This Row],[av.total weight]]</f>
        <v>0</v>
      </c>
      <c r="AA787" s="12">
        <f>AVERAGE((grand[[#This Row],[am]]/25),(grand[[#This Row],[pm]]/50))</f>
        <v>0.99066666666666658</v>
      </c>
      <c r="AB787" s="3">
        <f>grand[[#This Row],[ carcass weight]]/grand[[#This Row],[total weight]]</f>
        <v>0.59040268456375844</v>
      </c>
      <c r="AC787" s="18">
        <f>SUM(grand[[#This Row],[am]:[meat transportation]])/100</f>
        <v>0.92566666666666664</v>
      </c>
      <c r="AJ787" s="1">
        <v>0</v>
      </c>
      <c r="AK787" s="1"/>
      <c r="AL787" s="1"/>
    </row>
    <row r="788" spans="1:38" hidden="1" x14ac:dyDescent="0.2">
      <c r="A788" s="11">
        <v>45099</v>
      </c>
      <c r="B788" s="53" t="s">
        <v>1854</v>
      </c>
      <c r="C788" s="52" t="str">
        <f>IF(MID(B788,4,2)="09","Ramadan",IF(AND(MID(B788,4,2)="12",VALUE(LEFT(B788,2))&lt;=9),"Adha Season","Normal"))</f>
        <v>Adha Season</v>
      </c>
      <c r="D788" s="2" t="s">
        <v>294</v>
      </c>
      <c r="F788" s="4" t="s">
        <v>280</v>
      </c>
      <c r="G788" s="1">
        <v>60</v>
      </c>
      <c r="H788" s="1">
        <v>60</v>
      </c>
      <c r="I788" s="1">
        <f>grand[[#This Row],[number]]-grand[[#This Row],[received]]</f>
        <v>0</v>
      </c>
      <c r="J788" s="30"/>
      <c r="K788" s="2">
        <v>3173</v>
      </c>
      <c r="L788" s="2">
        <v>3173</v>
      </c>
      <c r="M788" s="2">
        <f>K788-L788</f>
        <v>0</v>
      </c>
      <c r="N788" s="2">
        <v>1898.2</v>
      </c>
      <c r="O788" s="2">
        <v>0</v>
      </c>
      <c r="P788" s="7">
        <f>grand[[#This Row],[total weight]]/grand[[#This Row],[received]]</f>
        <v>52.883333333333333</v>
      </c>
      <c r="Q788" s="7">
        <f>grand[[#This Row],[receiving weight]]/grand[[#This Row],[received]]</f>
        <v>52.883333333333333</v>
      </c>
      <c r="R788" s="7">
        <f>grand[[#This Row],[transportation loss ]]/grand[[#This Row],[received]]</f>
        <v>0</v>
      </c>
      <c r="S788" s="7">
        <f>grand[[#This Row],[ carcass weight]]/grand[[#This Row],[received]]</f>
        <v>31.636666666666667</v>
      </c>
      <c r="T788" s="7">
        <f>grand[[#This Row],[ kidneys fat quantity]]/grand[[#This Row],[received]]</f>
        <v>0</v>
      </c>
      <c r="U788" s="1">
        <v>25</v>
      </c>
      <c r="V788" s="1">
        <v>0</v>
      </c>
      <c r="W788" s="1">
        <v>49.7</v>
      </c>
      <c r="X788" s="1">
        <v>10</v>
      </c>
      <c r="Y788" s="1">
        <v>8.5</v>
      </c>
      <c r="Z788" s="18">
        <f>grand[[#This Row],[av. Transportation loss]]/grand[[#This Row],[av.total weight]]</f>
        <v>0</v>
      </c>
      <c r="AA788" s="12">
        <f>AVERAGE((grand[[#This Row],[am]]/25),(grand[[#This Row],[pm]]/50))</f>
        <v>0.99700000000000011</v>
      </c>
      <c r="AB788" s="3">
        <f>grand[[#This Row],[ carcass weight]]/grand[[#This Row],[total weight]]</f>
        <v>0.59823510872990859</v>
      </c>
      <c r="AC788" s="18">
        <f>SUM(grand[[#This Row],[am]:[meat transportation]])/100</f>
        <v>0.93200000000000005</v>
      </c>
      <c r="AJ788" s="1">
        <v>0</v>
      </c>
      <c r="AK788" s="1"/>
      <c r="AL788" s="1"/>
    </row>
    <row r="789" spans="1:38" hidden="1" x14ac:dyDescent="0.2">
      <c r="A789" s="11">
        <v>45100</v>
      </c>
      <c r="B789" s="53" t="s">
        <v>1855</v>
      </c>
      <c r="C789" s="52" t="str">
        <f>IF(MID(B789,4,2)="09","Ramadan",IF(AND(MID(B789,4,2)="12",VALUE(LEFT(B789,2))&lt;=9),"Adha Season","Normal"))</f>
        <v>Adha Season</v>
      </c>
      <c r="D789" s="2" t="s">
        <v>294</v>
      </c>
      <c r="F789" s="4" t="s">
        <v>35</v>
      </c>
      <c r="G789" s="1">
        <v>54</v>
      </c>
      <c r="H789" s="1">
        <v>54</v>
      </c>
      <c r="I789" s="1">
        <f>grand[[#This Row],[number]]-grand[[#This Row],[received]]</f>
        <v>0</v>
      </c>
      <c r="J789" s="30"/>
      <c r="K789" s="2">
        <v>2491</v>
      </c>
      <c r="L789" s="2">
        <v>2491</v>
      </c>
      <c r="M789" s="2">
        <f>K789-L789</f>
        <v>0</v>
      </c>
      <c r="N789" s="2">
        <v>1422.2</v>
      </c>
      <c r="O789" s="2">
        <v>0</v>
      </c>
      <c r="P789" s="7">
        <f>grand[[#This Row],[total weight]]/grand[[#This Row],[received]]</f>
        <v>46.129629629629626</v>
      </c>
      <c r="Q789" s="7">
        <f>grand[[#This Row],[receiving weight]]/grand[[#This Row],[received]]</f>
        <v>46.129629629629626</v>
      </c>
      <c r="R789" s="7">
        <f>grand[[#This Row],[transportation loss ]]/grand[[#This Row],[received]]</f>
        <v>0</v>
      </c>
      <c r="S789" s="7">
        <f>grand[[#This Row],[ carcass weight]]/grand[[#This Row],[received]]</f>
        <v>26.337037037037039</v>
      </c>
      <c r="T789" s="7">
        <f>grand[[#This Row],[ kidneys fat quantity]]/grand[[#This Row],[received]]</f>
        <v>0</v>
      </c>
      <c r="U789" s="1">
        <v>25</v>
      </c>
      <c r="V789" s="1">
        <v>0</v>
      </c>
      <c r="W789" s="1">
        <v>49.611111111111107</v>
      </c>
      <c r="X789" s="1">
        <v>10</v>
      </c>
      <c r="Y789" s="1">
        <v>8.5</v>
      </c>
      <c r="Z789" s="18">
        <f>grand[[#This Row],[av. Transportation loss]]/grand[[#This Row],[av.total weight]]</f>
        <v>0</v>
      </c>
      <c r="AA789" s="12">
        <f>AVERAGE((grand[[#This Row],[am]]/25),(grand[[#This Row],[pm]]/50))</f>
        <v>0.99611111111111106</v>
      </c>
      <c r="AB789" s="3">
        <f>grand[[#This Row],[ carcass weight]]/grand[[#This Row],[total weight]]</f>
        <v>0.5709353673223605</v>
      </c>
      <c r="AC789" s="18">
        <f>SUM(grand[[#This Row],[am]:[meat transportation]])/100</f>
        <v>0.93111111111111111</v>
      </c>
      <c r="AJ789" s="1">
        <v>0</v>
      </c>
      <c r="AK789" s="1"/>
      <c r="AL789" s="1"/>
    </row>
    <row r="790" spans="1:38" hidden="1" x14ac:dyDescent="0.2">
      <c r="A790" s="11">
        <v>45101</v>
      </c>
      <c r="B790" s="53" t="s">
        <v>1856</v>
      </c>
      <c r="C790" s="52" t="str">
        <f>IF(MID(B790,4,2)="09","Ramadan",IF(AND(MID(B790,4,2)="12",VALUE(LEFT(B790,2))&lt;=9),"Adha Season","Normal"))</f>
        <v>Adha Season</v>
      </c>
      <c r="D790" s="2" t="s">
        <v>294</v>
      </c>
      <c r="F790" s="4" t="s">
        <v>280</v>
      </c>
      <c r="G790" s="1">
        <v>59</v>
      </c>
      <c r="H790" s="1">
        <v>59</v>
      </c>
      <c r="I790" s="1">
        <f>grand[[#This Row],[number]]-grand[[#This Row],[received]]</f>
        <v>0</v>
      </c>
      <c r="J790" s="30"/>
      <c r="K790" s="2">
        <v>3224</v>
      </c>
      <c r="L790" s="2">
        <v>3224</v>
      </c>
      <c r="M790" s="2">
        <f>K790-L790</f>
        <v>0</v>
      </c>
      <c r="N790" s="2">
        <v>1977.2</v>
      </c>
      <c r="O790" s="2">
        <v>0</v>
      </c>
      <c r="P790" s="7">
        <f>grand[[#This Row],[total weight]]/grand[[#This Row],[received]]</f>
        <v>54.644067796610166</v>
      </c>
      <c r="Q790" s="7">
        <f>grand[[#This Row],[receiving weight]]/grand[[#This Row],[received]]</f>
        <v>54.644067796610166</v>
      </c>
      <c r="R790" s="7">
        <f>grand[[#This Row],[transportation loss ]]/grand[[#This Row],[received]]</f>
        <v>0</v>
      </c>
      <c r="S790" s="7">
        <f>grand[[#This Row],[ carcass weight]]/grand[[#This Row],[received]]</f>
        <v>33.511864406779665</v>
      </c>
      <c r="T790" s="7">
        <f>grand[[#This Row],[ kidneys fat quantity]]/grand[[#This Row],[received]]</f>
        <v>0</v>
      </c>
      <c r="U790" s="1">
        <v>25</v>
      </c>
      <c r="V790" s="1">
        <v>0</v>
      </c>
      <c r="W790" s="1">
        <v>49.711864406779661</v>
      </c>
      <c r="X790" s="1">
        <v>10</v>
      </c>
      <c r="Y790" s="1">
        <v>8.5</v>
      </c>
      <c r="Z790" s="18">
        <f>grand[[#This Row],[av. Transportation loss]]/grand[[#This Row],[av.total weight]]</f>
        <v>0</v>
      </c>
      <c r="AA790" s="12">
        <f>AVERAGE((grand[[#This Row],[am]]/25),(grand[[#This Row],[pm]]/50))</f>
        <v>0.9971186440677966</v>
      </c>
      <c r="AB790" s="3">
        <f>grand[[#This Row],[ carcass weight]]/grand[[#This Row],[total weight]]</f>
        <v>0.61327543424317621</v>
      </c>
      <c r="AC790" s="18">
        <f>SUM(grand[[#This Row],[am]:[meat transportation]])/100</f>
        <v>0.93211864406779654</v>
      </c>
      <c r="AJ790" s="1">
        <v>0</v>
      </c>
      <c r="AK790" s="1"/>
      <c r="AL790" s="1"/>
    </row>
    <row r="791" spans="1:38" hidden="1" x14ac:dyDescent="0.2">
      <c r="A791" s="11">
        <v>45102</v>
      </c>
      <c r="B791" s="53" t="s">
        <v>1857</v>
      </c>
      <c r="C791" s="52" t="str">
        <f>IF(MID(B791,4,2)="09","Ramadan",IF(AND(MID(B791,4,2)="12",VALUE(LEFT(B791,2))&lt;=9),"Adha Season","Normal"))</f>
        <v>Adha Season</v>
      </c>
      <c r="D791" s="2" t="s">
        <v>294</v>
      </c>
      <c r="F791" s="4" t="s">
        <v>35</v>
      </c>
      <c r="G791" s="1">
        <v>98</v>
      </c>
      <c r="H791" s="1">
        <v>98</v>
      </c>
      <c r="I791" s="1">
        <f>grand[[#This Row],[number]]-grand[[#This Row],[received]]</f>
        <v>0</v>
      </c>
      <c r="J791" s="30"/>
      <c r="K791" s="2">
        <v>4658</v>
      </c>
      <c r="L791" s="2">
        <v>4658</v>
      </c>
      <c r="M791" s="2">
        <f>K791-L791</f>
        <v>0</v>
      </c>
      <c r="N791" s="2">
        <v>2555.1999999999998</v>
      </c>
      <c r="O791" s="2">
        <v>0</v>
      </c>
      <c r="P791" s="7">
        <f>grand[[#This Row],[total weight]]/grand[[#This Row],[received]]</f>
        <v>47.530612244897959</v>
      </c>
      <c r="Q791" s="7">
        <f>grand[[#This Row],[receiving weight]]/grand[[#This Row],[received]]</f>
        <v>47.530612244897959</v>
      </c>
      <c r="R791" s="7">
        <f>grand[[#This Row],[transportation loss ]]/grand[[#This Row],[received]]</f>
        <v>0</v>
      </c>
      <c r="S791" s="7">
        <f>grand[[#This Row],[ carcass weight]]/grand[[#This Row],[received]]</f>
        <v>26.0734693877551</v>
      </c>
      <c r="T791" s="7">
        <f>grand[[#This Row],[ kidneys fat quantity]]/grand[[#This Row],[received]]</f>
        <v>0</v>
      </c>
      <c r="U791" s="1">
        <v>25</v>
      </c>
      <c r="V791" s="1">
        <v>0</v>
      </c>
      <c r="W791" s="1">
        <v>49.204081632653057</v>
      </c>
      <c r="X791" s="1">
        <v>10</v>
      </c>
      <c r="Y791" s="1">
        <v>8.5</v>
      </c>
      <c r="Z791" s="18">
        <f>grand[[#This Row],[av. Transportation loss]]/grand[[#This Row],[av.total weight]]</f>
        <v>0</v>
      </c>
      <c r="AA791" s="12">
        <f>AVERAGE((grand[[#This Row],[am]]/25),(grand[[#This Row],[pm]]/50))</f>
        <v>0.99204081632653063</v>
      </c>
      <c r="AB791" s="3">
        <f>grand[[#This Row],[ carcass weight]]/grand[[#This Row],[total weight]]</f>
        <v>0.54856161442679252</v>
      </c>
      <c r="AC791" s="18">
        <f>SUM(grand[[#This Row],[am]:[meat transportation]])/100</f>
        <v>0.92704081632653057</v>
      </c>
      <c r="AJ791" s="1">
        <v>0</v>
      </c>
      <c r="AK791" s="1"/>
      <c r="AL791" s="1"/>
    </row>
    <row r="792" spans="1:38" hidden="1" x14ac:dyDescent="0.2">
      <c r="A792" s="11">
        <v>45103</v>
      </c>
      <c r="B792" s="53" t="s">
        <v>1858</v>
      </c>
      <c r="C792" s="52" t="str">
        <f>IF(MID(B792,4,2)="09","Ramadan",IF(AND(MID(B792,4,2)="12",VALUE(LEFT(B792,2))&lt;=9),"Adha Season","Normal"))</f>
        <v>Adha Season</v>
      </c>
      <c r="D792" s="2" t="s">
        <v>294</v>
      </c>
      <c r="F792" s="4" t="s">
        <v>35</v>
      </c>
      <c r="G792" s="1">
        <v>90</v>
      </c>
      <c r="H792" s="1">
        <v>90</v>
      </c>
      <c r="I792" s="1">
        <f>grand[[#This Row],[number]]-grand[[#This Row],[received]]</f>
        <v>0</v>
      </c>
      <c r="J792" s="30"/>
      <c r="K792" s="2">
        <v>4503</v>
      </c>
      <c r="L792" s="2">
        <v>4503</v>
      </c>
      <c r="M792" s="2">
        <f>K792-L792</f>
        <v>0</v>
      </c>
      <c r="N792" s="2">
        <v>2514.6999999999998</v>
      </c>
      <c r="O792" s="2">
        <v>0</v>
      </c>
      <c r="P792" s="7">
        <f>grand[[#This Row],[total weight]]/grand[[#This Row],[received]]</f>
        <v>50.033333333333331</v>
      </c>
      <c r="Q792" s="7">
        <f>grand[[#This Row],[receiving weight]]/grand[[#This Row],[received]]</f>
        <v>50.033333333333331</v>
      </c>
      <c r="R792" s="7">
        <f>grand[[#This Row],[transportation loss ]]/grand[[#This Row],[received]]</f>
        <v>0</v>
      </c>
      <c r="S792" s="7">
        <f>grand[[#This Row],[ carcass weight]]/grand[[#This Row],[received]]</f>
        <v>27.941111111111109</v>
      </c>
      <c r="T792" s="7">
        <f>grand[[#This Row],[ kidneys fat quantity]]/grand[[#This Row],[received]]</f>
        <v>0</v>
      </c>
      <c r="U792" s="1">
        <v>25</v>
      </c>
      <c r="V792" s="1">
        <v>0</v>
      </c>
      <c r="W792" s="1">
        <v>48.43333333333333</v>
      </c>
      <c r="X792" s="1">
        <v>10</v>
      </c>
      <c r="Y792" s="1">
        <v>8.5</v>
      </c>
      <c r="Z792" s="18">
        <f>grand[[#This Row],[av. Transportation loss]]/grand[[#This Row],[av.total weight]]</f>
        <v>0</v>
      </c>
      <c r="AA792" s="12">
        <f>AVERAGE((grand[[#This Row],[am]]/25),(grand[[#This Row],[pm]]/50))</f>
        <v>0.98433333333333328</v>
      </c>
      <c r="AB792" s="3">
        <f>grand[[#This Row],[ carcass weight]]/grand[[#This Row],[total weight]]</f>
        <v>0.55844992227403945</v>
      </c>
      <c r="AC792" s="18">
        <f>SUM(grand[[#This Row],[am]:[meat transportation]])/100</f>
        <v>0.91933333333333334</v>
      </c>
      <c r="AJ792" s="1">
        <v>0</v>
      </c>
      <c r="AK792" s="1"/>
      <c r="AL792" s="1"/>
    </row>
    <row r="793" spans="1:38" hidden="1" x14ac:dyDescent="0.2">
      <c r="A793" s="11">
        <v>45103</v>
      </c>
      <c r="B793" s="53" t="s">
        <v>1858</v>
      </c>
      <c r="C793" s="52" t="str">
        <f>IF(MID(B793,4,2)="09","Ramadan",IF(AND(MID(B793,4,2)="12",VALUE(LEFT(B793,2))&lt;=9),"Adha Season","Normal"))</f>
        <v>Adha Season</v>
      </c>
      <c r="D793" s="1" t="s">
        <v>45</v>
      </c>
      <c r="E793" s="1" t="s">
        <v>483</v>
      </c>
      <c r="F793" s="4" t="s">
        <v>39</v>
      </c>
      <c r="G793" s="1">
        <v>91</v>
      </c>
      <c r="H793" s="1">
        <v>91</v>
      </c>
      <c r="I793" s="1">
        <f>grand[[#This Row],[number]]-grand[[#This Row],[received]]</f>
        <v>0</v>
      </c>
      <c r="J793" s="30"/>
      <c r="K793" s="2">
        <v>48509</v>
      </c>
      <c r="L793" s="2">
        <v>48509</v>
      </c>
      <c r="M793" s="2">
        <f>K793-L793</f>
        <v>0</v>
      </c>
      <c r="N793" s="2">
        <v>29740.7</v>
      </c>
      <c r="O793" s="2">
        <v>803</v>
      </c>
      <c r="P793" s="7">
        <f>grand[[#This Row],[total weight]]/grand[[#This Row],[received]]</f>
        <v>533.06593406593402</v>
      </c>
      <c r="Q793" s="7">
        <f>grand[[#This Row],[receiving weight]]/grand[[#This Row],[received]]</f>
        <v>533.06593406593402</v>
      </c>
      <c r="R793" s="7">
        <f>grand[[#This Row],[transportation loss ]]/grand[[#This Row],[received]]</f>
        <v>0</v>
      </c>
      <c r="S793" s="7">
        <f>grand[[#This Row],[ carcass weight]]/grand[[#This Row],[received]]</f>
        <v>326.82087912087911</v>
      </c>
      <c r="T793" s="7">
        <f>grand[[#This Row],[ kidneys fat quantity]]/grand[[#This Row],[received]]</f>
        <v>8.8241758241758248</v>
      </c>
      <c r="U793" s="1">
        <v>25</v>
      </c>
      <c r="V793" s="1">
        <v>0</v>
      </c>
      <c r="W793" s="1">
        <v>48.538461538461533</v>
      </c>
      <c r="X793" s="1">
        <v>10</v>
      </c>
      <c r="Y793" s="1">
        <v>8.5</v>
      </c>
      <c r="Z793" s="18">
        <f>grand[[#This Row],[av. Transportation loss]]/grand[[#This Row],[av.total weight]]</f>
        <v>0</v>
      </c>
      <c r="AA793" s="12">
        <f>AVERAGE((grand[[#This Row],[am]]/25),(grand[[#This Row],[pm]]/50))</f>
        <v>0.9853846153846153</v>
      </c>
      <c r="AB793" s="3">
        <f>grand[[#This Row],[ carcass weight]]/grand[[#This Row],[total weight]]</f>
        <v>0.61309653878661696</v>
      </c>
      <c r="AC793" s="18">
        <f>SUM(grand[[#This Row],[am]:[meat transportation]])/100</f>
        <v>0.92038461538461536</v>
      </c>
      <c r="AJ793" s="1">
        <v>0</v>
      </c>
      <c r="AK793" s="1"/>
      <c r="AL793" s="1"/>
    </row>
    <row r="794" spans="1:38" hidden="1" x14ac:dyDescent="0.2">
      <c r="A794" s="11">
        <v>45111</v>
      </c>
      <c r="B794" s="53" t="s">
        <v>2807</v>
      </c>
      <c r="C794" s="52" t="str">
        <f>IF(MID(B794,4,2)="09","Ramadan",IF(AND(MID(B794,4,2)="12",VALUE(LEFT(B794,2))&lt;=9),"Adha Season","Normal"))</f>
        <v>Normal</v>
      </c>
      <c r="D794" s="1" t="s">
        <v>45</v>
      </c>
      <c r="E794" s="1" t="s">
        <v>528</v>
      </c>
      <c r="F794" s="4" t="s">
        <v>39</v>
      </c>
      <c r="G794" s="1">
        <v>42</v>
      </c>
      <c r="H794" s="1">
        <v>42</v>
      </c>
      <c r="I794" s="1">
        <f>grand[[#This Row],[number]]-grand[[#This Row],[received]]</f>
        <v>0</v>
      </c>
      <c r="J794" s="30"/>
      <c r="K794" s="1">
        <v>24260</v>
      </c>
      <c r="L794" s="1">
        <v>23140</v>
      </c>
      <c r="M794" s="2">
        <f>K794-L794</f>
        <v>1120</v>
      </c>
      <c r="N794" s="1">
        <v>15237.5</v>
      </c>
      <c r="O794" s="1">
        <v>386</v>
      </c>
      <c r="P794" s="7">
        <f>grand[[#This Row],[total weight]]/grand[[#This Row],[received]]</f>
        <v>577.61904761904759</v>
      </c>
      <c r="Q794" s="7">
        <f>grand[[#This Row],[receiving weight]]/grand[[#This Row],[received]]</f>
        <v>550.95238095238096</v>
      </c>
      <c r="R794" s="7">
        <f>grand[[#This Row],[transportation loss ]]/grand[[#This Row],[received]]</f>
        <v>26.666666666666668</v>
      </c>
      <c r="S794" s="7">
        <f>grand[[#This Row],[ carcass weight]]/grand[[#This Row],[received]]</f>
        <v>362.79761904761904</v>
      </c>
      <c r="T794" s="7">
        <f>grand[[#This Row],[ kidneys fat quantity]]/grand[[#This Row],[received]]</f>
        <v>9.1904761904761898</v>
      </c>
      <c r="U794" s="1">
        <v>25</v>
      </c>
      <c r="V794" s="1">
        <v>0</v>
      </c>
      <c r="W794" s="1">
        <v>49.738095238095241</v>
      </c>
      <c r="X794" s="1">
        <v>10</v>
      </c>
      <c r="Y794" s="1">
        <v>8.5</v>
      </c>
      <c r="Z794" s="18">
        <f>grand[[#This Row],[av. Transportation loss]]/grand[[#This Row],[av.total weight]]</f>
        <v>4.6166529266281953E-2</v>
      </c>
      <c r="AA794" s="12">
        <f>AVERAGE((grand[[#This Row],[am]]/25),(grand[[#This Row],[pm]]/50))</f>
        <v>0.99738095238095248</v>
      </c>
      <c r="AB794" s="3">
        <f>grand[[#This Row],[ carcass weight]]/grand[[#This Row],[total weight]]</f>
        <v>0.62809150865622421</v>
      </c>
      <c r="AC794" s="18">
        <f>SUM(grand[[#This Row],[am]:[meat transportation]])/100</f>
        <v>0.93238095238095242</v>
      </c>
      <c r="AJ794" s="1">
        <v>0</v>
      </c>
      <c r="AK794" s="1"/>
      <c r="AL794" s="1"/>
    </row>
    <row r="795" spans="1:38" hidden="1" x14ac:dyDescent="0.2">
      <c r="A795" s="11">
        <v>45113</v>
      </c>
      <c r="B795" s="53" t="s">
        <v>2808</v>
      </c>
      <c r="C795" s="52" t="str">
        <f>IF(MID(B795,4,2)="09","Ramadan",IF(AND(MID(B795,4,2)="12",VALUE(LEFT(B795,2))&lt;=9),"Adha Season","Normal"))</f>
        <v>Normal</v>
      </c>
      <c r="D795" s="2" t="s">
        <v>294</v>
      </c>
      <c r="F795" s="4" t="s">
        <v>280</v>
      </c>
      <c r="G795" s="1">
        <v>27</v>
      </c>
      <c r="H795" s="1">
        <v>27</v>
      </c>
      <c r="I795" s="1">
        <f>grand[[#This Row],[number]]-grand[[#This Row],[received]]</f>
        <v>0</v>
      </c>
      <c r="J795" s="30"/>
      <c r="K795" s="1">
        <v>1323</v>
      </c>
      <c r="L795" s="1">
        <v>1280</v>
      </c>
      <c r="M795" s="2">
        <f>K795-L795</f>
        <v>43</v>
      </c>
      <c r="N795" s="1">
        <v>726.9</v>
      </c>
      <c r="O795" s="2"/>
      <c r="P795" s="7">
        <f>grand[[#This Row],[total weight]]/grand[[#This Row],[received]]</f>
        <v>49</v>
      </c>
      <c r="Q795" s="7">
        <f>grand[[#This Row],[receiving weight]]/grand[[#This Row],[received]]</f>
        <v>47.407407407407405</v>
      </c>
      <c r="R795" s="7">
        <f>grand[[#This Row],[transportation loss ]]/grand[[#This Row],[received]]</f>
        <v>1.5925925925925926</v>
      </c>
      <c r="S795" s="7">
        <f>grand[[#This Row],[ carcass weight]]/grand[[#This Row],[received]]</f>
        <v>26.922222222222221</v>
      </c>
      <c r="T795" s="7">
        <f>grand[[#This Row],[ kidneys fat quantity]]/grand[[#This Row],[received]]</f>
        <v>0</v>
      </c>
      <c r="U795" s="1">
        <v>25</v>
      </c>
      <c r="V795" s="1">
        <v>0</v>
      </c>
      <c r="W795" s="1">
        <v>48.518518518518526</v>
      </c>
      <c r="X795" s="1">
        <v>10</v>
      </c>
      <c r="Y795" s="1">
        <v>8.5</v>
      </c>
      <c r="Z795" s="18">
        <f>grand[[#This Row],[av. Transportation loss]]/grand[[#This Row],[av.total weight]]</f>
        <v>3.250188964474679E-2</v>
      </c>
      <c r="AA795" s="12">
        <f>AVERAGE((grand[[#This Row],[am]]/25),(grand[[#This Row],[pm]]/50))</f>
        <v>0.98518518518518527</v>
      </c>
      <c r="AB795" s="3">
        <f>grand[[#This Row],[ carcass weight]]/grand[[#This Row],[total weight]]</f>
        <v>0.54943310657596367</v>
      </c>
      <c r="AC795" s="18">
        <f>SUM(grand[[#This Row],[am]:[meat transportation]])/100</f>
        <v>0.92018518518518533</v>
      </c>
      <c r="AJ795" s="1">
        <v>0</v>
      </c>
      <c r="AK795" s="1"/>
      <c r="AL795" s="1"/>
    </row>
    <row r="796" spans="1:38" hidden="1" x14ac:dyDescent="0.2">
      <c r="A796" s="11">
        <v>45113</v>
      </c>
      <c r="B796" s="53" t="s">
        <v>2808</v>
      </c>
      <c r="C796" s="52" t="str">
        <f>IF(MID(B796,4,2)="09","Ramadan",IF(AND(MID(B796,4,2)="12",VALUE(LEFT(B796,2))&lt;=9),"Adha Season","Normal"))</f>
        <v>Normal</v>
      </c>
      <c r="D796" s="1" t="s">
        <v>45</v>
      </c>
      <c r="E796" s="1" t="s">
        <v>528</v>
      </c>
      <c r="F796" s="4" t="s">
        <v>39</v>
      </c>
      <c r="G796" s="1">
        <v>55</v>
      </c>
      <c r="H796" s="1">
        <v>55</v>
      </c>
      <c r="I796" s="1">
        <f>grand[[#This Row],[number]]-grand[[#This Row],[received]]</f>
        <v>0</v>
      </c>
      <c r="J796" s="30"/>
      <c r="K796" s="2">
        <v>31013</v>
      </c>
      <c r="L796" s="2">
        <v>29725</v>
      </c>
      <c r="M796" s="2">
        <f>K796-L796</f>
        <v>1288</v>
      </c>
      <c r="N796" s="2">
        <v>19483.8</v>
      </c>
      <c r="O796" s="2">
        <v>395</v>
      </c>
      <c r="P796" s="7">
        <f>grand[[#This Row],[total weight]]/grand[[#This Row],[received]]</f>
        <v>563.87272727272727</v>
      </c>
      <c r="Q796" s="7">
        <f>grand[[#This Row],[receiving weight]]/grand[[#This Row],[received]]</f>
        <v>540.4545454545455</v>
      </c>
      <c r="R796" s="7">
        <f>grand[[#This Row],[transportation loss ]]/grand[[#This Row],[received]]</f>
        <v>23.418181818181818</v>
      </c>
      <c r="S796" s="7">
        <f>grand[[#This Row],[ carcass weight]]/grand[[#This Row],[received]]</f>
        <v>354.25090909090909</v>
      </c>
      <c r="T796" s="7">
        <f>grand[[#This Row],[ kidneys fat quantity]]/grand[[#This Row],[received]]</f>
        <v>7.1818181818181817</v>
      </c>
      <c r="U796" s="1">
        <v>25</v>
      </c>
      <c r="V796" s="1">
        <v>0</v>
      </c>
      <c r="W796" s="1">
        <v>49</v>
      </c>
      <c r="X796" s="1">
        <v>10</v>
      </c>
      <c r="Y796" s="1">
        <v>8.5</v>
      </c>
      <c r="Z796" s="18">
        <f>grand[[#This Row],[av. Transportation loss]]/grand[[#This Row],[av.total weight]]</f>
        <v>4.1530970883178024E-2</v>
      </c>
      <c r="AA796" s="12">
        <f>AVERAGE((grand[[#This Row],[am]]/25),(grand[[#This Row],[pm]]/50))</f>
        <v>0.99</v>
      </c>
      <c r="AB796" s="3">
        <f>grand[[#This Row],[ carcass weight]]/grand[[#This Row],[total weight]]</f>
        <v>0.62824621932737879</v>
      </c>
      <c r="AC796" s="18">
        <f>SUM(grand[[#This Row],[am]:[meat transportation]])/100</f>
        <v>0.92500000000000004</v>
      </c>
      <c r="AJ796" s="1">
        <v>0</v>
      </c>
      <c r="AK796" s="1"/>
      <c r="AL796" s="1"/>
    </row>
    <row r="797" spans="1:38" hidden="1" x14ac:dyDescent="0.2">
      <c r="A797" s="11">
        <v>45118</v>
      </c>
      <c r="B797" s="53" t="s">
        <v>2810</v>
      </c>
      <c r="C797" s="52" t="str">
        <f>IF(MID(B797,4,2)="09","Ramadan",IF(AND(MID(B797,4,2)="12",VALUE(LEFT(B797,2))&lt;=9),"Adha Season","Normal"))</f>
        <v>Normal</v>
      </c>
      <c r="D797" s="1" t="s">
        <v>45</v>
      </c>
      <c r="E797" s="1" t="s">
        <v>483</v>
      </c>
      <c r="F797" s="4" t="s">
        <v>280</v>
      </c>
      <c r="G797" s="1">
        <v>44</v>
      </c>
      <c r="H797" s="1">
        <v>44</v>
      </c>
      <c r="I797" s="1">
        <f>grand[[#This Row],[number]]-grand[[#This Row],[received]]</f>
        <v>0</v>
      </c>
      <c r="J797" s="30"/>
      <c r="K797" s="2">
        <v>20729</v>
      </c>
      <c r="L797" s="2">
        <v>20140</v>
      </c>
      <c r="M797" s="2">
        <f>K797-L797</f>
        <v>589</v>
      </c>
      <c r="N797" s="2">
        <v>12436.9</v>
      </c>
      <c r="O797" s="2">
        <v>391</v>
      </c>
      <c r="P797" s="7">
        <f>grand[[#This Row],[total weight]]/grand[[#This Row],[received]]</f>
        <v>471.11363636363637</v>
      </c>
      <c r="Q797" s="7">
        <f>grand[[#This Row],[receiving weight]]/grand[[#This Row],[received]]</f>
        <v>457.72727272727275</v>
      </c>
      <c r="R797" s="7">
        <f>grand[[#This Row],[transportation loss ]]/grand[[#This Row],[received]]</f>
        <v>13.386363636363637</v>
      </c>
      <c r="S797" s="7">
        <f>grand[[#This Row],[ carcass weight]]/grand[[#This Row],[received]]</f>
        <v>282.65681818181815</v>
      </c>
      <c r="T797" s="7">
        <f>grand[[#This Row],[ kidneys fat quantity]]/grand[[#This Row],[received]]</f>
        <v>8.8863636363636367</v>
      </c>
      <c r="U797" s="1">
        <v>25</v>
      </c>
      <c r="V797" s="1">
        <v>0</v>
      </c>
      <c r="W797" s="1">
        <v>49.18181818181818</v>
      </c>
      <c r="X797" s="1">
        <v>10</v>
      </c>
      <c r="Y797" s="1">
        <v>8.5</v>
      </c>
      <c r="Z797" s="18">
        <f>grand[[#This Row],[av. Transportation loss]]/grand[[#This Row],[av.total weight]]</f>
        <v>2.8414298808432631E-2</v>
      </c>
      <c r="AA797" s="12">
        <f>AVERAGE((grand[[#This Row],[am]]/25),(grand[[#This Row],[pm]]/50))</f>
        <v>0.99181818181818182</v>
      </c>
      <c r="AB797" s="3">
        <f>grand[[#This Row],[ carcass weight]]/grand[[#This Row],[total weight]]</f>
        <v>0.59997587920304885</v>
      </c>
      <c r="AC797" s="18">
        <f>SUM(grand[[#This Row],[am]:[meat transportation]])/100</f>
        <v>0.92681818181818187</v>
      </c>
      <c r="AJ797" s="1">
        <v>8</v>
      </c>
      <c r="AK797" s="1"/>
      <c r="AL797" s="1"/>
    </row>
    <row r="798" spans="1:38" hidden="1" x14ac:dyDescent="0.2">
      <c r="A798" s="11">
        <v>45120</v>
      </c>
      <c r="B798" s="53" t="s">
        <v>2811</v>
      </c>
      <c r="C798" s="52" t="str">
        <f>IF(MID(B798,4,2)="09","Ramadan",IF(AND(MID(B798,4,2)="12",VALUE(LEFT(B798,2))&lt;=9),"Adha Season","Normal"))</f>
        <v>Normal</v>
      </c>
      <c r="D798" s="1" t="s">
        <v>45</v>
      </c>
      <c r="E798" s="1" t="s">
        <v>483</v>
      </c>
      <c r="F798" s="4" t="s">
        <v>39</v>
      </c>
      <c r="G798" s="1">
        <v>56</v>
      </c>
      <c r="H798" s="1">
        <v>56</v>
      </c>
      <c r="I798" s="1">
        <f>grand[[#This Row],[number]]-grand[[#This Row],[received]]</f>
        <v>0</v>
      </c>
      <c r="J798" s="30"/>
      <c r="K798" s="2">
        <v>24323</v>
      </c>
      <c r="L798" s="2">
        <v>22840</v>
      </c>
      <c r="M798" s="2">
        <f>K798-L798</f>
        <v>1483</v>
      </c>
      <c r="N798" s="2">
        <v>14667.9</v>
      </c>
      <c r="O798" s="2">
        <v>515</v>
      </c>
      <c r="P798" s="7">
        <f>grand[[#This Row],[total weight]]/grand[[#This Row],[received]]</f>
        <v>434.33928571428572</v>
      </c>
      <c r="Q798" s="7">
        <f>grand[[#This Row],[receiving weight]]/grand[[#This Row],[received]]</f>
        <v>407.85714285714283</v>
      </c>
      <c r="R798" s="7">
        <f>grand[[#This Row],[transportation loss ]]/grand[[#This Row],[received]]</f>
        <v>26.482142857142858</v>
      </c>
      <c r="S798" s="7">
        <f>grand[[#This Row],[ carcass weight]]/grand[[#This Row],[received]]</f>
        <v>261.9267857142857</v>
      </c>
      <c r="T798" s="7">
        <f>grand[[#This Row],[ kidneys fat quantity]]/grand[[#This Row],[received]]</f>
        <v>9.1964285714285712</v>
      </c>
      <c r="U798" s="1">
        <v>25</v>
      </c>
      <c r="V798" s="1">
        <v>0</v>
      </c>
      <c r="W798" s="1">
        <v>49.25</v>
      </c>
      <c r="X798" s="1">
        <v>10</v>
      </c>
      <c r="Y798" s="1">
        <v>8.5</v>
      </c>
      <c r="Z798" s="18">
        <f>grand[[#This Row],[av. Transportation loss]]/grand[[#This Row],[av.total weight]]</f>
        <v>6.0971097315298275E-2</v>
      </c>
      <c r="AA798" s="12">
        <f>AVERAGE((grand[[#This Row],[am]]/25),(grand[[#This Row],[pm]]/50))</f>
        <v>0.99249999999999994</v>
      </c>
      <c r="AB798" s="3">
        <f>grand[[#This Row],[ carcass weight]]/grand[[#This Row],[total weight]]</f>
        <v>0.60304649919828968</v>
      </c>
      <c r="AC798" s="18">
        <f>SUM(grand[[#This Row],[am]:[meat transportation]])/100</f>
        <v>0.92749999999999999</v>
      </c>
      <c r="AJ798" s="1">
        <v>3</v>
      </c>
      <c r="AK798" s="1"/>
      <c r="AL798" s="1"/>
    </row>
    <row r="799" spans="1:38" hidden="1" x14ac:dyDescent="0.2">
      <c r="A799" s="11">
        <v>45124</v>
      </c>
      <c r="B799" s="53" t="s">
        <v>1859</v>
      </c>
      <c r="C799" s="52" t="str">
        <f>IF(MID(B799,4,2)="09","Ramadan",IF(AND(MID(B799,4,2)="12",VALUE(LEFT(B799,2))&lt;=9),"Adha Season","Normal"))</f>
        <v>Normal</v>
      </c>
      <c r="D799" s="1" t="s">
        <v>45</v>
      </c>
      <c r="E799" s="1" t="s">
        <v>483</v>
      </c>
      <c r="F799" s="4" t="s">
        <v>39</v>
      </c>
      <c r="G799" s="1">
        <v>21</v>
      </c>
      <c r="H799" s="1">
        <v>21</v>
      </c>
      <c r="I799" s="1">
        <f>grand[[#This Row],[number]]-grand[[#This Row],[received]]</f>
        <v>0</v>
      </c>
      <c r="J799" s="30"/>
      <c r="K799" s="2">
        <v>10509</v>
      </c>
      <c r="L799" s="2">
        <v>10509</v>
      </c>
      <c r="M799" s="2">
        <f>K799-L799</f>
        <v>0</v>
      </c>
      <c r="N799" s="2">
        <v>6722.1</v>
      </c>
      <c r="O799" s="2">
        <v>76</v>
      </c>
      <c r="P799" s="7">
        <f>grand[[#This Row],[total weight]]/grand[[#This Row],[received]]</f>
        <v>500.42857142857144</v>
      </c>
      <c r="Q799" s="7">
        <f>grand[[#This Row],[receiving weight]]/grand[[#This Row],[received]]</f>
        <v>500.42857142857144</v>
      </c>
      <c r="R799" s="7">
        <f>grand[[#This Row],[transportation loss ]]/grand[[#This Row],[received]]</f>
        <v>0</v>
      </c>
      <c r="S799" s="7">
        <f>grand[[#This Row],[ carcass weight]]/grand[[#This Row],[received]]</f>
        <v>320.10000000000002</v>
      </c>
      <c r="T799" s="7">
        <f>grand[[#This Row],[ kidneys fat quantity]]/grand[[#This Row],[received]]</f>
        <v>3.6190476190476191</v>
      </c>
      <c r="U799" s="1">
        <v>25</v>
      </c>
      <c r="V799" s="1">
        <v>0</v>
      </c>
      <c r="W799" s="1">
        <v>50</v>
      </c>
      <c r="X799" s="1">
        <v>10</v>
      </c>
      <c r="Y799" s="1">
        <v>8.5</v>
      </c>
      <c r="Z799" s="18">
        <f>grand[[#This Row],[av. Transportation loss]]/grand[[#This Row],[av.total weight]]</f>
        <v>0</v>
      </c>
      <c r="AA799" s="12">
        <f>AVERAGE((grand[[#This Row],[am]]/25),(grand[[#This Row],[pm]]/50))</f>
        <v>1</v>
      </c>
      <c r="AB799" s="3">
        <f>grand[[#This Row],[ carcass weight]]/grand[[#This Row],[total weight]]</f>
        <v>0.63965172709106488</v>
      </c>
      <c r="AC799" s="18">
        <f>SUM(grand[[#This Row],[am]:[meat transportation]])/100</f>
        <v>0.93500000000000005</v>
      </c>
      <c r="AJ799" s="1">
        <v>0</v>
      </c>
      <c r="AK799" s="1"/>
      <c r="AL799" s="1"/>
    </row>
    <row r="800" spans="1:38" hidden="1" x14ac:dyDescent="0.2">
      <c r="A800" s="11">
        <v>45125</v>
      </c>
      <c r="B800" s="53" t="s">
        <v>1860</v>
      </c>
      <c r="C800" s="52" t="str">
        <f>IF(MID(B800,4,2)="09","Ramadan",IF(AND(MID(B800,4,2)="12",VALUE(LEFT(B800,2))&lt;=9),"Adha Season","Normal"))</f>
        <v>Normal</v>
      </c>
      <c r="D800" s="2" t="s">
        <v>294</v>
      </c>
      <c r="F800" s="4" t="s">
        <v>280</v>
      </c>
      <c r="G800" s="1">
        <v>25</v>
      </c>
      <c r="H800" s="1">
        <v>25</v>
      </c>
      <c r="I800" s="1">
        <f>grand[[#This Row],[number]]-grand[[#This Row],[received]]</f>
        <v>0</v>
      </c>
      <c r="J800" s="30"/>
      <c r="K800" s="2">
        <v>1194</v>
      </c>
      <c r="L800" s="2">
        <v>1194</v>
      </c>
      <c r="M800" s="2">
        <f>K800-L800</f>
        <v>0</v>
      </c>
      <c r="N800" s="2">
        <v>699</v>
      </c>
      <c r="O800" s="2">
        <v>0</v>
      </c>
      <c r="P800" s="7">
        <f>grand[[#This Row],[total weight]]/grand[[#This Row],[received]]</f>
        <v>47.76</v>
      </c>
      <c r="Q800" s="7">
        <f>grand[[#This Row],[receiving weight]]/grand[[#This Row],[received]]</f>
        <v>47.76</v>
      </c>
      <c r="R800" s="7">
        <f>grand[[#This Row],[transportation loss ]]/grand[[#This Row],[received]]</f>
        <v>0</v>
      </c>
      <c r="S800" s="7">
        <f>grand[[#This Row],[ carcass weight]]/grand[[#This Row],[received]]</f>
        <v>27.96</v>
      </c>
      <c r="T800" s="7">
        <f>grand[[#This Row],[ kidneys fat quantity]]/grand[[#This Row],[received]]</f>
        <v>0</v>
      </c>
      <c r="U800" s="1">
        <v>25</v>
      </c>
      <c r="V800" s="1">
        <v>0</v>
      </c>
      <c r="W800" s="1">
        <v>49.440000000000005</v>
      </c>
      <c r="X800" s="1">
        <v>10</v>
      </c>
      <c r="Y800" s="1">
        <v>8.5</v>
      </c>
      <c r="Z800" s="18">
        <f>grand[[#This Row],[av. Transportation loss]]/grand[[#This Row],[av.total weight]]</f>
        <v>0</v>
      </c>
      <c r="AA800" s="12">
        <f>AVERAGE((grand[[#This Row],[am]]/25),(grand[[#This Row],[pm]]/50))</f>
        <v>0.99440000000000006</v>
      </c>
      <c r="AB800" s="3">
        <f>grand[[#This Row],[ carcass weight]]/grand[[#This Row],[total weight]]</f>
        <v>0.585427135678392</v>
      </c>
      <c r="AC800" s="18">
        <f>SUM(grand[[#This Row],[am]:[meat transportation]])/100</f>
        <v>0.9294</v>
      </c>
      <c r="AJ800" s="1">
        <v>0</v>
      </c>
      <c r="AK800" s="1"/>
      <c r="AL800" s="1"/>
    </row>
    <row r="801" spans="1:38" hidden="1" x14ac:dyDescent="0.2">
      <c r="A801" s="11">
        <v>45127</v>
      </c>
      <c r="B801" s="53" t="s">
        <v>2813</v>
      </c>
      <c r="C801" s="52" t="str">
        <f>IF(MID(B801,4,2)="09","Ramadan",IF(AND(MID(B801,4,2)="12",VALUE(LEFT(B801,2))&lt;=9),"Adha Season","Normal"))</f>
        <v>Normal</v>
      </c>
      <c r="D801" s="2" t="s">
        <v>294</v>
      </c>
      <c r="E801" s="1" t="s">
        <v>577</v>
      </c>
      <c r="F801" s="4" t="s">
        <v>334</v>
      </c>
      <c r="G801" s="1">
        <v>7</v>
      </c>
      <c r="H801" s="1">
        <v>7</v>
      </c>
      <c r="I801" s="1">
        <f>grand[[#This Row],[number]]-grand[[#This Row],[received]]</f>
        <v>0</v>
      </c>
      <c r="J801" s="30"/>
      <c r="K801" s="2">
        <v>191</v>
      </c>
      <c r="L801" s="2">
        <v>191</v>
      </c>
      <c r="M801" s="2">
        <f>K801-L801</f>
        <v>0</v>
      </c>
      <c r="N801" s="2">
        <v>112.4</v>
      </c>
      <c r="O801" s="2">
        <v>0</v>
      </c>
      <c r="P801" s="7">
        <f>grand[[#This Row],[total weight]]/grand[[#This Row],[received]]</f>
        <v>27.285714285714285</v>
      </c>
      <c r="Q801" s="7">
        <f>grand[[#This Row],[receiving weight]]/grand[[#This Row],[received]]</f>
        <v>27.285714285714285</v>
      </c>
      <c r="R801" s="7">
        <f>grand[[#This Row],[transportation loss ]]/grand[[#This Row],[received]]</f>
        <v>0</v>
      </c>
      <c r="S801" s="7">
        <f>grand[[#This Row],[ carcass weight]]/grand[[#This Row],[received]]</f>
        <v>16.057142857142857</v>
      </c>
      <c r="T801" s="7">
        <f>grand[[#This Row],[ kidneys fat quantity]]/grand[[#This Row],[received]]</f>
        <v>0</v>
      </c>
      <c r="U801" s="1">
        <v>25</v>
      </c>
      <c r="V801" s="1">
        <v>0</v>
      </c>
      <c r="W801" s="1">
        <v>50</v>
      </c>
      <c r="X801" s="1">
        <v>10</v>
      </c>
      <c r="Y801" s="1">
        <v>8.5</v>
      </c>
      <c r="Z801" s="18">
        <f>grand[[#This Row],[av. Transportation loss]]/grand[[#This Row],[av.total weight]]</f>
        <v>0</v>
      </c>
      <c r="AA801" s="12">
        <f>AVERAGE((grand[[#This Row],[am]]/25),(grand[[#This Row],[pm]]/50))</f>
        <v>1</v>
      </c>
      <c r="AB801" s="3">
        <f>grand[[#This Row],[ carcass weight]]/grand[[#This Row],[total weight]]</f>
        <v>0.58848167539267016</v>
      </c>
      <c r="AC801" s="18">
        <f>SUM(grand[[#This Row],[am]:[meat transportation]])/100</f>
        <v>0.93500000000000005</v>
      </c>
      <c r="AJ801" s="1">
        <v>0</v>
      </c>
      <c r="AK801" s="1"/>
      <c r="AL801" s="1"/>
    </row>
    <row r="802" spans="1:38" hidden="1" x14ac:dyDescent="0.2">
      <c r="A802" s="11">
        <v>45130</v>
      </c>
      <c r="B802" s="53" t="s">
        <v>2814</v>
      </c>
      <c r="C802" s="52" t="str">
        <f>IF(MID(B802,4,2)="09","Ramadan",IF(AND(MID(B802,4,2)="12",VALUE(LEFT(B802,2))&lt;=9),"Adha Season","Normal"))</f>
        <v>Normal</v>
      </c>
      <c r="D802" s="1" t="s">
        <v>45</v>
      </c>
      <c r="E802" s="1" t="s">
        <v>483</v>
      </c>
      <c r="F802" s="4" t="s">
        <v>280</v>
      </c>
      <c r="G802" s="1">
        <v>8</v>
      </c>
      <c r="H802" s="1">
        <v>8</v>
      </c>
      <c r="I802" s="1">
        <f>grand[[#This Row],[number]]-grand[[#This Row],[received]]</f>
        <v>0</v>
      </c>
      <c r="J802" s="30"/>
      <c r="K802" s="2">
        <v>2829</v>
      </c>
      <c r="L802" s="2">
        <v>2829</v>
      </c>
      <c r="M802" s="2">
        <f>K802-L802</f>
        <v>0</v>
      </c>
      <c r="N802" s="2">
        <v>1697.55</v>
      </c>
      <c r="O802" s="2">
        <v>24</v>
      </c>
      <c r="P802" s="7">
        <f>grand[[#This Row],[total weight]]/grand[[#This Row],[received]]</f>
        <v>353.625</v>
      </c>
      <c r="Q802" s="7">
        <f>grand[[#This Row],[receiving weight]]/grand[[#This Row],[received]]</f>
        <v>353.625</v>
      </c>
      <c r="R802" s="7">
        <f>grand[[#This Row],[transportation loss ]]/grand[[#This Row],[received]]</f>
        <v>0</v>
      </c>
      <c r="S802" s="7">
        <f>grand[[#This Row],[ carcass weight]]/grand[[#This Row],[received]]</f>
        <v>212.19374999999999</v>
      </c>
      <c r="T802" s="7">
        <f>grand[[#This Row],[ kidneys fat quantity]]/grand[[#This Row],[received]]</f>
        <v>3</v>
      </c>
      <c r="U802" s="1">
        <v>24.125</v>
      </c>
      <c r="V802" s="1">
        <v>0</v>
      </c>
      <c r="W802" s="1">
        <v>46.25</v>
      </c>
      <c r="X802" s="1">
        <v>10</v>
      </c>
      <c r="Y802" s="1">
        <v>8.5</v>
      </c>
      <c r="Z802" s="18">
        <f>grand[[#This Row],[av. Transportation loss]]/grand[[#This Row],[av.total weight]]</f>
        <v>0</v>
      </c>
      <c r="AA802" s="12">
        <f>AVERAGE((grand[[#This Row],[am]]/25),(grand[[#This Row],[pm]]/50))</f>
        <v>0.94500000000000006</v>
      </c>
      <c r="AB802" s="3">
        <f>grand[[#This Row],[ carcass weight]]/grand[[#This Row],[total weight]]</f>
        <v>0.60005302226935309</v>
      </c>
      <c r="AC802" s="18">
        <f>SUM(grand[[#This Row],[am]:[meat transportation]])/100</f>
        <v>0.88875000000000004</v>
      </c>
      <c r="AJ802" s="1">
        <v>4</v>
      </c>
      <c r="AK802" s="1"/>
      <c r="AL802" s="1"/>
    </row>
    <row r="803" spans="1:38" hidden="1" x14ac:dyDescent="0.2">
      <c r="A803" s="11">
        <v>45130</v>
      </c>
      <c r="B803" s="53" t="s">
        <v>2814</v>
      </c>
      <c r="C803" s="52" t="str">
        <f>IF(MID(B803,4,2)="09","Ramadan",IF(AND(MID(B803,4,2)="12",VALUE(LEFT(B803,2))&lt;=9),"Adha Season","Normal"))</f>
        <v>Normal</v>
      </c>
      <c r="D803" s="1" t="s">
        <v>45</v>
      </c>
      <c r="E803" s="1" t="s">
        <v>528</v>
      </c>
      <c r="F803" s="4" t="s">
        <v>43</v>
      </c>
      <c r="G803" s="1">
        <v>42</v>
      </c>
      <c r="H803" s="1">
        <v>42</v>
      </c>
      <c r="I803" s="1">
        <f>grand[[#This Row],[number]]-grand[[#This Row],[received]]</f>
        <v>0</v>
      </c>
      <c r="J803" s="30"/>
      <c r="K803" s="2">
        <v>21782</v>
      </c>
      <c r="L803" s="2">
        <v>21782</v>
      </c>
      <c r="M803" s="2">
        <f>K803-L803</f>
        <v>0</v>
      </c>
      <c r="N803" s="2">
        <v>13324.35</v>
      </c>
      <c r="O803" s="2">
        <v>238</v>
      </c>
      <c r="P803" s="7">
        <f>grand[[#This Row],[total weight]]/grand[[#This Row],[received]]</f>
        <v>518.61904761904759</v>
      </c>
      <c r="Q803" s="7">
        <f>grand[[#This Row],[receiving weight]]/grand[[#This Row],[received]]</f>
        <v>518.61904761904759</v>
      </c>
      <c r="R803" s="7">
        <f>grand[[#This Row],[transportation loss ]]/grand[[#This Row],[received]]</f>
        <v>0</v>
      </c>
      <c r="S803" s="7">
        <f>grand[[#This Row],[ carcass weight]]/grand[[#This Row],[received]]</f>
        <v>317.24642857142857</v>
      </c>
      <c r="T803" s="7">
        <f>grand[[#This Row],[ kidneys fat quantity]]/grand[[#This Row],[received]]</f>
        <v>5.666666666666667</v>
      </c>
      <c r="U803" s="1">
        <v>25</v>
      </c>
      <c r="V803" s="1">
        <v>0</v>
      </c>
      <c r="W803" s="1">
        <v>44.833333333333329</v>
      </c>
      <c r="X803" s="1">
        <v>10</v>
      </c>
      <c r="Y803" s="1">
        <v>8.5</v>
      </c>
      <c r="Z803" s="18">
        <f>grand[[#This Row],[av. Transportation loss]]/grand[[#This Row],[av.total weight]]</f>
        <v>0</v>
      </c>
      <c r="AA803" s="12">
        <f>AVERAGE((grand[[#This Row],[am]]/25),(grand[[#This Row],[pm]]/50))</f>
        <v>0.94833333333333325</v>
      </c>
      <c r="AB803" s="3">
        <f>grand[[#This Row],[ carcass weight]]/grand[[#This Row],[total weight]]</f>
        <v>0.61171380038563949</v>
      </c>
      <c r="AC803" s="18">
        <f>SUM(grand[[#This Row],[am]:[meat transportation]])/100</f>
        <v>0.8833333333333333</v>
      </c>
      <c r="AJ803" s="1">
        <v>4</v>
      </c>
      <c r="AK803" s="1"/>
      <c r="AL803" s="1"/>
    </row>
    <row r="804" spans="1:38" hidden="1" x14ac:dyDescent="0.2">
      <c r="A804" s="11">
        <v>45132</v>
      </c>
      <c r="B804" s="53" t="s">
        <v>2815</v>
      </c>
      <c r="C804" s="52" t="str">
        <f>IF(MID(B804,4,2)="09","Ramadan",IF(AND(MID(B804,4,2)="12",VALUE(LEFT(B804,2))&lt;=9),"Adha Season","Normal"))</f>
        <v>Normal</v>
      </c>
      <c r="D804" s="2" t="s">
        <v>294</v>
      </c>
      <c r="F804" s="4" t="s">
        <v>280</v>
      </c>
      <c r="G804" s="1">
        <v>25</v>
      </c>
      <c r="H804" s="1">
        <v>25</v>
      </c>
      <c r="I804" s="1">
        <f>grand[[#This Row],[number]]-grand[[#This Row],[received]]</f>
        <v>0</v>
      </c>
      <c r="J804" s="30"/>
      <c r="K804" s="2">
        <v>1214</v>
      </c>
      <c r="L804" s="2">
        <v>1214</v>
      </c>
      <c r="M804" s="2">
        <f>K804-L804</f>
        <v>0</v>
      </c>
      <c r="N804" s="2">
        <v>675.4</v>
      </c>
      <c r="O804" s="2">
        <v>0</v>
      </c>
      <c r="P804" s="7">
        <f>grand[[#This Row],[total weight]]/grand[[#This Row],[received]]</f>
        <v>48.56</v>
      </c>
      <c r="Q804" s="7">
        <f>grand[[#This Row],[receiving weight]]/grand[[#This Row],[received]]</f>
        <v>48.56</v>
      </c>
      <c r="R804" s="7">
        <f>grand[[#This Row],[transportation loss ]]/grand[[#This Row],[received]]</f>
        <v>0</v>
      </c>
      <c r="S804" s="7">
        <f>grand[[#This Row],[ carcass weight]]/grand[[#This Row],[received]]</f>
        <v>27.015999999999998</v>
      </c>
      <c r="T804" s="7">
        <f>grand[[#This Row],[ kidneys fat quantity]]/grand[[#This Row],[received]]</f>
        <v>0</v>
      </c>
      <c r="U804" s="1">
        <v>25</v>
      </c>
      <c r="V804" s="1">
        <v>0</v>
      </c>
      <c r="W804" s="1">
        <v>47.24</v>
      </c>
      <c r="X804" s="1">
        <v>10</v>
      </c>
      <c r="Y804" s="1">
        <v>8.5</v>
      </c>
      <c r="Z804" s="18">
        <f>grand[[#This Row],[av. Transportation loss]]/grand[[#This Row],[av.total weight]]</f>
        <v>0</v>
      </c>
      <c r="AA804" s="12">
        <f>AVERAGE((grand[[#This Row],[am]]/25),(grand[[#This Row],[pm]]/50))</f>
        <v>0.97240000000000004</v>
      </c>
      <c r="AB804" s="3">
        <f>grand[[#This Row],[ carcass weight]]/grand[[#This Row],[total weight]]</f>
        <v>0.55634266886326189</v>
      </c>
      <c r="AC804" s="18">
        <f>SUM(grand[[#This Row],[am]:[meat transportation]])/100</f>
        <v>0.9074000000000001</v>
      </c>
      <c r="AJ804" s="1">
        <v>0</v>
      </c>
      <c r="AK804" s="1"/>
      <c r="AL804" s="1"/>
    </row>
    <row r="805" spans="1:38" hidden="1" x14ac:dyDescent="0.2">
      <c r="A805" s="11">
        <v>45133</v>
      </c>
      <c r="B805" s="53" t="s">
        <v>1861</v>
      </c>
      <c r="C805" s="52" t="str">
        <f>IF(MID(B805,4,2)="09","Ramadan",IF(AND(MID(B805,4,2)="12",VALUE(LEFT(B805,2))&lt;=9),"Adha Season","Normal"))</f>
        <v>Normal</v>
      </c>
      <c r="D805" s="1" t="s">
        <v>45</v>
      </c>
      <c r="E805" s="1" t="s">
        <v>483</v>
      </c>
      <c r="F805" s="4" t="s">
        <v>39</v>
      </c>
      <c r="G805" s="1">
        <v>21</v>
      </c>
      <c r="H805" s="1">
        <v>21</v>
      </c>
      <c r="I805" s="1">
        <f>grand[[#This Row],[number]]-grand[[#This Row],[received]]</f>
        <v>0</v>
      </c>
      <c r="J805" s="30"/>
      <c r="K805" s="2">
        <v>9559</v>
      </c>
      <c r="L805" s="2">
        <v>9130</v>
      </c>
      <c r="M805" s="2">
        <f>K805-L805</f>
        <v>429</v>
      </c>
      <c r="N805" s="2">
        <v>5909.9</v>
      </c>
      <c r="O805" s="2">
        <v>213</v>
      </c>
      <c r="P805" s="7">
        <f>grand[[#This Row],[total weight]]/grand[[#This Row],[received]]</f>
        <v>455.1904761904762</v>
      </c>
      <c r="Q805" s="7">
        <f>grand[[#This Row],[receiving weight]]/grand[[#This Row],[received]]</f>
        <v>434.76190476190476</v>
      </c>
      <c r="R805" s="7">
        <f>grand[[#This Row],[transportation loss ]]/grand[[#This Row],[received]]</f>
        <v>20.428571428571427</v>
      </c>
      <c r="S805" s="7">
        <f>grand[[#This Row],[ carcass weight]]/grand[[#This Row],[received]]</f>
        <v>281.4238095238095</v>
      </c>
      <c r="T805" s="7">
        <f>grand[[#This Row],[ kidneys fat quantity]]/grand[[#This Row],[received]]</f>
        <v>10.142857142857142</v>
      </c>
      <c r="U805" s="1">
        <v>25</v>
      </c>
      <c r="V805" s="1">
        <v>0</v>
      </c>
      <c r="W805" s="1">
        <v>48.19047619047619</v>
      </c>
      <c r="X805" s="1">
        <v>10</v>
      </c>
      <c r="Y805" s="1">
        <v>8.5</v>
      </c>
      <c r="Z805" s="18">
        <f>grand[[#This Row],[av. Transportation loss]]/grand[[#This Row],[av.total weight]]</f>
        <v>4.4879171461449936E-2</v>
      </c>
      <c r="AA805" s="12">
        <f>AVERAGE((grand[[#This Row],[am]]/25),(grand[[#This Row],[pm]]/50))</f>
        <v>0.98190476190476184</v>
      </c>
      <c r="AB805" s="3">
        <f>grand[[#This Row],[ carcass weight]]/grand[[#This Row],[total weight]]</f>
        <v>0.6182550475991212</v>
      </c>
      <c r="AC805" s="18">
        <f>SUM(grand[[#This Row],[am]:[meat transportation]])/100</f>
        <v>0.91690476190476189</v>
      </c>
      <c r="AJ805" s="1">
        <v>4</v>
      </c>
      <c r="AK805" s="1"/>
      <c r="AL805" s="1"/>
    </row>
    <row r="806" spans="1:38" hidden="1" x14ac:dyDescent="0.2">
      <c r="A806" s="11">
        <v>45134</v>
      </c>
      <c r="B806" s="53" t="s">
        <v>1862</v>
      </c>
      <c r="C806" s="52" t="str">
        <f>IF(MID(B806,4,2)="09","Ramadan",IF(AND(MID(B806,4,2)="12",VALUE(LEFT(B806,2))&lt;=9),"Adha Season","Normal"))</f>
        <v>Normal</v>
      </c>
      <c r="D806" s="1" t="s">
        <v>45</v>
      </c>
      <c r="E806" s="1" t="s">
        <v>483</v>
      </c>
      <c r="F806" s="4" t="s">
        <v>39</v>
      </c>
      <c r="G806" s="1">
        <v>58</v>
      </c>
      <c r="H806" s="1">
        <v>58</v>
      </c>
      <c r="I806" s="1">
        <f>grand[[#This Row],[number]]-grand[[#This Row],[received]]</f>
        <v>0</v>
      </c>
      <c r="J806" s="30"/>
      <c r="K806" s="2">
        <v>26279</v>
      </c>
      <c r="L806" s="2">
        <v>26279</v>
      </c>
      <c r="M806" s="2">
        <f>K806-L806</f>
        <v>0</v>
      </c>
      <c r="N806" s="2">
        <v>16283.4</v>
      </c>
      <c r="O806" s="2">
        <v>534</v>
      </c>
      <c r="P806" s="7">
        <f>grand[[#This Row],[total weight]]/grand[[#This Row],[received]]</f>
        <v>453.08620689655174</v>
      </c>
      <c r="Q806" s="7">
        <f>grand[[#This Row],[receiving weight]]/grand[[#This Row],[received]]</f>
        <v>453.08620689655174</v>
      </c>
      <c r="R806" s="7">
        <f>grand[[#This Row],[transportation loss ]]/grand[[#This Row],[received]]</f>
        <v>0</v>
      </c>
      <c r="S806" s="7">
        <f>grand[[#This Row],[ carcass weight]]/grand[[#This Row],[received]]</f>
        <v>280.74827586206897</v>
      </c>
      <c r="T806" s="7">
        <f>grand[[#This Row],[ kidneys fat quantity]]/grand[[#This Row],[received]]</f>
        <v>9.2068965517241388</v>
      </c>
      <c r="U806" s="1">
        <v>25</v>
      </c>
      <c r="V806" s="1">
        <v>0</v>
      </c>
      <c r="W806" s="1">
        <v>49.637931034482754</v>
      </c>
      <c r="X806" s="1">
        <v>10</v>
      </c>
      <c r="Y806" s="1">
        <v>8.5</v>
      </c>
      <c r="Z806" s="18">
        <f>grand[[#This Row],[av. Transportation loss]]/grand[[#This Row],[av.total weight]]</f>
        <v>0</v>
      </c>
      <c r="AA806" s="12">
        <f>AVERAGE((grand[[#This Row],[am]]/25),(grand[[#This Row],[pm]]/50))</f>
        <v>0.99637931034482752</v>
      </c>
      <c r="AB806" s="3">
        <f>grand[[#This Row],[ carcass weight]]/grand[[#This Row],[total weight]]</f>
        <v>0.61963545035960266</v>
      </c>
      <c r="AC806" s="18">
        <f>SUM(grand[[#This Row],[am]:[meat transportation]])/100</f>
        <v>0.93137931034482757</v>
      </c>
      <c r="AJ806" s="1">
        <v>7</v>
      </c>
      <c r="AK806" s="1"/>
      <c r="AL806" s="1"/>
    </row>
    <row r="807" spans="1:38" hidden="1" x14ac:dyDescent="0.2">
      <c r="A807" s="11">
        <v>45137</v>
      </c>
      <c r="B807" s="53" t="s">
        <v>2816</v>
      </c>
      <c r="C807" s="52" t="str">
        <f>IF(MID(B807,4,2)="09","Ramadan",IF(AND(MID(B807,4,2)="12",VALUE(LEFT(B807,2))&lt;=9),"Adha Season","Normal"))</f>
        <v>Normal</v>
      </c>
      <c r="D807" s="1" t="s">
        <v>45</v>
      </c>
      <c r="E807" s="1" t="s">
        <v>528</v>
      </c>
      <c r="F807" s="4" t="s">
        <v>43</v>
      </c>
      <c r="G807" s="1">
        <v>35</v>
      </c>
      <c r="H807" s="1">
        <v>35</v>
      </c>
      <c r="I807" s="1">
        <f>grand[[#This Row],[number]]-grand[[#This Row],[received]]</f>
        <v>0</v>
      </c>
      <c r="J807" s="30"/>
      <c r="K807" s="2">
        <v>18202</v>
      </c>
      <c r="L807" s="2">
        <v>18202</v>
      </c>
      <c r="M807" s="2">
        <f>K807-L807</f>
        <v>0</v>
      </c>
      <c r="N807" s="2">
        <v>11127</v>
      </c>
      <c r="O807" s="2">
        <v>180</v>
      </c>
      <c r="P807" s="7">
        <f>grand[[#This Row],[total weight]]/grand[[#This Row],[received]]</f>
        <v>520.05714285714282</v>
      </c>
      <c r="Q807" s="7">
        <f>grand[[#This Row],[receiving weight]]/grand[[#This Row],[received]]</f>
        <v>520.05714285714282</v>
      </c>
      <c r="R807" s="7">
        <f>grand[[#This Row],[transportation loss ]]/grand[[#This Row],[received]]</f>
        <v>0</v>
      </c>
      <c r="S807" s="7">
        <f>grand[[#This Row],[ carcass weight]]/grand[[#This Row],[received]]</f>
        <v>317.91428571428571</v>
      </c>
      <c r="T807" s="7">
        <f>grand[[#This Row],[ kidneys fat quantity]]/grand[[#This Row],[received]]</f>
        <v>5.1428571428571432</v>
      </c>
      <c r="U807" s="1">
        <v>24.857142857142858</v>
      </c>
      <c r="V807" s="1">
        <v>0</v>
      </c>
      <c r="W807" s="1">
        <v>47.542857142857144</v>
      </c>
      <c r="X807" s="1">
        <v>10</v>
      </c>
      <c r="Y807" s="1">
        <v>8.5</v>
      </c>
      <c r="Z807" s="18">
        <f>grand[[#This Row],[av. Transportation loss]]/grand[[#This Row],[av.total weight]]</f>
        <v>0</v>
      </c>
      <c r="AA807" s="12">
        <f>AVERAGE((grand[[#This Row],[am]]/25),(grand[[#This Row],[pm]]/50))</f>
        <v>0.97257142857142864</v>
      </c>
      <c r="AB807" s="3">
        <f>grand[[#This Row],[ carcass weight]]/grand[[#This Row],[total weight]]</f>
        <v>0.61130644984067684</v>
      </c>
      <c r="AC807" s="18">
        <f>SUM(grand[[#This Row],[am]:[meat transportation]])/100</f>
        <v>0.90900000000000003</v>
      </c>
      <c r="AJ807" s="1">
        <v>4</v>
      </c>
      <c r="AK807" s="1"/>
      <c r="AL807" s="1"/>
    </row>
    <row r="808" spans="1:38" hidden="1" x14ac:dyDescent="0.2">
      <c r="A808" s="11">
        <v>45138</v>
      </c>
      <c r="B808" s="53" t="s">
        <v>1863</v>
      </c>
      <c r="C808" s="52" t="str">
        <f>IF(MID(B808,4,2)="09","Ramadan",IF(AND(MID(B808,4,2)="12",VALUE(LEFT(B808,2))&lt;=9),"Adha Season","Normal"))</f>
        <v>Normal</v>
      </c>
      <c r="D808" s="1" t="s">
        <v>45</v>
      </c>
      <c r="E808" s="1" t="s">
        <v>483</v>
      </c>
      <c r="F808" s="4" t="s">
        <v>576</v>
      </c>
      <c r="G808" s="1">
        <v>40</v>
      </c>
      <c r="H808" s="1">
        <v>40</v>
      </c>
      <c r="I808" s="1">
        <f>grand[[#This Row],[number]]-grand[[#This Row],[received]]</f>
        <v>0</v>
      </c>
      <c r="J808" s="30"/>
      <c r="K808" s="2">
        <v>19649</v>
      </c>
      <c r="L808" s="2">
        <v>19649</v>
      </c>
      <c r="M808" s="2">
        <f>K808-L808</f>
        <v>0</v>
      </c>
      <c r="N808" s="2">
        <v>12309.7</v>
      </c>
      <c r="O808" s="2">
        <v>367</v>
      </c>
      <c r="P808" s="7">
        <f>grand[[#This Row],[total weight]]/grand[[#This Row],[received]]</f>
        <v>491.22500000000002</v>
      </c>
      <c r="Q808" s="7">
        <f>grand[[#This Row],[receiving weight]]/grand[[#This Row],[received]]</f>
        <v>491.22500000000002</v>
      </c>
      <c r="R808" s="7">
        <f>grand[[#This Row],[transportation loss ]]/grand[[#This Row],[received]]</f>
        <v>0</v>
      </c>
      <c r="S808" s="7">
        <f>grand[[#This Row],[ carcass weight]]/grand[[#This Row],[received]]</f>
        <v>307.74250000000001</v>
      </c>
      <c r="T808" s="7">
        <f>grand[[#This Row],[ kidneys fat quantity]]/grand[[#This Row],[received]]</f>
        <v>9.1750000000000007</v>
      </c>
      <c r="U808" s="1">
        <v>25</v>
      </c>
      <c r="V808" s="1">
        <v>0</v>
      </c>
      <c r="W808" s="1">
        <v>48.024999999999999</v>
      </c>
      <c r="X808" s="1">
        <v>10</v>
      </c>
      <c r="Y808" s="1">
        <v>8.5</v>
      </c>
      <c r="Z808" s="18">
        <f>grand[[#This Row],[av. Transportation loss]]/grand[[#This Row],[av.total weight]]</f>
        <v>0</v>
      </c>
      <c r="AA808" s="12">
        <f>AVERAGE((grand[[#This Row],[am]]/25),(grand[[#This Row],[pm]]/50))</f>
        <v>0.98025000000000007</v>
      </c>
      <c r="AB808" s="3">
        <f>grand[[#This Row],[ carcass weight]]/grand[[#This Row],[total weight]]</f>
        <v>0.62647971906967281</v>
      </c>
      <c r="AC808" s="18">
        <f>SUM(grand[[#This Row],[am]:[meat transportation]])/100</f>
        <v>0.91525000000000001</v>
      </c>
      <c r="AJ808" s="1">
        <v>24</v>
      </c>
      <c r="AK808" s="1"/>
      <c r="AL808" s="1"/>
    </row>
    <row r="809" spans="1:38" hidden="1" x14ac:dyDescent="0.2">
      <c r="A809" s="11">
        <v>45140</v>
      </c>
      <c r="B809" s="53" t="s">
        <v>1865</v>
      </c>
      <c r="C809" s="52" t="str">
        <f>IF(MID(B809,4,2)="09","Ramadan",IF(AND(MID(B809,4,2)="12",VALUE(LEFT(B809,2))&lt;=9),"Adha Season","Normal"))</f>
        <v>Normal</v>
      </c>
      <c r="D809" s="1" t="s">
        <v>45</v>
      </c>
      <c r="E809" s="1" t="s">
        <v>483</v>
      </c>
      <c r="F809" s="4" t="s">
        <v>462</v>
      </c>
      <c r="G809" s="1">
        <v>50</v>
      </c>
      <c r="H809" s="1">
        <v>50</v>
      </c>
      <c r="I809" s="1">
        <f>grand[[#This Row],[number]]-grand[[#This Row],[received]]</f>
        <v>0</v>
      </c>
      <c r="J809" s="30"/>
      <c r="K809" s="2">
        <v>24352.808988764045</v>
      </c>
      <c r="L809" s="2">
        <v>24352.808988764045</v>
      </c>
      <c r="M809" s="2">
        <f>K809-L809</f>
        <v>0</v>
      </c>
      <c r="N809" s="2">
        <v>15171.8</v>
      </c>
      <c r="O809" s="2">
        <v>0</v>
      </c>
      <c r="P809" s="7">
        <f>grand[[#This Row],[total weight]]/grand[[#This Row],[received]]</f>
        <v>487.0561797752809</v>
      </c>
      <c r="Q809" s="7">
        <f>grand[[#This Row],[receiving weight]]/grand[[#This Row],[received]]</f>
        <v>487.0561797752809</v>
      </c>
      <c r="R809" s="7">
        <f>grand[[#This Row],[transportation loss ]]/grand[[#This Row],[received]]</f>
        <v>0</v>
      </c>
      <c r="S809" s="7">
        <f>grand[[#This Row],[ carcass weight]]/grand[[#This Row],[received]]</f>
        <v>303.43599999999998</v>
      </c>
      <c r="T809" s="7">
        <f>grand[[#This Row],[ kidneys fat quantity]]/grand[[#This Row],[received]]</f>
        <v>0</v>
      </c>
      <c r="U809" s="1">
        <v>25</v>
      </c>
      <c r="V809" s="1">
        <v>0</v>
      </c>
      <c r="W809" s="1">
        <v>49.6</v>
      </c>
      <c r="X809" s="1">
        <v>10</v>
      </c>
      <c r="Y809" s="1">
        <v>8.5</v>
      </c>
      <c r="Z809" s="18">
        <f>grand[[#This Row],[av. Transportation loss]]/grand[[#This Row],[av.total weight]]</f>
        <v>0</v>
      </c>
      <c r="AA809" s="12">
        <f>AVERAGE((grand[[#This Row],[am]]/25),(grand[[#This Row],[pm]]/50))</f>
        <v>0.996</v>
      </c>
      <c r="AB809" s="3">
        <f>grand[[#This Row],[ carcass weight]]/grand[[#This Row],[total weight]]</f>
        <v>0.623</v>
      </c>
      <c r="AC809" s="18">
        <f>SUM(grand[[#This Row],[am]:[meat transportation]])/100</f>
        <v>0.93099999999999994</v>
      </c>
      <c r="AJ809" s="1">
        <v>0</v>
      </c>
      <c r="AK809" s="1"/>
      <c r="AL809" s="1"/>
    </row>
    <row r="810" spans="1:38" hidden="1" x14ac:dyDescent="0.2">
      <c r="A810" s="11">
        <v>45141</v>
      </c>
      <c r="B810" s="53" t="s">
        <v>1866</v>
      </c>
      <c r="C810" s="52" t="str">
        <f>IF(MID(B810,4,2)="09","Ramadan",IF(AND(MID(B810,4,2)="12",VALUE(LEFT(B810,2))&lt;=9),"Adha Season","Normal"))</f>
        <v>Normal</v>
      </c>
      <c r="D810" s="1" t="s">
        <v>45</v>
      </c>
      <c r="E810" s="1" t="s">
        <v>483</v>
      </c>
      <c r="F810" s="4" t="s">
        <v>280</v>
      </c>
      <c r="G810" s="1">
        <v>16</v>
      </c>
      <c r="H810" s="1">
        <v>16</v>
      </c>
      <c r="I810" s="1">
        <f>grand[[#This Row],[number]]-grand[[#This Row],[received]]</f>
        <v>0</v>
      </c>
      <c r="J810" s="30"/>
      <c r="K810" s="2">
        <v>7610</v>
      </c>
      <c r="L810" s="2">
        <v>7415</v>
      </c>
      <c r="M810" s="2">
        <f>K810-L810</f>
        <v>195</v>
      </c>
      <c r="N810" s="2">
        <v>4602.8</v>
      </c>
      <c r="O810" s="2">
        <v>162</v>
      </c>
      <c r="P810" s="7">
        <f>grand[[#This Row],[total weight]]/grand[[#This Row],[received]]</f>
        <v>475.625</v>
      </c>
      <c r="Q810" s="7">
        <f>grand[[#This Row],[receiving weight]]/grand[[#This Row],[received]]</f>
        <v>463.4375</v>
      </c>
      <c r="R810" s="7">
        <f>grand[[#This Row],[transportation loss ]]/grand[[#This Row],[received]]</f>
        <v>12.1875</v>
      </c>
      <c r="S810" s="7">
        <f>grand[[#This Row],[ carcass weight]]/grand[[#This Row],[received]]</f>
        <v>287.67500000000001</v>
      </c>
      <c r="T810" s="7">
        <f>grand[[#This Row],[ kidneys fat quantity]]/grand[[#This Row],[received]]</f>
        <v>10.125</v>
      </c>
      <c r="U810" s="1">
        <v>25</v>
      </c>
      <c r="V810" s="1">
        <v>0</v>
      </c>
      <c r="W810" s="1">
        <v>49.25</v>
      </c>
      <c r="X810" s="1">
        <v>10</v>
      </c>
      <c r="Y810" s="1">
        <v>8.5</v>
      </c>
      <c r="Z810" s="18">
        <f>grand[[#This Row],[av. Transportation loss]]/grand[[#This Row],[av.total weight]]</f>
        <v>2.5624178712220762E-2</v>
      </c>
      <c r="AA810" s="12">
        <f>AVERAGE((grand[[#This Row],[am]]/25),(grand[[#This Row],[pm]]/50))</f>
        <v>0.99249999999999994</v>
      </c>
      <c r="AB810" s="3">
        <f>grand[[#This Row],[ carcass weight]]/grand[[#This Row],[total weight]]</f>
        <v>0.6048357424441525</v>
      </c>
      <c r="AC810" s="18">
        <f>SUM(grand[[#This Row],[am]:[meat transportation]])/100</f>
        <v>0.92749999999999999</v>
      </c>
      <c r="AJ810" s="1">
        <v>4</v>
      </c>
      <c r="AK810" s="1"/>
      <c r="AL810" s="1"/>
    </row>
    <row r="811" spans="1:38" hidden="1" x14ac:dyDescent="0.2">
      <c r="A811" s="11">
        <v>45148</v>
      </c>
      <c r="B811" s="53" t="s">
        <v>1870</v>
      </c>
      <c r="C811" s="52" t="str">
        <f>IF(MID(B811,4,2)="09","Ramadan",IF(AND(MID(B811,4,2)="12",VALUE(LEFT(B811,2))&lt;=9),"Adha Season","Normal"))</f>
        <v>Normal</v>
      </c>
      <c r="D811" s="2" t="s">
        <v>294</v>
      </c>
      <c r="F811" s="4" t="s">
        <v>334</v>
      </c>
      <c r="G811" s="1">
        <v>28</v>
      </c>
      <c r="H811" s="1">
        <v>28</v>
      </c>
      <c r="I811" s="1">
        <f>grand[[#This Row],[number]]-grand[[#This Row],[received]]</f>
        <v>0</v>
      </c>
      <c r="J811" s="30"/>
      <c r="K811" s="2">
        <v>1392</v>
      </c>
      <c r="L811" s="2">
        <v>1392</v>
      </c>
      <c r="M811" s="2">
        <f>K811-L811</f>
        <v>0</v>
      </c>
      <c r="N811" s="2">
        <v>772</v>
      </c>
      <c r="O811" s="2">
        <v>0</v>
      </c>
      <c r="P811" s="7">
        <f>grand[[#This Row],[total weight]]/grand[[#This Row],[received]]</f>
        <v>49.714285714285715</v>
      </c>
      <c r="Q811" s="7">
        <f>grand[[#This Row],[receiving weight]]/grand[[#This Row],[received]]</f>
        <v>49.714285714285715</v>
      </c>
      <c r="R811" s="7">
        <f>grand[[#This Row],[transportation loss ]]/grand[[#This Row],[received]]</f>
        <v>0</v>
      </c>
      <c r="S811" s="7">
        <f>grand[[#This Row],[ carcass weight]]/grand[[#This Row],[received]]</f>
        <v>27.571428571428573</v>
      </c>
      <c r="T811" s="7">
        <f>grand[[#This Row],[ kidneys fat quantity]]/grand[[#This Row],[received]]</f>
        <v>0</v>
      </c>
      <c r="U811" s="1">
        <v>25</v>
      </c>
      <c r="V811" s="1">
        <v>0</v>
      </c>
      <c r="W811" s="1">
        <v>49.766666666666666</v>
      </c>
      <c r="X811" s="1">
        <v>10</v>
      </c>
      <c r="Y811" s="1">
        <v>8.5</v>
      </c>
      <c r="Z811" s="18">
        <f>grand[[#This Row],[av. Transportation loss]]/grand[[#This Row],[av.total weight]]</f>
        <v>0</v>
      </c>
      <c r="AA811" s="12">
        <f>AVERAGE((grand[[#This Row],[am]]/25),(grand[[#This Row],[pm]]/50))</f>
        <v>0.9976666666666667</v>
      </c>
      <c r="AB811" s="3">
        <f>grand[[#This Row],[ carcass weight]]/grand[[#This Row],[total weight]]</f>
        <v>0.5545977011494253</v>
      </c>
      <c r="AC811" s="18">
        <f>SUM(grand[[#This Row],[am]:[meat transportation]])/100</f>
        <v>0.93266666666666664</v>
      </c>
      <c r="AJ811" s="1">
        <v>0</v>
      </c>
      <c r="AK811" s="1"/>
      <c r="AL811" s="1"/>
    </row>
    <row r="812" spans="1:38" hidden="1" x14ac:dyDescent="0.2">
      <c r="A812" s="11">
        <v>45148</v>
      </c>
      <c r="B812" s="53" t="s">
        <v>1870</v>
      </c>
      <c r="C812" s="52" t="str">
        <f>IF(MID(B812,4,2)="09","Ramadan",IF(AND(MID(B812,4,2)="12",VALUE(LEFT(B812,2))&lt;=9),"Adha Season","Normal"))</f>
        <v>Normal</v>
      </c>
      <c r="D812" s="1" t="s">
        <v>45</v>
      </c>
      <c r="E812" s="1" t="s">
        <v>528</v>
      </c>
      <c r="F812" s="4" t="s">
        <v>576</v>
      </c>
      <c r="G812" s="1">
        <v>48</v>
      </c>
      <c r="H812" s="1">
        <v>48</v>
      </c>
      <c r="I812" s="1">
        <f>grand[[#This Row],[number]]-grand[[#This Row],[received]]</f>
        <v>0</v>
      </c>
      <c r="J812" s="30"/>
      <c r="K812" s="2">
        <v>25955</v>
      </c>
      <c r="L812" s="2">
        <v>25955</v>
      </c>
      <c r="M812" s="2">
        <f>K812-L812</f>
        <v>0</v>
      </c>
      <c r="N812" s="2">
        <v>15572.5</v>
      </c>
      <c r="O812" s="2">
        <v>325</v>
      </c>
      <c r="P812" s="7">
        <f>grand[[#This Row],[total weight]]/grand[[#This Row],[received]]</f>
        <v>540.72916666666663</v>
      </c>
      <c r="Q812" s="7">
        <f>grand[[#This Row],[receiving weight]]/grand[[#This Row],[received]]</f>
        <v>540.72916666666663</v>
      </c>
      <c r="R812" s="7">
        <f>grand[[#This Row],[transportation loss ]]/grand[[#This Row],[received]]</f>
        <v>0</v>
      </c>
      <c r="S812" s="7">
        <f>grand[[#This Row],[ carcass weight]]/grand[[#This Row],[received]]</f>
        <v>324.42708333333331</v>
      </c>
      <c r="T812" s="7">
        <f>grand[[#This Row],[ kidneys fat quantity]]/grand[[#This Row],[received]]</f>
        <v>6.770833333333333</v>
      </c>
      <c r="U812" s="1">
        <v>25</v>
      </c>
      <c r="V812" s="1">
        <v>0</v>
      </c>
      <c r="W812" s="1">
        <v>48.770833333333336</v>
      </c>
      <c r="X812" s="1">
        <v>10</v>
      </c>
      <c r="Y812" s="1">
        <v>8.5</v>
      </c>
      <c r="Z812" s="18">
        <f>grand[[#This Row],[av. Transportation loss]]/grand[[#This Row],[av.total weight]]</f>
        <v>0</v>
      </c>
      <c r="AA812" s="12">
        <f>AVERAGE((grand[[#This Row],[am]]/25),(grand[[#This Row],[pm]]/50))</f>
        <v>0.98770833333333341</v>
      </c>
      <c r="AB812" s="3">
        <f>grand[[#This Row],[ carcass weight]]/grand[[#This Row],[total weight]]</f>
        <v>0.59998073588903877</v>
      </c>
      <c r="AC812" s="18">
        <f>SUM(grand[[#This Row],[am]:[meat transportation]])/100</f>
        <v>0.92270833333333346</v>
      </c>
      <c r="AJ812" s="1">
        <v>0</v>
      </c>
      <c r="AK812" s="1"/>
      <c r="AL812" s="1"/>
    </row>
    <row r="813" spans="1:38" hidden="1" x14ac:dyDescent="0.2">
      <c r="A813" s="11">
        <v>45150</v>
      </c>
      <c r="B813" s="53" t="s">
        <v>2818</v>
      </c>
      <c r="C813" s="52" t="str">
        <f>IF(MID(B813,4,2)="09","Ramadan",IF(AND(MID(B813,4,2)="12",VALUE(LEFT(B813,2))&lt;=9),"Adha Season","Normal"))</f>
        <v>Normal</v>
      </c>
      <c r="D813" s="1" t="s">
        <v>45</v>
      </c>
      <c r="E813" s="1" t="s">
        <v>483</v>
      </c>
      <c r="F813" s="4" t="s">
        <v>39</v>
      </c>
      <c r="G813" s="1">
        <v>16</v>
      </c>
      <c r="H813" s="1">
        <v>16</v>
      </c>
      <c r="I813" s="1">
        <f>grand[[#This Row],[number]]-grand[[#This Row],[received]]</f>
        <v>0</v>
      </c>
      <c r="J813" s="30"/>
      <c r="K813" s="2">
        <v>7476</v>
      </c>
      <c r="L813" s="2">
        <v>7190</v>
      </c>
      <c r="M813" s="2">
        <f>K813-L813</f>
        <v>286</v>
      </c>
      <c r="N813" s="2">
        <v>4689.8999999999996</v>
      </c>
      <c r="O813" s="2">
        <v>177</v>
      </c>
      <c r="P813" s="7">
        <f>grand[[#This Row],[total weight]]/grand[[#This Row],[received]]</f>
        <v>467.25</v>
      </c>
      <c r="Q813" s="7">
        <f>grand[[#This Row],[receiving weight]]/grand[[#This Row],[received]]</f>
        <v>449.375</v>
      </c>
      <c r="R813" s="7">
        <f>grand[[#This Row],[transportation loss ]]/grand[[#This Row],[received]]</f>
        <v>17.875</v>
      </c>
      <c r="S813" s="7">
        <f>grand[[#This Row],[ carcass weight]]/grand[[#This Row],[received]]</f>
        <v>293.11874999999998</v>
      </c>
      <c r="T813" s="7">
        <f>grand[[#This Row],[ kidneys fat quantity]]/grand[[#This Row],[received]]</f>
        <v>11.0625</v>
      </c>
      <c r="U813" s="1">
        <v>25</v>
      </c>
      <c r="V813" s="1">
        <v>0</v>
      </c>
      <c r="W813" s="1">
        <v>50</v>
      </c>
      <c r="X813" s="1">
        <v>10</v>
      </c>
      <c r="Y813" s="1">
        <v>8.5</v>
      </c>
      <c r="Z813" s="18">
        <f>grand[[#This Row],[av. Transportation loss]]/grand[[#This Row],[av.total weight]]</f>
        <v>3.8255751738897809E-2</v>
      </c>
      <c r="AA813" s="12">
        <f>AVERAGE((grand[[#This Row],[am]]/25),(grand[[#This Row],[pm]]/50))</f>
        <v>1</v>
      </c>
      <c r="AB813" s="3">
        <f>grand[[#This Row],[ carcass weight]]/grand[[#This Row],[total weight]]</f>
        <v>0.62732744783306571</v>
      </c>
      <c r="AC813" s="18">
        <f>SUM(grand[[#This Row],[am]:[meat transportation]])/100</f>
        <v>0.93500000000000005</v>
      </c>
      <c r="AJ813" s="1">
        <v>6</v>
      </c>
      <c r="AK813" s="1"/>
      <c r="AL813" s="1"/>
    </row>
    <row r="814" spans="1:38" hidden="1" x14ac:dyDescent="0.2">
      <c r="A814" s="11">
        <v>45153</v>
      </c>
      <c r="B814" s="53" t="s">
        <v>2819</v>
      </c>
      <c r="C814" s="52" t="str">
        <f>IF(MID(B814,4,2)="09","Ramadan",IF(AND(MID(B814,4,2)="12",VALUE(LEFT(B814,2))&lt;=9),"Adha Season","Normal"))</f>
        <v>Normal</v>
      </c>
      <c r="D814" s="1" t="s">
        <v>45</v>
      </c>
      <c r="E814" s="1" t="s">
        <v>483</v>
      </c>
      <c r="F814" s="4" t="s">
        <v>280</v>
      </c>
      <c r="G814" s="1">
        <v>55</v>
      </c>
      <c r="H814" s="1">
        <v>55</v>
      </c>
      <c r="I814" s="1">
        <f>grand[[#This Row],[number]]-grand[[#This Row],[received]]</f>
        <v>0</v>
      </c>
      <c r="J814" s="30"/>
      <c r="K814" s="2">
        <v>25464</v>
      </c>
      <c r="L814" s="2">
        <v>25464</v>
      </c>
      <c r="M814" s="2">
        <f>K814-L814</f>
        <v>0</v>
      </c>
      <c r="N814" s="2">
        <v>15277.5</v>
      </c>
      <c r="O814" s="2">
        <v>485</v>
      </c>
      <c r="P814" s="7">
        <f>grand[[#This Row],[total weight]]/grand[[#This Row],[received]]</f>
        <v>462.9818181818182</v>
      </c>
      <c r="Q814" s="7">
        <f>grand[[#This Row],[receiving weight]]/grand[[#This Row],[received]]</f>
        <v>462.9818181818182</v>
      </c>
      <c r="R814" s="7">
        <f>grand[[#This Row],[transportation loss ]]/grand[[#This Row],[received]]</f>
        <v>0</v>
      </c>
      <c r="S814" s="7">
        <f>grand[[#This Row],[ carcass weight]]/grand[[#This Row],[received]]</f>
        <v>277.77272727272725</v>
      </c>
      <c r="T814" s="7">
        <f>grand[[#This Row],[ kidneys fat quantity]]/grand[[#This Row],[received]]</f>
        <v>8.8181818181818183</v>
      </c>
      <c r="U814" s="1">
        <v>25</v>
      </c>
      <c r="V814" s="1">
        <v>0</v>
      </c>
      <c r="W814" s="1">
        <v>46.727272727272734</v>
      </c>
      <c r="X814" s="1">
        <v>10</v>
      </c>
      <c r="Y814" s="1">
        <v>8.5</v>
      </c>
      <c r="Z814" s="18">
        <f>grand[[#This Row],[av. Transportation loss]]/grand[[#This Row],[av.total weight]]</f>
        <v>0</v>
      </c>
      <c r="AA814" s="12">
        <f>AVERAGE((grand[[#This Row],[am]]/25),(grand[[#This Row],[pm]]/50))</f>
        <v>0.96727272727272728</v>
      </c>
      <c r="AB814" s="3">
        <f>grand[[#This Row],[ carcass weight]]/grand[[#This Row],[total weight]]</f>
        <v>0.59996465598491988</v>
      </c>
      <c r="AC814" s="18">
        <f>SUM(grand[[#This Row],[am]:[meat transportation]])/100</f>
        <v>0.90227272727272734</v>
      </c>
      <c r="AJ814" s="1">
        <v>16</v>
      </c>
      <c r="AK814" s="1"/>
      <c r="AL814" s="1"/>
    </row>
    <row r="815" spans="1:38" hidden="1" x14ac:dyDescent="0.2">
      <c r="A815" s="11">
        <v>45155</v>
      </c>
      <c r="B815" s="53" t="s">
        <v>1873</v>
      </c>
      <c r="C815" s="52" t="str">
        <f>IF(MID(B815,4,2)="09","Ramadan",IF(AND(MID(B815,4,2)="12",VALUE(LEFT(B815,2))&lt;=9),"Adha Season","Normal"))</f>
        <v>Normal</v>
      </c>
      <c r="D815" s="1" t="s">
        <v>45</v>
      </c>
      <c r="E815" s="1" t="s">
        <v>483</v>
      </c>
      <c r="F815" s="4" t="s">
        <v>39</v>
      </c>
      <c r="G815" s="1">
        <v>16</v>
      </c>
      <c r="H815" s="1">
        <v>16</v>
      </c>
      <c r="I815" s="1">
        <f>grand[[#This Row],[number]]-grand[[#This Row],[received]]</f>
        <v>0</v>
      </c>
      <c r="J815" s="30"/>
      <c r="K815" s="2">
        <v>7204</v>
      </c>
      <c r="L815" s="2">
        <v>6850</v>
      </c>
      <c r="M815" s="2">
        <f>K815-L815</f>
        <v>354</v>
      </c>
      <c r="N815" s="2">
        <v>4429.1000000000004</v>
      </c>
      <c r="O815" s="2">
        <v>158</v>
      </c>
      <c r="P815" s="7">
        <f>grand[[#This Row],[total weight]]/grand[[#This Row],[received]]</f>
        <v>450.25</v>
      </c>
      <c r="Q815" s="7">
        <f>grand[[#This Row],[receiving weight]]/grand[[#This Row],[received]]</f>
        <v>428.125</v>
      </c>
      <c r="R815" s="7">
        <f>grand[[#This Row],[transportation loss ]]/grand[[#This Row],[received]]</f>
        <v>22.125</v>
      </c>
      <c r="S815" s="7">
        <f>grand[[#This Row],[ carcass weight]]/grand[[#This Row],[received]]</f>
        <v>276.81875000000002</v>
      </c>
      <c r="T815" s="7">
        <f>grand[[#This Row],[ kidneys fat quantity]]/grand[[#This Row],[received]]</f>
        <v>9.875</v>
      </c>
      <c r="U815" s="1">
        <v>25</v>
      </c>
      <c r="V815" s="1">
        <v>0</v>
      </c>
      <c r="W815" s="1">
        <v>49.6875</v>
      </c>
      <c r="X815" s="1">
        <v>10</v>
      </c>
      <c r="Y815" s="1">
        <v>8.5</v>
      </c>
      <c r="Z815" s="18">
        <f>grand[[#This Row],[av. Transportation loss]]/grand[[#This Row],[av.total weight]]</f>
        <v>4.9139367018323152E-2</v>
      </c>
      <c r="AA815" s="12">
        <f>AVERAGE((grand[[#This Row],[am]]/25),(grand[[#This Row],[pm]]/50))</f>
        <v>0.99687499999999996</v>
      </c>
      <c r="AB815" s="3">
        <f>grand[[#This Row],[ carcass weight]]/grand[[#This Row],[total weight]]</f>
        <v>0.6148112159911161</v>
      </c>
      <c r="AC815" s="18">
        <f>SUM(grand[[#This Row],[am]:[meat transportation]])/100</f>
        <v>0.93187500000000001</v>
      </c>
      <c r="AJ815" s="1">
        <v>4</v>
      </c>
      <c r="AK815" s="1"/>
      <c r="AL815" s="1"/>
    </row>
    <row r="816" spans="1:38" hidden="1" x14ac:dyDescent="0.2">
      <c r="A816" s="11">
        <v>45162</v>
      </c>
      <c r="B816" s="53" t="s">
        <v>2821</v>
      </c>
      <c r="C816" s="52" t="str">
        <f>IF(MID(B816,4,2)="09","Ramadan",IF(AND(MID(B816,4,2)="12",VALUE(LEFT(B816,2))&lt;=9),"Adha Season","Normal"))</f>
        <v>Normal</v>
      </c>
      <c r="D816" s="2" t="s">
        <v>294</v>
      </c>
      <c r="F816" s="4" t="s">
        <v>280</v>
      </c>
      <c r="G816" s="1">
        <v>25</v>
      </c>
      <c r="H816" s="1">
        <v>25</v>
      </c>
      <c r="I816" s="1">
        <f>grand[[#This Row],[number]]-grand[[#This Row],[received]]</f>
        <v>0</v>
      </c>
      <c r="J816" s="30"/>
      <c r="K816" s="2">
        <v>1234</v>
      </c>
      <c r="L816" s="2">
        <v>1234</v>
      </c>
      <c r="M816" s="2">
        <f>K816-L816</f>
        <v>0</v>
      </c>
      <c r="N816" s="2">
        <v>695.5</v>
      </c>
      <c r="O816" s="2">
        <v>0</v>
      </c>
      <c r="P816" s="7">
        <f>grand[[#This Row],[total weight]]/grand[[#This Row],[received]]</f>
        <v>49.36</v>
      </c>
      <c r="Q816" s="7">
        <f>grand[[#This Row],[receiving weight]]/grand[[#This Row],[received]]</f>
        <v>49.36</v>
      </c>
      <c r="R816" s="7">
        <f>grand[[#This Row],[transportation loss ]]/grand[[#This Row],[received]]</f>
        <v>0</v>
      </c>
      <c r="S816" s="7">
        <f>grand[[#This Row],[ carcass weight]]/grand[[#This Row],[received]]</f>
        <v>27.82</v>
      </c>
      <c r="T816" s="7">
        <f>grand[[#This Row],[ kidneys fat quantity]]/grand[[#This Row],[received]]</f>
        <v>0</v>
      </c>
      <c r="U816" s="1">
        <v>25</v>
      </c>
      <c r="V816" s="1">
        <v>0</v>
      </c>
      <c r="W816" s="1">
        <v>48.52</v>
      </c>
      <c r="X816" s="1">
        <v>10</v>
      </c>
      <c r="Y816" s="1">
        <v>8.5</v>
      </c>
      <c r="Z816" s="18">
        <f>grand[[#This Row],[av. Transportation loss]]/grand[[#This Row],[av.total weight]]</f>
        <v>0</v>
      </c>
      <c r="AA816" s="12">
        <f>AVERAGE((grand[[#This Row],[am]]/25),(grand[[#This Row],[pm]]/50))</f>
        <v>0.98520000000000008</v>
      </c>
      <c r="AB816" s="3">
        <f>grand[[#This Row],[ carcass weight]]/grand[[#This Row],[total weight]]</f>
        <v>0.56361426256077796</v>
      </c>
      <c r="AC816" s="18">
        <f>SUM(grand[[#This Row],[am]:[meat transportation]])/100</f>
        <v>0.92020000000000013</v>
      </c>
      <c r="AK816" s="1"/>
      <c r="AL816" s="1"/>
    </row>
    <row r="817" spans="1:38" hidden="1" x14ac:dyDescent="0.2">
      <c r="A817" s="11">
        <v>45164</v>
      </c>
      <c r="B817" s="53" t="s">
        <v>2822</v>
      </c>
      <c r="C817" s="52" t="str">
        <f>IF(MID(B817,4,2)="09","Ramadan",IF(AND(MID(B817,4,2)="12",VALUE(LEFT(B817,2))&lt;=9),"Adha Season","Normal"))</f>
        <v>Normal</v>
      </c>
      <c r="D817" s="2" t="s">
        <v>294</v>
      </c>
      <c r="F817" s="4" t="s">
        <v>280</v>
      </c>
      <c r="G817" s="1">
        <v>1</v>
      </c>
      <c r="H817" s="1">
        <v>1</v>
      </c>
      <c r="I817" s="1">
        <f>grand[[#This Row],[number]]-grand[[#This Row],[received]]</f>
        <v>0</v>
      </c>
      <c r="J817" s="30"/>
      <c r="K817" s="2">
        <v>50</v>
      </c>
      <c r="L817" s="2">
        <v>50</v>
      </c>
      <c r="M817" s="2">
        <f>K817-L817</f>
        <v>0</v>
      </c>
      <c r="N817" s="2">
        <v>25</v>
      </c>
      <c r="O817" s="2"/>
      <c r="P817" s="7">
        <f>grand[[#This Row],[total weight]]/grand[[#This Row],[received]]</f>
        <v>50</v>
      </c>
      <c r="Q817" s="7">
        <f>grand[[#This Row],[receiving weight]]/grand[[#This Row],[received]]</f>
        <v>50</v>
      </c>
      <c r="R817" s="7">
        <f>grand[[#This Row],[transportation loss ]]/grand[[#This Row],[received]]</f>
        <v>0</v>
      </c>
      <c r="S817" s="7">
        <f>grand[[#This Row],[ carcass weight]]/grand[[#This Row],[received]]</f>
        <v>25</v>
      </c>
      <c r="T817" s="7">
        <f>grand[[#This Row],[ kidneys fat quantity]]/grand[[#This Row],[received]]</f>
        <v>0</v>
      </c>
      <c r="U817" s="1">
        <v>25</v>
      </c>
      <c r="V817" s="1">
        <v>0</v>
      </c>
      <c r="W817" s="1">
        <v>48.52</v>
      </c>
      <c r="X817" s="1">
        <v>10</v>
      </c>
      <c r="Y817" s="1">
        <v>8.5</v>
      </c>
      <c r="Z817" s="18">
        <f>grand[[#This Row],[av. Transportation loss]]/grand[[#This Row],[av.total weight]]</f>
        <v>0</v>
      </c>
      <c r="AA817" s="12">
        <f>AVERAGE((grand[[#This Row],[am]]/25),(grand[[#This Row],[pm]]/50))</f>
        <v>0.98520000000000008</v>
      </c>
      <c r="AB817" s="3">
        <f>grand[[#This Row],[ carcass weight]]/grand[[#This Row],[total weight]]</f>
        <v>0.5</v>
      </c>
      <c r="AC817" s="18">
        <f>SUM(grand[[#This Row],[am]:[meat transportation]])/100</f>
        <v>0.92020000000000013</v>
      </c>
      <c r="AK817" s="1"/>
      <c r="AL817" s="1"/>
    </row>
    <row r="818" spans="1:38" hidden="1" x14ac:dyDescent="0.2">
      <c r="A818" s="11">
        <v>45165</v>
      </c>
      <c r="B818" s="53" t="s">
        <v>1875</v>
      </c>
      <c r="C818" s="52" t="str">
        <f>IF(MID(B818,4,2)="09","Ramadan",IF(AND(MID(B818,4,2)="12",VALUE(LEFT(B818,2))&lt;=9),"Adha Season","Normal"))</f>
        <v>Normal</v>
      </c>
      <c r="D818" s="1" t="s">
        <v>45</v>
      </c>
      <c r="E818" s="1" t="s">
        <v>528</v>
      </c>
      <c r="F818" s="4" t="s">
        <v>576</v>
      </c>
      <c r="G818" s="1">
        <v>25</v>
      </c>
      <c r="H818" s="1">
        <v>25</v>
      </c>
      <c r="I818" s="1">
        <f>grand[[#This Row],[number]]-grand[[#This Row],[received]]</f>
        <v>0</v>
      </c>
      <c r="J818" s="30"/>
      <c r="K818" s="2">
        <v>13740</v>
      </c>
      <c r="L818" s="2">
        <v>13740</v>
      </c>
      <c r="M818" s="2">
        <f>K818-L818</f>
        <v>0</v>
      </c>
      <c r="N818" s="2">
        <v>8243.9</v>
      </c>
      <c r="O818" s="2">
        <v>174</v>
      </c>
      <c r="P818" s="7">
        <f>grand[[#This Row],[total weight]]/grand[[#This Row],[received]]</f>
        <v>549.6</v>
      </c>
      <c r="Q818" s="7">
        <f>grand[[#This Row],[receiving weight]]/grand[[#This Row],[received]]</f>
        <v>549.6</v>
      </c>
      <c r="R818" s="7">
        <f>grand[[#This Row],[transportation loss ]]/grand[[#This Row],[received]]</f>
        <v>0</v>
      </c>
      <c r="S818" s="7">
        <f>grand[[#This Row],[ carcass weight]]/grand[[#This Row],[received]]</f>
        <v>329.75599999999997</v>
      </c>
      <c r="T818" s="7">
        <f>grand[[#This Row],[ kidneys fat quantity]]/grand[[#This Row],[received]]</f>
        <v>6.96</v>
      </c>
      <c r="U818" s="1">
        <v>25</v>
      </c>
      <c r="V818" s="1">
        <v>0</v>
      </c>
      <c r="W818" s="1">
        <v>47.419999999999995</v>
      </c>
      <c r="X818" s="1">
        <v>10</v>
      </c>
      <c r="Y818" s="1">
        <v>8.5</v>
      </c>
      <c r="Z818" s="18">
        <f>grand[[#This Row],[av. Transportation loss]]/grand[[#This Row],[av.total weight]]</f>
        <v>0</v>
      </c>
      <c r="AA818" s="12">
        <f>AVERAGE((grand[[#This Row],[am]]/25),(grand[[#This Row],[pm]]/50))</f>
        <v>0.97419999999999995</v>
      </c>
      <c r="AB818" s="3">
        <f>grand[[#This Row],[ carcass weight]]/grand[[#This Row],[total weight]]</f>
        <v>0.5999927219796215</v>
      </c>
      <c r="AC818" s="18">
        <f>SUM(grand[[#This Row],[am]:[meat transportation]])/100</f>
        <v>0.9091999999999999</v>
      </c>
      <c r="AK818" s="1"/>
      <c r="AL818" s="1"/>
    </row>
    <row r="819" spans="1:38" hidden="1" x14ac:dyDescent="0.2">
      <c r="A819" s="11">
        <v>45165</v>
      </c>
      <c r="B819" s="53" t="s">
        <v>1875</v>
      </c>
      <c r="C819" s="52" t="str">
        <f>IF(MID(B819,4,2)="09","Ramadan",IF(AND(MID(B819,4,2)="12",VALUE(LEFT(B819,2))&lt;=9),"Adha Season","Normal"))</f>
        <v>Normal</v>
      </c>
      <c r="D819" s="1" t="s">
        <v>45</v>
      </c>
      <c r="E819" s="1" t="s">
        <v>528</v>
      </c>
      <c r="F819" s="4" t="s">
        <v>43</v>
      </c>
      <c r="G819" s="1">
        <v>25</v>
      </c>
      <c r="H819" s="1">
        <v>25</v>
      </c>
      <c r="I819" s="1">
        <f>grand[[#This Row],[number]]-grand[[#This Row],[received]]</f>
        <v>0</v>
      </c>
      <c r="J819" s="30"/>
      <c r="K819" s="2">
        <v>13161</v>
      </c>
      <c r="L819" s="2">
        <v>13161</v>
      </c>
      <c r="M819" s="2">
        <f>K819-L819</f>
        <v>0</v>
      </c>
      <c r="N819" s="2">
        <v>7896.6</v>
      </c>
      <c r="O819" s="2">
        <v>115</v>
      </c>
      <c r="P819" s="7">
        <f>grand[[#This Row],[total weight]]/grand[[#This Row],[received]]</f>
        <v>526.44000000000005</v>
      </c>
      <c r="Q819" s="7">
        <f>grand[[#This Row],[receiving weight]]/grand[[#This Row],[received]]</f>
        <v>526.44000000000005</v>
      </c>
      <c r="R819" s="7">
        <f>grand[[#This Row],[transportation loss ]]/grand[[#This Row],[received]]</f>
        <v>0</v>
      </c>
      <c r="S819" s="7">
        <f>grand[[#This Row],[ carcass weight]]/grand[[#This Row],[received]]</f>
        <v>315.86400000000003</v>
      </c>
      <c r="T819" s="7">
        <f>grand[[#This Row],[ kidneys fat quantity]]/grand[[#This Row],[received]]</f>
        <v>4.5999999999999996</v>
      </c>
      <c r="U819" s="1">
        <v>25</v>
      </c>
      <c r="V819" s="1">
        <v>0</v>
      </c>
      <c r="W819" s="1">
        <v>47.760000000000005</v>
      </c>
      <c r="X819" s="1">
        <v>10</v>
      </c>
      <c r="Y819" s="1">
        <v>8.5</v>
      </c>
      <c r="Z819" s="18">
        <f>grand[[#This Row],[av. Transportation loss]]/grand[[#This Row],[av.total weight]]</f>
        <v>0</v>
      </c>
      <c r="AA819" s="12">
        <f>AVERAGE((grand[[#This Row],[am]]/25),(grand[[#This Row],[pm]]/50))</f>
        <v>0.97760000000000002</v>
      </c>
      <c r="AB819" s="3">
        <f>grand[[#This Row],[ carcass weight]]/grand[[#This Row],[total weight]]</f>
        <v>0.6</v>
      </c>
      <c r="AC819" s="18">
        <f>SUM(grand[[#This Row],[am]:[meat transportation]])/100</f>
        <v>0.91260000000000008</v>
      </c>
      <c r="AJ819" s="1">
        <v>6</v>
      </c>
      <c r="AK819" s="1"/>
      <c r="AL819" s="1"/>
    </row>
    <row r="820" spans="1:38" hidden="1" x14ac:dyDescent="0.2">
      <c r="A820" s="11">
        <v>45166</v>
      </c>
      <c r="B820" s="53" t="s">
        <v>1876</v>
      </c>
      <c r="C820" s="52" t="str">
        <f>IF(MID(B820,4,2)="09","Ramadan",IF(AND(MID(B820,4,2)="12",VALUE(LEFT(B820,2))&lt;=9),"Adha Season","Normal"))</f>
        <v>Normal</v>
      </c>
      <c r="D820" s="1" t="s">
        <v>45</v>
      </c>
      <c r="E820" s="1" t="s">
        <v>528</v>
      </c>
      <c r="F820" s="4" t="s">
        <v>462</v>
      </c>
      <c r="G820" s="1">
        <v>45</v>
      </c>
      <c r="H820" s="1">
        <v>45</v>
      </c>
      <c r="I820" s="1">
        <f>grand[[#This Row],[number]]-grand[[#This Row],[received]]</f>
        <v>0</v>
      </c>
      <c r="J820" s="30"/>
      <c r="K820" s="2">
        <v>21884.430176565009</v>
      </c>
      <c r="L820" s="2">
        <v>21884.430176565009</v>
      </c>
      <c r="M820" s="2">
        <f>K820-L820</f>
        <v>0</v>
      </c>
      <c r="N820" s="2">
        <v>13634</v>
      </c>
      <c r="O820" s="2">
        <v>0</v>
      </c>
      <c r="P820" s="7">
        <f>grand[[#This Row],[total weight]]/grand[[#This Row],[received]]</f>
        <v>486.32067059033352</v>
      </c>
      <c r="Q820" s="7">
        <f>grand[[#This Row],[receiving weight]]/grand[[#This Row],[received]]</f>
        <v>486.32067059033352</v>
      </c>
      <c r="R820" s="7">
        <f>grand[[#This Row],[transportation loss ]]/grand[[#This Row],[received]]</f>
        <v>0</v>
      </c>
      <c r="S820" s="7">
        <f>grand[[#This Row],[ carcass weight]]/grand[[#This Row],[received]]</f>
        <v>302.97777777777776</v>
      </c>
      <c r="T820" s="7">
        <f>grand[[#This Row],[ kidneys fat quantity]]/grand[[#This Row],[received]]</f>
        <v>0</v>
      </c>
      <c r="U820" s="1">
        <v>25</v>
      </c>
      <c r="V820" s="1">
        <v>4</v>
      </c>
      <c r="W820" s="1">
        <v>49</v>
      </c>
      <c r="X820" s="1">
        <v>10</v>
      </c>
      <c r="Y820" s="1">
        <v>8.5</v>
      </c>
      <c r="Z820" s="18">
        <f>grand[[#This Row],[av. Transportation loss]]/grand[[#This Row],[av.total weight]]</f>
        <v>0</v>
      </c>
      <c r="AA820" s="12">
        <f>AVERAGE((grand[[#This Row],[am]]/25),(grand[[#This Row],[pm]]/50))</f>
        <v>0.99</v>
      </c>
      <c r="AB820" s="3">
        <f>grand[[#This Row],[ carcass weight]]/grand[[#This Row],[total weight]]</f>
        <v>0.623</v>
      </c>
      <c r="AC820" s="18">
        <f>SUM(grand[[#This Row],[am]:[meat transportation]])/100</f>
        <v>0.96499999999999997</v>
      </c>
      <c r="AK820" s="1"/>
      <c r="AL820" s="1"/>
    </row>
    <row r="821" spans="1:38" hidden="1" x14ac:dyDescent="0.2">
      <c r="A821" s="11">
        <v>45169</v>
      </c>
      <c r="B821" s="53" t="s">
        <v>2823</v>
      </c>
      <c r="C821" s="52" t="str">
        <f>IF(MID(B821,4,2)="09","Ramadan",IF(AND(MID(B821,4,2)="12",VALUE(LEFT(B821,2))&lt;=9),"Adha Season","Normal"))</f>
        <v>Normal</v>
      </c>
      <c r="D821" s="1" t="s">
        <v>45</v>
      </c>
      <c r="E821" s="1" t="s">
        <v>483</v>
      </c>
      <c r="F821" s="4" t="s">
        <v>39</v>
      </c>
      <c r="G821" s="1">
        <v>58</v>
      </c>
      <c r="H821" s="1">
        <v>58</v>
      </c>
      <c r="I821" s="1">
        <f>grand[[#This Row],[number]]-grand[[#This Row],[received]]</f>
        <v>0</v>
      </c>
      <c r="J821" s="30"/>
      <c r="K821" s="2">
        <v>24965</v>
      </c>
      <c r="L821" s="2">
        <v>24965</v>
      </c>
      <c r="M821" s="2">
        <f>K821-L821</f>
        <v>0</v>
      </c>
      <c r="N821" s="2">
        <v>15263.4</v>
      </c>
      <c r="O821" s="2">
        <v>552</v>
      </c>
      <c r="P821" s="7">
        <f>grand[[#This Row],[total weight]]/grand[[#This Row],[received]]</f>
        <v>430.43103448275861</v>
      </c>
      <c r="Q821" s="7">
        <f>grand[[#This Row],[receiving weight]]/grand[[#This Row],[received]]</f>
        <v>430.43103448275861</v>
      </c>
      <c r="R821" s="7">
        <f>grand[[#This Row],[transportation loss ]]/grand[[#This Row],[received]]</f>
        <v>0</v>
      </c>
      <c r="S821" s="7">
        <f>grand[[#This Row],[ carcass weight]]/grand[[#This Row],[received]]</f>
        <v>263.16206896551722</v>
      </c>
      <c r="T821" s="7">
        <f>grand[[#This Row],[ kidneys fat quantity]]/grand[[#This Row],[received]]</f>
        <v>9.5172413793103452</v>
      </c>
      <c r="U821" s="1">
        <v>25</v>
      </c>
      <c r="V821" s="1">
        <v>0</v>
      </c>
      <c r="W821" s="1">
        <v>49.172413793103452</v>
      </c>
      <c r="X821" s="1">
        <v>10</v>
      </c>
      <c r="Y821" s="1">
        <v>8.5</v>
      </c>
      <c r="Z821" s="18">
        <f>grand[[#This Row],[av. Transportation loss]]/grand[[#This Row],[av.total weight]]</f>
        <v>0</v>
      </c>
      <c r="AA821" s="12">
        <f>AVERAGE((grand[[#This Row],[am]]/25),(grand[[#This Row],[pm]]/50))</f>
        <v>0.99172413793103453</v>
      </c>
      <c r="AB821" s="3">
        <f>grand[[#This Row],[ carcass weight]]/grand[[#This Row],[total weight]]</f>
        <v>0.61139194872821945</v>
      </c>
      <c r="AC821" s="18">
        <f>SUM(grand[[#This Row],[am]:[meat transportation]])/100</f>
        <v>0.92672413793103459</v>
      </c>
      <c r="AJ821" s="1">
        <v>4</v>
      </c>
      <c r="AK821" s="1"/>
      <c r="AL821" s="1"/>
    </row>
    <row r="822" spans="1:38" hidden="1" x14ac:dyDescent="0.2">
      <c r="A822" s="11">
        <v>45171</v>
      </c>
      <c r="B822" s="53" t="s">
        <v>2824</v>
      </c>
      <c r="C822" s="52" t="str">
        <f>IF(MID(B822,4,2)="09","Ramadan",IF(AND(MID(B822,4,2)="12",VALUE(LEFT(B822,2))&lt;=9),"Adha Season","Normal"))</f>
        <v>Normal</v>
      </c>
      <c r="D822" s="1" t="s">
        <v>45</v>
      </c>
      <c r="E822" s="1" t="s">
        <v>528</v>
      </c>
      <c r="F822" s="4" t="s">
        <v>576</v>
      </c>
      <c r="G822" s="1">
        <v>28</v>
      </c>
      <c r="H822" s="1">
        <v>28</v>
      </c>
      <c r="I822" s="1">
        <f>grand[[#This Row],[number]]-grand[[#This Row],[received]]</f>
        <v>0</v>
      </c>
      <c r="J822" s="30"/>
      <c r="K822" s="2">
        <v>16779</v>
      </c>
      <c r="L822" s="2">
        <v>16779</v>
      </c>
      <c r="M822" s="2">
        <f>K822-L822</f>
        <v>0</v>
      </c>
      <c r="N822" s="2">
        <v>10068.200000000001</v>
      </c>
      <c r="O822" s="2">
        <v>204</v>
      </c>
      <c r="P822" s="7">
        <f>grand[[#This Row],[total weight]]/grand[[#This Row],[received]]</f>
        <v>599.25</v>
      </c>
      <c r="Q822" s="7">
        <f>grand[[#This Row],[receiving weight]]/grand[[#This Row],[received]]</f>
        <v>599.25</v>
      </c>
      <c r="R822" s="7">
        <f>grand[[#This Row],[transportation loss ]]/grand[[#This Row],[received]]</f>
        <v>0</v>
      </c>
      <c r="S822" s="7">
        <f>grand[[#This Row],[ carcass weight]]/grand[[#This Row],[received]]</f>
        <v>359.57857142857148</v>
      </c>
      <c r="T822" s="7">
        <f>grand[[#This Row],[ kidneys fat quantity]]/grand[[#This Row],[received]]</f>
        <v>7.2857142857142856</v>
      </c>
      <c r="U822" s="1">
        <v>25</v>
      </c>
      <c r="V822" s="1">
        <v>0</v>
      </c>
      <c r="W822" s="1">
        <v>49.25</v>
      </c>
      <c r="X822" s="1">
        <v>10</v>
      </c>
      <c r="Y822" s="1">
        <v>8.5</v>
      </c>
      <c r="Z822" s="18">
        <f>grand[[#This Row],[av. Transportation loss]]/grand[[#This Row],[av.total weight]]</f>
        <v>0</v>
      </c>
      <c r="AA822" s="12">
        <f>AVERAGE((grand[[#This Row],[am]]/25),(grand[[#This Row],[pm]]/50))</f>
        <v>0.99249999999999994</v>
      </c>
      <c r="AB822" s="3">
        <f>grand[[#This Row],[ carcass weight]]/grand[[#This Row],[total weight]]</f>
        <v>0.60004767864592645</v>
      </c>
      <c r="AC822" s="18">
        <f>SUM(grand[[#This Row],[am]:[meat transportation]])/100</f>
        <v>0.92749999999999999</v>
      </c>
      <c r="AK822" s="1"/>
      <c r="AL822" s="1"/>
    </row>
    <row r="823" spans="1:38" hidden="1" x14ac:dyDescent="0.2">
      <c r="A823" s="11">
        <v>45172</v>
      </c>
      <c r="B823" s="53" t="s">
        <v>1877</v>
      </c>
      <c r="C823" s="52" t="str">
        <f>IF(MID(B823,4,2)="09","Ramadan",IF(AND(MID(B823,4,2)="12",VALUE(LEFT(B823,2))&lt;=9),"Adha Season","Normal"))</f>
        <v>Normal</v>
      </c>
      <c r="D823" s="2" t="s">
        <v>294</v>
      </c>
      <c r="F823" s="4" t="s">
        <v>280</v>
      </c>
      <c r="G823" s="1">
        <v>18</v>
      </c>
      <c r="H823" s="1">
        <v>18</v>
      </c>
      <c r="I823" s="1">
        <f>grand[[#This Row],[number]]-grand[[#This Row],[received]]</f>
        <v>0</v>
      </c>
      <c r="J823" s="30"/>
      <c r="K823" s="2">
        <v>858</v>
      </c>
      <c r="L823" s="2">
        <v>858</v>
      </c>
      <c r="M823" s="2">
        <f>K823-L823</f>
        <v>0</v>
      </c>
      <c r="N823" s="2">
        <v>496.9</v>
      </c>
      <c r="O823" s="2">
        <v>0</v>
      </c>
      <c r="P823" s="7">
        <f>grand[[#This Row],[total weight]]/grand[[#This Row],[received]]</f>
        <v>47.666666666666664</v>
      </c>
      <c r="Q823" s="7">
        <f>grand[[#This Row],[receiving weight]]/grand[[#This Row],[received]]</f>
        <v>47.666666666666664</v>
      </c>
      <c r="R823" s="7">
        <f>grand[[#This Row],[transportation loss ]]/grand[[#This Row],[received]]</f>
        <v>0</v>
      </c>
      <c r="S823" s="7">
        <f>grand[[#This Row],[ carcass weight]]/grand[[#This Row],[received]]</f>
        <v>27.605555555555554</v>
      </c>
      <c r="T823" s="7">
        <f>grand[[#This Row],[ kidneys fat quantity]]/grand[[#This Row],[received]]</f>
        <v>0</v>
      </c>
      <c r="U823" s="1">
        <v>25</v>
      </c>
      <c r="V823" s="1">
        <v>0</v>
      </c>
      <c r="W823" s="1">
        <v>48.277777777777771</v>
      </c>
      <c r="X823" s="1">
        <v>10</v>
      </c>
      <c r="Y823" s="1">
        <v>8.5</v>
      </c>
      <c r="Z823" s="18">
        <f>grand[[#This Row],[av. Transportation loss]]/grand[[#This Row],[av.total weight]]</f>
        <v>0</v>
      </c>
      <c r="AA823" s="12">
        <f>AVERAGE((grand[[#This Row],[am]]/25),(grand[[#This Row],[pm]]/50))</f>
        <v>0.98277777777777775</v>
      </c>
      <c r="AB823" s="3">
        <f>grand[[#This Row],[ carcass weight]]/grand[[#This Row],[total weight]]</f>
        <v>0.57913752913752914</v>
      </c>
      <c r="AC823" s="18">
        <f>SUM(grand[[#This Row],[am]:[meat transportation]])/100</f>
        <v>0.91777777777777769</v>
      </c>
      <c r="AK823" s="1"/>
      <c r="AL823" s="1"/>
    </row>
    <row r="824" spans="1:38" hidden="1" x14ac:dyDescent="0.2">
      <c r="A824" s="11">
        <v>45172</v>
      </c>
      <c r="B824" s="53" t="s">
        <v>1877</v>
      </c>
      <c r="C824" s="52" t="str">
        <f>IF(MID(B824,4,2)="09","Ramadan",IF(AND(MID(B824,4,2)="12",VALUE(LEFT(B824,2))&lt;=9),"Adha Season","Normal"))</f>
        <v>Normal</v>
      </c>
      <c r="D824" s="1" t="s">
        <v>45</v>
      </c>
      <c r="E824" s="1" t="s">
        <v>483</v>
      </c>
      <c r="F824" s="4" t="s">
        <v>280</v>
      </c>
      <c r="G824" s="1">
        <v>50</v>
      </c>
      <c r="H824" s="1">
        <v>50</v>
      </c>
      <c r="I824" s="1">
        <f>grand[[#This Row],[number]]-grand[[#This Row],[received]]</f>
        <v>0</v>
      </c>
      <c r="J824" s="30"/>
      <c r="K824" s="2">
        <v>22500</v>
      </c>
      <c r="L824" s="2">
        <v>22500</v>
      </c>
      <c r="M824" s="2">
        <f>K824-L824</f>
        <v>0</v>
      </c>
      <c r="N824" s="2">
        <v>13499.3</v>
      </c>
      <c r="O824" s="2">
        <v>419</v>
      </c>
      <c r="P824" s="7">
        <f>grand[[#This Row],[total weight]]/grand[[#This Row],[received]]</f>
        <v>450</v>
      </c>
      <c r="Q824" s="7">
        <f>grand[[#This Row],[receiving weight]]/grand[[#This Row],[received]]</f>
        <v>450</v>
      </c>
      <c r="R824" s="7">
        <f>grand[[#This Row],[transportation loss ]]/grand[[#This Row],[received]]</f>
        <v>0</v>
      </c>
      <c r="S824" s="7">
        <f>grand[[#This Row],[ carcass weight]]/grand[[#This Row],[received]]</f>
        <v>269.98599999999999</v>
      </c>
      <c r="T824" s="7">
        <f>grand[[#This Row],[ kidneys fat quantity]]/grand[[#This Row],[received]]</f>
        <v>8.3800000000000008</v>
      </c>
      <c r="U824" s="1">
        <v>25</v>
      </c>
      <c r="V824" s="1">
        <v>0</v>
      </c>
      <c r="W824" s="1">
        <v>49.86</v>
      </c>
      <c r="X824" s="1">
        <v>10</v>
      </c>
      <c r="Y824" s="1">
        <v>8.5</v>
      </c>
      <c r="Z824" s="18">
        <f>grand[[#This Row],[av. Transportation loss]]/grand[[#This Row],[av.total weight]]</f>
        <v>0</v>
      </c>
      <c r="AA824" s="12">
        <f>AVERAGE((grand[[#This Row],[am]]/25),(grand[[#This Row],[pm]]/50))</f>
        <v>0.99859999999999993</v>
      </c>
      <c r="AB824" s="3">
        <f>grand[[#This Row],[ carcass weight]]/grand[[#This Row],[total weight]]</f>
        <v>0.59996888888888888</v>
      </c>
      <c r="AC824" s="18">
        <f>SUM(grand[[#This Row],[am]:[meat transportation]])/100</f>
        <v>0.93359999999999999</v>
      </c>
      <c r="AJ824" s="1">
        <v>21</v>
      </c>
      <c r="AK824" s="1"/>
      <c r="AL824" s="1"/>
    </row>
    <row r="825" spans="1:38" hidden="1" x14ac:dyDescent="0.2">
      <c r="A825" s="11">
        <v>45173</v>
      </c>
      <c r="B825" s="53" t="s">
        <v>1878</v>
      </c>
      <c r="C825" s="52" t="str">
        <f>IF(MID(B825,4,2)="09","Ramadan",IF(AND(MID(B825,4,2)="12",VALUE(LEFT(B825,2))&lt;=9),"Adha Season","Normal"))</f>
        <v>Normal</v>
      </c>
      <c r="D825" s="1" t="s">
        <v>45</v>
      </c>
      <c r="E825" s="1" t="s">
        <v>483</v>
      </c>
      <c r="F825" s="4" t="s">
        <v>280</v>
      </c>
      <c r="G825" s="1">
        <v>32</v>
      </c>
      <c r="H825" s="1">
        <v>32</v>
      </c>
      <c r="I825" s="1">
        <f>grand[[#This Row],[number]]-grand[[#This Row],[received]]</f>
        <v>0</v>
      </c>
      <c r="J825" s="30"/>
      <c r="K825" s="2">
        <v>14800</v>
      </c>
      <c r="L825" s="2">
        <v>14800</v>
      </c>
      <c r="M825" s="2">
        <f>K825-L825</f>
        <v>0</v>
      </c>
      <c r="N825" s="2">
        <v>8915.7000000000007</v>
      </c>
      <c r="O825" s="2">
        <v>309</v>
      </c>
      <c r="P825" s="7">
        <f>grand[[#This Row],[total weight]]/grand[[#This Row],[received]]</f>
        <v>462.5</v>
      </c>
      <c r="Q825" s="7">
        <f>grand[[#This Row],[receiving weight]]/grand[[#This Row],[received]]</f>
        <v>462.5</v>
      </c>
      <c r="R825" s="7">
        <f>grand[[#This Row],[transportation loss ]]/grand[[#This Row],[received]]</f>
        <v>0</v>
      </c>
      <c r="S825" s="7">
        <f>grand[[#This Row],[ carcass weight]]/grand[[#This Row],[received]]</f>
        <v>278.61562500000002</v>
      </c>
      <c r="T825" s="7">
        <f>grand[[#This Row],[ kidneys fat quantity]]/grand[[#This Row],[received]]</f>
        <v>9.65625</v>
      </c>
      <c r="U825" s="1">
        <v>25</v>
      </c>
      <c r="V825" s="1">
        <v>0</v>
      </c>
      <c r="W825" s="1">
        <v>49.78125</v>
      </c>
      <c r="X825" s="1">
        <v>10</v>
      </c>
      <c r="Y825" s="1">
        <v>8.5</v>
      </c>
      <c r="Z825" s="18">
        <f>grand[[#This Row],[av. Transportation loss]]/grand[[#This Row],[av.total weight]]</f>
        <v>0</v>
      </c>
      <c r="AA825" s="12">
        <f>AVERAGE((grand[[#This Row],[am]]/25),(grand[[#This Row],[pm]]/50))</f>
        <v>0.99781249999999999</v>
      </c>
      <c r="AB825" s="3">
        <f>grand[[#This Row],[ carcass weight]]/grand[[#This Row],[total weight]]</f>
        <v>0.6024121621621622</v>
      </c>
      <c r="AC825" s="18">
        <f>SUM(grand[[#This Row],[am]:[meat transportation]])/100</f>
        <v>0.93281250000000004</v>
      </c>
      <c r="AJ825" s="1">
        <v>8</v>
      </c>
      <c r="AK825" s="1"/>
      <c r="AL825" s="1"/>
    </row>
    <row r="826" spans="1:38" hidden="1" x14ac:dyDescent="0.2">
      <c r="A826" s="11">
        <v>45174</v>
      </c>
      <c r="B826" s="53" t="s">
        <v>1879</v>
      </c>
      <c r="C826" s="52" t="str">
        <f>IF(MID(B826,4,2)="09","Ramadan",IF(AND(MID(B826,4,2)="12",VALUE(LEFT(B826,2))&lt;=9),"Adha Season","Normal"))</f>
        <v>Normal</v>
      </c>
      <c r="D826" s="1" t="s">
        <v>45</v>
      </c>
      <c r="E826" s="1" t="s">
        <v>483</v>
      </c>
      <c r="F826" s="4" t="s">
        <v>1023</v>
      </c>
      <c r="G826" s="1">
        <v>41</v>
      </c>
      <c r="H826" s="1">
        <v>41</v>
      </c>
      <c r="I826" s="1">
        <f>grand[[#This Row],[number]]-grand[[#This Row],[received]]</f>
        <v>0</v>
      </c>
      <c r="J826" s="30"/>
      <c r="K826" s="2">
        <v>18340</v>
      </c>
      <c r="L826" s="2">
        <v>18340</v>
      </c>
      <c r="M826" s="2">
        <f>K826-L826</f>
        <v>0</v>
      </c>
      <c r="N826" s="2">
        <v>10715.1</v>
      </c>
      <c r="O826" s="2">
        <v>248.5</v>
      </c>
      <c r="P826" s="7">
        <f>grand[[#This Row],[total weight]]/grand[[#This Row],[received]]</f>
        <v>447.3170731707317</v>
      </c>
      <c r="Q826" s="7">
        <f>grand[[#This Row],[receiving weight]]/grand[[#This Row],[received]]</f>
        <v>447.3170731707317</v>
      </c>
      <c r="R826" s="7">
        <f>grand[[#This Row],[transportation loss ]]/grand[[#This Row],[received]]</f>
        <v>0</v>
      </c>
      <c r="S826" s="7">
        <f>grand[[#This Row],[ carcass weight]]/grand[[#This Row],[received]]</f>
        <v>261.34390243902442</v>
      </c>
      <c r="T826" s="7">
        <f>grand[[#This Row],[ kidneys fat quantity]]/grand[[#This Row],[received]]</f>
        <v>6.0609756097560972</v>
      </c>
      <c r="U826" s="1">
        <v>25</v>
      </c>
      <c r="V826" s="1">
        <v>0</v>
      </c>
      <c r="W826" s="1">
        <v>49.731707317073173</v>
      </c>
      <c r="X826" s="1">
        <v>10</v>
      </c>
      <c r="Y826" s="1">
        <v>8.5</v>
      </c>
      <c r="Z826" s="18">
        <f>grand[[#This Row],[av. Transportation loss]]/grand[[#This Row],[av.total weight]]</f>
        <v>0</v>
      </c>
      <c r="AA826" s="12">
        <f>AVERAGE((grand[[#This Row],[am]]/25),(grand[[#This Row],[pm]]/50))</f>
        <v>0.9973170731707317</v>
      </c>
      <c r="AB826" s="3">
        <f>grand[[#This Row],[ carcass weight]]/grand[[#This Row],[total weight]]</f>
        <v>0.584247546346783</v>
      </c>
      <c r="AC826" s="18">
        <f>SUM(grand[[#This Row],[am]:[meat transportation]])/100</f>
        <v>0.93231707317073176</v>
      </c>
      <c r="AJ826" s="1">
        <v>7</v>
      </c>
      <c r="AK826" s="1"/>
      <c r="AL826" s="1"/>
    </row>
    <row r="827" spans="1:38" hidden="1" x14ac:dyDescent="0.2">
      <c r="A827" s="11">
        <v>45175</v>
      </c>
      <c r="B827" s="53" t="s">
        <v>1880</v>
      </c>
      <c r="C827" s="52" t="str">
        <f>IF(MID(B827,4,2)="09","Ramadan",IF(AND(MID(B827,4,2)="12",VALUE(LEFT(B827,2))&lt;=9),"Adha Season","Normal"))</f>
        <v>Normal</v>
      </c>
      <c r="D827" s="1" t="s">
        <v>45</v>
      </c>
      <c r="E827" s="1" t="s">
        <v>483</v>
      </c>
      <c r="F827" s="4" t="s">
        <v>280</v>
      </c>
      <c r="G827" s="1">
        <v>20</v>
      </c>
      <c r="H827" s="1">
        <v>20</v>
      </c>
      <c r="I827" s="1">
        <f>grand[[#This Row],[number]]-grand[[#This Row],[received]]</f>
        <v>0</v>
      </c>
      <c r="J827" s="30"/>
      <c r="K827" s="2">
        <v>8903</v>
      </c>
      <c r="L827" s="2">
        <v>8903</v>
      </c>
      <c r="M827" s="2">
        <f>K827-L827</f>
        <v>0</v>
      </c>
      <c r="N827" s="2">
        <v>5341.8</v>
      </c>
      <c r="O827" s="2">
        <v>154</v>
      </c>
      <c r="P827" s="7">
        <f>grand[[#This Row],[total weight]]/grand[[#This Row],[received]]</f>
        <v>445.15</v>
      </c>
      <c r="Q827" s="7">
        <f>grand[[#This Row],[receiving weight]]/grand[[#This Row],[received]]</f>
        <v>445.15</v>
      </c>
      <c r="R827" s="7">
        <f>grand[[#This Row],[transportation loss ]]/grand[[#This Row],[received]]</f>
        <v>0</v>
      </c>
      <c r="S827" s="7">
        <f>grand[[#This Row],[ carcass weight]]/grand[[#This Row],[received]]</f>
        <v>267.09000000000003</v>
      </c>
      <c r="T827" s="7">
        <f>grand[[#This Row],[ kidneys fat quantity]]/grand[[#This Row],[received]]</f>
        <v>7.7</v>
      </c>
      <c r="U827" s="1">
        <v>25</v>
      </c>
      <c r="V827" s="1">
        <v>0</v>
      </c>
      <c r="W827" s="1">
        <v>48.25</v>
      </c>
      <c r="X827" s="1">
        <v>10</v>
      </c>
      <c r="Y827" s="1">
        <v>8.5</v>
      </c>
      <c r="Z827" s="18">
        <f>grand[[#This Row],[av. Transportation loss]]/grand[[#This Row],[av.total weight]]</f>
        <v>0</v>
      </c>
      <c r="AA827" s="12">
        <f>AVERAGE((grand[[#This Row],[am]]/25),(grand[[#This Row],[pm]]/50))</f>
        <v>0.98249999999999993</v>
      </c>
      <c r="AB827" s="3">
        <f>grand[[#This Row],[ carcass weight]]/grand[[#This Row],[total weight]]</f>
        <v>0.6</v>
      </c>
      <c r="AC827" s="18">
        <f>SUM(grand[[#This Row],[am]:[meat transportation]])/100</f>
        <v>0.91749999999999998</v>
      </c>
      <c r="AJ827" s="1">
        <v>3</v>
      </c>
      <c r="AK827" s="1"/>
      <c r="AL827" s="1"/>
    </row>
    <row r="828" spans="1:38" hidden="1" x14ac:dyDescent="0.2">
      <c r="A828" s="11">
        <v>45176</v>
      </c>
      <c r="B828" s="53" t="s">
        <v>1881</v>
      </c>
      <c r="C828" s="52" t="str">
        <f>IF(MID(B828,4,2)="09","Ramadan",IF(AND(MID(B828,4,2)="12",VALUE(LEFT(B828,2))&lt;=9),"Adha Season","Normal"))</f>
        <v>Normal</v>
      </c>
      <c r="D828" s="2" t="s">
        <v>294</v>
      </c>
      <c r="F828" s="4" t="s">
        <v>280</v>
      </c>
      <c r="G828" s="1">
        <v>25</v>
      </c>
      <c r="H828" s="1">
        <v>25</v>
      </c>
      <c r="I828" s="1">
        <f>grand[[#This Row],[number]]-grand[[#This Row],[received]]</f>
        <v>0</v>
      </c>
      <c r="J828" s="30"/>
      <c r="K828" s="2">
        <v>1220</v>
      </c>
      <c r="L828" s="2">
        <v>1220</v>
      </c>
      <c r="M828" s="2">
        <f>K828-L828</f>
        <v>0</v>
      </c>
      <c r="N828" s="2">
        <v>705.4</v>
      </c>
      <c r="O828" s="2">
        <v>0</v>
      </c>
      <c r="P828" s="7">
        <f>grand[[#This Row],[total weight]]/grand[[#This Row],[received]]</f>
        <v>48.8</v>
      </c>
      <c r="Q828" s="7">
        <f>grand[[#This Row],[receiving weight]]/grand[[#This Row],[received]]</f>
        <v>48.8</v>
      </c>
      <c r="R828" s="7">
        <f>grand[[#This Row],[transportation loss ]]/grand[[#This Row],[received]]</f>
        <v>0</v>
      </c>
      <c r="S828" s="7">
        <f>grand[[#This Row],[ carcass weight]]/grand[[#This Row],[received]]</f>
        <v>28.215999999999998</v>
      </c>
      <c r="T828" s="7">
        <f>grand[[#This Row],[ kidneys fat quantity]]/grand[[#This Row],[received]]</f>
        <v>0</v>
      </c>
      <c r="U828" s="1">
        <v>25</v>
      </c>
      <c r="V828" s="1">
        <v>0</v>
      </c>
      <c r="W828" s="1">
        <v>48.88</v>
      </c>
      <c r="X828" s="1">
        <v>10</v>
      </c>
      <c r="Y828" s="1">
        <v>8.5</v>
      </c>
      <c r="Z828" s="18">
        <f>grand[[#This Row],[av. Transportation loss]]/grand[[#This Row],[av.total weight]]</f>
        <v>0</v>
      </c>
      <c r="AA828" s="12">
        <f>AVERAGE((grand[[#This Row],[am]]/25),(grand[[#This Row],[pm]]/50))</f>
        <v>0.98880000000000001</v>
      </c>
      <c r="AB828" s="3">
        <f>grand[[#This Row],[ carcass weight]]/grand[[#This Row],[total weight]]</f>
        <v>0.57819672131147537</v>
      </c>
      <c r="AC828" s="18">
        <f>SUM(grand[[#This Row],[am]:[meat transportation]])/100</f>
        <v>0.92379999999999995</v>
      </c>
      <c r="AK828" s="1"/>
      <c r="AL828" s="1"/>
    </row>
    <row r="829" spans="1:38" hidden="1" x14ac:dyDescent="0.2">
      <c r="A829" s="11">
        <v>45178</v>
      </c>
      <c r="B829" s="53" t="s">
        <v>2825</v>
      </c>
      <c r="C829" s="52" t="str">
        <f>IF(MID(B829,4,2)="09","Ramadan",IF(AND(MID(B829,4,2)="12",VALUE(LEFT(B829,2))&lt;=9),"Adha Season","Normal"))</f>
        <v>Normal</v>
      </c>
      <c r="D829" s="1" t="s">
        <v>45</v>
      </c>
      <c r="E829" s="1" t="s">
        <v>483</v>
      </c>
      <c r="F829" s="4" t="s">
        <v>576</v>
      </c>
      <c r="G829" s="1">
        <v>32</v>
      </c>
      <c r="H829" s="1">
        <v>32</v>
      </c>
      <c r="I829" s="1">
        <f>grand[[#This Row],[number]]-grand[[#This Row],[received]]</f>
        <v>0</v>
      </c>
      <c r="J829" s="30"/>
      <c r="K829" s="2">
        <v>15894</v>
      </c>
      <c r="L829" s="2">
        <v>15460</v>
      </c>
      <c r="M829" s="2">
        <f>K829-L829</f>
        <v>434</v>
      </c>
      <c r="N829" s="2">
        <v>9858.7000000000007</v>
      </c>
      <c r="O829" s="2">
        <v>242</v>
      </c>
      <c r="P829" s="7">
        <f>grand[[#This Row],[total weight]]/grand[[#This Row],[received]]</f>
        <v>496.6875</v>
      </c>
      <c r="Q829" s="7">
        <f>grand[[#This Row],[receiving weight]]/grand[[#This Row],[received]]</f>
        <v>483.125</v>
      </c>
      <c r="R829" s="7">
        <f>grand[[#This Row],[transportation loss ]]/grand[[#This Row],[received]]</f>
        <v>13.5625</v>
      </c>
      <c r="S829" s="7">
        <f>grand[[#This Row],[ carcass weight]]/grand[[#This Row],[received]]</f>
        <v>308.08437500000002</v>
      </c>
      <c r="T829" s="7">
        <f>grand[[#This Row],[ kidneys fat quantity]]/grand[[#This Row],[received]]</f>
        <v>7.5625</v>
      </c>
      <c r="U829" s="1">
        <v>24.84375</v>
      </c>
      <c r="V829" s="1">
        <v>0</v>
      </c>
      <c r="W829" s="1">
        <v>47.59375</v>
      </c>
      <c r="X829" s="1">
        <v>10</v>
      </c>
      <c r="Y829" s="1">
        <v>8.5</v>
      </c>
      <c r="Z829" s="18">
        <f>grand[[#This Row],[av. Transportation loss]]/grand[[#This Row],[av.total weight]]</f>
        <v>2.730590159808733E-2</v>
      </c>
      <c r="AA829" s="12">
        <f>AVERAGE((grand[[#This Row],[am]]/25),(grand[[#This Row],[pm]]/50))</f>
        <v>0.97281250000000008</v>
      </c>
      <c r="AB829" s="3">
        <f>grand[[#This Row],[ carcass weight]]/grand[[#This Row],[total weight]]</f>
        <v>0.62027809236189757</v>
      </c>
      <c r="AC829" s="18">
        <f>SUM(grand[[#This Row],[am]:[meat transportation]])/100</f>
        <v>0.90937500000000004</v>
      </c>
      <c r="AJ829" s="1">
        <v>18</v>
      </c>
      <c r="AK829" s="1"/>
      <c r="AL829" s="1"/>
    </row>
    <row r="830" spans="1:38" hidden="1" x14ac:dyDescent="0.2">
      <c r="A830" s="11">
        <v>45179</v>
      </c>
      <c r="B830" s="53" t="s">
        <v>1882</v>
      </c>
      <c r="C830" s="52" t="str">
        <f>IF(MID(B830,4,2)="09","Ramadan",IF(AND(MID(B830,4,2)="12",VALUE(LEFT(B830,2))&lt;=9),"Adha Season","Normal"))</f>
        <v>Normal</v>
      </c>
      <c r="D830" s="2" t="s">
        <v>294</v>
      </c>
      <c r="F830" s="4" t="s">
        <v>334</v>
      </c>
      <c r="G830" s="1">
        <v>15</v>
      </c>
      <c r="H830" s="1">
        <v>15</v>
      </c>
      <c r="I830" s="1">
        <f>grand[[#This Row],[number]]-grand[[#This Row],[received]]</f>
        <v>0</v>
      </c>
      <c r="J830" s="30"/>
      <c r="K830" s="2">
        <v>967</v>
      </c>
      <c r="L830" s="2">
        <v>967</v>
      </c>
      <c r="M830" s="2">
        <f>K830-L830</f>
        <v>0</v>
      </c>
      <c r="N830" s="2">
        <v>400.4</v>
      </c>
      <c r="O830" s="2">
        <v>0</v>
      </c>
      <c r="P830" s="7">
        <f>grand[[#This Row],[total weight]]/grand[[#This Row],[received]]</f>
        <v>64.466666666666669</v>
      </c>
      <c r="Q830" s="7">
        <f>grand[[#This Row],[receiving weight]]/grand[[#This Row],[received]]</f>
        <v>64.466666666666669</v>
      </c>
      <c r="R830" s="7">
        <f>grand[[#This Row],[transportation loss ]]/grand[[#This Row],[received]]</f>
        <v>0</v>
      </c>
      <c r="S830" s="7">
        <f>grand[[#This Row],[ carcass weight]]/grand[[#This Row],[received]]</f>
        <v>26.693333333333332</v>
      </c>
      <c r="T830" s="7">
        <f>grand[[#This Row],[ kidneys fat quantity]]/grand[[#This Row],[received]]</f>
        <v>0</v>
      </c>
      <c r="U830" s="1">
        <v>25</v>
      </c>
      <c r="V830" s="1">
        <v>0</v>
      </c>
      <c r="W830" s="1">
        <v>49.533333333333331</v>
      </c>
      <c r="X830" s="1">
        <v>10</v>
      </c>
      <c r="Y830" s="1">
        <v>8.5</v>
      </c>
      <c r="Z830" s="18">
        <f>grand[[#This Row],[av. Transportation loss]]/grand[[#This Row],[av.total weight]]</f>
        <v>0</v>
      </c>
      <c r="AA830" s="12">
        <f>AVERAGE((grand[[#This Row],[am]]/25),(grand[[#This Row],[pm]]/50))</f>
        <v>0.99533333333333329</v>
      </c>
      <c r="AB830" s="3">
        <f>grand[[#This Row],[ carcass weight]]/grand[[#This Row],[total weight]]</f>
        <v>0.41406411582213026</v>
      </c>
      <c r="AC830" s="18">
        <f>SUM(grand[[#This Row],[am]:[meat transportation]])/100</f>
        <v>0.93033333333333335</v>
      </c>
      <c r="AK830" s="1"/>
      <c r="AL830" s="1"/>
    </row>
    <row r="831" spans="1:38" hidden="1" x14ac:dyDescent="0.2">
      <c r="A831" s="11">
        <v>45180</v>
      </c>
      <c r="B831" s="53" t="s">
        <v>1883</v>
      </c>
      <c r="C831" s="52" t="str">
        <f>IF(MID(B831,4,2)="09","Ramadan",IF(AND(MID(B831,4,2)="12",VALUE(LEFT(B831,2))&lt;=9),"Adha Season","Normal"))</f>
        <v>Normal</v>
      </c>
      <c r="D831" s="1" t="s">
        <v>45</v>
      </c>
      <c r="E831" s="1" t="s">
        <v>528</v>
      </c>
      <c r="F831" s="4" t="s">
        <v>462</v>
      </c>
      <c r="G831" s="1">
        <v>50</v>
      </c>
      <c r="H831" s="1">
        <v>50</v>
      </c>
      <c r="I831" s="1">
        <f>grand[[#This Row],[number]]-grand[[#This Row],[received]]</f>
        <v>0</v>
      </c>
      <c r="J831" s="30"/>
      <c r="K831" s="2">
        <v>23456.962025316454</v>
      </c>
      <c r="L831" s="2">
        <v>23456.962025316454</v>
      </c>
      <c r="M831" s="2">
        <f>K831-L831</f>
        <v>0</v>
      </c>
      <c r="N831" s="2">
        <v>14824.8</v>
      </c>
      <c r="O831" s="2">
        <v>0</v>
      </c>
      <c r="P831" s="7">
        <f>grand[[#This Row],[total weight]]/grand[[#This Row],[received]]</f>
        <v>469.13924050632909</v>
      </c>
      <c r="Q831" s="7">
        <f>grand[[#This Row],[receiving weight]]/grand[[#This Row],[received]]</f>
        <v>469.13924050632909</v>
      </c>
      <c r="R831" s="7">
        <f>grand[[#This Row],[transportation loss ]]/grand[[#This Row],[received]]</f>
        <v>0</v>
      </c>
      <c r="S831" s="7">
        <f>grand[[#This Row],[ carcass weight]]/grand[[#This Row],[received]]</f>
        <v>296.49599999999998</v>
      </c>
      <c r="T831" s="7">
        <f>grand[[#This Row],[ kidneys fat quantity]]/grand[[#This Row],[received]]</f>
        <v>0</v>
      </c>
      <c r="U831" s="1">
        <v>25</v>
      </c>
      <c r="V831" s="1">
        <v>4</v>
      </c>
      <c r="W831" s="1">
        <v>49.86</v>
      </c>
      <c r="X831" s="1">
        <v>9.9</v>
      </c>
      <c r="Y831" s="1">
        <v>8.5</v>
      </c>
      <c r="Z831" s="18">
        <f>grand[[#This Row],[av. Transportation loss]]/grand[[#This Row],[av.total weight]]</f>
        <v>0</v>
      </c>
      <c r="AA831" s="12">
        <f>AVERAGE((grand[[#This Row],[am]]/25),(grand[[#This Row],[pm]]/50))</f>
        <v>0.99859999999999993</v>
      </c>
      <c r="AB831" s="3">
        <f>grand[[#This Row],[ carcass weight]]/grand[[#This Row],[total weight]]</f>
        <v>0.63200000000000001</v>
      </c>
      <c r="AC831" s="18">
        <f>SUM(grand[[#This Row],[am]:[meat transportation]])/100</f>
        <v>0.97260000000000002</v>
      </c>
      <c r="AK831" s="1"/>
      <c r="AL831" s="1"/>
    </row>
    <row r="832" spans="1:38" hidden="1" x14ac:dyDescent="0.2">
      <c r="A832" s="11">
        <v>45182</v>
      </c>
      <c r="B832" s="53" t="s">
        <v>2826</v>
      </c>
      <c r="C832" s="52" t="str">
        <f>IF(MID(B832,4,2)="09","Ramadan",IF(AND(MID(B832,4,2)="12",VALUE(LEFT(B832,2))&lt;=9),"Adha Season","Normal"))</f>
        <v>Normal</v>
      </c>
      <c r="D832" s="1" t="s">
        <v>45</v>
      </c>
      <c r="E832" s="1" t="s">
        <v>528</v>
      </c>
      <c r="F832" s="4" t="s">
        <v>462</v>
      </c>
      <c r="G832" s="1">
        <v>24</v>
      </c>
      <c r="H832" s="1">
        <v>24</v>
      </c>
      <c r="I832" s="1">
        <f>grand[[#This Row],[number]]-grand[[#This Row],[received]]</f>
        <v>0</v>
      </c>
      <c r="J832" s="30"/>
      <c r="K832" s="2">
        <v>11519.620253164556</v>
      </c>
      <c r="L832" s="2">
        <v>11519.620253164556</v>
      </c>
      <c r="M832" s="2">
        <f>K832-L832</f>
        <v>0</v>
      </c>
      <c r="N832" s="2">
        <v>7280.4</v>
      </c>
      <c r="O832" s="2">
        <v>0</v>
      </c>
      <c r="P832" s="7">
        <f>grand[[#This Row],[total weight]]/grand[[#This Row],[received]]</f>
        <v>479.98417721518985</v>
      </c>
      <c r="Q832" s="7">
        <f>grand[[#This Row],[receiving weight]]/grand[[#This Row],[received]]</f>
        <v>479.98417721518985</v>
      </c>
      <c r="R832" s="7">
        <f>grand[[#This Row],[transportation loss ]]/grand[[#This Row],[received]]</f>
        <v>0</v>
      </c>
      <c r="S832" s="7">
        <f>grand[[#This Row],[ carcass weight]]/grand[[#This Row],[received]]</f>
        <v>303.34999999999997</v>
      </c>
      <c r="T832" s="7">
        <f>grand[[#This Row],[ kidneys fat quantity]]/grand[[#This Row],[received]]</f>
        <v>0</v>
      </c>
      <c r="U832" s="1">
        <v>25</v>
      </c>
      <c r="V832" s="1">
        <v>4</v>
      </c>
      <c r="W832" s="1">
        <v>49.416666666666664</v>
      </c>
      <c r="X832" s="1">
        <v>10</v>
      </c>
      <c r="Y832" s="1">
        <v>8.5</v>
      </c>
      <c r="Z832" s="18">
        <f>grand[[#This Row],[av. Transportation loss]]/grand[[#This Row],[av.total weight]]</f>
        <v>0</v>
      </c>
      <c r="AA832" s="12">
        <f>AVERAGE((grand[[#This Row],[am]]/25),(grand[[#This Row],[pm]]/50))</f>
        <v>0.99416666666666664</v>
      </c>
      <c r="AB832" s="3">
        <f>grand[[#This Row],[ carcass weight]]/grand[[#This Row],[total weight]]</f>
        <v>0.63200000000000001</v>
      </c>
      <c r="AC832" s="18">
        <f>SUM(grand[[#This Row],[am]:[meat transportation]])/100</f>
        <v>0.96916666666666662</v>
      </c>
      <c r="AK832" s="1"/>
      <c r="AL832" s="1"/>
    </row>
    <row r="833" spans="1:38" hidden="1" x14ac:dyDescent="0.2">
      <c r="A833" s="11">
        <v>45183</v>
      </c>
      <c r="B833" s="53" t="s">
        <v>1884</v>
      </c>
      <c r="C833" s="52" t="str">
        <f>IF(MID(B833,4,2)="09","Ramadan",IF(AND(MID(B833,4,2)="12",VALUE(LEFT(B833,2))&lt;=9),"Adha Season","Normal"))</f>
        <v>Normal</v>
      </c>
      <c r="D833" s="2" t="s">
        <v>294</v>
      </c>
      <c r="F833" s="4" t="s">
        <v>280</v>
      </c>
      <c r="G833" s="1">
        <v>22</v>
      </c>
      <c r="H833" s="1">
        <v>22</v>
      </c>
      <c r="I833" s="1">
        <f>grand[[#This Row],[number]]-grand[[#This Row],[received]]</f>
        <v>0</v>
      </c>
      <c r="J833" s="30"/>
      <c r="K833" s="2">
        <v>948</v>
      </c>
      <c r="L833" s="2">
        <v>948</v>
      </c>
      <c r="M833" s="2">
        <f>K833-L833</f>
        <v>0</v>
      </c>
      <c r="N833" s="2">
        <v>533</v>
      </c>
      <c r="O833" s="2">
        <v>0</v>
      </c>
      <c r="P833" s="7">
        <f>grand[[#This Row],[total weight]]/grand[[#This Row],[received]]</f>
        <v>43.090909090909093</v>
      </c>
      <c r="Q833" s="7">
        <f>grand[[#This Row],[receiving weight]]/grand[[#This Row],[received]]</f>
        <v>43.090909090909093</v>
      </c>
      <c r="R833" s="7">
        <f>grand[[#This Row],[transportation loss ]]/grand[[#This Row],[received]]</f>
        <v>0</v>
      </c>
      <c r="S833" s="7">
        <f>grand[[#This Row],[ carcass weight]]/grand[[#This Row],[received]]</f>
        <v>24.227272727272727</v>
      </c>
      <c r="T833" s="7">
        <f>grand[[#This Row],[ kidneys fat quantity]]/grand[[#This Row],[received]]</f>
        <v>0</v>
      </c>
      <c r="U833" s="1">
        <v>25</v>
      </c>
      <c r="V833" s="1">
        <v>0</v>
      </c>
      <c r="W833" s="1">
        <v>49.92</v>
      </c>
      <c r="X833" s="1">
        <v>10</v>
      </c>
      <c r="Y833" s="1">
        <v>8.5</v>
      </c>
      <c r="Z833" s="18">
        <f>grand[[#This Row],[av. Transportation loss]]/grand[[#This Row],[av.total weight]]</f>
        <v>0</v>
      </c>
      <c r="AA833" s="12">
        <f>AVERAGE((grand[[#This Row],[am]]/25),(grand[[#This Row],[pm]]/50))</f>
        <v>0.99920000000000009</v>
      </c>
      <c r="AB833" s="3">
        <f>grand[[#This Row],[ carcass weight]]/grand[[#This Row],[total weight]]</f>
        <v>0.56223628691983119</v>
      </c>
      <c r="AC833" s="18">
        <f>SUM(grand[[#This Row],[am]:[meat transportation]])/100</f>
        <v>0.93420000000000003</v>
      </c>
      <c r="AK833" s="1"/>
      <c r="AL833" s="1"/>
    </row>
    <row r="834" spans="1:38" hidden="1" x14ac:dyDescent="0.2">
      <c r="A834" s="11">
        <v>45186</v>
      </c>
      <c r="B834" s="53" t="s">
        <v>2827</v>
      </c>
      <c r="C834" s="52" t="str">
        <f>IF(MID(B834,4,2)="09","Ramadan",IF(AND(MID(B834,4,2)="12",VALUE(LEFT(B834,2))&lt;=9),"Adha Season","Normal"))</f>
        <v>Normal</v>
      </c>
      <c r="D834" s="1" t="s">
        <v>45</v>
      </c>
      <c r="E834" s="1" t="s">
        <v>483</v>
      </c>
      <c r="F834" s="4" t="s">
        <v>280</v>
      </c>
      <c r="G834" s="1">
        <v>44</v>
      </c>
      <c r="H834" s="1">
        <v>44</v>
      </c>
      <c r="I834" s="1">
        <f>grand[[#This Row],[number]]-grand[[#This Row],[received]]</f>
        <v>0</v>
      </c>
      <c r="J834" s="30"/>
      <c r="K834" s="2">
        <v>20750</v>
      </c>
      <c r="L834" s="2">
        <v>20750</v>
      </c>
      <c r="M834" s="2">
        <f>K834-L834</f>
        <v>0</v>
      </c>
      <c r="N834" s="2">
        <v>12449.3</v>
      </c>
      <c r="O834" s="2">
        <v>424</v>
      </c>
      <c r="P834" s="7">
        <f>grand[[#This Row],[total weight]]/grand[[#This Row],[received]]</f>
        <v>471.59090909090907</v>
      </c>
      <c r="Q834" s="7">
        <f>grand[[#This Row],[receiving weight]]/grand[[#This Row],[received]]</f>
        <v>471.59090909090907</v>
      </c>
      <c r="R834" s="7">
        <f>grand[[#This Row],[transportation loss ]]/grand[[#This Row],[received]]</f>
        <v>0</v>
      </c>
      <c r="S834" s="7">
        <f>grand[[#This Row],[ carcass weight]]/grand[[#This Row],[received]]</f>
        <v>282.93863636363636</v>
      </c>
      <c r="T834" s="7">
        <f>grand[[#This Row],[ kidneys fat quantity]]/grand[[#This Row],[received]]</f>
        <v>9.6363636363636367</v>
      </c>
      <c r="U834" s="1">
        <v>25</v>
      </c>
      <c r="V834" s="1">
        <v>0</v>
      </c>
      <c r="W834" s="1">
        <v>49.61363636363636</v>
      </c>
      <c r="X834" s="1">
        <v>10</v>
      </c>
      <c r="Y834" s="1">
        <v>8.5</v>
      </c>
      <c r="Z834" s="18">
        <f>grand[[#This Row],[av. Transportation loss]]/grand[[#This Row],[av.total weight]]</f>
        <v>0</v>
      </c>
      <c r="AA834" s="12">
        <f>AVERAGE((grand[[#This Row],[am]]/25),(grand[[#This Row],[pm]]/50))</f>
        <v>0.9961363636363636</v>
      </c>
      <c r="AB834" s="3">
        <f>grand[[#This Row],[ carcass weight]]/grand[[#This Row],[total weight]]</f>
        <v>0.59996626506024098</v>
      </c>
      <c r="AC834" s="18">
        <f>SUM(grand[[#This Row],[am]:[meat transportation]])/100</f>
        <v>0.93113636363636365</v>
      </c>
      <c r="AJ834" s="1">
        <v>11</v>
      </c>
      <c r="AK834" s="1"/>
      <c r="AL834" s="1"/>
    </row>
    <row r="835" spans="1:38" hidden="1" x14ac:dyDescent="0.2">
      <c r="A835" s="11">
        <v>45186</v>
      </c>
      <c r="B835" s="53" t="s">
        <v>2827</v>
      </c>
      <c r="C835" s="52" t="str">
        <f>IF(MID(B835,4,2)="09","Ramadan",IF(AND(MID(B835,4,2)="12",VALUE(LEFT(B835,2))&lt;=9),"Adha Season","Normal"))</f>
        <v>Normal</v>
      </c>
      <c r="D835" s="1" t="s">
        <v>45</v>
      </c>
      <c r="E835" s="1" t="s">
        <v>528</v>
      </c>
      <c r="F835" s="4" t="s">
        <v>576</v>
      </c>
      <c r="G835" s="1">
        <v>14</v>
      </c>
      <c r="H835" s="1">
        <v>14</v>
      </c>
      <c r="I835" s="1">
        <f>grand[[#This Row],[number]]-grand[[#This Row],[received]]</f>
        <v>0</v>
      </c>
      <c r="J835" s="30"/>
      <c r="K835" s="2">
        <v>7950</v>
      </c>
      <c r="L835" s="2">
        <v>7950</v>
      </c>
      <c r="M835" s="2">
        <f>K835-L835</f>
        <v>0</v>
      </c>
      <c r="N835" s="2">
        <v>5195.3999999999996</v>
      </c>
      <c r="O835" s="2">
        <v>68</v>
      </c>
      <c r="P835" s="7">
        <f>grand[[#This Row],[total weight]]/grand[[#This Row],[received]]</f>
        <v>567.85714285714289</v>
      </c>
      <c r="Q835" s="7">
        <f>grand[[#This Row],[receiving weight]]/grand[[#This Row],[received]]</f>
        <v>567.85714285714289</v>
      </c>
      <c r="R835" s="7">
        <f>grand[[#This Row],[transportation loss ]]/grand[[#This Row],[received]]</f>
        <v>0</v>
      </c>
      <c r="S835" s="7">
        <f>grand[[#This Row],[ carcass weight]]/grand[[#This Row],[received]]</f>
        <v>371.09999999999997</v>
      </c>
      <c r="T835" s="7">
        <f>grand[[#This Row],[ kidneys fat quantity]]/grand[[#This Row],[received]]</f>
        <v>4.8571428571428568</v>
      </c>
      <c r="U835" s="1">
        <v>25</v>
      </c>
      <c r="V835" s="1">
        <v>0</v>
      </c>
      <c r="W835" s="1">
        <v>49.357142857142861</v>
      </c>
      <c r="X835" s="1">
        <v>10</v>
      </c>
      <c r="Y835" s="1">
        <v>8.5</v>
      </c>
      <c r="Z835" s="18">
        <f>grand[[#This Row],[av. Transportation loss]]/grand[[#This Row],[av.total weight]]</f>
        <v>0</v>
      </c>
      <c r="AA835" s="12">
        <f>AVERAGE((grand[[#This Row],[am]]/25),(grand[[#This Row],[pm]]/50))</f>
        <v>0.99357142857142855</v>
      </c>
      <c r="AB835" s="3">
        <f>grand[[#This Row],[ carcass weight]]/grand[[#This Row],[total weight]]</f>
        <v>0.65350943396226413</v>
      </c>
      <c r="AC835" s="18">
        <f>SUM(grand[[#This Row],[am]:[meat transportation]])/100</f>
        <v>0.9285714285714286</v>
      </c>
      <c r="AK835" s="1"/>
      <c r="AL835" s="1"/>
    </row>
    <row r="836" spans="1:38" hidden="1" x14ac:dyDescent="0.2">
      <c r="A836" s="11">
        <v>45188</v>
      </c>
      <c r="B836" s="53" t="s">
        <v>2828</v>
      </c>
      <c r="C836" s="52" t="str">
        <f>IF(MID(B836,4,2)="09","Ramadan",IF(AND(MID(B836,4,2)="12",VALUE(LEFT(B836,2))&lt;=9),"Adha Season","Normal"))</f>
        <v>Normal</v>
      </c>
      <c r="D836" s="1" t="s">
        <v>45</v>
      </c>
      <c r="E836" s="1" t="s">
        <v>528</v>
      </c>
      <c r="F836" s="4" t="s">
        <v>576</v>
      </c>
      <c r="G836" s="1">
        <v>42</v>
      </c>
      <c r="H836" s="1">
        <v>42</v>
      </c>
      <c r="I836" s="1">
        <f>grand[[#This Row],[number]]-grand[[#This Row],[received]]</f>
        <v>0</v>
      </c>
      <c r="J836" s="30"/>
      <c r="K836" s="2">
        <v>24024</v>
      </c>
      <c r="L836" s="2">
        <v>23180</v>
      </c>
      <c r="M836" s="2">
        <f>K836-L836</f>
        <v>844</v>
      </c>
      <c r="N836" s="2">
        <v>15338.9</v>
      </c>
      <c r="O836" s="2">
        <v>207</v>
      </c>
      <c r="P836" s="7">
        <f>grand[[#This Row],[total weight]]/grand[[#This Row],[received]]</f>
        <v>572</v>
      </c>
      <c r="Q836" s="7">
        <f>grand[[#This Row],[receiving weight]]/grand[[#This Row],[received]]</f>
        <v>551.90476190476193</v>
      </c>
      <c r="R836" s="7">
        <f>grand[[#This Row],[transportation loss ]]/grand[[#This Row],[received]]</f>
        <v>20.095238095238095</v>
      </c>
      <c r="S836" s="7">
        <f>grand[[#This Row],[ carcass weight]]/grand[[#This Row],[received]]</f>
        <v>365.21190476190475</v>
      </c>
      <c r="T836" s="7">
        <f>grand[[#This Row],[ kidneys fat quantity]]/grand[[#This Row],[received]]</f>
        <v>4.9285714285714288</v>
      </c>
      <c r="U836" s="1">
        <v>25</v>
      </c>
      <c r="V836" s="1">
        <v>0</v>
      </c>
      <c r="W836" s="1">
        <v>49.904761904761905</v>
      </c>
      <c r="X836" s="1">
        <v>10</v>
      </c>
      <c r="Y836" s="1">
        <v>8.5</v>
      </c>
      <c r="Z836" s="18">
        <f>grand[[#This Row],[av. Transportation loss]]/grand[[#This Row],[av.total weight]]</f>
        <v>3.5131535131535128E-2</v>
      </c>
      <c r="AA836" s="12">
        <f>AVERAGE((grand[[#This Row],[am]]/25),(grand[[#This Row],[pm]]/50))</f>
        <v>0.99904761904761907</v>
      </c>
      <c r="AB836" s="3">
        <f>grand[[#This Row],[ carcass weight]]/grand[[#This Row],[total weight]]</f>
        <v>0.63848235098235095</v>
      </c>
      <c r="AC836" s="18">
        <f>SUM(grand[[#This Row],[am]:[meat transportation]])/100</f>
        <v>0.93404761904761902</v>
      </c>
      <c r="AK836" s="1"/>
      <c r="AL836" s="1"/>
    </row>
    <row r="837" spans="1:38" hidden="1" x14ac:dyDescent="0.2">
      <c r="A837" s="11">
        <v>45189</v>
      </c>
      <c r="B837" s="53" t="s">
        <v>1885</v>
      </c>
      <c r="C837" s="52" t="str">
        <f>IF(MID(B837,4,2)="09","Ramadan",IF(AND(MID(B837,4,2)="12",VALUE(LEFT(B837,2))&lt;=9),"Adha Season","Normal"))</f>
        <v>Normal</v>
      </c>
      <c r="D837" s="1" t="s">
        <v>45</v>
      </c>
      <c r="E837" s="1" t="s">
        <v>528</v>
      </c>
      <c r="F837" s="4" t="s">
        <v>462</v>
      </c>
      <c r="G837" s="1">
        <v>40</v>
      </c>
      <c r="H837" s="1">
        <v>40</v>
      </c>
      <c r="I837" s="1">
        <f>grand[[#This Row],[number]]-grand[[#This Row],[received]]</f>
        <v>0</v>
      </c>
      <c r="J837" s="30"/>
      <c r="K837" s="2">
        <v>18843.67088607595</v>
      </c>
      <c r="L837" s="2">
        <v>18843.67088607595</v>
      </c>
      <c r="M837" s="2">
        <f>K837-L837</f>
        <v>0</v>
      </c>
      <c r="N837" s="2">
        <v>11909.2</v>
      </c>
      <c r="O837" s="2">
        <v>0</v>
      </c>
      <c r="P837" s="7">
        <f>grand[[#This Row],[total weight]]/grand[[#This Row],[received]]</f>
        <v>471.09177215189874</v>
      </c>
      <c r="Q837" s="7">
        <f>grand[[#This Row],[receiving weight]]/grand[[#This Row],[received]]</f>
        <v>471.09177215189874</v>
      </c>
      <c r="R837" s="7">
        <f>grand[[#This Row],[transportation loss ]]/grand[[#This Row],[received]]</f>
        <v>0</v>
      </c>
      <c r="S837" s="7">
        <f>grand[[#This Row],[ carcass weight]]/grand[[#This Row],[received]]</f>
        <v>297.73</v>
      </c>
      <c r="T837" s="7">
        <f>grand[[#This Row],[ kidneys fat quantity]]/grand[[#This Row],[received]]</f>
        <v>0</v>
      </c>
      <c r="U837" s="1">
        <v>25</v>
      </c>
      <c r="V837" s="1">
        <v>4</v>
      </c>
      <c r="W837" s="1">
        <v>49.525000000000006</v>
      </c>
      <c r="X837" s="1">
        <v>10</v>
      </c>
      <c r="Y837" s="1">
        <v>8.5</v>
      </c>
      <c r="Z837" s="18">
        <f>grand[[#This Row],[av. Transportation loss]]/grand[[#This Row],[av.total weight]]</f>
        <v>0</v>
      </c>
      <c r="AA837" s="12">
        <f>AVERAGE((grand[[#This Row],[am]]/25),(grand[[#This Row],[pm]]/50))</f>
        <v>0.99525000000000008</v>
      </c>
      <c r="AB837" s="3">
        <f>grand[[#This Row],[ carcass weight]]/grand[[#This Row],[total weight]]</f>
        <v>0.63200000000000001</v>
      </c>
      <c r="AC837" s="18">
        <f>SUM(grand[[#This Row],[am]:[meat transportation]])/100</f>
        <v>0.97025000000000006</v>
      </c>
      <c r="AK837" s="1"/>
      <c r="AL837" s="1"/>
    </row>
    <row r="838" spans="1:38" hidden="1" x14ac:dyDescent="0.2">
      <c r="A838" s="11">
        <v>45190</v>
      </c>
      <c r="B838" s="53" t="s">
        <v>1886</v>
      </c>
      <c r="C838" s="52" t="str">
        <f>IF(MID(B838,4,2)="09","Ramadan",IF(AND(MID(B838,4,2)="12",VALUE(LEFT(B838,2))&lt;=9),"Adha Season","Normal"))</f>
        <v>Normal</v>
      </c>
      <c r="D838" s="2" t="s">
        <v>294</v>
      </c>
      <c r="F838" s="4" t="s">
        <v>280</v>
      </c>
      <c r="G838" s="1">
        <v>25</v>
      </c>
      <c r="H838" s="1">
        <v>25</v>
      </c>
      <c r="I838" s="1">
        <f>grand[[#This Row],[number]]-grand[[#This Row],[received]]</f>
        <v>0</v>
      </c>
      <c r="J838" s="30"/>
      <c r="K838" s="2">
        <v>1193</v>
      </c>
      <c r="L838" s="2">
        <v>1168</v>
      </c>
      <c r="M838" s="2">
        <f>K838-L838</f>
        <v>25</v>
      </c>
      <c r="N838" s="2">
        <v>697.2</v>
      </c>
      <c r="O838" s="2">
        <v>0</v>
      </c>
      <c r="P838" s="7">
        <f>grand[[#This Row],[total weight]]/grand[[#This Row],[received]]</f>
        <v>47.72</v>
      </c>
      <c r="Q838" s="7">
        <f>grand[[#This Row],[receiving weight]]/grand[[#This Row],[received]]</f>
        <v>46.72</v>
      </c>
      <c r="R838" s="7">
        <f>grand[[#This Row],[transportation loss ]]/grand[[#This Row],[received]]</f>
        <v>1</v>
      </c>
      <c r="S838" s="7">
        <f>grand[[#This Row],[ carcass weight]]/grand[[#This Row],[received]]</f>
        <v>27.888000000000002</v>
      </c>
      <c r="T838" s="7">
        <f>grand[[#This Row],[ kidneys fat quantity]]/grand[[#This Row],[received]]</f>
        <v>0</v>
      </c>
      <c r="U838" s="1">
        <v>25</v>
      </c>
      <c r="V838" s="1">
        <v>0</v>
      </c>
      <c r="W838" s="1">
        <v>49.72</v>
      </c>
      <c r="X838" s="1">
        <v>10</v>
      </c>
      <c r="Y838" s="1">
        <v>8.5</v>
      </c>
      <c r="Z838" s="18">
        <f>grand[[#This Row],[av. Transportation loss]]/grand[[#This Row],[av.total weight]]</f>
        <v>2.0955574182732608E-2</v>
      </c>
      <c r="AA838" s="12">
        <f>AVERAGE((grand[[#This Row],[am]]/25),(grand[[#This Row],[pm]]/50))</f>
        <v>0.99719999999999998</v>
      </c>
      <c r="AB838" s="3">
        <f>grand[[#This Row],[ carcass weight]]/grand[[#This Row],[total weight]]</f>
        <v>0.584409052808047</v>
      </c>
      <c r="AC838" s="18">
        <f>SUM(grand[[#This Row],[am]:[meat transportation]])/100</f>
        <v>0.93220000000000003</v>
      </c>
      <c r="AK838" s="1"/>
      <c r="AL838" s="1"/>
    </row>
    <row r="839" spans="1:38" hidden="1" x14ac:dyDescent="0.2">
      <c r="A839" s="11">
        <v>45190</v>
      </c>
      <c r="B839" s="53" t="s">
        <v>1886</v>
      </c>
      <c r="C839" s="52" t="str">
        <f>IF(MID(B839,4,2)="09","Ramadan",IF(AND(MID(B839,4,2)="12",VALUE(LEFT(B839,2))&lt;=9),"Adha Season","Normal"))</f>
        <v>Normal</v>
      </c>
      <c r="D839" s="1" t="s">
        <v>45</v>
      </c>
      <c r="E839" s="1" t="s">
        <v>528</v>
      </c>
      <c r="F839" s="4" t="s">
        <v>576</v>
      </c>
      <c r="G839" s="1">
        <v>21</v>
      </c>
      <c r="H839" s="1">
        <v>21</v>
      </c>
      <c r="I839" s="1">
        <f>grand[[#This Row],[number]]-grand[[#This Row],[received]]</f>
        <v>0</v>
      </c>
      <c r="J839" s="30"/>
      <c r="K839" s="2">
        <v>11719</v>
      </c>
      <c r="L839" s="2">
        <v>11345</v>
      </c>
      <c r="M839" s="2">
        <f>K839-L839</f>
        <v>374</v>
      </c>
      <c r="N839" s="2">
        <v>7501.5</v>
      </c>
      <c r="O839" s="2">
        <v>91</v>
      </c>
      <c r="P839" s="7">
        <f>grand[[#This Row],[total weight]]/grand[[#This Row],[received]]</f>
        <v>558.04761904761904</v>
      </c>
      <c r="Q839" s="7">
        <f>grand[[#This Row],[receiving weight]]/grand[[#This Row],[received]]</f>
        <v>540.23809523809518</v>
      </c>
      <c r="R839" s="7">
        <f>grand[[#This Row],[transportation loss ]]/grand[[#This Row],[received]]</f>
        <v>17.80952380952381</v>
      </c>
      <c r="S839" s="7">
        <f>grand[[#This Row],[ carcass weight]]/grand[[#This Row],[received]]</f>
        <v>357.21428571428572</v>
      </c>
      <c r="T839" s="7">
        <f>grand[[#This Row],[ kidneys fat quantity]]/grand[[#This Row],[received]]</f>
        <v>4.333333333333333</v>
      </c>
      <c r="U839" s="1">
        <v>25</v>
      </c>
      <c r="V839" s="1">
        <v>0</v>
      </c>
      <c r="W839" s="1">
        <v>49.333333333333336</v>
      </c>
      <c r="X839" s="1">
        <v>10</v>
      </c>
      <c r="Y839" s="1">
        <v>8.5</v>
      </c>
      <c r="Z839" s="18">
        <f>grand[[#This Row],[av. Transportation loss]]/grand[[#This Row],[av.total weight]]</f>
        <v>3.1913985834968857E-2</v>
      </c>
      <c r="AA839" s="12">
        <f>AVERAGE((grand[[#This Row],[am]]/25),(grand[[#This Row],[pm]]/50))</f>
        <v>0.9933333333333334</v>
      </c>
      <c r="AB839" s="3">
        <f>grand[[#This Row],[ carcass weight]]/grand[[#This Row],[total weight]]</f>
        <v>0.64011434422732316</v>
      </c>
      <c r="AC839" s="18">
        <f>SUM(grand[[#This Row],[am]:[meat transportation]])/100</f>
        <v>0.92833333333333345</v>
      </c>
      <c r="AK839" s="1"/>
      <c r="AL839" s="1"/>
    </row>
    <row r="840" spans="1:38" hidden="1" x14ac:dyDescent="0.2">
      <c r="A840" s="11">
        <v>45193</v>
      </c>
      <c r="B840" s="53" t="s">
        <v>2829</v>
      </c>
      <c r="C840" s="52" t="str">
        <f>IF(MID(B840,4,2)="09","Ramadan",IF(AND(MID(B840,4,2)="12",VALUE(LEFT(B840,2))&lt;=9),"Adha Season","Normal"))</f>
        <v>Normal</v>
      </c>
      <c r="D840" s="1" t="s">
        <v>45</v>
      </c>
      <c r="E840" s="1" t="s">
        <v>483</v>
      </c>
      <c r="F840" s="4" t="s">
        <v>550</v>
      </c>
      <c r="G840" s="1">
        <v>16</v>
      </c>
      <c r="H840" s="1">
        <v>16</v>
      </c>
      <c r="I840" s="1">
        <f>grand[[#This Row],[number]]-grand[[#This Row],[received]]</f>
        <v>0</v>
      </c>
      <c r="J840" s="30"/>
      <c r="K840" s="2">
        <v>6359</v>
      </c>
      <c r="L840" s="2">
        <v>6018</v>
      </c>
      <c r="M840" s="2">
        <f>K840-L840</f>
        <v>341</v>
      </c>
      <c r="N840" s="2">
        <v>3815.4</v>
      </c>
      <c r="O840" s="2">
        <v>74</v>
      </c>
      <c r="P840" s="7">
        <f>grand[[#This Row],[total weight]]/grand[[#This Row],[received]]</f>
        <v>397.4375</v>
      </c>
      <c r="Q840" s="7">
        <f>grand[[#This Row],[receiving weight]]/grand[[#This Row],[received]]</f>
        <v>376.125</v>
      </c>
      <c r="R840" s="7">
        <f>grand[[#This Row],[transportation loss ]]/grand[[#This Row],[received]]</f>
        <v>21.3125</v>
      </c>
      <c r="S840" s="7">
        <f>grand[[#This Row],[ carcass weight]]/grand[[#This Row],[received]]</f>
        <v>238.46250000000001</v>
      </c>
      <c r="T840" s="7">
        <f>grand[[#This Row],[ kidneys fat quantity]]/grand[[#This Row],[received]]</f>
        <v>4.625</v>
      </c>
      <c r="U840" s="1">
        <v>23</v>
      </c>
      <c r="V840" s="1">
        <v>0</v>
      </c>
      <c r="W840" s="1">
        <v>49.25</v>
      </c>
      <c r="X840" s="1">
        <v>10</v>
      </c>
      <c r="Y840" s="1">
        <v>8.5</v>
      </c>
      <c r="Z840" s="18">
        <f>grand[[#This Row],[av. Transportation loss]]/grand[[#This Row],[av.total weight]]</f>
        <v>5.3624783771033184E-2</v>
      </c>
      <c r="AA840" s="12">
        <f>AVERAGE((grand[[#This Row],[am]]/25),(grand[[#This Row],[pm]]/50))</f>
        <v>0.95250000000000001</v>
      </c>
      <c r="AB840" s="3">
        <f>grand[[#This Row],[ carcass weight]]/grand[[#This Row],[total weight]]</f>
        <v>0.6</v>
      </c>
      <c r="AC840" s="18">
        <f>SUM(grand[[#This Row],[am]:[meat transportation]])/100</f>
        <v>0.90749999999999997</v>
      </c>
      <c r="AJ840" s="1">
        <v>3</v>
      </c>
      <c r="AK840" s="1"/>
      <c r="AL840" s="1"/>
    </row>
    <row r="841" spans="1:38" hidden="1" x14ac:dyDescent="0.2">
      <c r="A841" s="11">
        <v>45193</v>
      </c>
      <c r="B841" s="53" t="s">
        <v>2829</v>
      </c>
      <c r="C841" s="52" t="str">
        <f>IF(MID(B841,4,2)="09","Ramadan",IF(AND(MID(B841,4,2)="12",VALUE(LEFT(B841,2))&lt;=9),"Adha Season","Normal"))</f>
        <v>Normal</v>
      </c>
      <c r="D841" s="1" t="s">
        <v>45</v>
      </c>
      <c r="E841" s="1" t="s">
        <v>483</v>
      </c>
      <c r="F841" s="4" t="s">
        <v>280</v>
      </c>
      <c r="G841" s="1">
        <v>30</v>
      </c>
      <c r="H841" s="1">
        <v>30</v>
      </c>
      <c r="I841" s="1">
        <f>grand[[#This Row],[number]]-grand[[#This Row],[received]]</f>
        <v>0</v>
      </c>
      <c r="J841" s="30"/>
      <c r="K841" s="2">
        <v>14632</v>
      </c>
      <c r="L841" s="2">
        <v>14632</v>
      </c>
      <c r="M841" s="2">
        <f>K841-L841</f>
        <v>0</v>
      </c>
      <c r="N841" s="2">
        <v>9223.9</v>
      </c>
      <c r="O841" s="2">
        <v>309</v>
      </c>
      <c r="P841" s="7">
        <f>grand[[#This Row],[total weight]]/grand[[#This Row],[received]]</f>
        <v>487.73333333333335</v>
      </c>
      <c r="Q841" s="7">
        <f>grand[[#This Row],[receiving weight]]/grand[[#This Row],[received]]</f>
        <v>487.73333333333335</v>
      </c>
      <c r="R841" s="7">
        <f>grand[[#This Row],[transportation loss ]]/grand[[#This Row],[received]]</f>
        <v>0</v>
      </c>
      <c r="S841" s="7">
        <f>grand[[#This Row],[ carcass weight]]/grand[[#This Row],[received]]</f>
        <v>307.46333333333331</v>
      </c>
      <c r="T841" s="7">
        <f>grand[[#This Row],[ kidneys fat quantity]]/grand[[#This Row],[received]]</f>
        <v>10.3</v>
      </c>
      <c r="U841" s="1">
        <v>25</v>
      </c>
      <c r="V841" s="1">
        <v>0</v>
      </c>
      <c r="W841" s="1">
        <v>49.1</v>
      </c>
      <c r="X841" s="1">
        <v>10</v>
      </c>
      <c r="Y841" s="1">
        <v>8.5</v>
      </c>
      <c r="Z841" s="18">
        <f>grand[[#This Row],[av. Transportation loss]]/grand[[#This Row],[av.total weight]]</f>
        <v>0</v>
      </c>
      <c r="AA841" s="12">
        <f>AVERAGE((grand[[#This Row],[am]]/25),(grand[[#This Row],[pm]]/50))</f>
        <v>0.99099999999999999</v>
      </c>
      <c r="AB841" s="3">
        <f>grand[[#This Row],[ carcass weight]]/grand[[#This Row],[total weight]]</f>
        <v>0.63039229086932747</v>
      </c>
      <c r="AC841" s="18">
        <f>SUM(grand[[#This Row],[am]:[meat transportation]])/100</f>
        <v>0.92599999999999993</v>
      </c>
      <c r="AJ841" s="1">
        <v>6</v>
      </c>
      <c r="AK841" s="1"/>
      <c r="AL841" s="1"/>
    </row>
    <row r="842" spans="1:38" hidden="1" x14ac:dyDescent="0.2">
      <c r="A842" s="11">
        <v>45194</v>
      </c>
      <c r="B842" s="53" t="s">
        <v>1887</v>
      </c>
      <c r="C842" s="52" t="str">
        <f>IF(MID(B842,4,2)="09","Ramadan",IF(AND(MID(B842,4,2)="12",VALUE(LEFT(B842,2))&lt;=9),"Adha Season","Normal"))</f>
        <v>Normal</v>
      </c>
      <c r="D842" s="1" t="s">
        <v>45</v>
      </c>
      <c r="E842" s="1" t="s">
        <v>528</v>
      </c>
      <c r="F842" s="4" t="s">
        <v>462</v>
      </c>
      <c r="G842" s="1">
        <v>35</v>
      </c>
      <c r="H842" s="1">
        <v>35</v>
      </c>
      <c r="I842" s="1">
        <f>grand[[#This Row],[number]]-grand[[#This Row],[received]]</f>
        <v>0</v>
      </c>
      <c r="J842" s="30"/>
      <c r="K842" s="2">
        <v>16611.392405063289</v>
      </c>
      <c r="L842" s="2">
        <v>16611.392405063289</v>
      </c>
      <c r="M842" s="2">
        <f>K842-L842</f>
        <v>0</v>
      </c>
      <c r="N842" s="2">
        <v>10498.4</v>
      </c>
      <c r="O842" s="2">
        <v>0</v>
      </c>
      <c r="P842" s="7">
        <f>grand[[#This Row],[total weight]]/grand[[#This Row],[received]]</f>
        <v>474.6112115732368</v>
      </c>
      <c r="Q842" s="7">
        <f>grand[[#This Row],[receiving weight]]/grand[[#This Row],[received]]</f>
        <v>474.6112115732368</v>
      </c>
      <c r="R842" s="7">
        <f>grand[[#This Row],[transportation loss ]]/grand[[#This Row],[received]]</f>
        <v>0</v>
      </c>
      <c r="S842" s="7">
        <f>grand[[#This Row],[ carcass weight]]/grand[[#This Row],[received]]</f>
        <v>299.95428571428573</v>
      </c>
      <c r="T842" s="7">
        <f>grand[[#This Row],[ kidneys fat quantity]]/grand[[#This Row],[received]]</f>
        <v>0</v>
      </c>
      <c r="U842" s="1">
        <v>25</v>
      </c>
      <c r="V842" s="1">
        <v>4</v>
      </c>
      <c r="W842" s="1">
        <v>49.457142857142856</v>
      </c>
      <c r="X842" s="1">
        <v>10</v>
      </c>
      <c r="Y842" s="1">
        <v>8.5</v>
      </c>
      <c r="Z842" s="18">
        <f>grand[[#This Row],[av. Transportation loss]]/grand[[#This Row],[av.total weight]]</f>
        <v>0</v>
      </c>
      <c r="AA842" s="12">
        <f>AVERAGE((grand[[#This Row],[am]]/25),(grand[[#This Row],[pm]]/50))</f>
        <v>0.99457142857142855</v>
      </c>
      <c r="AB842" s="3">
        <f>grand[[#This Row],[ carcass weight]]/grand[[#This Row],[total weight]]</f>
        <v>0.63200000000000012</v>
      </c>
      <c r="AC842" s="18">
        <f>SUM(grand[[#This Row],[am]:[meat transportation]])/100</f>
        <v>0.96957142857142853</v>
      </c>
      <c r="AK842" s="1"/>
      <c r="AL842" s="1"/>
    </row>
    <row r="843" spans="1:38" hidden="1" x14ac:dyDescent="0.2">
      <c r="A843" s="11">
        <v>45196</v>
      </c>
      <c r="B843" s="53" t="s">
        <v>2830</v>
      </c>
      <c r="C843" s="52" t="str">
        <f>IF(MID(B843,4,2)="09","Ramadan",IF(AND(MID(B843,4,2)="12",VALUE(LEFT(B843,2))&lt;=9),"Adha Season","Normal"))</f>
        <v>Normal</v>
      </c>
      <c r="D843" s="2" t="s">
        <v>294</v>
      </c>
      <c r="F843" s="4" t="s">
        <v>280</v>
      </c>
      <c r="G843" s="1">
        <v>22</v>
      </c>
      <c r="H843" s="1">
        <v>22</v>
      </c>
      <c r="I843" s="1">
        <f>grand[[#This Row],[number]]-grand[[#This Row],[received]]</f>
        <v>0</v>
      </c>
      <c r="J843" s="30"/>
      <c r="K843" s="2">
        <v>1080</v>
      </c>
      <c r="L843" s="2">
        <v>1045</v>
      </c>
      <c r="M843" s="2">
        <f>K843-L843</f>
        <v>35</v>
      </c>
      <c r="N843" s="2">
        <v>618.5</v>
      </c>
      <c r="O843" s="2">
        <v>0</v>
      </c>
      <c r="P843" s="7">
        <f>grand[[#This Row],[total weight]]/grand[[#This Row],[received]]</f>
        <v>49.090909090909093</v>
      </c>
      <c r="Q843" s="7">
        <f>grand[[#This Row],[receiving weight]]/grand[[#This Row],[received]]</f>
        <v>47.5</v>
      </c>
      <c r="R843" s="7">
        <f>grand[[#This Row],[transportation loss ]]/grand[[#This Row],[received]]</f>
        <v>1.5909090909090908</v>
      </c>
      <c r="S843" s="7">
        <f>grand[[#This Row],[ carcass weight]]/grand[[#This Row],[received]]</f>
        <v>28.113636363636363</v>
      </c>
      <c r="T843" s="7">
        <f>grand[[#This Row],[ kidneys fat quantity]]/grand[[#This Row],[received]]</f>
        <v>0</v>
      </c>
      <c r="U843" s="1">
        <v>25</v>
      </c>
      <c r="V843" s="1">
        <v>0</v>
      </c>
      <c r="W843" s="1">
        <v>44.68181818181818</v>
      </c>
      <c r="X843" s="1">
        <v>10</v>
      </c>
      <c r="Y843" s="1">
        <v>8.5</v>
      </c>
      <c r="Z843" s="18">
        <f>grand[[#This Row],[av. Transportation loss]]/grand[[#This Row],[av.total weight]]</f>
        <v>3.2407407407407406E-2</v>
      </c>
      <c r="AA843" s="12">
        <f>AVERAGE((grand[[#This Row],[am]]/25),(grand[[#This Row],[pm]]/50))</f>
        <v>0.94681818181818178</v>
      </c>
      <c r="AB843" s="3">
        <f>grand[[#This Row],[ carcass weight]]/grand[[#This Row],[total weight]]</f>
        <v>0.57268518518518519</v>
      </c>
      <c r="AC843" s="18">
        <f>SUM(grand[[#This Row],[am]:[meat transportation]])/100</f>
        <v>0.88181818181818183</v>
      </c>
      <c r="AK843" s="1"/>
      <c r="AL843" s="1"/>
    </row>
    <row r="844" spans="1:38" hidden="1" x14ac:dyDescent="0.2">
      <c r="A844" s="11">
        <v>45196</v>
      </c>
      <c r="B844" s="53" t="s">
        <v>2830</v>
      </c>
      <c r="C844" s="52" t="str">
        <f>IF(MID(B844,4,2)="09","Ramadan",IF(AND(MID(B844,4,2)="12",VALUE(LEFT(B844,2))&lt;=9),"Adha Season","Normal"))</f>
        <v>Normal</v>
      </c>
      <c r="D844" s="1" t="s">
        <v>45</v>
      </c>
      <c r="E844" s="1" t="s">
        <v>483</v>
      </c>
      <c r="F844" s="4" t="s">
        <v>39</v>
      </c>
      <c r="G844" s="1">
        <v>27</v>
      </c>
      <c r="H844" s="1">
        <v>27</v>
      </c>
      <c r="I844" s="1">
        <f>grand[[#This Row],[number]]-grand[[#This Row],[received]]</f>
        <v>0</v>
      </c>
      <c r="J844" s="30"/>
      <c r="K844" s="2">
        <v>11467</v>
      </c>
      <c r="L844" s="2">
        <v>11050</v>
      </c>
      <c r="M844" s="2">
        <f>K844-L844</f>
        <v>417</v>
      </c>
      <c r="N844" s="2">
        <v>6996.5</v>
      </c>
      <c r="O844" s="2">
        <v>258</v>
      </c>
      <c r="P844" s="7">
        <f>grand[[#This Row],[total weight]]/grand[[#This Row],[received]]</f>
        <v>424.7037037037037</v>
      </c>
      <c r="Q844" s="7">
        <f>grand[[#This Row],[receiving weight]]/grand[[#This Row],[received]]</f>
        <v>409.25925925925924</v>
      </c>
      <c r="R844" s="7">
        <f>grand[[#This Row],[transportation loss ]]/grand[[#This Row],[received]]</f>
        <v>15.444444444444445</v>
      </c>
      <c r="S844" s="7">
        <f>grand[[#This Row],[ carcass weight]]/grand[[#This Row],[received]]</f>
        <v>259.12962962962962</v>
      </c>
      <c r="T844" s="7">
        <f>grand[[#This Row],[ kidneys fat quantity]]/grand[[#This Row],[received]]</f>
        <v>9.5555555555555554</v>
      </c>
      <c r="U844" s="1">
        <v>25</v>
      </c>
      <c r="V844" s="1">
        <v>0</v>
      </c>
      <c r="W844" s="1">
        <v>49.555555555555564</v>
      </c>
      <c r="X844" s="1">
        <v>10</v>
      </c>
      <c r="Y844" s="1">
        <v>8.5</v>
      </c>
      <c r="Z844" s="18">
        <f>grand[[#This Row],[av. Transportation loss]]/grand[[#This Row],[av.total weight]]</f>
        <v>3.6365221941222638E-2</v>
      </c>
      <c r="AA844" s="12">
        <f>AVERAGE((grand[[#This Row],[am]]/25),(grand[[#This Row],[pm]]/50))</f>
        <v>0.99555555555555564</v>
      </c>
      <c r="AB844" s="3">
        <f>grand[[#This Row],[ carcass weight]]/grand[[#This Row],[total weight]]</f>
        <v>0.61014214703060954</v>
      </c>
      <c r="AC844" s="18">
        <f>SUM(grand[[#This Row],[am]:[meat transportation]])/100</f>
        <v>0.93055555555555569</v>
      </c>
      <c r="AJ844" s="1">
        <v>5</v>
      </c>
      <c r="AK844" s="1"/>
      <c r="AL844" s="1"/>
    </row>
    <row r="845" spans="1:38" hidden="1" x14ac:dyDescent="0.2">
      <c r="A845" s="11">
        <v>45200</v>
      </c>
      <c r="B845" s="53" t="s">
        <v>1889</v>
      </c>
      <c r="C845" s="52" t="str">
        <f>IF(MID(B845,4,2)="09","Ramadan",IF(AND(MID(B845,4,2)="12",VALUE(LEFT(B845,2))&lt;=9),"Adha Season","Normal"))</f>
        <v>Normal</v>
      </c>
      <c r="D845" s="1" t="s">
        <v>45</v>
      </c>
      <c r="E845" s="1" t="s">
        <v>483</v>
      </c>
      <c r="F845" s="4" t="s">
        <v>280</v>
      </c>
      <c r="G845" s="1">
        <v>64</v>
      </c>
      <c r="H845" s="1">
        <v>64</v>
      </c>
      <c r="I845" s="1">
        <f>grand[[#This Row],[number]]-grand[[#This Row],[received]]</f>
        <v>0</v>
      </c>
      <c r="J845" s="30"/>
      <c r="K845" s="2">
        <v>29040</v>
      </c>
      <c r="L845" s="2">
        <v>29040</v>
      </c>
      <c r="M845" s="2">
        <f>K845-L845</f>
        <v>0</v>
      </c>
      <c r="N845" s="2">
        <v>17443.900000000001</v>
      </c>
      <c r="O845" s="2">
        <v>543</v>
      </c>
      <c r="P845" s="7">
        <f>grand[[#This Row],[total weight]]/grand[[#This Row],[received]]</f>
        <v>453.75</v>
      </c>
      <c r="Q845" s="7">
        <f>grand[[#This Row],[receiving weight]]/grand[[#This Row],[received]]</f>
        <v>453.75</v>
      </c>
      <c r="R845" s="7">
        <f>grand[[#This Row],[transportation loss ]]/grand[[#This Row],[received]]</f>
        <v>0</v>
      </c>
      <c r="S845" s="7">
        <f>grand[[#This Row],[ carcass weight]]/grand[[#This Row],[received]]</f>
        <v>272.56093750000002</v>
      </c>
      <c r="T845" s="7">
        <f>grand[[#This Row],[ kidneys fat quantity]]/grand[[#This Row],[received]]</f>
        <v>8.484375</v>
      </c>
      <c r="U845" s="1">
        <v>25</v>
      </c>
      <c r="V845" s="1">
        <v>0</v>
      </c>
      <c r="W845" s="1">
        <v>48.5390625</v>
      </c>
      <c r="X845" s="1">
        <v>10</v>
      </c>
      <c r="Y845" s="1">
        <v>8.5</v>
      </c>
      <c r="Z845" s="18">
        <f>grand[[#This Row],[av. Transportation loss]]/grand[[#This Row],[av.total weight]]</f>
        <v>0</v>
      </c>
      <c r="AA845" s="12">
        <f>AVERAGE((grand[[#This Row],[am]]/25),(grand[[#This Row],[pm]]/50))</f>
        <v>0.98539062499999996</v>
      </c>
      <c r="AB845" s="3">
        <f>grand[[#This Row],[ carcass weight]]/grand[[#This Row],[total weight]]</f>
        <v>0.60068526170798908</v>
      </c>
      <c r="AC845" s="18">
        <f>SUM(grand[[#This Row],[am]:[meat transportation]])/100</f>
        <v>0.92039062500000002</v>
      </c>
      <c r="AJ845" s="1">
        <v>13</v>
      </c>
      <c r="AK845" s="1"/>
      <c r="AL845" s="1"/>
    </row>
    <row r="846" spans="1:38" hidden="1" x14ac:dyDescent="0.2">
      <c r="A846" s="11">
        <v>45201</v>
      </c>
      <c r="B846" s="53" t="s">
        <v>1890</v>
      </c>
      <c r="C846" s="52" t="str">
        <f>IF(MID(B846,4,2)="09","Ramadan",IF(AND(MID(B846,4,2)="12",VALUE(LEFT(B846,2))&lt;=9),"Adha Season","Normal"))</f>
        <v>Normal</v>
      </c>
      <c r="D846" s="1" t="s">
        <v>45</v>
      </c>
      <c r="E846" s="1" t="s">
        <v>528</v>
      </c>
      <c r="F846" s="4" t="s">
        <v>462</v>
      </c>
      <c r="G846" s="1">
        <v>32</v>
      </c>
      <c r="H846" s="1">
        <v>32</v>
      </c>
      <c r="I846" s="1">
        <f>grand[[#This Row],[number]]-grand[[#This Row],[received]]</f>
        <v>0</v>
      </c>
      <c r="J846" s="30"/>
      <c r="K846" s="2">
        <v>14872.151898734179</v>
      </c>
      <c r="L846" s="2">
        <v>14872.151898734179</v>
      </c>
      <c r="M846" s="2">
        <f>K846-L846</f>
        <v>0</v>
      </c>
      <c r="N846" s="2">
        <v>9399.2000000000007</v>
      </c>
      <c r="O846" s="2">
        <v>0</v>
      </c>
      <c r="P846" s="7">
        <f>grand[[#This Row],[total weight]]/grand[[#This Row],[received]]</f>
        <v>464.75474683544309</v>
      </c>
      <c r="Q846" s="7">
        <f>grand[[#This Row],[receiving weight]]/grand[[#This Row],[received]]</f>
        <v>464.75474683544309</v>
      </c>
      <c r="R846" s="7">
        <f>grand[[#This Row],[transportation loss ]]/grand[[#This Row],[received]]</f>
        <v>0</v>
      </c>
      <c r="S846" s="7">
        <f>grand[[#This Row],[ carcass weight]]/grand[[#This Row],[received]]</f>
        <v>293.72500000000002</v>
      </c>
      <c r="T846" s="7">
        <f>grand[[#This Row],[ kidneys fat quantity]]/grand[[#This Row],[received]]</f>
        <v>0</v>
      </c>
      <c r="U846" s="1">
        <v>25</v>
      </c>
      <c r="V846" s="1">
        <v>4</v>
      </c>
      <c r="W846" s="1">
        <v>49.125</v>
      </c>
      <c r="X846" s="1">
        <v>9.6875</v>
      </c>
      <c r="Y846" s="1">
        <v>8.5</v>
      </c>
      <c r="Z846" s="18">
        <f>grand[[#This Row],[av. Transportation loss]]/grand[[#This Row],[av.total weight]]</f>
        <v>0</v>
      </c>
      <c r="AA846" s="12">
        <f>AVERAGE((grand[[#This Row],[am]]/25),(grand[[#This Row],[pm]]/50))</f>
        <v>0.99124999999999996</v>
      </c>
      <c r="AB846" s="3">
        <f>grand[[#This Row],[ carcass weight]]/grand[[#This Row],[total weight]]</f>
        <v>0.63200000000000001</v>
      </c>
      <c r="AC846" s="18">
        <f>SUM(grand[[#This Row],[am]:[meat transportation]])/100</f>
        <v>0.96312500000000001</v>
      </c>
      <c r="AK846" s="1"/>
      <c r="AL846" s="1"/>
    </row>
    <row r="847" spans="1:38" hidden="1" x14ac:dyDescent="0.2">
      <c r="A847" s="11">
        <v>45202</v>
      </c>
      <c r="B847" s="53" t="s">
        <v>1891</v>
      </c>
      <c r="C847" s="52" t="str">
        <f>IF(MID(B847,4,2)="09","Ramadan",IF(AND(MID(B847,4,2)="12",VALUE(LEFT(B847,2))&lt;=9),"Adha Season","Normal"))</f>
        <v>Normal</v>
      </c>
      <c r="D847" s="1" t="s">
        <v>45</v>
      </c>
      <c r="E847" s="1" t="s">
        <v>483</v>
      </c>
      <c r="F847" s="4" t="s">
        <v>576</v>
      </c>
      <c r="G847" s="1">
        <v>19</v>
      </c>
      <c r="H847" s="1">
        <v>19</v>
      </c>
      <c r="I847" s="1">
        <f>grand[[#This Row],[number]]-grand[[#This Row],[received]]</f>
        <v>0</v>
      </c>
      <c r="J847" s="30"/>
      <c r="K847" s="2">
        <v>12206</v>
      </c>
      <c r="L847" s="2">
        <v>11655</v>
      </c>
      <c r="M847" s="2">
        <f>K847-L847</f>
        <v>551</v>
      </c>
      <c r="N847" s="2">
        <v>7550.1</v>
      </c>
      <c r="O847" s="2">
        <v>187</v>
      </c>
      <c r="P847" s="7">
        <f>grand[[#This Row],[total weight]]/grand[[#This Row],[received]]</f>
        <v>642.42105263157896</v>
      </c>
      <c r="Q847" s="7">
        <f>grand[[#This Row],[receiving weight]]/grand[[#This Row],[received]]</f>
        <v>613.42105263157896</v>
      </c>
      <c r="R847" s="7">
        <f>grand[[#This Row],[transportation loss ]]/grand[[#This Row],[received]]</f>
        <v>29</v>
      </c>
      <c r="S847" s="7">
        <f>grand[[#This Row],[ carcass weight]]/grand[[#This Row],[received]]</f>
        <v>397.37368421052633</v>
      </c>
      <c r="T847" s="7">
        <f>grand[[#This Row],[ kidneys fat quantity]]/grand[[#This Row],[received]]</f>
        <v>9.8421052631578956</v>
      </c>
      <c r="U847" s="1">
        <v>25</v>
      </c>
      <c r="V847" s="1">
        <v>0</v>
      </c>
      <c r="W847" s="1">
        <v>49.210526315789473</v>
      </c>
      <c r="X847" s="1">
        <v>10</v>
      </c>
      <c r="Y847" s="1">
        <v>8.5</v>
      </c>
      <c r="Z847" s="18">
        <f>grand[[#This Row],[av. Transportation loss]]/grand[[#This Row],[av.total weight]]</f>
        <v>4.5141733573652303E-2</v>
      </c>
      <c r="AA847" s="12">
        <f>AVERAGE((grand[[#This Row],[am]]/25),(grand[[#This Row],[pm]]/50))</f>
        <v>0.99210526315789471</v>
      </c>
      <c r="AB847" s="3">
        <f>grand[[#This Row],[ carcass weight]]/grand[[#This Row],[total weight]]</f>
        <v>0.61855644764869744</v>
      </c>
      <c r="AC847" s="18">
        <f>SUM(grand[[#This Row],[am]:[meat transportation]])/100</f>
        <v>0.92710526315789477</v>
      </c>
      <c r="AJ847" s="1">
        <v>3</v>
      </c>
      <c r="AK847" s="1"/>
      <c r="AL847" s="1"/>
    </row>
    <row r="848" spans="1:38" hidden="1" x14ac:dyDescent="0.2">
      <c r="A848" s="11">
        <v>45204</v>
      </c>
      <c r="B848" s="53" t="s">
        <v>2832</v>
      </c>
      <c r="C848" s="52" t="str">
        <f>IF(MID(B848,4,2)="09","Ramadan",IF(AND(MID(B848,4,2)="12",VALUE(LEFT(B848,2))&lt;=9),"Adha Season","Normal"))</f>
        <v>Normal</v>
      </c>
      <c r="D848" s="2" t="s">
        <v>294</v>
      </c>
      <c r="F848" s="4" t="s">
        <v>280</v>
      </c>
      <c r="G848" s="1">
        <v>23</v>
      </c>
      <c r="H848" s="1">
        <v>23</v>
      </c>
      <c r="I848" s="1">
        <f>grand[[#This Row],[number]]-grand[[#This Row],[received]]</f>
        <v>0</v>
      </c>
      <c r="J848" s="30"/>
      <c r="K848" s="2">
        <v>993</v>
      </c>
      <c r="L848" s="2">
        <v>946</v>
      </c>
      <c r="M848" s="2">
        <f>K848-L848</f>
        <v>47</v>
      </c>
      <c r="N848" s="2">
        <v>560.79999999999995</v>
      </c>
      <c r="O848" s="2">
        <v>0</v>
      </c>
      <c r="P848" s="7">
        <f>grand[[#This Row],[total weight]]/grand[[#This Row],[received]]</f>
        <v>43.173913043478258</v>
      </c>
      <c r="Q848" s="7">
        <f>grand[[#This Row],[receiving weight]]/grand[[#This Row],[received]]</f>
        <v>41.130434782608695</v>
      </c>
      <c r="R848" s="7">
        <f>grand[[#This Row],[transportation loss ]]/grand[[#This Row],[received]]</f>
        <v>2.0434782608695654</v>
      </c>
      <c r="S848" s="7">
        <f>grand[[#This Row],[ carcass weight]]/grand[[#This Row],[received]]</f>
        <v>24.382608695652173</v>
      </c>
      <c r="T848" s="7">
        <f>grand[[#This Row],[ kidneys fat quantity]]/grand[[#This Row],[received]]</f>
        <v>0</v>
      </c>
      <c r="U848" s="1">
        <v>25</v>
      </c>
      <c r="V848" s="1">
        <v>0</v>
      </c>
      <c r="W848" s="1">
        <v>48.608695652173914</v>
      </c>
      <c r="X848" s="1">
        <v>10</v>
      </c>
      <c r="Y848" s="1">
        <v>8.5</v>
      </c>
      <c r="Z848" s="18">
        <f>grand[[#This Row],[av. Transportation loss]]/grand[[#This Row],[av.total weight]]</f>
        <v>4.7331319234642504E-2</v>
      </c>
      <c r="AA848" s="12">
        <f>AVERAGE((grand[[#This Row],[am]]/25),(grand[[#This Row],[pm]]/50))</f>
        <v>0.98608695652173917</v>
      </c>
      <c r="AB848" s="3">
        <f>grand[[#This Row],[ carcass weight]]/grand[[#This Row],[total weight]]</f>
        <v>0.56475327291037258</v>
      </c>
      <c r="AC848" s="18">
        <f>SUM(grand[[#This Row],[am]:[meat transportation]])/100</f>
        <v>0.92108695652173911</v>
      </c>
      <c r="AK848" s="1"/>
      <c r="AL848" s="1"/>
    </row>
    <row r="849" spans="1:38" hidden="1" x14ac:dyDescent="0.2">
      <c r="A849" s="11">
        <v>45206</v>
      </c>
      <c r="B849" s="53" t="s">
        <v>2833</v>
      </c>
      <c r="C849" s="52" t="str">
        <f>IF(MID(B849,4,2)="09","Ramadan",IF(AND(MID(B849,4,2)="12",VALUE(LEFT(B849,2))&lt;=9),"Adha Season","Normal"))</f>
        <v>Normal</v>
      </c>
      <c r="D849" s="1" t="s">
        <v>45</v>
      </c>
      <c r="E849" s="1" t="s">
        <v>528</v>
      </c>
      <c r="F849" s="4" t="s">
        <v>576</v>
      </c>
      <c r="G849" s="1">
        <v>34</v>
      </c>
      <c r="H849" s="1">
        <v>34</v>
      </c>
      <c r="I849" s="1">
        <f>grand[[#This Row],[number]]-grand[[#This Row],[received]]</f>
        <v>0</v>
      </c>
      <c r="J849" s="30"/>
      <c r="K849" s="2">
        <v>22174</v>
      </c>
      <c r="L849" s="2">
        <v>21075</v>
      </c>
      <c r="M849" s="2">
        <f>K849-L849</f>
        <v>1099</v>
      </c>
      <c r="N849" s="2">
        <v>13394.8</v>
      </c>
      <c r="O849" s="2">
        <v>282</v>
      </c>
      <c r="P849" s="7">
        <f>grand[[#This Row],[total weight]]/grand[[#This Row],[received]]</f>
        <v>652.17647058823525</v>
      </c>
      <c r="Q849" s="7">
        <f>grand[[#This Row],[receiving weight]]/grand[[#This Row],[received]]</f>
        <v>619.85294117647061</v>
      </c>
      <c r="R849" s="7">
        <f>grand[[#This Row],[transportation loss ]]/grand[[#This Row],[received]]</f>
        <v>32.323529411764703</v>
      </c>
      <c r="S849" s="7">
        <f>grand[[#This Row],[ carcass weight]]/grand[[#This Row],[received]]</f>
        <v>393.96470588235292</v>
      </c>
      <c r="T849" s="7">
        <f>grand[[#This Row],[ kidneys fat quantity]]/grand[[#This Row],[received]]</f>
        <v>8.2941176470588243</v>
      </c>
      <c r="U849" s="1">
        <v>25</v>
      </c>
      <c r="V849" s="1">
        <v>0</v>
      </c>
      <c r="W849" s="1">
        <v>49.382352941176464</v>
      </c>
      <c r="X849" s="1">
        <v>10</v>
      </c>
      <c r="Y849" s="1">
        <v>8.5</v>
      </c>
      <c r="Z849" s="18">
        <f>grand[[#This Row],[av. Transportation loss]]/grand[[#This Row],[av.total weight]]</f>
        <v>4.9562550735095155E-2</v>
      </c>
      <c r="AA849" s="12">
        <f>AVERAGE((grand[[#This Row],[am]]/25),(grand[[#This Row],[pm]]/50))</f>
        <v>0.99382352941176466</v>
      </c>
      <c r="AB849" s="3">
        <f>grand[[#This Row],[ carcass weight]]/grand[[#This Row],[total weight]]</f>
        <v>0.60407684675746365</v>
      </c>
      <c r="AC849" s="18">
        <f>SUM(grand[[#This Row],[am]:[meat transportation]])/100</f>
        <v>0.9288235294117646</v>
      </c>
      <c r="AK849" s="1"/>
      <c r="AL849" s="1"/>
    </row>
    <row r="850" spans="1:38" hidden="1" x14ac:dyDescent="0.2">
      <c r="A850" s="11">
        <v>45208</v>
      </c>
      <c r="B850" s="53" t="s">
        <v>1893</v>
      </c>
      <c r="C850" s="52" t="str">
        <f>IF(MID(B850,4,2)="09","Ramadan",IF(AND(MID(B850,4,2)="12",VALUE(LEFT(B850,2))&lt;=9),"Adha Season","Normal"))</f>
        <v>Normal</v>
      </c>
      <c r="D850" s="1" t="s">
        <v>45</v>
      </c>
      <c r="E850" s="1" t="s">
        <v>528</v>
      </c>
      <c r="F850" s="4" t="s">
        <v>462</v>
      </c>
      <c r="G850" s="1">
        <v>40</v>
      </c>
      <c r="H850" s="1">
        <v>40</v>
      </c>
      <c r="I850" s="1">
        <f>grand[[#This Row],[number]]-grand[[#This Row],[received]]</f>
        <v>0</v>
      </c>
      <c r="J850" s="30"/>
      <c r="K850" s="2">
        <v>18638</v>
      </c>
      <c r="L850" s="2">
        <v>18638</v>
      </c>
      <c r="M850" s="2">
        <f>K850-L850</f>
        <v>0</v>
      </c>
      <c r="N850" s="2">
        <v>11779.8</v>
      </c>
      <c r="O850" s="2">
        <v>0</v>
      </c>
      <c r="P850" s="7">
        <f>grand[[#This Row],[total weight]]/grand[[#This Row],[received]]</f>
        <v>465.95</v>
      </c>
      <c r="Q850" s="7">
        <f>grand[[#This Row],[receiving weight]]/grand[[#This Row],[received]]</f>
        <v>465.95</v>
      </c>
      <c r="R850" s="7">
        <f>grand[[#This Row],[transportation loss ]]/grand[[#This Row],[received]]</f>
        <v>0</v>
      </c>
      <c r="S850" s="7">
        <f>grand[[#This Row],[ carcass weight]]/grand[[#This Row],[received]]</f>
        <v>294.495</v>
      </c>
      <c r="T850" s="7">
        <f>grand[[#This Row],[ kidneys fat quantity]]/grand[[#This Row],[received]]</f>
        <v>0</v>
      </c>
      <c r="U850" s="1">
        <v>25</v>
      </c>
      <c r="V850" s="1">
        <v>4</v>
      </c>
      <c r="W850" s="1">
        <v>50</v>
      </c>
      <c r="X850" s="1">
        <v>9.875</v>
      </c>
      <c r="Y850" s="1">
        <v>8.5</v>
      </c>
      <c r="Z850" s="18">
        <f>grand[[#This Row],[av. Transportation loss]]/grand[[#This Row],[av.total weight]]</f>
        <v>0</v>
      </c>
      <c r="AA850" s="12">
        <f>AVERAGE((grand[[#This Row],[am]]/25),(grand[[#This Row],[pm]]/50))</f>
        <v>1</v>
      </c>
      <c r="AB850" s="3">
        <f>grand[[#This Row],[ carcass weight]]/grand[[#This Row],[total weight]]</f>
        <v>0.63203133383410237</v>
      </c>
      <c r="AC850" s="18">
        <f>SUM(grand[[#This Row],[am]:[meat transportation]])/100</f>
        <v>0.97375</v>
      </c>
      <c r="AK850" s="1"/>
      <c r="AL850" s="1"/>
    </row>
    <row r="851" spans="1:38" hidden="1" x14ac:dyDescent="0.2">
      <c r="A851" s="11">
        <v>45211</v>
      </c>
      <c r="B851" s="53" t="s">
        <v>2834</v>
      </c>
      <c r="C851" s="52" t="str">
        <f>IF(MID(B851,4,2)="09","Ramadan",IF(AND(MID(B851,4,2)="12",VALUE(LEFT(B851,2))&lt;=9),"Adha Season","Normal"))</f>
        <v>Normal</v>
      </c>
      <c r="D851" s="2" t="s">
        <v>294</v>
      </c>
      <c r="F851" s="4" t="s">
        <v>334</v>
      </c>
      <c r="G851" s="1">
        <v>25</v>
      </c>
      <c r="H851" s="1">
        <v>25</v>
      </c>
      <c r="I851" s="1">
        <f>grand[[#This Row],[number]]-grand[[#This Row],[received]]</f>
        <v>0</v>
      </c>
      <c r="J851" s="30"/>
      <c r="K851" s="2">
        <v>1169</v>
      </c>
      <c r="L851" s="2">
        <v>1125</v>
      </c>
      <c r="M851" s="2">
        <f>K851-L851</f>
        <v>44</v>
      </c>
      <c r="N851" s="2">
        <v>679.1</v>
      </c>
      <c r="O851" s="2">
        <v>0</v>
      </c>
      <c r="P851" s="7">
        <f>grand[[#This Row],[total weight]]/grand[[#This Row],[received]]</f>
        <v>46.76</v>
      </c>
      <c r="Q851" s="7">
        <f>grand[[#This Row],[receiving weight]]/grand[[#This Row],[received]]</f>
        <v>45</v>
      </c>
      <c r="R851" s="7">
        <f>grand[[#This Row],[transportation loss ]]/grand[[#This Row],[received]]</f>
        <v>1.76</v>
      </c>
      <c r="S851" s="7">
        <f>grand[[#This Row],[ carcass weight]]/grand[[#This Row],[received]]</f>
        <v>27.164000000000001</v>
      </c>
      <c r="T851" s="7">
        <f>grand[[#This Row],[ kidneys fat quantity]]/grand[[#This Row],[received]]</f>
        <v>0</v>
      </c>
      <c r="U851" s="1">
        <v>25</v>
      </c>
      <c r="V851" s="1">
        <v>0</v>
      </c>
      <c r="W851" s="1">
        <v>49.239999999999995</v>
      </c>
      <c r="X851" s="1">
        <v>10</v>
      </c>
      <c r="Y851" s="1">
        <v>8.5</v>
      </c>
      <c r="Z851" s="18">
        <f>grand[[#This Row],[av. Transportation loss]]/grand[[#This Row],[av.total weight]]</f>
        <v>3.7639007698887943E-2</v>
      </c>
      <c r="AA851" s="12">
        <f>AVERAGE((grand[[#This Row],[am]]/25),(grand[[#This Row],[pm]]/50))</f>
        <v>0.99239999999999995</v>
      </c>
      <c r="AB851" s="3">
        <f>grand[[#This Row],[ carcass weight]]/grand[[#This Row],[total weight]]</f>
        <v>0.58092386655260908</v>
      </c>
      <c r="AC851" s="18">
        <f>SUM(grand[[#This Row],[am]:[meat transportation]])/100</f>
        <v>0.9274</v>
      </c>
      <c r="AK851" s="1"/>
      <c r="AL851" s="1"/>
    </row>
    <row r="852" spans="1:38" hidden="1" x14ac:dyDescent="0.2">
      <c r="A852" s="11">
        <v>45213</v>
      </c>
      <c r="B852" s="53" t="s">
        <v>2835</v>
      </c>
      <c r="C852" s="52" t="str">
        <f>IF(MID(B852,4,2)="09","Ramadan",IF(AND(MID(B852,4,2)="12",VALUE(LEFT(B852,2))&lt;=9),"Adha Season","Normal"))</f>
        <v>Normal</v>
      </c>
      <c r="D852" s="1" t="s">
        <v>45</v>
      </c>
      <c r="E852" s="1" t="s">
        <v>483</v>
      </c>
      <c r="F852" s="4" t="s">
        <v>576</v>
      </c>
      <c r="G852" s="1">
        <v>32</v>
      </c>
      <c r="H852" s="1">
        <v>32</v>
      </c>
      <c r="I852" s="1">
        <f>grand[[#This Row],[number]]-grand[[#This Row],[received]]</f>
        <v>0</v>
      </c>
      <c r="J852" s="30"/>
      <c r="K852" s="2">
        <v>15826</v>
      </c>
      <c r="L852" s="2">
        <v>15826</v>
      </c>
      <c r="M852" s="2">
        <f>K852-L852</f>
        <v>0</v>
      </c>
      <c r="N852" s="2">
        <v>9705.1</v>
      </c>
      <c r="O852" s="2">
        <v>219</v>
      </c>
      <c r="P852" s="7">
        <f>grand[[#This Row],[total weight]]/grand[[#This Row],[received]]</f>
        <v>494.5625</v>
      </c>
      <c r="Q852" s="7">
        <f>grand[[#This Row],[receiving weight]]/grand[[#This Row],[received]]</f>
        <v>494.5625</v>
      </c>
      <c r="R852" s="7">
        <f>grand[[#This Row],[transportation loss ]]/grand[[#This Row],[received]]</f>
        <v>0</v>
      </c>
      <c r="S852" s="7">
        <f>grand[[#This Row],[ carcass weight]]/grand[[#This Row],[received]]</f>
        <v>303.28437500000001</v>
      </c>
      <c r="T852" s="7">
        <f>grand[[#This Row],[ kidneys fat quantity]]/grand[[#This Row],[received]]</f>
        <v>6.84375</v>
      </c>
      <c r="U852" s="1">
        <v>24.84375</v>
      </c>
      <c r="V852" s="1">
        <v>0</v>
      </c>
      <c r="W852" s="1">
        <v>47.40625</v>
      </c>
      <c r="X852" s="1">
        <v>10</v>
      </c>
      <c r="Y852" s="1">
        <v>8.5</v>
      </c>
      <c r="Z852" s="18">
        <f>grand[[#This Row],[av. Transportation loss]]/grand[[#This Row],[av.total weight]]</f>
        <v>0</v>
      </c>
      <c r="AA852" s="12">
        <f>AVERAGE((grand[[#This Row],[am]]/25),(grand[[#This Row],[pm]]/50))</f>
        <v>0.97093750000000001</v>
      </c>
      <c r="AB852" s="3">
        <f>grand[[#This Row],[ carcass weight]]/grand[[#This Row],[total weight]]</f>
        <v>0.61323771009730821</v>
      </c>
      <c r="AC852" s="18">
        <f>SUM(grand[[#This Row],[am]:[meat transportation]])/100</f>
        <v>0.90749999999999997</v>
      </c>
      <c r="AJ852" s="1">
        <v>25</v>
      </c>
      <c r="AK852" s="1"/>
      <c r="AL852" s="1"/>
    </row>
    <row r="853" spans="1:38" hidden="1" x14ac:dyDescent="0.2">
      <c r="A853" s="11">
        <v>45215</v>
      </c>
      <c r="B853" s="53" t="s">
        <v>1895</v>
      </c>
      <c r="C853" s="52" t="str">
        <f>IF(MID(B853,4,2)="09","Ramadan",IF(AND(MID(B853,4,2)="12",VALUE(LEFT(B853,2))&lt;=9),"Adha Season","Normal"))</f>
        <v>Normal</v>
      </c>
      <c r="D853" s="1" t="s">
        <v>45</v>
      </c>
      <c r="E853" s="1" t="s">
        <v>528</v>
      </c>
      <c r="F853" s="4" t="s">
        <v>462</v>
      </c>
      <c r="G853" s="1">
        <v>47</v>
      </c>
      <c r="H853" s="1">
        <v>47</v>
      </c>
      <c r="I853" s="1">
        <f>grand[[#This Row],[number]]-grand[[#This Row],[received]]</f>
        <v>0</v>
      </c>
      <c r="J853" s="30"/>
      <c r="K853" s="2">
        <v>22454</v>
      </c>
      <c r="L853" s="2">
        <v>22454</v>
      </c>
      <c r="M853" s="2">
        <f>K853-L853</f>
        <v>0</v>
      </c>
      <c r="N853" s="2">
        <v>13989.2</v>
      </c>
      <c r="O853" s="2">
        <v>0</v>
      </c>
      <c r="P853" s="7">
        <f>grand[[#This Row],[total weight]]/grand[[#This Row],[received]]</f>
        <v>477.74468085106383</v>
      </c>
      <c r="Q853" s="7">
        <f>grand[[#This Row],[receiving weight]]/grand[[#This Row],[received]]</f>
        <v>477.74468085106383</v>
      </c>
      <c r="R853" s="7">
        <f>grand[[#This Row],[transportation loss ]]/grand[[#This Row],[received]]</f>
        <v>0</v>
      </c>
      <c r="S853" s="7">
        <f>grand[[#This Row],[ carcass weight]]/grand[[#This Row],[received]]</f>
        <v>297.64255319148936</v>
      </c>
      <c r="T853" s="7">
        <f>grand[[#This Row],[ kidneys fat quantity]]/grand[[#This Row],[received]]</f>
        <v>0</v>
      </c>
      <c r="U853" s="1">
        <v>25</v>
      </c>
      <c r="V853" s="1">
        <v>4</v>
      </c>
      <c r="W853" s="1">
        <v>50</v>
      </c>
      <c r="X853" s="1">
        <v>9.787234042553191</v>
      </c>
      <c r="Y853" s="1">
        <v>8.5</v>
      </c>
      <c r="Z853" s="18">
        <f>grand[[#This Row],[av. Transportation loss]]/grand[[#This Row],[av.total weight]]</f>
        <v>0</v>
      </c>
      <c r="AA853" s="12">
        <f>AVERAGE((grand[[#This Row],[am]]/25),(grand[[#This Row],[pm]]/50))</f>
        <v>1</v>
      </c>
      <c r="AB853" s="3">
        <f>grand[[#This Row],[ carcass weight]]/grand[[#This Row],[total weight]]</f>
        <v>0.62301594370713465</v>
      </c>
      <c r="AC853" s="18">
        <f>SUM(grand[[#This Row],[am]:[meat transportation]])/100</f>
        <v>0.97287234042553195</v>
      </c>
      <c r="AK853" s="1"/>
      <c r="AL853" s="1"/>
    </row>
    <row r="854" spans="1:38" hidden="1" x14ac:dyDescent="0.2">
      <c r="A854" s="11">
        <v>45220</v>
      </c>
      <c r="B854" s="53" t="s">
        <v>2837</v>
      </c>
      <c r="C854" s="52" t="str">
        <f>IF(MID(B854,4,2)="09","Ramadan",IF(AND(MID(B854,4,2)="12",VALUE(LEFT(B854,2))&lt;=9),"Adha Season","Normal"))</f>
        <v>Normal</v>
      </c>
      <c r="D854" s="1" t="s">
        <v>45</v>
      </c>
      <c r="E854" s="1" t="s">
        <v>483</v>
      </c>
      <c r="F854" s="4" t="s">
        <v>576</v>
      </c>
      <c r="G854" s="1">
        <v>24</v>
      </c>
      <c r="H854" s="1">
        <v>24</v>
      </c>
      <c r="I854" s="1">
        <f>grand[[#This Row],[number]]-grand[[#This Row],[received]]</f>
        <v>0</v>
      </c>
      <c r="J854" s="30"/>
      <c r="K854" s="2">
        <v>12301</v>
      </c>
      <c r="L854" s="2">
        <v>11945</v>
      </c>
      <c r="M854" s="2">
        <f>K854-L854</f>
        <v>356</v>
      </c>
      <c r="N854" s="2">
        <v>7628.3</v>
      </c>
      <c r="O854" s="2">
        <v>145</v>
      </c>
      <c r="P854" s="7">
        <f>grand[[#This Row],[total weight]]/grand[[#This Row],[received]]</f>
        <v>512.54166666666663</v>
      </c>
      <c r="Q854" s="7">
        <f>grand[[#This Row],[receiving weight]]/grand[[#This Row],[received]]</f>
        <v>497.70833333333331</v>
      </c>
      <c r="R854" s="7">
        <f>grand[[#This Row],[transportation loss ]]/grand[[#This Row],[received]]</f>
        <v>14.833333333333334</v>
      </c>
      <c r="S854" s="7">
        <f>grand[[#This Row],[ carcass weight]]/grand[[#This Row],[received]]</f>
        <v>317.84583333333336</v>
      </c>
      <c r="T854" s="7">
        <f>grand[[#This Row],[ kidneys fat quantity]]/grand[[#This Row],[received]]</f>
        <v>6.041666666666667</v>
      </c>
      <c r="U854" s="1">
        <v>24.583333333333332</v>
      </c>
      <c r="V854" s="1">
        <v>0</v>
      </c>
      <c r="W854" s="1">
        <v>48.375</v>
      </c>
      <c r="X854" s="1">
        <v>10</v>
      </c>
      <c r="Y854" s="1">
        <v>8.5</v>
      </c>
      <c r="Z854" s="18">
        <f>grand[[#This Row],[av. Transportation loss]]/grand[[#This Row],[av.total weight]]</f>
        <v>2.8940736525485736E-2</v>
      </c>
      <c r="AA854" s="12">
        <f>AVERAGE((grand[[#This Row],[am]]/25),(grand[[#This Row],[pm]]/50))</f>
        <v>0.9754166666666666</v>
      </c>
      <c r="AB854" s="3">
        <f>grand[[#This Row],[ carcass weight]]/grand[[#This Row],[total weight]]</f>
        <v>0.6201365742622551</v>
      </c>
      <c r="AC854" s="18">
        <f>SUM(grand[[#This Row],[am]:[meat transportation]])/100</f>
        <v>0.9145833333333333</v>
      </c>
      <c r="AJ854" s="1">
        <v>22</v>
      </c>
      <c r="AK854" s="1"/>
      <c r="AL854" s="1"/>
    </row>
    <row r="855" spans="1:38" hidden="1" x14ac:dyDescent="0.2">
      <c r="A855" s="11">
        <v>45228</v>
      </c>
      <c r="B855" s="53" t="s">
        <v>1899</v>
      </c>
      <c r="C855" s="52" t="str">
        <f>IF(MID(B855,4,2)="09","Ramadan",IF(AND(MID(B855,4,2)="12",VALUE(LEFT(B855,2))&lt;=9),"Adha Season","Normal"))</f>
        <v>Normal</v>
      </c>
      <c r="D855" s="1" t="s">
        <v>45</v>
      </c>
      <c r="E855" s="1" t="s">
        <v>528</v>
      </c>
      <c r="F855" s="4" t="s">
        <v>576</v>
      </c>
      <c r="G855" s="1">
        <v>67</v>
      </c>
      <c r="H855" s="1">
        <v>67</v>
      </c>
      <c r="I855" s="1">
        <f>grand[[#This Row],[number]]-grand[[#This Row],[received]]</f>
        <v>0</v>
      </c>
      <c r="J855" s="30"/>
      <c r="K855" s="2">
        <v>36323</v>
      </c>
      <c r="L855" s="2">
        <v>34935</v>
      </c>
      <c r="M855" s="2">
        <f>K855-L855</f>
        <v>1388</v>
      </c>
      <c r="N855" s="2">
        <v>22448.3</v>
      </c>
      <c r="O855" s="2">
        <v>567</v>
      </c>
      <c r="P855" s="7">
        <f>grand[[#This Row],[total weight]]/grand[[#This Row],[received]]</f>
        <v>542.1343283582089</v>
      </c>
      <c r="Q855" s="7">
        <f>grand[[#This Row],[receiving weight]]/grand[[#This Row],[received]]</f>
        <v>521.41791044776119</v>
      </c>
      <c r="R855" s="7">
        <f>grand[[#This Row],[transportation loss ]]/grand[[#This Row],[received]]</f>
        <v>20.71641791044776</v>
      </c>
      <c r="S855" s="7">
        <f>grand[[#This Row],[ carcass weight]]/grand[[#This Row],[received]]</f>
        <v>335.0492537313433</v>
      </c>
      <c r="T855" s="7">
        <f>grand[[#This Row],[ kidneys fat quantity]]/grand[[#This Row],[received]]</f>
        <v>8.4626865671641784</v>
      </c>
      <c r="U855" s="1">
        <v>24.850746268656717</v>
      </c>
      <c r="V855" s="1">
        <v>0</v>
      </c>
      <c r="W855" s="1">
        <v>46.35820895522388</v>
      </c>
      <c r="X855" s="1">
        <v>10</v>
      </c>
      <c r="Y855" s="1">
        <v>8.5</v>
      </c>
      <c r="Z855" s="18">
        <f>grand[[#This Row],[av. Transportation loss]]/grand[[#This Row],[av.total weight]]</f>
        <v>3.8212702695261953E-2</v>
      </c>
      <c r="AA855" s="12">
        <f>AVERAGE((grand[[#This Row],[am]]/25),(grand[[#This Row],[pm]]/50))</f>
        <v>0.96059701492537308</v>
      </c>
      <c r="AB855" s="3">
        <f>grand[[#This Row],[ carcass weight]]/grand[[#This Row],[total weight]]</f>
        <v>0.6180188861052226</v>
      </c>
      <c r="AC855" s="18">
        <f>SUM(grand[[#This Row],[am]:[meat transportation]])/100</f>
        <v>0.89708955223880593</v>
      </c>
      <c r="AJ855" s="1">
        <v>59</v>
      </c>
      <c r="AK855" s="1"/>
      <c r="AL855" s="1"/>
    </row>
    <row r="856" spans="1:38" hidden="1" x14ac:dyDescent="0.2">
      <c r="A856" s="11">
        <v>45232</v>
      </c>
      <c r="B856" s="53" t="s">
        <v>2840</v>
      </c>
      <c r="C856" s="52" t="str">
        <f>IF(MID(B856,4,2)="09","Ramadan",IF(AND(MID(B856,4,2)="12",VALUE(LEFT(B856,2))&lt;=9),"Adha Season","Normal"))</f>
        <v>Normal</v>
      </c>
      <c r="D856" s="2" t="s">
        <v>294</v>
      </c>
      <c r="E856" s="1" t="s">
        <v>483</v>
      </c>
      <c r="F856" s="4" t="s">
        <v>280</v>
      </c>
      <c r="G856" s="1">
        <v>30</v>
      </c>
      <c r="H856" s="1">
        <v>30</v>
      </c>
      <c r="I856" s="1">
        <f>grand[[#This Row],[number]]-grand[[#This Row],[received]]</f>
        <v>0</v>
      </c>
      <c r="J856" s="30"/>
      <c r="K856" s="2">
        <v>1504</v>
      </c>
      <c r="L856" s="2">
        <v>1440</v>
      </c>
      <c r="M856" s="2">
        <f>K856-L856</f>
        <v>64</v>
      </c>
      <c r="N856" s="2">
        <v>847.2</v>
      </c>
      <c r="O856" s="2">
        <v>0</v>
      </c>
      <c r="P856" s="7">
        <f>grand[[#This Row],[total weight]]/grand[[#This Row],[received]]</f>
        <v>50.133333333333333</v>
      </c>
      <c r="Q856" s="7">
        <f>grand[[#This Row],[receiving weight]]/grand[[#This Row],[received]]</f>
        <v>48</v>
      </c>
      <c r="R856" s="7">
        <f>grand[[#This Row],[transportation loss ]]/grand[[#This Row],[received]]</f>
        <v>2.1333333333333333</v>
      </c>
      <c r="S856" s="7">
        <f>grand[[#This Row],[ carcass weight]]/grand[[#This Row],[received]]</f>
        <v>28.240000000000002</v>
      </c>
      <c r="T856" s="7">
        <f>grand[[#This Row],[ kidneys fat quantity]]/grand[[#This Row],[received]]</f>
        <v>0</v>
      </c>
      <c r="U856" s="1">
        <v>25</v>
      </c>
      <c r="V856" s="1">
        <v>0</v>
      </c>
      <c r="W856" s="1">
        <v>49.266666666666673</v>
      </c>
      <c r="X856" s="1">
        <v>10</v>
      </c>
      <c r="Y856" s="1">
        <v>8.5</v>
      </c>
      <c r="Z856" s="18">
        <f>grand[[#This Row],[av. Transportation loss]]/grand[[#This Row],[av.total weight]]</f>
        <v>4.2553191489361701E-2</v>
      </c>
      <c r="AA856" s="12">
        <f>AVERAGE((grand[[#This Row],[am]]/25),(grand[[#This Row],[pm]]/50))</f>
        <v>0.99266666666666681</v>
      </c>
      <c r="AB856" s="3">
        <f>grand[[#This Row],[ carcass weight]]/grand[[#This Row],[total weight]]</f>
        <v>0.56329787234042561</v>
      </c>
      <c r="AC856" s="18">
        <f>SUM(grand[[#This Row],[am]:[meat transportation]])/100</f>
        <v>0.92766666666666675</v>
      </c>
      <c r="AK856" s="1"/>
      <c r="AL856" s="1"/>
    </row>
    <row r="857" spans="1:38" hidden="1" x14ac:dyDescent="0.2">
      <c r="A857" s="11">
        <v>45232</v>
      </c>
      <c r="B857" s="53" t="s">
        <v>2840</v>
      </c>
      <c r="C857" s="52" t="str">
        <f>IF(MID(B857,4,2)="09","Ramadan",IF(AND(MID(B857,4,2)="12",VALUE(LEFT(B857,2))&lt;=9),"Adha Season","Normal"))</f>
        <v>Normal</v>
      </c>
      <c r="D857" s="1" t="s">
        <v>45</v>
      </c>
      <c r="E857" s="1" t="s">
        <v>483</v>
      </c>
      <c r="F857" s="4" t="s">
        <v>43</v>
      </c>
      <c r="G857" s="1">
        <v>14</v>
      </c>
      <c r="H857" s="1">
        <v>14</v>
      </c>
      <c r="I857" s="1">
        <f>grand[[#This Row],[number]]-grand[[#This Row],[received]]</f>
        <v>0</v>
      </c>
      <c r="J857" s="30"/>
      <c r="K857" s="2">
        <v>6789</v>
      </c>
      <c r="L857" s="2">
        <v>6489</v>
      </c>
      <c r="M857" s="2">
        <f>K857-L857</f>
        <v>300</v>
      </c>
      <c r="N857" s="2">
        <v>4073.3</v>
      </c>
      <c r="O857" s="2">
        <v>147</v>
      </c>
      <c r="P857" s="7">
        <f>grand[[#This Row],[total weight]]/grand[[#This Row],[received]]</f>
        <v>484.92857142857144</v>
      </c>
      <c r="Q857" s="7">
        <f>grand[[#This Row],[receiving weight]]/grand[[#This Row],[received]]</f>
        <v>463.5</v>
      </c>
      <c r="R857" s="7">
        <f>grand[[#This Row],[transportation loss ]]/grand[[#This Row],[received]]</f>
        <v>21.428571428571427</v>
      </c>
      <c r="S857" s="7">
        <f>grand[[#This Row],[ carcass weight]]/grand[[#This Row],[received]]</f>
        <v>290.95</v>
      </c>
      <c r="T857" s="7">
        <f>grand[[#This Row],[ kidneys fat quantity]]/grand[[#This Row],[received]]</f>
        <v>10.5</v>
      </c>
      <c r="U857" s="1">
        <v>25</v>
      </c>
      <c r="V857" s="1">
        <v>0</v>
      </c>
      <c r="W857" s="1">
        <v>46.642857142857146</v>
      </c>
      <c r="X857" s="1">
        <v>10</v>
      </c>
      <c r="Y857" s="1">
        <v>8.5</v>
      </c>
      <c r="Z857" s="18">
        <f>grand[[#This Row],[av. Transportation loss]]/grand[[#This Row],[av.total weight]]</f>
        <v>4.4189129474149352E-2</v>
      </c>
      <c r="AA857" s="12">
        <f>AVERAGE((grand[[#This Row],[am]]/25),(grand[[#This Row],[pm]]/50))</f>
        <v>0.96642857142857141</v>
      </c>
      <c r="AB857" s="3">
        <f>grand[[#This Row],[ carcass weight]]/grand[[#This Row],[total weight]]</f>
        <v>0.59998527029017534</v>
      </c>
      <c r="AC857" s="18">
        <f>SUM(grand[[#This Row],[am]:[meat transportation]])/100</f>
        <v>0.90142857142857136</v>
      </c>
      <c r="AJ857" s="1">
        <v>10</v>
      </c>
      <c r="AK857" s="1"/>
      <c r="AL857" s="1"/>
    </row>
    <row r="858" spans="1:38" hidden="1" x14ac:dyDescent="0.2">
      <c r="A858" s="11">
        <v>45235</v>
      </c>
      <c r="B858" s="53" t="s">
        <v>1901</v>
      </c>
      <c r="C858" s="52" t="str">
        <f>IF(MID(B858,4,2)="09","Ramadan",IF(AND(MID(B858,4,2)="12",VALUE(LEFT(B858,2))&lt;=9),"Adha Season","Normal"))</f>
        <v>Normal</v>
      </c>
      <c r="D858" s="2" t="s">
        <v>294</v>
      </c>
      <c r="E858" s="1" t="s">
        <v>483</v>
      </c>
      <c r="F858" s="4" t="s">
        <v>334</v>
      </c>
      <c r="G858" s="1">
        <v>22</v>
      </c>
      <c r="H858" s="1">
        <v>22</v>
      </c>
      <c r="I858" s="1">
        <f>grand[[#This Row],[number]]-grand[[#This Row],[received]]</f>
        <v>0</v>
      </c>
      <c r="J858" s="30"/>
      <c r="K858" s="2">
        <v>1025</v>
      </c>
      <c r="L858" s="2">
        <v>975</v>
      </c>
      <c r="M858" s="2">
        <f>K858-L858</f>
        <v>50</v>
      </c>
      <c r="N858" s="2">
        <v>607.6</v>
      </c>
      <c r="O858" s="2">
        <v>0</v>
      </c>
      <c r="P858" s="7">
        <f>grand[[#This Row],[total weight]]/grand[[#This Row],[received]]</f>
        <v>46.590909090909093</v>
      </c>
      <c r="Q858" s="7">
        <f>grand[[#This Row],[receiving weight]]/grand[[#This Row],[received]]</f>
        <v>44.31818181818182</v>
      </c>
      <c r="R858" s="7">
        <f>grand[[#This Row],[transportation loss ]]/grand[[#This Row],[received]]</f>
        <v>2.2727272727272729</v>
      </c>
      <c r="S858" s="7">
        <f>grand[[#This Row],[ carcass weight]]/grand[[#This Row],[received]]</f>
        <v>27.618181818181821</v>
      </c>
      <c r="T858" s="7">
        <f>grand[[#This Row],[ kidneys fat quantity]]/grand[[#This Row],[received]]</f>
        <v>0</v>
      </c>
      <c r="U858" s="1">
        <v>25</v>
      </c>
      <c r="V858" s="1">
        <v>0</v>
      </c>
      <c r="W858" s="1">
        <v>49.36363636363636</v>
      </c>
      <c r="X858" s="1">
        <v>10</v>
      </c>
      <c r="Y858" s="1">
        <v>8.5</v>
      </c>
      <c r="Z858" s="18">
        <f>grand[[#This Row],[av. Transportation loss]]/grand[[#This Row],[av.total weight]]</f>
        <v>4.878048780487805E-2</v>
      </c>
      <c r="AA858" s="12">
        <f>AVERAGE((grand[[#This Row],[am]]/25),(grand[[#This Row],[pm]]/50))</f>
        <v>0.99363636363636365</v>
      </c>
      <c r="AB858" s="3">
        <f>grand[[#This Row],[ carcass weight]]/grand[[#This Row],[total weight]]</f>
        <v>0.59278048780487802</v>
      </c>
      <c r="AC858" s="18">
        <f>SUM(grand[[#This Row],[am]:[meat transportation]])/100</f>
        <v>0.92863636363636359</v>
      </c>
      <c r="AK858" s="1"/>
      <c r="AL858" s="1"/>
    </row>
    <row r="859" spans="1:38" hidden="1" x14ac:dyDescent="0.2">
      <c r="A859" s="11">
        <v>45238</v>
      </c>
      <c r="B859" s="53" t="s">
        <v>1902</v>
      </c>
      <c r="C859" s="52" t="str">
        <f>IF(MID(B859,4,2)="09","Ramadan",IF(AND(MID(B859,4,2)="12",VALUE(LEFT(B859,2))&lt;=9),"Adha Season","Normal"))</f>
        <v>Normal</v>
      </c>
      <c r="D859" s="1" t="s">
        <v>45</v>
      </c>
      <c r="E859" s="1" t="s">
        <v>483</v>
      </c>
      <c r="F859" s="4" t="s">
        <v>280</v>
      </c>
      <c r="G859" s="1">
        <v>28</v>
      </c>
      <c r="H859" s="1">
        <v>28</v>
      </c>
      <c r="I859" s="1">
        <f>grand[[#This Row],[number]]-grand[[#This Row],[received]]</f>
        <v>0</v>
      </c>
      <c r="J859" s="30"/>
      <c r="K859" s="2">
        <v>12721</v>
      </c>
      <c r="L859" s="2">
        <v>12045</v>
      </c>
      <c r="M859" s="2">
        <f>K859-L859</f>
        <v>676</v>
      </c>
      <c r="N859" s="2">
        <v>7645.3</v>
      </c>
      <c r="O859" s="2">
        <v>261</v>
      </c>
      <c r="P859" s="7">
        <f>grand[[#This Row],[total weight]]/grand[[#This Row],[received]]</f>
        <v>454.32142857142856</v>
      </c>
      <c r="Q859" s="7">
        <f>grand[[#This Row],[receiving weight]]/grand[[#This Row],[received]]</f>
        <v>430.17857142857144</v>
      </c>
      <c r="R859" s="7">
        <f>grand[[#This Row],[transportation loss ]]/grand[[#This Row],[received]]</f>
        <v>24.142857142857142</v>
      </c>
      <c r="S859" s="7">
        <f>grand[[#This Row],[ carcass weight]]/grand[[#This Row],[received]]</f>
        <v>273.04642857142858</v>
      </c>
      <c r="T859" s="7">
        <f>grand[[#This Row],[ kidneys fat quantity]]/grand[[#This Row],[received]]</f>
        <v>9.3214285714285712</v>
      </c>
      <c r="U859" s="1">
        <v>25</v>
      </c>
      <c r="V859" s="1">
        <v>0</v>
      </c>
      <c r="W859" s="1">
        <v>50</v>
      </c>
      <c r="X859" s="1">
        <v>10</v>
      </c>
      <c r="Y859" s="1">
        <v>8.5</v>
      </c>
      <c r="Z859" s="18">
        <f>grand[[#This Row],[av. Transportation loss]]/grand[[#This Row],[av.total weight]]</f>
        <v>5.314047637764327E-2</v>
      </c>
      <c r="AA859" s="12">
        <f>AVERAGE((grand[[#This Row],[am]]/25),(grand[[#This Row],[pm]]/50))</f>
        <v>1</v>
      </c>
      <c r="AB859" s="3">
        <f>grand[[#This Row],[ carcass weight]]/grand[[#This Row],[total weight]]</f>
        <v>0.60099834918638473</v>
      </c>
      <c r="AC859" s="18">
        <f>SUM(grand[[#This Row],[am]:[meat transportation]])/100</f>
        <v>0.93500000000000005</v>
      </c>
      <c r="AK859" s="1"/>
      <c r="AL859" s="1"/>
    </row>
    <row r="860" spans="1:38" hidden="1" x14ac:dyDescent="0.2">
      <c r="A860" s="11">
        <v>45239</v>
      </c>
      <c r="B860" s="53" t="s">
        <v>1903</v>
      </c>
      <c r="C860" s="52" t="str">
        <f>IF(MID(B860,4,2)="09","Ramadan",IF(AND(MID(B860,4,2)="12",VALUE(LEFT(B860,2))&lt;=9),"Adha Season","Normal"))</f>
        <v>Normal</v>
      </c>
      <c r="D860" s="2" t="s">
        <v>294</v>
      </c>
      <c r="E860" s="1" t="s">
        <v>483</v>
      </c>
      <c r="F860" s="4" t="s">
        <v>280</v>
      </c>
      <c r="G860" s="1">
        <v>26</v>
      </c>
      <c r="H860" s="1">
        <v>26</v>
      </c>
      <c r="I860" s="1">
        <f>grand[[#This Row],[number]]-grand[[#This Row],[received]]</f>
        <v>0</v>
      </c>
      <c r="J860" s="30"/>
      <c r="K860" s="2">
        <v>1292</v>
      </c>
      <c r="L860" s="2">
        <v>1260</v>
      </c>
      <c r="M860" s="2">
        <f>K860-L860</f>
        <v>32</v>
      </c>
      <c r="N860" s="2">
        <v>800.6</v>
      </c>
      <c r="O860" s="2">
        <v>0</v>
      </c>
      <c r="P860" s="7">
        <f>grand[[#This Row],[total weight]]/grand[[#This Row],[received]]</f>
        <v>49.692307692307693</v>
      </c>
      <c r="Q860" s="7">
        <f>grand[[#This Row],[receiving weight]]/grand[[#This Row],[received]]</f>
        <v>48.46153846153846</v>
      </c>
      <c r="R860" s="7">
        <f>grand[[#This Row],[transportation loss ]]/grand[[#This Row],[received]]</f>
        <v>1.2307692307692308</v>
      </c>
      <c r="S860" s="7">
        <f>grand[[#This Row],[ carcass weight]]/grand[[#This Row],[received]]</f>
        <v>30.792307692307695</v>
      </c>
      <c r="T860" s="7">
        <f>grand[[#This Row],[ kidneys fat quantity]]/grand[[#This Row],[received]]</f>
        <v>0</v>
      </c>
      <c r="U860" s="1">
        <v>25</v>
      </c>
      <c r="V860" s="1">
        <v>0</v>
      </c>
      <c r="W860" s="1">
        <v>49.615384615384613</v>
      </c>
      <c r="X860" s="1">
        <v>10</v>
      </c>
      <c r="Y860" s="1">
        <v>8.5</v>
      </c>
      <c r="Z860" s="18">
        <f>grand[[#This Row],[av. Transportation loss]]/grand[[#This Row],[av.total weight]]</f>
        <v>2.4767801857585141E-2</v>
      </c>
      <c r="AA860" s="12">
        <f>AVERAGE((grand[[#This Row],[am]]/25),(grand[[#This Row],[pm]]/50))</f>
        <v>0.99615384615384617</v>
      </c>
      <c r="AB860" s="3">
        <f>grand[[#This Row],[ carcass weight]]/grand[[#This Row],[total weight]]</f>
        <v>0.61965944272445828</v>
      </c>
      <c r="AC860" s="18">
        <f>SUM(grand[[#This Row],[am]:[meat transportation]])/100</f>
        <v>0.93115384615384611</v>
      </c>
      <c r="AK860" s="1"/>
      <c r="AL860" s="1"/>
    </row>
    <row r="861" spans="1:38" hidden="1" x14ac:dyDescent="0.2">
      <c r="A861" s="11">
        <v>45242</v>
      </c>
      <c r="B861" s="53" t="s">
        <v>1904</v>
      </c>
      <c r="C861" s="52" t="str">
        <f>IF(MID(B861,4,2)="09","Ramadan",IF(AND(MID(B861,4,2)="12",VALUE(LEFT(B861,2))&lt;=9),"Adha Season","Normal"))</f>
        <v>Normal</v>
      </c>
      <c r="D861" s="2" t="s">
        <v>294</v>
      </c>
      <c r="E861" s="1" t="s">
        <v>483</v>
      </c>
      <c r="F861" s="4" t="s">
        <v>334</v>
      </c>
      <c r="G861" s="1">
        <v>12</v>
      </c>
      <c r="H861" s="1">
        <v>12</v>
      </c>
      <c r="I861" s="1">
        <f>grand[[#This Row],[number]]-grand[[#This Row],[received]]</f>
        <v>0</v>
      </c>
      <c r="J861" s="30"/>
      <c r="K861" s="2">
        <v>549</v>
      </c>
      <c r="L861" s="2">
        <v>530</v>
      </c>
      <c r="M861" s="2">
        <f>K861-L861</f>
        <v>19</v>
      </c>
      <c r="N861" s="2">
        <v>333.8</v>
      </c>
      <c r="O861" s="2">
        <v>0</v>
      </c>
      <c r="P861" s="7">
        <f>grand[[#This Row],[total weight]]/grand[[#This Row],[received]]</f>
        <v>45.75</v>
      </c>
      <c r="Q861" s="7">
        <f>grand[[#This Row],[receiving weight]]/grand[[#This Row],[received]]</f>
        <v>44.166666666666664</v>
      </c>
      <c r="R861" s="7">
        <f>grand[[#This Row],[transportation loss ]]/grand[[#This Row],[received]]</f>
        <v>1.5833333333333333</v>
      </c>
      <c r="S861" s="7">
        <f>grand[[#This Row],[ carcass weight]]/grand[[#This Row],[received]]</f>
        <v>27.816666666666666</v>
      </c>
      <c r="T861" s="7">
        <f>grand[[#This Row],[ kidneys fat quantity]]/grand[[#This Row],[received]]</f>
        <v>0</v>
      </c>
      <c r="U861" s="1">
        <v>25</v>
      </c>
      <c r="V861" s="1">
        <v>0</v>
      </c>
      <c r="W861" s="1">
        <v>49</v>
      </c>
      <c r="X861" s="1">
        <v>10</v>
      </c>
      <c r="Y861" s="1">
        <v>8.5</v>
      </c>
      <c r="Z861" s="18">
        <f>grand[[#This Row],[av. Transportation loss]]/grand[[#This Row],[av.total weight]]</f>
        <v>3.4608378870673952E-2</v>
      </c>
      <c r="AA861" s="12">
        <f>AVERAGE((grand[[#This Row],[am]]/25),(grand[[#This Row],[pm]]/50))</f>
        <v>0.99</v>
      </c>
      <c r="AB861" s="3">
        <f>grand[[#This Row],[ carcass weight]]/grand[[#This Row],[total weight]]</f>
        <v>0.60801457194899822</v>
      </c>
      <c r="AC861" s="18">
        <f>SUM(grand[[#This Row],[am]:[meat transportation]])/100</f>
        <v>0.92500000000000004</v>
      </c>
      <c r="AK861" s="1"/>
      <c r="AL861" s="1"/>
    </row>
    <row r="862" spans="1:38" hidden="1" x14ac:dyDescent="0.2">
      <c r="A862" s="11">
        <v>45246</v>
      </c>
      <c r="B862" s="53" t="s">
        <v>1906</v>
      </c>
      <c r="C862" s="52" t="str">
        <f>IF(MID(B862,4,2)="09","Ramadan",IF(AND(MID(B862,4,2)="12",VALUE(LEFT(B862,2))&lt;=9),"Adha Season","Normal"))</f>
        <v>Normal</v>
      </c>
      <c r="D862" s="1" t="s">
        <v>45</v>
      </c>
      <c r="E862" s="1" t="s">
        <v>483</v>
      </c>
      <c r="F862" s="4" t="s">
        <v>280</v>
      </c>
      <c r="G862" s="1">
        <v>17</v>
      </c>
      <c r="H862" s="1">
        <v>17</v>
      </c>
      <c r="I862" s="1">
        <f>grand[[#This Row],[number]]-grand[[#This Row],[received]]</f>
        <v>0</v>
      </c>
      <c r="J862" s="30"/>
      <c r="K862" s="2">
        <v>8874</v>
      </c>
      <c r="L862" s="2">
        <v>8600</v>
      </c>
      <c r="M862" s="2">
        <f>K862-L862</f>
        <v>274</v>
      </c>
      <c r="N862" s="2">
        <v>5468.8</v>
      </c>
      <c r="O862" s="2">
        <v>168</v>
      </c>
      <c r="P862" s="7">
        <f>grand[[#This Row],[total weight]]/grand[[#This Row],[received]]</f>
        <v>522</v>
      </c>
      <c r="Q862" s="7">
        <f>grand[[#This Row],[receiving weight]]/grand[[#This Row],[received]]</f>
        <v>505.88235294117646</v>
      </c>
      <c r="R862" s="7">
        <f>grand[[#This Row],[transportation loss ]]/grand[[#This Row],[received]]</f>
        <v>16.117647058823529</v>
      </c>
      <c r="S862" s="7">
        <f>grand[[#This Row],[ carcass weight]]/grand[[#This Row],[received]]</f>
        <v>321.69411764705882</v>
      </c>
      <c r="T862" s="7">
        <f>grand[[#This Row],[ kidneys fat quantity]]/grand[[#This Row],[received]]</f>
        <v>9.882352941176471</v>
      </c>
      <c r="U862" s="1">
        <v>25</v>
      </c>
      <c r="V862" s="1">
        <v>0</v>
      </c>
      <c r="W862" s="1">
        <v>49.352941176470587</v>
      </c>
      <c r="X862" s="1">
        <v>10</v>
      </c>
      <c r="Y862" s="1">
        <v>8.5</v>
      </c>
      <c r="Z862" s="18">
        <f>grand[[#This Row],[av. Transportation loss]]/grand[[#This Row],[av.total weight]]</f>
        <v>3.0876718503493352E-2</v>
      </c>
      <c r="AA862" s="12">
        <f>AVERAGE((grand[[#This Row],[am]]/25),(grand[[#This Row],[pm]]/50))</f>
        <v>0.99352941176470588</v>
      </c>
      <c r="AB862" s="3">
        <f>grand[[#This Row],[ carcass weight]]/grand[[#This Row],[total weight]]</f>
        <v>0.61627225602884839</v>
      </c>
      <c r="AC862" s="18">
        <f>SUM(grand[[#This Row],[am]:[meat transportation]])/100</f>
        <v>0.92852941176470583</v>
      </c>
      <c r="AJ862" s="1">
        <v>5</v>
      </c>
      <c r="AK862" s="1"/>
      <c r="AL862" s="1"/>
    </row>
    <row r="863" spans="1:38" hidden="1" x14ac:dyDescent="0.2">
      <c r="A863" s="11">
        <v>45249</v>
      </c>
      <c r="B863" s="53" t="s">
        <v>1907</v>
      </c>
      <c r="C863" s="52" t="str">
        <f>IF(MID(B863,4,2)="09","Ramadan",IF(AND(MID(B863,4,2)="12",VALUE(LEFT(B863,2))&lt;=9),"Adha Season","Normal"))</f>
        <v>Normal</v>
      </c>
      <c r="D863" s="1" t="s">
        <v>45</v>
      </c>
      <c r="E863" s="1" t="s">
        <v>483</v>
      </c>
      <c r="F863" s="4" t="s">
        <v>39</v>
      </c>
      <c r="G863" s="1">
        <v>50</v>
      </c>
      <c r="H863" s="1">
        <v>50</v>
      </c>
      <c r="I863" s="1">
        <f>grand[[#This Row],[number]]-grand[[#This Row],[received]]</f>
        <v>0</v>
      </c>
      <c r="J863" s="30"/>
      <c r="K863" s="2">
        <v>21916</v>
      </c>
      <c r="L863" s="2">
        <v>20917</v>
      </c>
      <c r="M863" s="2">
        <f>K863-L863</f>
        <v>999</v>
      </c>
      <c r="N863" s="2">
        <v>13500.6</v>
      </c>
      <c r="O863" s="2">
        <v>434</v>
      </c>
      <c r="P863" s="7">
        <f>grand[[#This Row],[total weight]]/grand[[#This Row],[received]]</f>
        <v>438.32</v>
      </c>
      <c r="Q863" s="7">
        <f>grand[[#This Row],[receiving weight]]/grand[[#This Row],[received]]</f>
        <v>418.34</v>
      </c>
      <c r="R863" s="7">
        <f>grand[[#This Row],[transportation loss ]]/grand[[#This Row],[received]]</f>
        <v>19.98</v>
      </c>
      <c r="S863" s="7">
        <f>grand[[#This Row],[ carcass weight]]/grand[[#This Row],[received]]</f>
        <v>270.012</v>
      </c>
      <c r="T863" s="7">
        <f>grand[[#This Row],[ kidneys fat quantity]]/grand[[#This Row],[received]]</f>
        <v>8.68</v>
      </c>
      <c r="U863" s="1">
        <v>25</v>
      </c>
      <c r="V863" s="1">
        <v>0</v>
      </c>
      <c r="W863" s="1">
        <v>48.820000000000007</v>
      </c>
      <c r="X863" s="1">
        <v>10</v>
      </c>
      <c r="Y863" s="1">
        <v>8.5</v>
      </c>
      <c r="Z863" s="18">
        <f>grand[[#This Row],[av. Transportation loss]]/grand[[#This Row],[av.total weight]]</f>
        <v>4.5583135608687715E-2</v>
      </c>
      <c r="AA863" s="12">
        <f>AVERAGE((grand[[#This Row],[am]]/25),(grand[[#This Row],[pm]]/50))</f>
        <v>0.98820000000000008</v>
      </c>
      <c r="AB863" s="3">
        <f>grand[[#This Row],[ carcass weight]]/grand[[#This Row],[total weight]]</f>
        <v>0.61601569629494435</v>
      </c>
      <c r="AC863" s="18">
        <f>SUM(grand[[#This Row],[am]:[meat transportation]])/100</f>
        <v>0.92320000000000002</v>
      </c>
      <c r="AJ863" s="1">
        <v>5</v>
      </c>
      <c r="AK863" s="1"/>
      <c r="AL863" s="1"/>
    </row>
    <row r="864" spans="1:38" hidden="1" x14ac:dyDescent="0.2">
      <c r="A864" s="11">
        <v>45253</v>
      </c>
      <c r="B864" s="53" t="s">
        <v>2846</v>
      </c>
      <c r="C864" s="52" t="str">
        <f>IF(MID(B864,4,2)="09","Ramadan",IF(AND(MID(B864,4,2)="12",VALUE(LEFT(B864,2))&lt;=9),"Adha Season","Normal"))</f>
        <v>Normal</v>
      </c>
      <c r="D864" s="1" t="s">
        <v>45</v>
      </c>
      <c r="E864" s="1" t="s">
        <v>483</v>
      </c>
      <c r="F864" s="4" t="s">
        <v>44</v>
      </c>
      <c r="G864" s="1">
        <v>30</v>
      </c>
      <c r="H864" s="1">
        <v>30</v>
      </c>
      <c r="I864" s="1">
        <f>grand[[#This Row],[number]]-grand[[#This Row],[received]]</f>
        <v>0</v>
      </c>
      <c r="J864" s="30"/>
      <c r="K864" s="2">
        <v>13003</v>
      </c>
      <c r="L864" s="2">
        <v>12680</v>
      </c>
      <c r="M864" s="2">
        <f>K864-L864</f>
        <v>323</v>
      </c>
      <c r="N864" s="2">
        <v>7801.8</v>
      </c>
      <c r="O864" s="2">
        <v>207</v>
      </c>
      <c r="P864" s="7">
        <f>grand[[#This Row],[total weight]]/grand[[#This Row],[received]]</f>
        <v>433.43333333333334</v>
      </c>
      <c r="Q864" s="7">
        <f>grand[[#This Row],[receiving weight]]/grand[[#This Row],[received]]</f>
        <v>422.66666666666669</v>
      </c>
      <c r="R864" s="7">
        <f>grand[[#This Row],[transportation loss ]]/grand[[#This Row],[received]]</f>
        <v>10.766666666666667</v>
      </c>
      <c r="S864" s="7">
        <f>grand[[#This Row],[ carcass weight]]/grand[[#This Row],[received]]</f>
        <v>260.06</v>
      </c>
      <c r="T864" s="7">
        <f>grand[[#This Row],[ kidneys fat quantity]]/grand[[#This Row],[received]]</f>
        <v>6.9</v>
      </c>
      <c r="U864" s="1">
        <v>25</v>
      </c>
      <c r="V864" s="1">
        <v>0</v>
      </c>
      <c r="W864" s="1">
        <v>47.9</v>
      </c>
      <c r="X864" s="1">
        <v>10</v>
      </c>
      <c r="Y864" s="1">
        <v>8.5</v>
      </c>
      <c r="Z864" s="18">
        <f>grand[[#This Row],[av. Transportation loss]]/grand[[#This Row],[av.total weight]]</f>
        <v>2.4840421441205879E-2</v>
      </c>
      <c r="AA864" s="12">
        <f>AVERAGE((grand[[#This Row],[am]]/25),(grand[[#This Row],[pm]]/50))</f>
        <v>0.97899999999999998</v>
      </c>
      <c r="AB864" s="3">
        <f>grand[[#This Row],[ carcass weight]]/grand[[#This Row],[total weight]]</f>
        <v>0.6</v>
      </c>
      <c r="AC864" s="18">
        <f>SUM(grand[[#This Row],[am]:[meat transportation]])/100</f>
        <v>0.91400000000000003</v>
      </c>
      <c r="AJ864" s="1">
        <v>4</v>
      </c>
      <c r="AK864" s="1"/>
      <c r="AL864" s="1"/>
    </row>
    <row r="865" spans="1:38" hidden="1" x14ac:dyDescent="0.2">
      <c r="A865" s="11">
        <v>45255</v>
      </c>
      <c r="B865" s="53" t="s">
        <v>2847</v>
      </c>
      <c r="C865" s="52" t="str">
        <f>IF(MID(B865,4,2)="09","Ramadan",IF(AND(MID(B865,4,2)="12",VALUE(LEFT(B865,2))&lt;=9),"Adha Season","Normal"))</f>
        <v>Normal</v>
      </c>
      <c r="D865" s="1" t="s">
        <v>45</v>
      </c>
      <c r="E865" s="1" t="s">
        <v>483</v>
      </c>
      <c r="F865" s="4" t="s">
        <v>44</v>
      </c>
      <c r="G865" s="1">
        <v>40</v>
      </c>
      <c r="H865" s="1">
        <v>40</v>
      </c>
      <c r="I865" s="1">
        <f>grand[[#This Row],[number]]-grand[[#This Row],[received]]</f>
        <v>0</v>
      </c>
      <c r="J865" s="30"/>
      <c r="K865" s="2">
        <v>16787</v>
      </c>
      <c r="L865" s="2">
        <v>16285</v>
      </c>
      <c r="M865" s="2">
        <f>K865-L865</f>
        <v>502</v>
      </c>
      <c r="N865" s="2">
        <v>10117.700000000001</v>
      </c>
      <c r="O865" s="2">
        <v>294</v>
      </c>
      <c r="P865" s="7">
        <f>grand[[#This Row],[total weight]]/grand[[#This Row],[received]]</f>
        <v>419.67500000000001</v>
      </c>
      <c r="Q865" s="7">
        <f>grand[[#This Row],[receiving weight]]/grand[[#This Row],[received]]</f>
        <v>407.125</v>
      </c>
      <c r="R865" s="7">
        <f>grand[[#This Row],[transportation loss ]]/grand[[#This Row],[received]]</f>
        <v>12.55</v>
      </c>
      <c r="S865" s="7">
        <f>grand[[#This Row],[ carcass weight]]/grand[[#This Row],[received]]</f>
        <v>252.94250000000002</v>
      </c>
      <c r="T865" s="7">
        <f>grand[[#This Row],[ kidneys fat quantity]]/grand[[#This Row],[received]]</f>
        <v>7.35</v>
      </c>
      <c r="U865" s="1">
        <v>25</v>
      </c>
      <c r="V865" s="1">
        <v>0</v>
      </c>
      <c r="W865" s="1">
        <v>48.774999999999999</v>
      </c>
      <c r="X865" s="1">
        <v>9.75</v>
      </c>
      <c r="Y865" s="1">
        <v>8.5</v>
      </c>
      <c r="Z865" s="18">
        <f>grand[[#This Row],[av. Transportation loss]]/grand[[#This Row],[av.total weight]]</f>
        <v>2.9904092452493002E-2</v>
      </c>
      <c r="AA865" s="12">
        <f>AVERAGE((grand[[#This Row],[am]]/25),(grand[[#This Row],[pm]]/50))</f>
        <v>0.98774999999999991</v>
      </c>
      <c r="AB865" s="3">
        <f>grand[[#This Row],[ carcass weight]]/grand[[#This Row],[total weight]]</f>
        <v>0.6027104306904153</v>
      </c>
      <c r="AC865" s="18">
        <f>SUM(grand[[#This Row],[am]:[meat transportation]])/100</f>
        <v>0.92025000000000001</v>
      </c>
      <c r="AJ865" s="1">
        <v>6</v>
      </c>
      <c r="AK865" s="1"/>
      <c r="AL865" s="1"/>
    </row>
    <row r="866" spans="1:38" hidden="1" x14ac:dyDescent="0.2">
      <c r="A866" s="11">
        <v>45256</v>
      </c>
      <c r="B866" s="53" t="s">
        <v>1909</v>
      </c>
      <c r="C866" s="52" t="str">
        <f>IF(MID(B866,4,2)="09","Ramadan",IF(AND(MID(B866,4,2)="12",VALUE(LEFT(B866,2))&lt;=9),"Adha Season","Normal"))</f>
        <v>Normal</v>
      </c>
      <c r="D866" s="2" t="s">
        <v>294</v>
      </c>
      <c r="E866" s="1" t="s">
        <v>483</v>
      </c>
      <c r="F866" s="4" t="s">
        <v>280</v>
      </c>
      <c r="G866" s="1">
        <v>22</v>
      </c>
      <c r="H866" s="1">
        <v>22</v>
      </c>
      <c r="I866" s="1">
        <f>grand[[#This Row],[number]]-grand[[#This Row],[received]]</f>
        <v>0</v>
      </c>
      <c r="J866" s="30"/>
      <c r="K866" s="2">
        <v>1080</v>
      </c>
      <c r="L866" s="2">
        <v>1040</v>
      </c>
      <c r="M866" s="2">
        <f>K866-L866</f>
        <v>40</v>
      </c>
      <c r="N866" s="2">
        <v>645.1</v>
      </c>
      <c r="O866" s="2">
        <v>0</v>
      </c>
      <c r="P866" s="7">
        <f>grand[[#This Row],[total weight]]/grand[[#This Row],[received]]</f>
        <v>49.090909090909093</v>
      </c>
      <c r="Q866" s="7">
        <f>grand[[#This Row],[receiving weight]]/grand[[#This Row],[received]]</f>
        <v>47.272727272727273</v>
      </c>
      <c r="R866" s="7">
        <f>grand[[#This Row],[transportation loss ]]/grand[[#This Row],[received]]</f>
        <v>1.8181818181818181</v>
      </c>
      <c r="S866" s="7">
        <f>grand[[#This Row],[ carcass weight]]/grand[[#This Row],[received]]</f>
        <v>29.322727272727274</v>
      </c>
      <c r="T866" s="7">
        <f>grand[[#This Row],[ kidneys fat quantity]]/grand[[#This Row],[received]]</f>
        <v>0</v>
      </c>
      <c r="U866" s="1">
        <v>25</v>
      </c>
      <c r="V866" s="1">
        <v>0</v>
      </c>
      <c r="W866" s="1">
        <v>49.090909090909093</v>
      </c>
      <c r="X866" s="1">
        <v>10</v>
      </c>
      <c r="Y866" s="1">
        <v>8.5</v>
      </c>
      <c r="Z866" s="18">
        <f>grand[[#This Row],[av. Transportation loss]]/grand[[#This Row],[av.total weight]]</f>
        <v>3.7037037037037035E-2</v>
      </c>
      <c r="AA866" s="12">
        <f>AVERAGE((grand[[#This Row],[am]]/25),(grand[[#This Row],[pm]]/50))</f>
        <v>0.99090909090909096</v>
      </c>
      <c r="AB866" s="3">
        <f>grand[[#This Row],[ carcass weight]]/grand[[#This Row],[total weight]]</f>
        <v>0.59731481481481485</v>
      </c>
      <c r="AC866" s="18">
        <f>SUM(grand[[#This Row],[am]:[meat transportation]])/100</f>
        <v>0.9259090909090909</v>
      </c>
      <c r="AK866" s="1"/>
      <c r="AL866" s="1"/>
    </row>
    <row r="867" spans="1:38" hidden="1" x14ac:dyDescent="0.2">
      <c r="A867" s="11">
        <v>45257</v>
      </c>
      <c r="B867" s="53" t="s">
        <v>1910</v>
      </c>
      <c r="C867" s="52" t="str">
        <f>IF(MID(B867,4,2)="09","Ramadan",IF(AND(MID(B867,4,2)="12",VALUE(LEFT(B867,2))&lt;=9),"Adha Season","Normal"))</f>
        <v>Normal</v>
      </c>
      <c r="D867" s="1" t="s">
        <v>45</v>
      </c>
      <c r="E867" s="1" t="s">
        <v>528</v>
      </c>
      <c r="F867" s="4" t="s">
        <v>462</v>
      </c>
      <c r="G867" s="1">
        <v>51</v>
      </c>
      <c r="H867" s="1">
        <v>51</v>
      </c>
      <c r="I867" s="1">
        <f>grand[[#This Row],[number]]-grand[[#This Row],[received]]</f>
        <v>0</v>
      </c>
      <c r="J867" s="30"/>
      <c r="K867" s="2">
        <v>25692</v>
      </c>
      <c r="L867" s="2">
        <v>25692</v>
      </c>
      <c r="M867" s="2">
        <f>K867-L867</f>
        <v>0</v>
      </c>
      <c r="N867" s="2">
        <v>16238.4</v>
      </c>
      <c r="O867" s="2">
        <v>0</v>
      </c>
      <c r="P867" s="7">
        <f>grand[[#This Row],[total weight]]/grand[[#This Row],[received]]</f>
        <v>503.76470588235293</v>
      </c>
      <c r="Q867" s="7">
        <f>grand[[#This Row],[receiving weight]]/grand[[#This Row],[received]]</f>
        <v>503.76470588235293</v>
      </c>
      <c r="R867" s="7">
        <f>grand[[#This Row],[transportation loss ]]/grand[[#This Row],[received]]</f>
        <v>0</v>
      </c>
      <c r="S867" s="7">
        <f>grand[[#This Row],[ carcass weight]]/grand[[#This Row],[received]]</f>
        <v>318.39999999999998</v>
      </c>
      <c r="T867" s="7">
        <f>grand[[#This Row],[ kidneys fat quantity]]/grand[[#This Row],[received]]</f>
        <v>0</v>
      </c>
      <c r="U867" s="1">
        <v>25</v>
      </c>
      <c r="V867" s="1">
        <v>4</v>
      </c>
      <c r="W867" s="1">
        <v>50</v>
      </c>
      <c r="X867" s="1">
        <v>9.8039215686274517</v>
      </c>
      <c r="Y867" s="1">
        <v>8.5</v>
      </c>
      <c r="Z867" s="18">
        <f>grand[[#This Row],[av. Transportation loss]]/grand[[#This Row],[av.total weight]]</f>
        <v>0</v>
      </c>
      <c r="AA867" s="12">
        <f>AVERAGE((grand[[#This Row],[am]]/25),(grand[[#This Row],[pm]]/50))</f>
        <v>1</v>
      </c>
      <c r="AB867" s="3">
        <f>grand[[#This Row],[ carcass weight]]/grand[[#This Row],[total weight]]</f>
        <v>0.63204110228865018</v>
      </c>
      <c r="AC867" s="18">
        <f>SUM(grand[[#This Row],[am]:[meat transportation]])/100</f>
        <v>0.97303921568627461</v>
      </c>
      <c r="AK867" s="1"/>
      <c r="AL867" s="1"/>
    </row>
    <row r="868" spans="1:38" hidden="1" x14ac:dyDescent="0.2">
      <c r="A868" s="11">
        <v>45266</v>
      </c>
      <c r="B868" s="53" t="s">
        <v>2850</v>
      </c>
      <c r="C868" s="52" t="str">
        <f>IF(MID(B868,4,2)="09","Ramadan",IF(AND(MID(B868,4,2)="12",VALUE(LEFT(B868,2))&lt;=9),"Adha Season","Normal"))</f>
        <v>Normal</v>
      </c>
      <c r="D868" s="1" t="s">
        <v>45</v>
      </c>
      <c r="E868" s="1" t="s">
        <v>528</v>
      </c>
      <c r="F868" s="4" t="s">
        <v>462</v>
      </c>
      <c r="G868" s="1">
        <v>31</v>
      </c>
      <c r="H868" s="1">
        <v>31</v>
      </c>
      <c r="I868" s="1">
        <f>grand[[#This Row],[number]]-grand[[#This Row],[received]]</f>
        <v>0</v>
      </c>
      <c r="J868" s="30"/>
      <c r="K868" s="2">
        <v>14726</v>
      </c>
      <c r="L868" s="2">
        <v>14726</v>
      </c>
      <c r="M868" s="2">
        <f>K868-L868</f>
        <v>0</v>
      </c>
      <c r="N868" s="2">
        <v>9307</v>
      </c>
      <c r="O868" s="2">
        <v>0</v>
      </c>
      <c r="P868" s="7">
        <f>grand[[#This Row],[total weight]]/grand[[#This Row],[received]]</f>
        <v>475.03225806451616</v>
      </c>
      <c r="Q868" s="7">
        <f>grand[[#This Row],[receiving weight]]/grand[[#This Row],[received]]</f>
        <v>475.03225806451616</v>
      </c>
      <c r="R868" s="7">
        <f>grand[[#This Row],[transportation loss ]]/grand[[#This Row],[received]]</f>
        <v>0</v>
      </c>
      <c r="S868" s="7">
        <f>grand[[#This Row],[ carcass weight]]/grand[[#This Row],[received]]</f>
        <v>300.22580645161293</v>
      </c>
      <c r="T868" s="7">
        <f>grand[[#This Row],[ kidneys fat quantity]]/grand[[#This Row],[received]]</f>
        <v>0</v>
      </c>
      <c r="U868" s="1">
        <v>25</v>
      </c>
      <c r="V868" s="1">
        <v>4</v>
      </c>
      <c r="W868" s="1">
        <v>50</v>
      </c>
      <c r="X868" s="1">
        <v>10</v>
      </c>
      <c r="Y868" s="1">
        <v>8.5</v>
      </c>
      <c r="Z868" s="18">
        <f>grand[[#This Row],[av. Transportation loss]]/grand[[#This Row],[av.total weight]]</f>
        <v>0</v>
      </c>
      <c r="AA868" s="12">
        <f>AVERAGE((grand[[#This Row],[am]]/25),(grand[[#This Row],[pm]]/50))</f>
        <v>1</v>
      </c>
      <c r="AB868" s="3">
        <f>grand[[#This Row],[ carcass weight]]/grand[[#This Row],[total weight]]</f>
        <v>0.63201140839331793</v>
      </c>
      <c r="AC868" s="18">
        <f>SUM(grand[[#This Row],[am]:[meat transportation]])/100</f>
        <v>0.97499999999999998</v>
      </c>
      <c r="AK868" s="1"/>
      <c r="AL868" s="1"/>
    </row>
    <row r="869" spans="1:38" hidden="1" x14ac:dyDescent="0.2">
      <c r="A869" s="11">
        <v>45267</v>
      </c>
      <c r="B869" s="53" t="s">
        <v>1913</v>
      </c>
      <c r="C869" s="52" t="str">
        <f>IF(MID(B869,4,2)="09","Ramadan",IF(AND(MID(B869,4,2)="12",VALUE(LEFT(B869,2))&lt;=9),"Adha Season","Normal"))</f>
        <v>Normal</v>
      </c>
      <c r="D869" s="1" t="s">
        <v>45</v>
      </c>
      <c r="E869" s="1" t="s">
        <v>483</v>
      </c>
      <c r="F869" s="4" t="s">
        <v>280</v>
      </c>
      <c r="G869" s="1">
        <v>34</v>
      </c>
      <c r="H869" s="1">
        <v>34</v>
      </c>
      <c r="I869" s="1">
        <f>grand[[#This Row],[number]]-grand[[#This Row],[received]]</f>
        <v>0</v>
      </c>
      <c r="J869" s="30"/>
      <c r="K869" s="2">
        <v>14951</v>
      </c>
      <c r="L869" s="2">
        <v>14441</v>
      </c>
      <c r="M869" s="2">
        <f>K869-L869</f>
        <v>510</v>
      </c>
      <c r="N869" s="2">
        <v>8970.1</v>
      </c>
      <c r="O869" s="2">
        <v>279</v>
      </c>
      <c r="P869" s="7">
        <f>grand[[#This Row],[total weight]]/grand[[#This Row],[received]]</f>
        <v>439.73529411764707</v>
      </c>
      <c r="Q869" s="7">
        <f>grand[[#This Row],[receiving weight]]/grand[[#This Row],[received]]</f>
        <v>424.73529411764707</v>
      </c>
      <c r="R869" s="7">
        <f>grand[[#This Row],[transportation loss ]]/grand[[#This Row],[received]]</f>
        <v>15</v>
      </c>
      <c r="S869" s="7">
        <f>grand[[#This Row],[ carcass weight]]/grand[[#This Row],[received]]</f>
        <v>263.82647058823528</v>
      </c>
      <c r="T869" s="7">
        <f>grand[[#This Row],[ kidneys fat quantity]]/grand[[#This Row],[received]]</f>
        <v>8.2058823529411757</v>
      </c>
      <c r="U869" s="1">
        <v>25</v>
      </c>
      <c r="V869" s="1">
        <v>0</v>
      </c>
      <c r="W869" s="1">
        <v>49.294117647058826</v>
      </c>
      <c r="X869" s="1">
        <v>10</v>
      </c>
      <c r="Y869" s="1">
        <v>8.5</v>
      </c>
      <c r="Z869" s="18">
        <f>grand[[#This Row],[av. Transportation loss]]/grand[[#This Row],[av.total weight]]</f>
        <v>3.411143067353354E-2</v>
      </c>
      <c r="AA869" s="12">
        <f>AVERAGE((grand[[#This Row],[am]]/25),(grand[[#This Row],[pm]]/50))</f>
        <v>0.99294117647058822</v>
      </c>
      <c r="AB869" s="3">
        <f>grand[[#This Row],[ carcass weight]]/grand[[#This Row],[total weight]]</f>
        <v>0.59996655742090832</v>
      </c>
      <c r="AC869" s="18">
        <f>SUM(grand[[#This Row],[am]:[meat transportation]])/100</f>
        <v>0.92794117647058827</v>
      </c>
      <c r="AJ869" s="1">
        <v>8</v>
      </c>
      <c r="AK869" s="1"/>
      <c r="AL869" s="1"/>
    </row>
    <row r="870" spans="1:38" hidden="1" x14ac:dyDescent="0.2">
      <c r="A870" s="11">
        <v>45269</v>
      </c>
      <c r="B870" s="53" t="s">
        <v>2851</v>
      </c>
      <c r="C870" s="52" t="str">
        <f>IF(MID(B870,4,2)="09","Ramadan",IF(AND(MID(B870,4,2)="12",VALUE(LEFT(B870,2))&lt;=9),"Adha Season","Normal"))</f>
        <v>Normal</v>
      </c>
      <c r="D870" s="2" t="s">
        <v>294</v>
      </c>
      <c r="F870" s="4" t="s">
        <v>334</v>
      </c>
      <c r="G870" s="1">
        <v>23</v>
      </c>
      <c r="H870" s="1">
        <v>23</v>
      </c>
      <c r="I870" s="1">
        <f>grand[[#This Row],[number]]-grand[[#This Row],[received]]</f>
        <v>0</v>
      </c>
      <c r="J870" s="30"/>
      <c r="K870" s="2">
        <v>1158</v>
      </c>
      <c r="L870" s="2">
        <v>1100</v>
      </c>
      <c r="M870" s="2">
        <f>K870-L870</f>
        <v>58</v>
      </c>
      <c r="N870" s="2">
        <v>671.9</v>
      </c>
      <c r="O870" s="2">
        <v>0</v>
      </c>
      <c r="P870" s="7">
        <f>grand[[#This Row],[total weight]]/grand[[#This Row],[received]]</f>
        <v>50.347826086956523</v>
      </c>
      <c r="Q870" s="7">
        <f>grand[[#This Row],[receiving weight]]/grand[[#This Row],[received]]</f>
        <v>47.826086956521742</v>
      </c>
      <c r="R870" s="7">
        <f>grand[[#This Row],[transportation loss ]]/grand[[#This Row],[received]]</f>
        <v>2.5217391304347827</v>
      </c>
      <c r="S870" s="7">
        <f>grand[[#This Row],[ carcass weight]]/grand[[#This Row],[received]]</f>
        <v>29.213043478260868</v>
      </c>
      <c r="T870" s="7">
        <f>grand[[#This Row],[ kidneys fat quantity]]/grand[[#This Row],[received]]</f>
        <v>0</v>
      </c>
      <c r="U870" s="1">
        <v>25</v>
      </c>
      <c r="V870" s="1">
        <v>0</v>
      </c>
      <c r="W870" s="1">
        <v>48.347826086956516</v>
      </c>
      <c r="X870" s="1">
        <v>10</v>
      </c>
      <c r="Y870" s="1">
        <v>8.5</v>
      </c>
      <c r="Z870" s="18">
        <f>grand[[#This Row],[av. Transportation loss]]/grand[[#This Row],[av.total weight]]</f>
        <v>5.0086355785837651E-2</v>
      </c>
      <c r="AA870" s="12">
        <f>AVERAGE((grand[[#This Row],[am]]/25),(grand[[#This Row],[pm]]/50))</f>
        <v>0.98347826086956514</v>
      </c>
      <c r="AB870" s="3">
        <f>grand[[#This Row],[ carcass weight]]/grand[[#This Row],[total weight]]</f>
        <v>0.5802245250431779</v>
      </c>
      <c r="AC870" s="18">
        <f>SUM(grand[[#This Row],[am]:[meat transportation]])/100</f>
        <v>0.91847826086956519</v>
      </c>
      <c r="AK870" s="1"/>
      <c r="AL870" s="1"/>
    </row>
    <row r="871" spans="1:38" hidden="1" x14ac:dyDescent="0.2">
      <c r="A871" s="11">
        <v>45269</v>
      </c>
      <c r="B871" s="53" t="s">
        <v>2851</v>
      </c>
      <c r="C871" s="52" t="str">
        <f>IF(MID(B871,4,2)="09","Ramadan",IF(AND(MID(B871,4,2)="12",VALUE(LEFT(B871,2))&lt;=9),"Adha Season","Normal"))</f>
        <v>Normal</v>
      </c>
      <c r="D871" s="1" t="s">
        <v>45</v>
      </c>
      <c r="E871" s="1" t="s">
        <v>483</v>
      </c>
      <c r="F871" s="4" t="s">
        <v>280</v>
      </c>
      <c r="G871" s="1">
        <v>42</v>
      </c>
      <c r="H871" s="1">
        <v>42</v>
      </c>
      <c r="I871" s="1">
        <f>grand[[#This Row],[number]]-grand[[#This Row],[received]]</f>
        <v>0</v>
      </c>
      <c r="J871" s="30"/>
      <c r="K871" s="2">
        <v>17282</v>
      </c>
      <c r="L871" s="2">
        <v>16660</v>
      </c>
      <c r="M871" s="2">
        <f>K871-L871</f>
        <v>622</v>
      </c>
      <c r="N871" s="2">
        <v>10398</v>
      </c>
      <c r="O871" s="2">
        <v>377</v>
      </c>
      <c r="P871" s="7">
        <f>grand[[#This Row],[total weight]]/grand[[#This Row],[received]]</f>
        <v>411.47619047619048</v>
      </c>
      <c r="Q871" s="7">
        <f>grand[[#This Row],[receiving weight]]/grand[[#This Row],[received]]</f>
        <v>396.66666666666669</v>
      </c>
      <c r="R871" s="7">
        <f>grand[[#This Row],[transportation loss ]]/grand[[#This Row],[received]]</f>
        <v>14.80952380952381</v>
      </c>
      <c r="S871" s="7">
        <f>grand[[#This Row],[ carcass weight]]/grand[[#This Row],[received]]</f>
        <v>247.57142857142858</v>
      </c>
      <c r="T871" s="7">
        <f>grand[[#This Row],[ kidneys fat quantity]]/grand[[#This Row],[received]]</f>
        <v>8.9761904761904763</v>
      </c>
      <c r="U871" s="1">
        <v>25</v>
      </c>
      <c r="V871" s="1">
        <v>0</v>
      </c>
      <c r="W871" s="1">
        <v>48.357142857142854</v>
      </c>
      <c r="X871" s="1">
        <v>9.8809523809523796</v>
      </c>
      <c r="Y871" s="1">
        <v>8.5</v>
      </c>
      <c r="Z871" s="18">
        <f>grand[[#This Row],[av. Transportation loss]]/grand[[#This Row],[av.total weight]]</f>
        <v>3.5991204721675732E-2</v>
      </c>
      <c r="AA871" s="12">
        <f>AVERAGE((grand[[#This Row],[am]]/25),(grand[[#This Row],[pm]]/50))</f>
        <v>0.98357142857142854</v>
      </c>
      <c r="AB871" s="3">
        <f>grand[[#This Row],[ carcass weight]]/grand[[#This Row],[total weight]]</f>
        <v>0.60166647378775606</v>
      </c>
      <c r="AC871" s="18">
        <f>SUM(grand[[#This Row],[am]:[meat transportation]])/100</f>
        <v>0.91738095238095241</v>
      </c>
      <c r="AJ871" s="1">
        <v>5</v>
      </c>
      <c r="AK871" s="1"/>
      <c r="AL871" s="1"/>
    </row>
    <row r="872" spans="1:38" hidden="1" x14ac:dyDescent="0.2">
      <c r="A872" s="11">
        <v>45270</v>
      </c>
      <c r="B872" s="53" t="s">
        <v>1914</v>
      </c>
      <c r="C872" s="52" t="str">
        <f>IF(MID(B872,4,2)="09","Ramadan",IF(AND(MID(B872,4,2)="12",VALUE(LEFT(B872,2))&lt;=9),"Adha Season","Normal"))</f>
        <v>Normal</v>
      </c>
      <c r="D872" s="1" t="s">
        <v>45</v>
      </c>
      <c r="E872" s="1" t="s">
        <v>483</v>
      </c>
      <c r="F872" s="4" t="s">
        <v>44</v>
      </c>
      <c r="G872" s="1">
        <v>56</v>
      </c>
      <c r="H872" s="1">
        <v>56</v>
      </c>
      <c r="I872" s="1">
        <f>grand[[#This Row],[number]]-grand[[#This Row],[received]]</f>
        <v>0</v>
      </c>
      <c r="J872" s="30"/>
      <c r="K872" s="2">
        <v>24252</v>
      </c>
      <c r="L872" s="2">
        <v>23740</v>
      </c>
      <c r="M872" s="2">
        <f>K872-L872</f>
        <v>512</v>
      </c>
      <c r="N872" s="2">
        <v>14705.7</v>
      </c>
      <c r="O872" s="2">
        <v>457</v>
      </c>
      <c r="P872" s="7">
        <f>grand[[#This Row],[total weight]]/grand[[#This Row],[received]]</f>
        <v>433.07142857142856</v>
      </c>
      <c r="Q872" s="7">
        <f>grand[[#This Row],[receiving weight]]/grand[[#This Row],[received]]</f>
        <v>423.92857142857144</v>
      </c>
      <c r="R872" s="7">
        <f>grand[[#This Row],[transportation loss ]]/grand[[#This Row],[received]]</f>
        <v>9.1428571428571423</v>
      </c>
      <c r="S872" s="7">
        <f>grand[[#This Row],[ carcass weight]]/grand[[#This Row],[received]]</f>
        <v>262.60178571428571</v>
      </c>
      <c r="T872" s="7">
        <f>grand[[#This Row],[ kidneys fat quantity]]/grand[[#This Row],[received]]</f>
        <v>8.1607142857142865</v>
      </c>
      <c r="U872" s="1">
        <v>25</v>
      </c>
      <c r="V872" s="1">
        <v>0</v>
      </c>
      <c r="W872" s="1">
        <v>49.125</v>
      </c>
      <c r="X872" s="1">
        <v>10</v>
      </c>
      <c r="Y872" s="1">
        <v>8.5</v>
      </c>
      <c r="Z872" s="18">
        <f>grand[[#This Row],[av. Transportation loss]]/grand[[#This Row],[av.total weight]]</f>
        <v>2.111166089394689E-2</v>
      </c>
      <c r="AA872" s="12">
        <f>AVERAGE((grand[[#This Row],[am]]/25),(grand[[#This Row],[pm]]/50))</f>
        <v>0.99124999999999996</v>
      </c>
      <c r="AB872" s="3">
        <f>grand[[#This Row],[ carcass weight]]/grand[[#This Row],[total weight]]</f>
        <v>0.60637060860959924</v>
      </c>
      <c r="AC872" s="18">
        <f>SUM(grand[[#This Row],[am]:[meat transportation]])/100</f>
        <v>0.92625000000000002</v>
      </c>
      <c r="AJ872" s="1">
        <v>6</v>
      </c>
      <c r="AK872" s="1"/>
      <c r="AL872" s="1"/>
    </row>
    <row r="873" spans="1:38" hidden="1" x14ac:dyDescent="0.2">
      <c r="A873" s="11">
        <v>45271</v>
      </c>
      <c r="B873" s="53" t="s">
        <v>1915</v>
      </c>
      <c r="C873" s="52" t="str">
        <f>IF(MID(B873,4,2)="09","Ramadan",IF(AND(MID(B873,4,2)="12",VALUE(LEFT(B873,2))&lt;=9),"Adha Season","Normal"))</f>
        <v>Normal</v>
      </c>
      <c r="D873" s="1" t="s">
        <v>45</v>
      </c>
      <c r="E873" s="1" t="s">
        <v>528</v>
      </c>
      <c r="F873" s="4" t="s">
        <v>462</v>
      </c>
      <c r="G873" s="1">
        <v>44</v>
      </c>
      <c r="H873" s="1">
        <v>44</v>
      </c>
      <c r="I873" s="1">
        <f>grand[[#This Row],[number]]-grand[[#This Row],[received]]</f>
        <v>0</v>
      </c>
      <c r="J873" s="30"/>
      <c r="K873" s="2">
        <v>21481</v>
      </c>
      <c r="L873" s="2">
        <v>21481</v>
      </c>
      <c r="M873" s="2">
        <f>K873-L873</f>
        <v>0</v>
      </c>
      <c r="N873" s="2">
        <v>13576.2</v>
      </c>
      <c r="O873" s="2">
        <v>0</v>
      </c>
      <c r="P873" s="7">
        <f>grand[[#This Row],[total weight]]/grand[[#This Row],[received]]</f>
        <v>488.20454545454544</v>
      </c>
      <c r="Q873" s="7">
        <f>grand[[#This Row],[receiving weight]]/grand[[#This Row],[received]]</f>
        <v>488.20454545454544</v>
      </c>
      <c r="R873" s="7">
        <f>grand[[#This Row],[transportation loss ]]/grand[[#This Row],[received]]</f>
        <v>0</v>
      </c>
      <c r="S873" s="7">
        <f>grand[[#This Row],[ carcass weight]]/grand[[#This Row],[received]]</f>
        <v>308.55</v>
      </c>
      <c r="T873" s="7">
        <f>grand[[#This Row],[ kidneys fat quantity]]/grand[[#This Row],[received]]</f>
        <v>0</v>
      </c>
      <c r="U873" s="1">
        <v>25</v>
      </c>
      <c r="V873" s="1">
        <v>4</v>
      </c>
      <c r="W873" s="1">
        <v>50</v>
      </c>
      <c r="X873" s="1">
        <v>10</v>
      </c>
      <c r="Y873" s="1">
        <v>8.5</v>
      </c>
      <c r="Z873" s="18">
        <f>grand[[#This Row],[av. Transportation loss]]/grand[[#This Row],[av.total weight]]</f>
        <v>0</v>
      </c>
      <c r="AA873" s="12">
        <f>AVERAGE((grand[[#This Row],[am]]/25),(grand[[#This Row],[pm]]/50))</f>
        <v>1</v>
      </c>
      <c r="AB873" s="3">
        <f>grand[[#This Row],[ carcass weight]]/grand[[#This Row],[total weight]]</f>
        <v>0.63200968297565296</v>
      </c>
      <c r="AC873" s="18">
        <f>SUM(grand[[#This Row],[am]:[meat transportation]])/100</f>
        <v>0.97499999999999998</v>
      </c>
      <c r="AK873" s="1"/>
      <c r="AL873" s="1"/>
    </row>
    <row r="874" spans="1:38" hidden="1" x14ac:dyDescent="0.2">
      <c r="A874" s="11">
        <v>45274</v>
      </c>
      <c r="B874" s="53" t="s">
        <v>2852</v>
      </c>
      <c r="C874" s="52" t="str">
        <f>IF(MID(B874,4,2)="09","Ramadan",IF(AND(MID(B874,4,2)="12",VALUE(LEFT(B874,2))&lt;=9),"Adha Season","Normal"))</f>
        <v>Normal</v>
      </c>
      <c r="D874" s="1" t="s">
        <v>45</v>
      </c>
      <c r="E874" s="1" t="s">
        <v>483</v>
      </c>
      <c r="F874" s="4" t="s">
        <v>39</v>
      </c>
      <c r="G874" s="1">
        <v>66</v>
      </c>
      <c r="H874" s="1">
        <v>66</v>
      </c>
      <c r="I874" s="1">
        <f>grand[[#This Row],[number]]-grand[[#This Row],[received]]</f>
        <v>0</v>
      </c>
      <c r="J874" s="30"/>
      <c r="K874" s="2">
        <v>29908</v>
      </c>
      <c r="L874" s="2">
        <v>28558</v>
      </c>
      <c r="M874" s="2">
        <f>K874-L874</f>
        <v>1350</v>
      </c>
      <c r="N874" s="2">
        <v>18117.099999999999</v>
      </c>
      <c r="O874" s="2">
        <v>586</v>
      </c>
      <c r="P874" s="7">
        <f>grand[[#This Row],[total weight]]/grand[[#This Row],[received]]</f>
        <v>453.15151515151513</v>
      </c>
      <c r="Q874" s="7">
        <f>grand[[#This Row],[receiving weight]]/grand[[#This Row],[received]]</f>
        <v>432.69696969696969</v>
      </c>
      <c r="R874" s="7">
        <f>grand[[#This Row],[transportation loss ]]/grand[[#This Row],[received]]</f>
        <v>20.454545454545453</v>
      </c>
      <c r="S874" s="7">
        <f>grand[[#This Row],[ carcass weight]]/grand[[#This Row],[received]]</f>
        <v>274.50151515151515</v>
      </c>
      <c r="T874" s="7">
        <f>grand[[#This Row],[ kidneys fat quantity]]/grand[[#This Row],[received]]</f>
        <v>8.8787878787878789</v>
      </c>
      <c r="U874" s="1">
        <v>25</v>
      </c>
      <c r="V874" s="1">
        <v>0</v>
      </c>
      <c r="W874" s="1">
        <v>49.484848484848484</v>
      </c>
      <c r="X874" s="1">
        <v>10</v>
      </c>
      <c r="Y874" s="1">
        <v>8.5</v>
      </c>
      <c r="Z874" s="18">
        <f>grand[[#This Row],[av. Transportation loss]]/grand[[#This Row],[av.total weight]]</f>
        <v>4.5138424501805538E-2</v>
      </c>
      <c r="AA874" s="12">
        <f>AVERAGE((grand[[#This Row],[am]]/25),(grand[[#This Row],[pm]]/50))</f>
        <v>0.99484848484848487</v>
      </c>
      <c r="AB874" s="3">
        <f>grand[[#This Row],[ carcass weight]]/grand[[#This Row],[total weight]]</f>
        <v>0.60576100040123038</v>
      </c>
      <c r="AC874" s="18">
        <f>SUM(grand[[#This Row],[am]:[meat transportation]])/100</f>
        <v>0.92984848484848481</v>
      </c>
      <c r="AJ874" s="1">
        <v>33</v>
      </c>
      <c r="AK874" s="1"/>
      <c r="AL874" s="1"/>
    </row>
    <row r="875" spans="1:38" hidden="1" x14ac:dyDescent="0.2">
      <c r="A875" s="11">
        <v>45276</v>
      </c>
      <c r="B875" s="53" t="s">
        <v>2853</v>
      </c>
      <c r="C875" s="52" t="str">
        <f>IF(MID(B875,4,2)="09","Ramadan",IF(AND(MID(B875,4,2)="12",VALUE(LEFT(B875,2))&lt;=9),"Adha Season","Normal"))</f>
        <v>Normal</v>
      </c>
      <c r="D875" s="2" t="s">
        <v>294</v>
      </c>
      <c r="E875" s="1" t="s">
        <v>483</v>
      </c>
      <c r="F875" s="4" t="s">
        <v>280</v>
      </c>
      <c r="G875" s="1">
        <v>22</v>
      </c>
      <c r="H875" s="1">
        <v>22</v>
      </c>
      <c r="I875" s="1">
        <f>grand[[#This Row],[number]]-grand[[#This Row],[received]]</f>
        <v>0</v>
      </c>
      <c r="J875" s="30"/>
      <c r="K875" s="2">
        <v>1090</v>
      </c>
      <c r="L875" s="2">
        <v>1050</v>
      </c>
      <c r="M875" s="2">
        <f>K875-L875</f>
        <v>40</v>
      </c>
      <c r="N875" s="2">
        <v>658.1</v>
      </c>
      <c r="O875" s="2">
        <v>0</v>
      </c>
      <c r="P875" s="7">
        <f>grand[[#This Row],[total weight]]/grand[[#This Row],[received]]</f>
        <v>49.545454545454547</v>
      </c>
      <c r="Q875" s="7">
        <f>grand[[#This Row],[receiving weight]]/grand[[#This Row],[received]]</f>
        <v>47.727272727272727</v>
      </c>
      <c r="R875" s="7">
        <f>grand[[#This Row],[transportation loss ]]/grand[[#This Row],[received]]</f>
        <v>1.8181818181818181</v>
      </c>
      <c r="S875" s="7">
        <f>grand[[#This Row],[ carcass weight]]/grand[[#This Row],[received]]</f>
        <v>29.913636363636364</v>
      </c>
      <c r="T875" s="7">
        <f>grand[[#This Row],[ kidneys fat quantity]]/grand[[#This Row],[received]]</f>
        <v>0</v>
      </c>
      <c r="U875" s="1">
        <v>25</v>
      </c>
      <c r="V875" s="1">
        <v>0</v>
      </c>
      <c r="W875" s="1">
        <v>48.81818181818182</v>
      </c>
      <c r="X875" s="1">
        <v>10</v>
      </c>
      <c r="Y875" s="1">
        <v>8.5</v>
      </c>
      <c r="Z875" s="18">
        <f>grand[[#This Row],[av. Transportation loss]]/grand[[#This Row],[av.total weight]]</f>
        <v>3.6697247706422013E-2</v>
      </c>
      <c r="AA875" s="12">
        <f>AVERAGE((grand[[#This Row],[am]]/25),(grand[[#This Row],[pm]]/50))</f>
        <v>0.98818181818181827</v>
      </c>
      <c r="AB875" s="3">
        <f>grand[[#This Row],[ carcass weight]]/grand[[#This Row],[total weight]]</f>
        <v>0.60376146788990825</v>
      </c>
      <c r="AC875" s="18">
        <f>SUM(grand[[#This Row],[am]:[meat transportation]])/100</f>
        <v>0.9231818181818181</v>
      </c>
      <c r="AK875" s="1"/>
      <c r="AL875" s="1"/>
    </row>
    <row r="876" spans="1:38" hidden="1" x14ac:dyDescent="0.2">
      <c r="A876" s="11">
        <v>45276</v>
      </c>
      <c r="B876" s="53" t="s">
        <v>2853</v>
      </c>
      <c r="C876" s="52" t="str">
        <f>IF(MID(B876,4,2)="09","Ramadan",IF(AND(MID(B876,4,2)="12",VALUE(LEFT(B876,2))&lt;=9),"Adha Season","Normal"))</f>
        <v>Normal</v>
      </c>
      <c r="D876" s="1" t="s">
        <v>45</v>
      </c>
      <c r="E876" s="1" t="s">
        <v>483</v>
      </c>
      <c r="F876" s="4" t="s">
        <v>576</v>
      </c>
      <c r="G876" s="1">
        <v>30</v>
      </c>
      <c r="H876" s="1">
        <v>30</v>
      </c>
      <c r="I876" s="1">
        <f>grand[[#This Row],[number]]-grand[[#This Row],[received]]</f>
        <v>0</v>
      </c>
      <c r="J876" s="30"/>
      <c r="K876" s="2">
        <v>15378</v>
      </c>
      <c r="L876" s="2">
        <v>15085</v>
      </c>
      <c r="M876" s="2">
        <f>K876-L876</f>
        <v>293</v>
      </c>
      <c r="N876" s="2">
        <v>9515.6</v>
      </c>
      <c r="O876" s="2">
        <v>292</v>
      </c>
      <c r="P876" s="7">
        <f>grand[[#This Row],[total weight]]/grand[[#This Row],[received]]</f>
        <v>512.6</v>
      </c>
      <c r="Q876" s="7">
        <f>grand[[#This Row],[receiving weight]]/grand[[#This Row],[received]]</f>
        <v>502.83333333333331</v>
      </c>
      <c r="R876" s="7">
        <f>grand[[#This Row],[transportation loss ]]/grand[[#This Row],[received]]</f>
        <v>9.7666666666666675</v>
      </c>
      <c r="S876" s="7">
        <f>grand[[#This Row],[ carcass weight]]/grand[[#This Row],[received]]</f>
        <v>317.18666666666667</v>
      </c>
      <c r="T876" s="7">
        <f>grand[[#This Row],[ kidneys fat quantity]]/grand[[#This Row],[received]]</f>
        <v>9.7333333333333325</v>
      </c>
      <c r="U876" s="1">
        <v>25</v>
      </c>
      <c r="V876" s="1">
        <v>0</v>
      </c>
      <c r="W876" s="1">
        <v>44.766666666666673</v>
      </c>
      <c r="X876" s="1">
        <v>9.8333333333333321</v>
      </c>
      <c r="Y876" s="1">
        <v>8.5</v>
      </c>
      <c r="Z876" s="18">
        <f>grand[[#This Row],[av. Transportation loss]]/grand[[#This Row],[av.total weight]]</f>
        <v>1.9053192872935363E-2</v>
      </c>
      <c r="AA876" s="12">
        <f>AVERAGE((grand[[#This Row],[am]]/25),(grand[[#This Row],[pm]]/50))</f>
        <v>0.94766666666666666</v>
      </c>
      <c r="AB876" s="3">
        <f>grand[[#This Row],[ carcass weight]]/grand[[#This Row],[total weight]]</f>
        <v>0.61878007543243596</v>
      </c>
      <c r="AC876" s="18">
        <f>SUM(grand[[#This Row],[am]:[meat transportation]])/100</f>
        <v>0.88100000000000012</v>
      </c>
      <c r="AJ876" s="1">
        <v>13</v>
      </c>
      <c r="AK876" s="1"/>
      <c r="AL876" s="1"/>
    </row>
    <row r="877" spans="1:38" hidden="1" x14ac:dyDescent="0.2">
      <c r="A877" s="11">
        <v>45278</v>
      </c>
      <c r="B877" s="53" t="s">
        <v>1917</v>
      </c>
      <c r="C877" s="52" t="str">
        <f>IF(MID(B877,4,2)="09","Ramadan",IF(AND(MID(B877,4,2)="12",VALUE(LEFT(B877,2))&lt;=9),"Adha Season","Normal"))</f>
        <v>Normal</v>
      </c>
      <c r="D877" s="1" t="s">
        <v>45</v>
      </c>
      <c r="E877" s="1" t="s">
        <v>528</v>
      </c>
      <c r="F877" s="4" t="s">
        <v>462</v>
      </c>
      <c r="G877" s="1">
        <v>47</v>
      </c>
      <c r="H877" s="1">
        <v>47</v>
      </c>
      <c r="I877" s="1">
        <f>grand[[#This Row],[number]]-grand[[#This Row],[received]]</f>
        <v>0</v>
      </c>
      <c r="J877" s="30"/>
      <c r="K877" s="2">
        <v>23198</v>
      </c>
      <c r="L877" s="2">
        <v>23198</v>
      </c>
      <c r="M877" s="2">
        <f>K877-L877</f>
        <v>0</v>
      </c>
      <c r="N877" s="2">
        <v>14661.4</v>
      </c>
      <c r="O877" s="2">
        <v>0</v>
      </c>
      <c r="P877" s="7">
        <f>grand[[#This Row],[total weight]]/grand[[#This Row],[received]]</f>
        <v>493.57446808510639</v>
      </c>
      <c r="Q877" s="7">
        <f>grand[[#This Row],[receiving weight]]/grand[[#This Row],[received]]</f>
        <v>493.57446808510639</v>
      </c>
      <c r="R877" s="7">
        <f>grand[[#This Row],[transportation loss ]]/grand[[#This Row],[received]]</f>
        <v>0</v>
      </c>
      <c r="S877" s="7">
        <f>grand[[#This Row],[ carcass weight]]/grand[[#This Row],[received]]</f>
        <v>311.94468085106382</v>
      </c>
      <c r="T877" s="7">
        <f>grand[[#This Row],[ kidneys fat quantity]]/grand[[#This Row],[received]]</f>
        <v>0</v>
      </c>
      <c r="U877" s="1">
        <v>25</v>
      </c>
      <c r="V877" s="1">
        <v>4</v>
      </c>
      <c r="W877" s="1">
        <v>50</v>
      </c>
      <c r="X877" s="1">
        <v>10</v>
      </c>
      <c r="Y877" s="1">
        <v>8.5</v>
      </c>
      <c r="Z877" s="18">
        <f>grand[[#This Row],[av. Transportation loss]]/grand[[#This Row],[av.total weight]]</f>
        <v>0</v>
      </c>
      <c r="AA877" s="12">
        <f>AVERAGE((grand[[#This Row],[am]]/25),(grand[[#This Row],[pm]]/50))</f>
        <v>1</v>
      </c>
      <c r="AB877" s="3">
        <f>grand[[#This Row],[ carcass weight]]/grand[[#This Row],[total weight]]</f>
        <v>0.63201138029140447</v>
      </c>
      <c r="AC877" s="18">
        <f>SUM(grand[[#This Row],[am]:[meat transportation]])/100</f>
        <v>0.97499999999999998</v>
      </c>
      <c r="AK877" s="1"/>
      <c r="AL877" s="1"/>
    </row>
    <row r="878" spans="1:38" hidden="1" x14ac:dyDescent="0.2">
      <c r="A878" s="11">
        <v>45280</v>
      </c>
      <c r="B878" s="53" t="s">
        <v>2854</v>
      </c>
      <c r="C878" s="52" t="str">
        <f>IF(MID(B878,4,2)="09","Ramadan",IF(AND(MID(B878,4,2)="12",VALUE(LEFT(B878,2))&lt;=9),"Adha Season","Normal"))</f>
        <v>Normal</v>
      </c>
      <c r="D878" s="1" t="s">
        <v>45</v>
      </c>
      <c r="E878" s="1" t="s">
        <v>528</v>
      </c>
      <c r="F878" s="4" t="s">
        <v>462</v>
      </c>
      <c r="G878" s="1">
        <v>26</v>
      </c>
      <c r="H878" s="1">
        <v>26</v>
      </c>
      <c r="I878" s="1">
        <f>grand[[#This Row],[number]]-grand[[#This Row],[received]]</f>
        <v>0</v>
      </c>
      <c r="J878" s="30"/>
      <c r="K878" s="2">
        <v>12875</v>
      </c>
      <c r="L878" s="2">
        <v>12875</v>
      </c>
      <c r="M878" s="2">
        <f>K878-L878</f>
        <v>0</v>
      </c>
      <c r="N878" s="2">
        <v>8137.4</v>
      </c>
      <c r="O878" s="2">
        <v>0</v>
      </c>
      <c r="P878" s="7">
        <f>grand[[#This Row],[total weight]]/grand[[#This Row],[received]]</f>
        <v>495.19230769230768</v>
      </c>
      <c r="Q878" s="7">
        <f>grand[[#This Row],[receiving weight]]/grand[[#This Row],[received]]</f>
        <v>495.19230769230768</v>
      </c>
      <c r="R878" s="7">
        <f>grand[[#This Row],[transportation loss ]]/grand[[#This Row],[received]]</f>
        <v>0</v>
      </c>
      <c r="S878" s="7">
        <f>grand[[#This Row],[ carcass weight]]/grand[[#This Row],[received]]</f>
        <v>312.97692307692307</v>
      </c>
      <c r="T878" s="7">
        <f>grand[[#This Row],[ kidneys fat quantity]]/grand[[#This Row],[received]]</f>
        <v>0</v>
      </c>
      <c r="U878" s="1">
        <v>25</v>
      </c>
      <c r="V878" s="1">
        <v>4</v>
      </c>
      <c r="W878" s="1">
        <v>50</v>
      </c>
      <c r="X878" s="1">
        <v>9.8076923076923066</v>
      </c>
      <c r="Y878" s="1">
        <v>8.5</v>
      </c>
      <c r="Z878" s="18">
        <f>grand[[#This Row],[av. Transportation loss]]/grand[[#This Row],[av.total weight]]</f>
        <v>0</v>
      </c>
      <c r="AA878" s="12">
        <f>AVERAGE((grand[[#This Row],[am]]/25),(grand[[#This Row],[pm]]/50))</f>
        <v>1</v>
      </c>
      <c r="AB878" s="3">
        <f>grand[[#This Row],[ carcass weight]]/grand[[#This Row],[total weight]]</f>
        <v>0.63203106796116504</v>
      </c>
      <c r="AC878" s="18">
        <f>SUM(grand[[#This Row],[am]:[meat transportation]])/100</f>
        <v>0.97307692307692306</v>
      </c>
      <c r="AK878" s="1"/>
      <c r="AL878" s="1"/>
    </row>
    <row r="879" spans="1:38" hidden="1" x14ac:dyDescent="0.2">
      <c r="A879" s="11">
        <v>45283</v>
      </c>
      <c r="B879" s="53" t="s">
        <v>2855</v>
      </c>
      <c r="C879" s="52" t="str">
        <f>IF(MID(B879,4,2)="09","Ramadan",IF(AND(MID(B879,4,2)="12",VALUE(LEFT(B879,2))&lt;=9),"Adha Season","Normal"))</f>
        <v>Normal</v>
      </c>
      <c r="D879" s="1" t="s">
        <v>45</v>
      </c>
      <c r="E879" s="1" t="s">
        <v>483</v>
      </c>
      <c r="F879" s="4" t="s">
        <v>280</v>
      </c>
      <c r="G879" s="1">
        <v>35</v>
      </c>
      <c r="H879" s="1">
        <v>35</v>
      </c>
      <c r="I879" s="1">
        <f>grand[[#This Row],[number]]-grand[[#This Row],[received]]</f>
        <v>0</v>
      </c>
      <c r="J879" s="30"/>
      <c r="K879" s="2">
        <v>16079</v>
      </c>
      <c r="L879" s="2">
        <v>15475</v>
      </c>
      <c r="M879" s="2">
        <f>K879-L879</f>
        <v>604</v>
      </c>
      <c r="N879" s="2">
        <v>9729.9</v>
      </c>
      <c r="O879" s="2">
        <v>328</v>
      </c>
      <c r="P879" s="7">
        <f>grand[[#This Row],[total weight]]/grand[[#This Row],[received]]</f>
        <v>459.4</v>
      </c>
      <c r="Q879" s="7">
        <f>grand[[#This Row],[receiving weight]]/grand[[#This Row],[received]]</f>
        <v>442.14285714285717</v>
      </c>
      <c r="R879" s="7">
        <f>grand[[#This Row],[transportation loss ]]/grand[[#This Row],[received]]</f>
        <v>17.257142857142856</v>
      </c>
      <c r="S879" s="7">
        <f>grand[[#This Row],[ carcass weight]]/grand[[#This Row],[received]]</f>
        <v>277.99714285714282</v>
      </c>
      <c r="T879" s="7">
        <f>grand[[#This Row],[ kidneys fat quantity]]/grand[[#This Row],[received]]</f>
        <v>9.3714285714285719</v>
      </c>
      <c r="U879" s="1">
        <v>25</v>
      </c>
      <c r="V879" s="1">
        <v>0</v>
      </c>
      <c r="W879" s="1">
        <v>48.4</v>
      </c>
      <c r="X879" s="1">
        <v>10</v>
      </c>
      <c r="Y879" s="1">
        <v>8.5</v>
      </c>
      <c r="Z879" s="18">
        <f>grand[[#This Row],[av. Transportation loss]]/grand[[#This Row],[av.total weight]]</f>
        <v>3.7564525157037128E-2</v>
      </c>
      <c r="AA879" s="12">
        <f>AVERAGE((grand[[#This Row],[am]]/25),(grand[[#This Row],[pm]]/50))</f>
        <v>0.98399999999999999</v>
      </c>
      <c r="AB879" s="3">
        <f>grand[[#This Row],[ carcass weight]]/grand[[#This Row],[total weight]]</f>
        <v>0.60513091610174763</v>
      </c>
      <c r="AC879" s="18">
        <f>SUM(grand[[#This Row],[am]:[meat transportation]])/100</f>
        <v>0.91900000000000004</v>
      </c>
      <c r="AJ879" s="1">
        <v>11</v>
      </c>
      <c r="AK879" s="1"/>
      <c r="AL879" s="1"/>
    </row>
    <row r="880" spans="1:38" hidden="1" x14ac:dyDescent="0.2">
      <c r="A880" s="11">
        <v>45284</v>
      </c>
      <c r="B880" s="53" t="s">
        <v>1919</v>
      </c>
      <c r="C880" s="52" t="str">
        <f>IF(MID(B880,4,2)="09","Ramadan",IF(AND(MID(B880,4,2)="12",VALUE(LEFT(B880,2))&lt;=9),"Adha Season","Normal"))</f>
        <v>Normal</v>
      </c>
      <c r="D880" s="1" t="s">
        <v>45</v>
      </c>
      <c r="E880" s="1" t="s">
        <v>483</v>
      </c>
      <c r="F880" s="4" t="s">
        <v>576</v>
      </c>
      <c r="G880" s="1">
        <v>60</v>
      </c>
      <c r="H880" s="1">
        <v>60</v>
      </c>
      <c r="I880" s="1">
        <f>grand[[#This Row],[number]]-grand[[#This Row],[received]]</f>
        <v>0</v>
      </c>
      <c r="J880" s="30"/>
      <c r="K880" s="2">
        <v>30181</v>
      </c>
      <c r="L880" s="2">
        <v>30181</v>
      </c>
      <c r="M880" s="2">
        <f>K880-L880</f>
        <v>0</v>
      </c>
      <c r="N880" s="2">
        <v>18372.8</v>
      </c>
      <c r="O880" s="2">
        <v>454</v>
      </c>
      <c r="P880" s="7">
        <f>grand[[#This Row],[total weight]]/grand[[#This Row],[received]]</f>
        <v>503.01666666666665</v>
      </c>
      <c r="Q880" s="7">
        <f>grand[[#This Row],[receiving weight]]/grand[[#This Row],[received]]</f>
        <v>503.01666666666665</v>
      </c>
      <c r="R880" s="7">
        <f>grand[[#This Row],[transportation loss ]]/grand[[#This Row],[received]]</f>
        <v>0</v>
      </c>
      <c r="S880" s="7">
        <f>grand[[#This Row],[ carcass weight]]/grand[[#This Row],[received]]</f>
        <v>306.21333333333331</v>
      </c>
      <c r="T880" s="7">
        <f>grand[[#This Row],[ kidneys fat quantity]]/grand[[#This Row],[received]]</f>
        <v>7.5666666666666664</v>
      </c>
      <c r="U880" s="1">
        <v>25</v>
      </c>
      <c r="V880" s="1">
        <v>0</v>
      </c>
      <c r="W880" s="1">
        <v>48.766666666666666</v>
      </c>
      <c r="X880" s="1">
        <v>10</v>
      </c>
      <c r="Y880" s="1">
        <v>8.5</v>
      </c>
      <c r="Z880" s="18">
        <f>grand[[#This Row],[av. Transportation loss]]/grand[[#This Row],[av.total weight]]</f>
        <v>0</v>
      </c>
      <c r="AA880" s="12">
        <f>AVERAGE((grand[[#This Row],[am]]/25),(grand[[#This Row],[pm]]/50))</f>
        <v>0.98766666666666669</v>
      </c>
      <c r="AB880" s="3">
        <f>grand[[#This Row],[ carcass weight]]/grand[[#This Row],[total weight]]</f>
        <v>0.60875385176104169</v>
      </c>
      <c r="AC880" s="18">
        <f>SUM(grand[[#This Row],[am]:[meat transportation]])/100</f>
        <v>0.92266666666666663</v>
      </c>
      <c r="AJ880" s="1">
        <v>43</v>
      </c>
      <c r="AK880" s="1"/>
      <c r="AL880" s="1"/>
    </row>
    <row r="881" spans="1:38" hidden="1" x14ac:dyDescent="0.2">
      <c r="A881" s="11">
        <v>45285</v>
      </c>
      <c r="B881" s="53" t="s">
        <v>1920</v>
      </c>
      <c r="C881" s="52" t="str">
        <f>IF(MID(B881,4,2)="09","Ramadan",IF(AND(MID(B881,4,2)="12",VALUE(LEFT(B881,2))&lt;=9),"Adha Season","Normal"))</f>
        <v>Normal</v>
      </c>
      <c r="D881" s="1" t="s">
        <v>45</v>
      </c>
      <c r="E881" s="1" t="s">
        <v>528</v>
      </c>
      <c r="F881" s="4" t="s">
        <v>462</v>
      </c>
      <c r="G881" s="1">
        <v>36</v>
      </c>
      <c r="H881" s="1">
        <v>36</v>
      </c>
      <c r="I881" s="1">
        <f>grand[[#This Row],[number]]-grand[[#This Row],[received]]</f>
        <v>0</v>
      </c>
      <c r="J881" s="30"/>
      <c r="K881" s="2">
        <v>17791</v>
      </c>
      <c r="L881" s="2">
        <v>17791</v>
      </c>
      <c r="M881" s="2">
        <f>K881-L881</f>
        <v>0</v>
      </c>
      <c r="N881" s="2">
        <v>11244.4</v>
      </c>
      <c r="O881" s="2"/>
      <c r="P881" s="7">
        <f>grand[[#This Row],[total weight]]/grand[[#This Row],[received]]</f>
        <v>494.19444444444446</v>
      </c>
      <c r="Q881" s="7">
        <f>grand[[#This Row],[receiving weight]]/grand[[#This Row],[received]]</f>
        <v>494.19444444444446</v>
      </c>
      <c r="R881" s="7">
        <f>grand[[#This Row],[transportation loss ]]/grand[[#This Row],[received]]</f>
        <v>0</v>
      </c>
      <c r="S881" s="7">
        <f>grand[[#This Row],[ carcass weight]]/grand[[#This Row],[received]]</f>
        <v>312.34444444444443</v>
      </c>
      <c r="T881" s="7">
        <f>grand[[#This Row],[ kidneys fat quantity]]/grand[[#This Row],[received]]</f>
        <v>0</v>
      </c>
      <c r="U881" s="1">
        <v>25</v>
      </c>
      <c r="V881" s="1">
        <v>4</v>
      </c>
      <c r="W881" s="1">
        <v>50</v>
      </c>
      <c r="X881" s="1">
        <v>9.8611111111111107</v>
      </c>
      <c r="Y881" s="1">
        <v>8.5</v>
      </c>
      <c r="Z881" s="18">
        <f>grand[[#This Row],[av. Transportation loss]]/grand[[#This Row],[av.total weight]]</f>
        <v>0</v>
      </c>
      <c r="AA881" s="12">
        <f>AVERAGE((grand[[#This Row],[am]]/25),(grand[[#This Row],[pm]]/50))</f>
        <v>1</v>
      </c>
      <c r="AB881" s="3">
        <f>grand[[#This Row],[ carcass weight]]/grand[[#This Row],[total weight]]</f>
        <v>0.63202742959923552</v>
      </c>
      <c r="AC881" s="18">
        <f>SUM(grand[[#This Row],[am]:[meat transportation]])/100</f>
        <v>0.97361111111111109</v>
      </c>
      <c r="AK881" s="1"/>
      <c r="AL881" s="1"/>
    </row>
    <row r="882" spans="1:38" hidden="1" x14ac:dyDescent="0.2">
      <c r="A882" s="11">
        <v>45287</v>
      </c>
      <c r="B882" s="53" t="s">
        <v>2856</v>
      </c>
      <c r="C882" s="52" t="str">
        <f>IF(MID(B882,4,2)="09","Ramadan",IF(AND(MID(B882,4,2)="12",VALUE(LEFT(B882,2))&lt;=9),"Adha Season","Normal"))</f>
        <v>Normal</v>
      </c>
      <c r="D882" s="1" t="s">
        <v>45</v>
      </c>
      <c r="E882" s="1" t="s">
        <v>528</v>
      </c>
      <c r="F882" s="4" t="s">
        <v>462</v>
      </c>
      <c r="G882" s="1">
        <v>31</v>
      </c>
      <c r="H882" s="1">
        <v>31</v>
      </c>
      <c r="I882" s="1">
        <f>grand[[#This Row],[number]]-grand[[#This Row],[received]]</f>
        <v>0</v>
      </c>
      <c r="J882" s="30"/>
      <c r="K882" s="2">
        <v>14787</v>
      </c>
      <c r="L882" s="2">
        <v>14787</v>
      </c>
      <c r="M882" s="2">
        <f>K882-L882</f>
        <v>0</v>
      </c>
      <c r="N882" s="2">
        <v>9346</v>
      </c>
      <c r="O882" s="2">
        <v>0</v>
      </c>
      <c r="P882" s="7">
        <f>grand[[#This Row],[total weight]]/grand[[#This Row],[received]]</f>
        <v>477</v>
      </c>
      <c r="Q882" s="7">
        <f>grand[[#This Row],[receiving weight]]/grand[[#This Row],[received]]</f>
        <v>477</v>
      </c>
      <c r="R882" s="7">
        <f>grand[[#This Row],[transportation loss ]]/grand[[#This Row],[received]]</f>
        <v>0</v>
      </c>
      <c r="S882" s="7">
        <f>grand[[#This Row],[ carcass weight]]/grand[[#This Row],[received]]</f>
        <v>301.48387096774195</v>
      </c>
      <c r="T882" s="7">
        <f>grand[[#This Row],[ kidneys fat quantity]]/grand[[#This Row],[received]]</f>
        <v>0</v>
      </c>
      <c r="U882" s="1">
        <v>25</v>
      </c>
      <c r="V882" s="1">
        <v>4</v>
      </c>
      <c r="W882" s="1">
        <v>50</v>
      </c>
      <c r="X882" s="1">
        <v>10</v>
      </c>
      <c r="Y882" s="1">
        <v>8.5</v>
      </c>
      <c r="Z882" s="18">
        <f>grand[[#This Row],[av. Transportation loss]]/grand[[#This Row],[av.total weight]]</f>
        <v>0</v>
      </c>
      <c r="AA882" s="12">
        <f>AVERAGE((grand[[#This Row],[am]]/25),(grand[[#This Row],[pm]]/50))</f>
        <v>1</v>
      </c>
      <c r="AB882" s="3">
        <f>grand[[#This Row],[ carcass weight]]/grand[[#This Row],[total weight]]</f>
        <v>0.6320416582132955</v>
      </c>
      <c r="AC882" s="18">
        <f>SUM(grand[[#This Row],[am]:[meat transportation]])/100</f>
        <v>0.97499999999999998</v>
      </c>
      <c r="AK882" s="1"/>
      <c r="AL882" s="1"/>
    </row>
    <row r="883" spans="1:38" hidden="1" x14ac:dyDescent="0.2">
      <c r="A883" s="11">
        <v>45288</v>
      </c>
      <c r="B883" s="53" t="s">
        <v>1921</v>
      </c>
      <c r="C883" s="52" t="str">
        <f>IF(MID(B883,4,2)="09","Ramadan",IF(AND(MID(B883,4,2)="12",VALUE(LEFT(B883,2))&lt;=9),"Adha Season","Normal"))</f>
        <v>Normal</v>
      </c>
      <c r="D883" s="1" t="s">
        <v>45</v>
      </c>
      <c r="E883" s="1" t="s">
        <v>483</v>
      </c>
      <c r="F883" s="4" t="s">
        <v>39</v>
      </c>
      <c r="G883" s="1">
        <v>25</v>
      </c>
      <c r="H883" s="1">
        <v>25</v>
      </c>
      <c r="I883" s="1">
        <f>grand[[#This Row],[number]]-grand[[#This Row],[received]]</f>
        <v>0</v>
      </c>
      <c r="J883" s="30"/>
      <c r="K883" s="2">
        <v>11388</v>
      </c>
      <c r="L883" s="2">
        <v>10900</v>
      </c>
      <c r="M883" s="2">
        <f>K883-L883</f>
        <v>488</v>
      </c>
      <c r="N883" s="2">
        <v>7066.5</v>
      </c>
      <c r="O883" s="2">
        <v>249</v>
      </c>
      <c r="P883" s="7">
        <f>grand[[#This Row],[total weight]]/grand[[#This Row],[received]]</f>
        <v>455.52</v>
      </c>
      <c r="Q883" s="7">
        <f>grand[[#This Row],[receiving weight]]/grand[[#This Row],[received]]</f>
        <v>436</v>
      </c>
      <c r="R883" s="7">
        <f>grand[[#This Row],[transportation loss ]]/grand[[#This Row],[received]]</f>
        <v>19.52</v>
      </c>
      <c r="S883" s="7">
        <f>grand[[#This Row],[ carcass weight]]/grand[[#This Row],[received]]</f>
        <v>282.66000000000003</v>
      </c>
      <c r="T883" s="7">
        <f>grand[[#This Row],[ kidneys fat quantity]]/grand[[#This Row],[received]]</f>
        <v>9.9600000000000009</v>
      </c>
      <c r="U883" s="1">
        <v>25</v>
      </c>
      <c r="V883" s="1">
        <v>0</v>
      </c>
      <c r="W883" s="1">
        <v>48.96</v>
      </c>
      <c r="X883" s="1">
        <v>10</v>
      </c>
      <c r="Y883" s="1">
        <v>8.5</v>
      </c>
      <c r="Z883" s="18">
        <f>grand[[#This Row],[av. Transportation loss]]/grand[[#This Row],[av.total weight]]</f>
        <v>4.285212504390587E-2</v>
      </c>
      <c r="AA883" s="12">
        <f>AVERAGE((grand[[#This Row],[am]]/25),(grand[[#This Row],[pm]]/50))</f>
        <v>0.98960000000000004</v>
      </c>
      <c r="AB883" s="3">
        <f>grand[[#This Row],[ carcass weight]]/grand[[#This Row],[total weight]]</f>
        <v>0.62052160168598525</v>
      </c>
      <c r="AC883" s="18">
        <f>SUM(grand[[#This Row],[am]:[meat transportation]])/100</f>
        <v>0.92460000000000009</v>
      </c>
      <c r="AK883" s="1"/>
      <c r="AL883" s="1"/>
    </row>
    <row r="884" spans="1:38" hidden="1" x14ac:dyDescent="0.2">
      <c r="A884" s="11">
        <v>45290</v>
      </c>
      <c r="B884" s="53" t="s">
        <v>2857</v>
      </c>
      <c r="C884" s="52" t="str">
        <f>IF(MID(B884,4,2)="09","Ramadan",IF(AND(MID(B884,4,2)="12",VALUE(LEFT(B884,2))&lt;=9),"Adha Season","Normal"))</f>
        <v>Normal</v>
      </c>
      <c r="D884" s="1" t="s">
        <v>45</v>
      </c>
      <c r="E884" s="1" t="s">
        <v>483</v>
      </c>
      <c r="F884" s="4" t="s">
        <v>39</v>
      </c>
      <c r="G884" s="1">
        <v>38</v>
      </c>
      <c r="H884" s="1">
        <v>38</v>
      </c>
      <c r="I884" s="1">
        <f>grand[[#This Row],[number]]-grand[[#This Row],[received]]</f>
        <v>0</v>
      </c>
      <c r="J884" s="30"/>
      <c r="K884" s="2">
        <v>17193</v>
      </c>
      <c r="L884" s="2">
        <v>16506</v>
      </c>
      <c r="M884" s="2">
        <f>K884-L884</f>
        <v>687</v>
      </c>
      <c r="N884" s="2">
        <v>10569.6</v>
      </c>
      <c r="O884" s="2">
        <v>353</v>
      </c>
      <c r="P884" s="7">
        <f>grand[[#This Row],[total weight]]/grand[[#This Row],[received]]</f>
        <v>452.44736842105266</v>
      </c>
      <c r="Q884" s="7">
        <f>grand[[#This Row],[receiving weight]]/grand[[#This Row],[received]]</f>
        <v>434.36842105263156</v>
      </c>
      <c r="R884" s="7">
        <f>grand[[#This Row],[transportation loss ]]/grand[[#This Row],[received]]</f>
        <v>18.078947368421051</v>
      </c>
      <c r="S884" s="7">
        <f>grand[[#This Row],[ carcass weight]]/grand[[#This Row],[received]]</f>
        <v>278.14736842105265</v>
      </c>
      <c r="T884" s="7">
        <f>grand[[#This Row],[ kidneys fat quantity]]/grand[[#This Row],[received]]</f>
        <v>9.2894736842105257</v>
      </c>
      <c r="U884" s="1">
        <v>25</v>
      </c>
      <c r="V884" s="1">
        <v>0</v>
      </c>
      <c r="W884" s="1">
        <v>49.723684210526315</v>
      </c>
      <c r="X884" s="1">
        <v>10</v>
      </c>
      <c r="Y884" s="1">
        <v>8.5</v>
      </c>
      <c r="Z884" s="18">
        <f>grand[[#This Row],[av. Transportation loss]]/grand[[#This Row],[av.total weight]]</f>
        <v>3.9958122491711739E-2</v>
      </c>
      <c r="AA884" s="12">
        <f>AVERAGE((grand[[#This Row],[am]]/25),(grand[[#This Row],[pm]]/50))</f>
        <v>0.99723684210526309</v>
      </c>
      <c r="AB884" s="3">
        <f>grand[[#This Row],[ carcass weight]]/grand[[#This Row],[total weight]]</f>
        <v>0.61476182167161053</v>
      </c>
      <c r="AC884" s="18">
        <f>SUM(grand[[#This Row],[am]:[meat transportation]])/100</f>
        <v>0.93223684210526314</v>
      </c>
      <c r="AJ884" s="1">
        <v>10</v>
      </c>
      <c r="AK884" s="1"/>
      <c r="AL884" s="1"/>
    </row>
    <row r="885" spans="1:38" hidden="1" x14ac:dyDescent="0.2">
      <c r="A885" s="11">
        <v>45290</v>
      </c>
      <c r="B885" s="53" t="s">
        <v>2857</v>
      </c>
      <c r="C885" s="52" t="str">
        <f>IF(MID(B885,4,2)="09","Ramadan",IF(AND(MID(B885,4,2)="12",VALUE(LEFT(B885,2))&lt;=9),"Adha Season","Normal"))</f>
        <v>Normal</v>
      </c>
      <c r="D885" s="1" t="s">
        <v>45</v>
      </c>
      <c r="E885" s="1" t="s">
        <v>528</v>
      </c>
      <c r="F885" s="4" t="s">
        <v>462</v>
      </c>
      <c r="G885" s="1">
        <v>40</v>
      </c>
      <c r="H885" s="1">
        <v>40</v>
      </c>
      <c r="I885" s="1">
        <f>grand[[#This Row],[number]]-grand[[#This Row],[received]]</f>
        <v>0</v>
      </c>
      <c r="J885" s="30"/>
      <c r="K885" s="2">
        <v>19106</v>
      </c>
      <c r="L885" s="2">
        <v>19106</v>
      </c>
      <c r="M885" s="2">
        <f>K885-L885</f>
        <v>0</v>
      </c>
      <c r="N885" s="2">
        <v>12075.4</v>
      </c>
      <c r="O885" s="2">
        <v>0</v>
      </c>
      <c r="P885" s="7">
        <f>grand[[#This Row],[total weight]]/grand[[#This Row],[received]]</f>
        <v>477.65</v>
      </c>
      <c r="Q885" s="7">
        <f>grand[[#This Row],[receiving weight]]/grand[[#This Row],[received]]</f>
        <v>477.65</v>
      </c>
      <c r="R885" s="7">
        <f>grand[[#This Row],[transportation loss ]]/grand[[#This Row],[received]]</f>
        <v>0</v>
      </c>
      <c r="S885" s="7">
        <f>grand[[#This Row],[ carcass weight]]/grand[[#This Row],[received]]</f>
        <v>301.88499999999999</v>
      </c>
      <c r="T885" s="7">
        <f>grand[[#This Row],[ kidneys fat quantity]]/grand[[#This Row],[received]]</f>
        <v>0</v>
      </c>
      <c r="U885" s="1">
        <v>25</v>
      </c>
      <c r="V885" s="1">
        <v>4</v>
      </c>
      <c r="W885" s="1">
        <v>50</v>
      </c>
      <c r="X885" s="1">
        <v>9.625</v>
      </c>
      <c r="Y885" s="1">
        <v>8.5</v>
      </c>
      <c r="Z885" s="18">
        <f>grand[[#This Row],[av. Transportation loss]]/grand[[#This Row],[av.total weight]]</f>
        <v>0</v>
      </c>
      <c r="AA885" s="12">
        <f>AVERAGE((grand[[#This Row],[am]]/25),(grand[[#This Row],[pm]]/50))</f>
        <v>1</v>
      </c>
      <c r="AB885" s="3">
        <f>grand[[#This Row],[ carcass weight]]/grand[[#This Row],[total weight]]</f>
        <v>0.63202135454830943</v>
      </c>
      <c r="AC885" s="18">
        <f>SUM(grand[[#This Row],[am]:[meat transportation]])/100</f>
        <v>0.97124999999999995</v>
      </c>
      <c r="AK885" s="1"/>
      <c r="AL885" s="1"/>
    </row>
    <row r="886" spans="1:38" hidden="1" x14ac:dyDescent="0.2">
      <c r="A886" s="11">
        <v>45292</v>
      </c>
      <c r="B886" s="53" t="s">
        <v>1923</v>
      </c>
      <c r="C886" s="52" t="str">
        <f>IF(MID(B886,4,2)="09","Ramadan",IF(AND(MID(B886,4,2)="12",VALUE(LEFT(B886,2))&lt;=9),"Adha Season","Normal"))</f>
        <v>Normal</v>
      </c>
      <c r="D886" s="1" t="s">
        <v>45</v>
      </c>
      <c r="E886" s="1" t="s">
        <v>528</v>
      </c>
      <c r="F886" s="4" t="s">
        <v>462</v>
      </c>
      <c r="G886" s="1">
        <v>27</v>
      </c>
      <c r="H886" s="1">
        <v>27</v>
      </c>
      <c r="I886" s="1">
        <f>grand[[#This Row],[number]]-grand[[#This Row],[received]]</f>
        <v>0</v>
      </c>
      <c r="J886" s="30"/>
      <c r="K886" s="2">
        <v>12875</v>
      </c>
      <c r="L886" s="2">
        <v>12875</v>
      </c>
      <c r="M886" s="2">
        <f>K886-L886</f>
        <v>0</v>
      </c>
      <c r="N886" s="2">
        <v>8136.8</v>
      </c>
      <c r="O886" s="2">
        <v>0</v>
      </c>
      <c r="P886" s="7">
        <f>grand[[#This Row],[total weight]]/grand[[#This Row],[received]]</f>
        <v>476.85185185185185</v>
      </c>
      <c r="Q886" s="7">
        <f>grand[[#This Row],[receiving weight]]/grand[[#This Row],[received]]</f>
        <v>476.85185185185185</v>
      </c>
      <c r="R886" s="7">
        <f>grand[[#This Row],[transportation loss ]]/grand[[#This Row],[received]]</f>
        <v>0</v>
      </c>
      <c r="S886" s="7">
        <f>grand[[#This Row],[ carcass weight]]/grand[[#This Row],[received]]</f>
        <v>301.36296296296297</v>
      </c>
      <c r="T886" s="7">
        <f>grand[[#This Row],[ kidneys fat quantity]]/grand[[#This Row],[received]]</f>
        <v>0</v>
      </c>
      <c r="U886" s="1">
        <v>25</v>
      </c>
      <c r="V886" s="1">
        <v>4</v>
      </c>
      <c r="W886" s="1">
        <v>50</v>
      </c>
      <c r="X886" s="1">
        <v>10</v>
      </c>
      <c r="Y886" s="1">
        <v>8.5</v>
      </c>
      <c r="Z886" s="18">
        <f>grand[[#This Row],[av. Transportation loss]]/grand[[#This Row],[av.total weight]]</f>
        <v>0</v>
      </c>
      <c r="AA886" s="12">
        <f>AVERAGE((grand[[#This Row],[am]]/25),(grand[[#This Row],[pm]]/50))</f>
        <v>1</v>
      </c>
      <c r="AB886" s="3">
        <f>grand[[#This Row],[ carcass weight]]/grand[[#This Row],[total weight]]</f>
        <v>0.63198446601941749</v>
      </c>
      <c r="AC886" s="18">
        <f>SUM(grand[[#This Row],[am]:[meat transportation]])/100</f>
        <v>0.97499999999999998</v>
      </c>
      <c r="AK886" s="1"/>
      <c r="AL886" s="1"/>
    </row>
    <row r="887" spans="1:38" hidden="1" x14ac:dyDescent="0.2">
      <c r="A887" s="11">
        <v>45293</v>
      </c>
      <c r="B887" s="53" t="s">
        <v>1924</v>
      </c>
      <c r="C887" s="52" t="str">
        <f>IF(MID(B887,4,2)="09","Ramadan",IF(AND(MID(B887,4,2)="12",VALUE(LEFT(B887,2))&lt;=9),"Adha Season","Normal"))</f>
        <v>Normal</v>
      </c>
      <c r="D887" s="1" t="s">
        <v>45</v>
      </c>
      <c r="E887" s="1" t="s">
        <v>483</v>
      </c>
      <c r="F887" s="4" t="s">
        <v>280</v>
      </c>
      <c r="G887" s="1">
        <v>20</v>
      </c>
      <c r="H887" s="1">
        <v>20</v>
      </c>
      <c r="I887" s="1">
        <f>grand[[#This Row],[number]]-grand[[#This Row],[received]]</f>
        <v>0</v>
      </c>
      <c r="J887" s="30"/>
      <c r="K887" s="2">
        <v>8806</v>
      </c>
      <c r="L887" s="2">
        <v>8510</v>
      </c>
      <c r="M887" s="2">
        <f>K887-L887</f>
        <v>296</v>
      </c>
      <c r="N887" s="2">
        <v>5283.6</v>
      </c>
      <c r="O887" s="2">
        <v>193</v>
      </c>
      <c r="P887" s="7">
        <f>grand[[#This Row],[total weight]]/grand[[#This Row],[received]]</f>
        <v>440.3</v>
      </c>
      <c r="Q887" s="7">
        <f>grand[[#This Row],[receiving weight]]/grand[[#This Row],[received]]</f>
        <v>425.5</v>
      </c>
      <c r="R887" s="7">
        <f>grand[[#This Row],[transportation loss ]]/grand[[#This Row],[received]]</f>
        <v>14.8</v>
      </c>
      <c r="S887" s="7">
        <f>grand[[#This Row],[ carcass weight]]/grand[[#This Row],[received]]</f>
        <v>264.18</v>
      </c>
      <c r="T887" s="7">
        <f>grand[[#This Row],[ kidneys fat quantity]]/grand[[#This Row],[received]]</f>
        <v>9.65</v>
      </c>
      <c r="U887" s="1">
        <v>25</v>
      </c>
      <c r="V887" s="1">
        <v>0</v>
      </c>
      <c r="W887" s="1">
        <v>49.15</v>
      </c>
      <c r="X887" s="1">
        <v>10</v>
      </c>
      <c r="Y887" s="1">
        <v>8.5</v>
      </c>
      <c r="Z887" s="18">
        <f>grand[[#This Row],[av. Transportation loss]]/grand[[#This Row],[av.total weight]]</f>
        <v>3.3613445378151259E-2</v>
      </c>
      <c r="AA887" s="12">
        <f>AVERAGE((grand[[#This Row],[am]]/25),(grand[[#This Row],[pm]]/50))</f>
        <v>0.99150000000000005</v>
      </c>
      <c r="AB887" s="3">
        <f>grand[[#This Row],[ carcass weight]]/grand[[#This Row],[total weight]]</f>
        <v>0.60000000000000009</v>
      </c>
      <c r="AC887" s="18">
        <f>SUM(grand[[#This Row],[am]:[meat transportation]])/100</f>
        <v>0.9265000000000001</v>
      </c>
      <c r="AJ887" s="1">
        <v>8</v>
      </c>
      <c r="AK887" s="1"/>
      <c r="AL887" s="1"/>
    </row>
    <row r="888" spans="1:38" hidden="1" x14ac:dyDescent="0.2">
      <c r="A888" s="11">
        <v>45294</v>
      </c>
      <c r="B888" s="53" t="s">
        <v>1925</v>
      </c>
      <c r="C888" s="52" t="str">
        <f>IF(MID(B888,4,2)="09","Ramadan",IF(AND(MID(B888,4,2)="12",VALUE(LEFT(B888,2))&lt;=9),"Adha Season","Normal"))</f>
        <v>Normal</v>
      </c>
      <c r="D888" s="1" t="s">
        <v>45</v>
      </c>
      <c r="E888" s="1" t="s">
        <v>528</v>
      </c>
      <c r="F888" s="4" t="s">
        <v>462</v>
      </c>
      <c r="G888" s="1">
        <v>30</v>
      </c>
      <c r="H888" s="1">
        <v>30</v>
      </c>
      <c r="I888" s="1">
        <f>grand[[#This Row],[number]]-grand[[#This Row],[received]]</f>
        <v>0</v>
      </c>
      <c r="J888" s="30"/>
      <c r="K888" s="2">
        <v>14446.835443037973</v>
      </c>
      <c r="L888" s="2">
        <v>14446.835443037973</v>
      </c>
      <c r="M888" s="2">
        <f>K888-L888</f>
        <v>0</v>
      </c>
      <c r="N888" s="2">
        <v>9130.4</v>
      </c>
      <c r="O888" s="2">
        <v>0</v>
      </c>
      <c r="P888" s="7">
        <f>grand[[#This Row],[total weight]]/grand[[#This Row],[received]]</f>
        <v>481.56118143459912</v>
      </c>
      <c r="Q888" s="7">
        <f>grand[[#This Row],[receiving weight]]/grand[[#This Row],[received]]</f>
        <v>481.56118143459912</v>
      </c>
      <c r="R888" s="7">
        <f>grand[[#This Row],[transportation loss ]]/grand[[#This Row],[received]]</f>
        <v>0</v>
      </c>
      <c r="S888" s="7">
        <f>grand[[#This Row],[ carcass weight]]/grand[[#This Row],[received]]</f>
        <v>304.34666666666664</v>
      </c>
      <c r="T888" s="7">
        <f>grand[[#This Row],[ kidneys fat quantity]]/grand[[#This Row],[received]]</f>
        <v>0</v>
      </c>
      <c r="U888" s="1">
        <v>25</v>
      </c>
      <c r="V888" s="1">
        <v>4</v>
      </c>
      <c r="W888" s="1">
        <v>50</v>
      </c>
      <c r="X888" s="1">
        <v>10</v>
      </c>
      <c r="Y888" s="1">
        <v>8.5</v>
      </c>
      <c r="Z888" s="18">
        <f>grand[[#This Row],[av. Transportation loss]]/grand[[#This Row],[av.total weight]]</f>
        <v>0</v>
      </c>
      <c r="AA888" s="12">
        <f>AVERAGE((grand[[#This Row],[am]]/25),(grand[[#This Row],[pm]]/50))</f>
        <v>1</v>
      </c>
      <c r="AB888" s="3">
        <f>grand[[#This Row],[ carcass weight]]/grand[[#This Row],[total weight]]</f>
        <v>0.63200000000000001</v>
      </c>
      <c r="AC888" s="18">
        <f>SUM(grand[[#This Row],[am]:[meat transportation]])/100</f>
        <v>0.97499999999999998</v>
      </c>
      <c r="AK888" s="1"/>
      <c r="AL888" s="1"/>
    </row>
    <row r="889" spans="1:38" hidden="1" x14ac:dyDescent="0.2">
      <c r="A889" s="11">
        <v>45296</v>
      </c>
      <c r="B889" s="53" t="s">
        <v>1927</v>
      </c>
      <c r="C889" s="52" t="str">
        <f>IF(MID(B889,4,2)="09","Ramadan",IF(AND(MID(B889,4,2)="12",VALUE(LEFT(B889,2))&lt;=9),"Adha Season","Normal"))</f>
        <v>Normal</v>
      </c>
      <c r="D889" s="1" t="s">
        <v>45</v>
      </c>
      <c r="E889" s="1" t="s">
        <v>528</v>
      </c>
      <c r="F889" s="4" t="s">
        <v>462</v>
      </c>
      <c r="G889" s="1">
        <v>47</v>
      </c>
      <c r="H889" s="1">
        <v>47</v>
      </c>
      <c r="I889" s="1">
        <f>grand[[#This Row],[number]]-grand[[#This Row],[received]]</f>
        <v>0</v>
      </c>
      <c r="J889" s="30"/>
      <c r="K889" s="2">
        <v>22957.911392405062</v>
      </c>
      <c r="L889" s="2">
        <v>22957.911392405062</v>
      </c>
      <c r="M889" s="2">
        <f>K889-L889</f>
        <v>0</v>
      </c>
      <c r="N889" s="2">
        <v>14509.4</v>
      </c>
      <c r="O889" s="2">
        <v>0</v>
      </c>
      <c r="P889" s="7">
        <f>grand[[#This Row],[total weight]]/grand[[#This Row],[received]]</f>
        <v>488.46619983840554</v>
      </c>
      <c r="Q889" s="7">
        <f>grand[[#This Row],[receiving weight]]/grand[[#This Row],[received]]</f>
        <v>488.46619983840554</v>
      </c>
      <c r="R889" s="7">
        <f>grand[[#This Row],[transportation loss ]]/grand[[#This Row],[received]]</f>
        <v>0</v>
      </c>
      <c r="S889" s="7">
        <f>grand[[#This Row],[ carcass weight]]/grand[[#This Row],[received]]</f>
        <v>308.71063829787232</v>
      </c>
      <c r="T889" s="7">
        <f>grand[[#This Row],[ kidneys fat quantity]]/grand[[#This Row],[received]]</f>
        <v>0</v>
      </c>
      <c r="U889" s="1">
        <v>25</v>
      </c>
      <c r="V889" s="1">
        <v>4</v>
      </c>
      <c r="W889" s="1">
        <v>50</v>
      </c>
      <c r="X889" s="1">
        <v>10</v>
      </c>
      <c r="Y889" s="1">
        <v>8.5</v>
      </c>
      <c r="Z889" s="18">
        <f>grand[[#This Row],[av. Transportation loss]]/grand[[#This Row],[av.total weight]]</f>
        <v>0</v>
      </c>
      <c r="AA889" s="12">
        <f>AVERAGE((grand[[#This Row],[am]]/25),(grand[[#This Row],[pm]]/50))</f>
        <v>1</v>
      </c>
      <c r="AB889" s="3">
        <f>grand[[#This Row],[ carcass weight]]/grand[[#This Row],[total weight]]</f>
        <v>0.63200000000000001</v>
      </c>
      <c r="AC889" s="18">
        <f>SUM(grand[[#This Row],[am]:[meat transportation]])/100</f>
        <v>0.97499999999999998</v>
      </c>
      <c r="AK889" s="1"/>
      <c r="AL889" s="1"/>
    </row>
    <row r="890" spans="1:38" hidden="1" x14ac:dyDescent="0.2">
      <c r="A890" s="11">
        <v>45298</v>
      </c>
      <c r="B890" s="53" t="s">
        <v>2858</v>
      </c>
      <c r="C890" s="52" t="str">
        <f>IF(MID(B890,4,2)="09","Ramadan",IF(AND(MID(B890,4,2)="12",VALUE(LEFT(B890,2))&lt;=9),"Adha Season","Normal"))</f>
        <v>Normal</v>
      </c>
      <c r="D890" s="1" t="s">
        <v>45</v>
      </c>
      <c r="E890" s="1" t="s">
        <v>483</v>
      </c>
      <c r="F890" s="4" t="s">
        <v>550</v>
      </c>
      <c r="G890" s="1">
        <v>16</v>
      </c>
      <c r="H890" s="1">
        <v>16</v>
      </c>
      <c r="I890" s="1">
        <f>grand[[#This Row],[number]]-grand[[#This Row],[received]]</f>
        <v>0</v>
      </c>
      <c r="J890" s="30"/>
      <c r="K890" s="2">
        <v>7118</v>
      </c>
      <c r="L890" s="2">
        <v>6910</v>
      </c>
      <c r="M890" s="2">
        <f>K890-L890</f>
        <v>208</v>
      </c>
      <c r="N890" s="2">
        <v>4270.5</v>
      </c>
      <c r="O890" s="2">
        <v>94</v>
      </c>
      <c r="P890" s="7">
        <f>grand[[#This Row],[total weight]]/grand[[#This Row],[received]]</f>
        <v>444.875</v>
      </c>
      <c r="Q890" s="7">
        <f>grand[[#This Row],[receiving weight]]/grand[[#This Row],[received]]</f>
        <v>431.875</v>
      </c>
      <c r="R890" s="7">
        <f>grand[[#This Row],[transportation loss ]]/grand[[#This Row],[received]]</f>
        <v>13</v>
      </c>
      <c r="S890" s="7">
        <f>grand[[#This Row],[ carcass weight]]/grand[[#This Row],[received]]</f>
        <v>266.90625</v>
      </c>
      <c r="T890" s="7">
        <f>grand[[#This Row],[ kidneys fat quantity]]/grand[[#This Row],[received]]</f>
        <v>5.875</v>
      </c>
      <c r="U890" s="1">
        <v>25</v>
      </c>
      <c r="V890" s="1">
        <v>0</v>
      </c>
      <c r="W890" s="1">
        <v>48.875</v>
      </c>
      <c r="X890" s="1">
        <v>10</v>
      </c>
      <c r="Y890" s="1">
        <v>8.5</v>
      </c>
      <c r="Z890" s="18">
        <f>grand[[#This Row],[av. Transportation loss]]/grand[[#This Row],[av.total weight]]</f>
        <v>2.9221691486372575E-2</v>
      </c>
      <c r="AA890" s="12">
        <f>AVERAGE((grand[[#This Row],[am]]/25),(grand[[#This Row],[pm]]/50))</f>
        <v>0.98875000000000002</v>
      </c>
      <c r="AB890" s="3">
        <f>grand[[#This Row],[ carcass weight]]/grand[[#This Row],[total weight]]</f>
        <v>0.59995785332958695</v>
      </c>
      <c r="AC890" s="18">
        <f>SUM(grand[[#This Row],[am]:[meat transportation]])/100</f>
        <v>0.92374999999999996</v>
      </c>
      <c r="AJ890" s="1">
        <v>8</v>
      </c>
      <c r="AK890" s="1"/>
      <c r="AL890" s="1"/>
    </row>
    <row r="891" spans="1:38" hidden="1" x14ac:dyDescent="0.2">
      <c r="A891" s="11">
        <v>45298</v>
      </c>
      <c r="B891" s="53" t="s">
        <v>2858</v>
      </c>
      <c r="C891" s="52" t="str">
        <f>IF(MID(B891,4,2)="09","Ramadan",IF(AND(MID(B891,4,2)="12",VALUE(LEFT(B891,2))&lt;=9),"Adha Season","Normal"))</f>
        <v>Normal</v>
      </c>
      <c r="D891" s="1" t="s">
        <v>45</v>
      </c>
      <c r="E891" s="1" t="s">
        <v>483</v>
      </c>
      <c r="F891" s="4" t="s">
        <v>280</v>
      </c>
      <c r="G891" s="1">
        <v>60</v>
      </c>
      <c r="H891" s="1">
        <v>60</v>
      </c>
      <c r="I891" s="1">
        <f>grand[[#This Row],[number]]-grand[[#This Row],[received]]</f>
        <v>0</v>
      </c>
      <c r="J891" s="30"/>
      <c r="K891" s="2">
        <v>28882</v>
      </c>
      <c r="L891" s="2">
        <v>28255</v>
      </c>
      <c r="M891" s="2">
        <f>K891-L891</f>
        <v>627</v>
      </c>
      <c r="N891" s="2">
        <v>17330.3</v>
      </c>
      <c r="O891" s="2">
        <v>556</v>
      </c>
      <c r="P891" s="7">
        <f>grand[[#This Row],[total weight]]/grand[[#This Row],[received]]</f>
        <v>481.36666666666667</v>
      </c>
      <c r="Q891" s="7">
        <f>grand[[#This Row],[receiving weight]]/grand[[#This Row],[received]]</f>
        <v>470.91666666666669</v>
      </c>
      <c r="R891" s="7">
        <f>grand[[#This Row],[transportation loss ]]/grand[[#This Row],[received]]</f>
        <v>10.45</v>
      </c>
      <c r="S891" s="7">
        <f>grand[[#This Row],[ carcass weight]]/grand[[#This Row],[received]]</f>
        <v>288.83833333333331</v>
      </c>
      <c r="T891" s="7">
        <f>grand[[#This Row],[ kidneys fat quantity]]/grand[[#This Row],[received]]</f>
        <v>9.2666666666666675</v>
      </c>
      <c r="U891" s="1">
        <v>24.333333333333336</v>
      </c>
      <c r="V891" s="1">
        <v>0</v>
      </c>
      <c r="W891" s="1">
        <v>48.766666666666666</v>
      </c>
      <c r="X891" s="1">
        <v>10</v>
      </c>
      <c r="Y891" s="1">
        <v>8.5</v>
      </c>
      <c r="Z891" s="18">
        <f>grand[[#This Row],[av. Transportation loss]]/grand[[#This Row],[av.total weight]]</f>
        <v>2.1709022920850356E-2</v>
      </c>
      <c r="AA891" s="12">
        <f>AVERAGE((grand[[#This Row],[am]]/25),(grand[[#This Row],[pm]]/50))</f>
        <v>0.97433333333333327</v>
      </c>
      <c r="AB891" s="3">
        <f>grand[[#This Row],[ carcass weight]]/grand[[#This Row],[total weight]]</f>
        <v>0.60003808600512432</v>
      </c>
      <c r="AC891" s="18">
        <f>SUM(grand[[#This Row],[am]:[meat transportation]])/100</f>
        <v>0.91599999999999993</v>
      </c>
      <c r="AJ891" s="1">
        <v>36</v>
      </c>
      <c r="AK891" s="1"/>
      <c r="AL891" s="1"/>
    </row>
    <row r="892" spans="1:38" hidden="1" x14ac:dyDescent="0.2">
      <c r="A892" s="11">
        <v>45299</v>
      </c>
      <c r="B892" s="53" t="s">
        <v>1928</v>
      </c>
      <c r="C892" s="52" t="str">
        <f>IF(MID(B892,4,2)="09","Ramadan",IF(AND(MID(B892,4,2)="12",VALUE(LEFT(B892,2))&lt;=9),"Adha Season","Normal"))</f>
        <v>Normal</v>
      </c>
      <c r="D892" s="1" t="s">
        <v>45</v>
      </c>
      <c r="E892" s="1" t="s">
        <v>528</v>
      </c>
      <c r="F892" s="4" t="s">
        <v>462</v>
      </c>
      <c r="G892" s="1">
        <v>44</v>
      </c>
      <c r="H892" s="1">
        <v>44</v>
      </c>
      <c r="I892" s="1">
        <f>grand[[#This Row],[number]]-grand[[#This Row],[received]]</f>
        <v>0</v>
      </c>
      <c r="J892" s="30"/>
      <c r="K892" s="2">
        <v>21013.607594936708</v>
      </c>
      <c r="L892" s="2">
        <v>21013.607594936708</v>
      </c>
      <c r="M892" s="2">
        <f>K892-L892</f>
        <v>0</v>
      </c>
      <c r="N892" s="2">
        <v>13280.6</v>
      </c>
      <c r="O892" s="2">
        <v>0</v>
      </c>
      <c r="P892" s="7">
        <f>grand[[#This Row],[total weight]]/grand[[#This Row],[received]]</f>
        <v>477.58199079401606</v>
      </c>
      <c r="Q892" s="7">
        <f>grand[[#This Row],[receiving weight]]/grand[[#This Row],[received]]</f>
        <v>477.58199079401606</v>
      </c>
      <c r="R892" s="7">
        <f>grand[[#This Row],[transportation loss ]]/grand[[#This Row],[received]]</f>
        <v>0</v>
      </c>
      <c r="S892" s="7">
        <f>grand[[#This Row],[ carcass weight]]/grand[[#This Row],[received]]</f>
        <v>301.83181818181816</v>
      </c>
      <c r="T892" s="7">
        <f>grand[[#This Row],[ kidneys fat quantity]]/grand[[#This Row],[received]]</f>
        <v>0</v>
      </c>
      <c r="U892" s="1">
        <v>25</v>
      </c>
      <c r="V892" s="1">
        <v>4</v>
      </c>
      <c r="W892" s="1">
        <v>50</v>
      </c>
      <c r="X892" s="1">
        <v>10</v>
      </c>
      <c r="Y892" s="1">
        <v>8.5</v>
      </c>
      <c r="Z892" s="18">
        <f>grand[[#This Row],[av. Transportation loss]]/grand[[#This Row],[av.total weight]]</f>
        <v>0</v>
      </c>
      <c r="AA892" s="12">
        <f>AVERAGE((grand[[#This Row],[am]]/25),(grand[[#This Row],[pm]]/50))</f>
        <v>1</v>
      </c>
      <c r="AB892" s="3">
        <f>grand[[#This Row],[ carcass weight]]/grand[[#This Row],[total weight]]</f>
        <v>0.63200000000000001</v>
      </c>
      <c r="AC892" s="18">
        <f>SUM(grand[[#This Row],[am]:[meat transportation]])/100</f>
        <v>0.97499999999999998</v>
      </c>
      <c r="AK892" s="1"/>
      <c r="AL892" s="1"/>
    </row>
    <row r="893" spans="1:38" hidden="1" x14ac:dyDescent="0.2">
      <c r="A893" s="11">
        <v>45301</v>
      </c>
      <c r="B893" s="53" t="s">
        <v>2859</v>
      </c>
      <c r="C893" s="52" t="str">
        <f>IF(MID(B893,4,2)="09","Ramadan",IF(AND(MID(B893,4,2)="12",VALUE(LEFT(B893,2))&lt;=9),"Adha Season","Normal"))</f>
        <v>Normal</v>
      </c>
      <c r="D893" s="1" t="s">
        <v>45</v>
      </c>
      <c r="E893" s="1" t="s">
        <v>528</v>
      </c>
      <c r="F893" s="4" t="s">
        <v>462</v>
      </c>
      <c r="G893" s="1">
        <v>21</v>
      </c>
      <c r="H893" s="1">
        <v>21</v>
      </c>
      <c r="I893" s="1">
        <f>grand[[#This Row],[number]]-grand[[#This Row],[received]]</f>
        <v>0</v>
      </c>
      <c r="J893" s="30"/>
      <c r="K893" s="2">
        <v>10184.177215189873</v>
      </c>
      <c r="L893" s="2">
        <v>10184.177215189873</v>
      </c>
      <c r="M893" s="2">
        <f>K893-L893</f>
        <v>0</v>
      </c>
      <c r="N893" s="2">
        <v>6436.4</v>
      </c>
      <c r="O893" s="2">
        <v>0</v>
      </c>
      <c r="P893" s="7">
        <f>grand[[#This Row],[total weight]]/grand[[#This Row],[received]]</f>
        <v>484.96081977094633</v>
      </c>
      <c r="Q893" s="7">
        <f>grand[[#This Row],[receiving weight]]/grand[[#This Row],[received]]</f>
        <v>484.96081977094633</v>
      </c>
      <c r="R893" s="7">
        <f>grand[[#This Row],[transportation loss ]]/grand[[#This Row],[received]]</f>
        <v>0</v>
      </c>
      <c r="S893" s="7">
        <f>grand[[#This Row],[ carcass weight]]/grand[[#This Row],[received]]</f>
        <v>306.49523809523805</v>
      </c>
      <c r="T893" s="7">
        <f>grand[[#This Row],[ kidneys fat quantity]]/grand[[#This Row],[received]]</f>
        <v>0</v>
      </c>
      <c r="U893" s="1">
        <v>25</v>
      </c>
      <c r="V893" s="1">
        <v>4</v>
      </c>
      <c r="W893" s="1">
        <v>50</v>
      </c>
      <c r="X893" s="1">
        <v>10</v>
      </c>
      <c r="Y893" s="1">
        <v>8.5</v>
      </c>
      <c r="Z893" s="18">
        <f>grand[[#This Row],[av. Transportation loss]]/grand[[#This Row],[av.total weight]]</f>
        <v>0</v>
      </c>
      <c r="AA893" s="12">
        <f>AVERAGE((grand[[#This Row],[am]]/25),(grand[[#This Row],[pm]]/50))</f>
        <v>1</v>
      </c>
      <c r="AB893" s="3">
        <f>grand[[#This Row],[ carcass weight]]/grand[[#This Row],[total weight]]</f>
        <v>0.63200000000000001</v>
      </c>
      <c r="AC893" s="18">
        <f>SUM(grand[[#This Row],[am]:[meat transportation]])/100</f>
        <v>0.97499999999999998</v>
      </c>
      <c r="AK893" s="1"/>
      <c r="AL893" s="1"/>
    </row>
    <row r="894" spans="1:38" hidden="1" x14ac:dyDescent="0.2">
      <c r="A894" s="11">
        <v>45304</v>
      </c>
      <c r="B894" s="53" t="s">
        <v>2860</v>
      </c>
      <c r="C894" s="52" t="str">
        <f>IF(MID(B894,4,2)="09","Ramadan",IF(AND(MID(B894,4,2)="12",VALUE(LEFT(B894,2))&lt;=9),"Adha Season","Normal"))</f>
        <v>Normal</v>
      </c>
      <c r="D894" s="2" t="s">
        <v>294</v>
      </c>
      <c r="F894" s="4" t="s">
        <v>334</v>
      </c>
      <c r="G894" s="1">
        <v>20</v>
      </c>
      <c r="H894" s="1">
        <v>20</v>
      </c>
      <c r="I894" s="1">
        <f>grand[[#This Row],[number]]-grand[[#This Row],[received]]</f>
        <v>0</v>
      </c>
      <c r="J894" s="30"/>
      <c r="K894" s="2">
        <v>985</v>
      </c>
      <c r="L894" s="2">
        <v>985</v>
      </c>
      <c r="M894" s="2">
        <f>K894-L894</f>
        <v>0</v>
      </c>
      <c r="N894" s="2">
        <v>579.6</v>
      </c>
      <c r="O894" s="2">
        <v>0</v>
      </c>
      <c r="P894" s="7">
        <f>grand[[#This Row],[total weight]]/grand[[#This Row],[received]]</f>
        <v>49.25</v>
      </c>
      <c r="Q894" s="7">
        <f>grand[[#This Row],[receiving weight]]/grand[[#This Row],[received]]</f>
        <v>49.25</v>
      </c>
      <c r="R894" s="7">
        <f>grand[[#This Row],[transportation loss ]]/grand[[#This Row],[received]]</f>
        <v>0</v>
      </c>
      <c r="S894" s="7">
        <f>grand[[#This Row],[ carcass weight]]/grand[[#This Row],[received]]</f>
        <v>28.98</v>
      </c>
      <c r="T894" s="7">
        <f>grand[[#This Row],[ kidneys fat quantity]]/grand[[#This Row],[received]]</f>
        <v>0</v>
      </c>
      <c r="U894" s="1">
        <v>25</v>
      </c>
      <c r="V894" s="1">
        <v>0</v>
      </c>
      <c r="W894" s="1">
        <v>48.449999999999996</v>
      </c>
      <c r="X894" s="1">
        <v>10</v>
      </c>
      <c r="Y894" s="1">
        <v>8.5</v>
      </c>
      <c r="Z894" s="18">
        <f>grand[[#This Row],[av. Transportation loss]]/grand[[#This Row],[av.total weight]]</f>
        <v>0</v>
      </c>
      <c r="AA894" s="12">
        <f>AVERAGE((grand[[#This Row],[am]]/25),(grand[[#This Row],[pm]]/50))</f>
        <v>0.98449999999999993</v>
      </c>
      <c r="AB894" s="3">
        <f>grand[[#This Row],[ carcass weight]]/grand[[#This Row],[total weight]]</f>
        <v>0.5884263959390863</v>
      </c>
      <c r="AC894" s="18">
        <f>SUM(grand[[#This Row],[am]:[meat transportation]])/100</f>
        <v>0.91949999999999987</v>
      </c>
      <c r="AK894" s="1"/>
      <c r="AL894" s="1"/>
    </row>
    <row r="895" spans="1:38" hidden="1" x14ac:dyDescent="0.2">
      <c r="A895" s="11">
        <v>45305</v>
      </c>
      <c r="B895" s="53" t="s">
        <v>1930</v>
      </c>
      <c r="C895" s="52" t="str">
        <f>IF(MID(B895,4,2)="09","Ramadan",IF(AND(MID(B895,4,2)="12",VALUE(LEFT(B895,2))&lt;=9),"Adha Season","Normal"))</f>
        <v>Normal</v>
      </c>
      <c r="D895" s="1" t="s">
        <v>45</v>
      </c>
      <c r="E895" s="1" t="s">
        <v>483</v>
      </c>
      <c r="F895" s="4" t="s">
        <v>46</v>
      </c>
      <c r="G895" s="1">
        <v>56</v>
      </c>
      <c r="H895" s="1">
        <v>56</v>
      </c>
      <c r="I895" s="1">
        <f>grand[[#This Row],[number]]-grand[[#This Row],[received]]</f>
        <v>0</v>
      </c>
      <c r="J895" s="30"/>
      <c r="K895" s="2">
        <v>31995</v>
      </c>
      <c r="L895" s="2">
        <v>31995</v>
      </c>
      <c r="M895" s="2">
        <f>K895-L895</f>
        <v>0</v>
      </c>
      <c r="N895" s="2">
        <v>19247.400000000001</v>
      </c>
      <c r="O895" s="2">
        <v>788</v>
      </c>
      <c r="P895" s="7">
        <f>grand[[#This Row],[total weight]]/grand[[#This Row],[received]]</f>
        <v>571.33928571428567</v>
      </c>
      <c r="Q895" s="7">
        <f>grand[[#This Row],[receiving weight]]/grand[[#This Row],[received]]</f>
        <v>571.33928571428567</v>
      </c>
      <c r="R895" s="7">
        <f>grand[[#This Row],[transportation loss ]]/grand[[#This Row],[received]]</f>
        <v>0</v>
      </c>
      <c r="S895" s="7">
        <f>grand[[#This Row],[ carcass weight]]/grand[[#This Row],[received]]</f>
        <v>343.70357142857148</v>
      </c>
      <c r="T895" s="7">
        <f>grand[[#This Row],[ kidneys fat quantity]]/grand[[#This Row],[received]]</f>
        <v>14.071428571428571</v>
      </c>
      <c r="U895" s="1">
        <v>24.285714285714285</v>
      </c>
      <c r="V895" s="1">
        <v>0</v>
      </c>
      <c r="W895" s="1">
        <v>47.125</v>
      </c>
      <c r="X895" s="1">
        <v>10</v>
      </c>
      <c r="Y895" s="1">
        <v>8.5</v>
      </c>
      <c r="Z895" s="18">
        <f>grand[[#This Row],[av. Transportation loss]]/grand[[#This Row],[av.total weight]]</f>
        <v>0</v>
      </c>
      <c r="AA895" s="12">
        <f>AVERAGE((grand[[#This Row],[am]]/25),(grand[[#This Row],[pm]]/50))</f>
        <v>0.95696428571428571</v>
      </c>
      <c r="AB895" s="3">
        <f>grand[[#This Row],[ carcass weight]]/grand[[#This Row],[total weight]]</f>
        <v>0.60157524613220825</v>
      </c>
      <c r="AC895" s="18">
        <f>SUM(grand[[#This Row],[am]:[meat transportation]])/100</f>
        <v>0.89910714285714277</v>
      </c>
      <c r="AJ895" s="1">
        <v>51</v>
      </c>
      <c r="AK895" s="1"/>
      <c r="AL895" s="1"/>
    </row>
    <row r="896" spans="1:38" hidden="1" x14ac:dyDescent="0.2">
      <c r="A896" s="11">
        <v>45306</v>
      </c>
      <c r="B896" s="53" t="s">
        <v>1931</v>
      </c>
      <c r="C896" s="52" t="str">
        <f>IF(MID(B896,4,2)="09","Ramadan",IF(AND(MID(B896,4,2)="12",VALUE(LEFT(B896,2))&lt;=9),"Adha Season","Normal"))</f>
        <v>Normal</v>
      </c>
      <c r="D896" s="1" t="s">
        <v>45</v>
      </c>
      <c r="E896" s="1" t="s">
        <v>528</v>
      </c>
      <c r="F896" s="4" t="s">
        <v>462</v>
      </c>
      <c r="G896" s="1">
        <v>30</v>
      </c>
      <c r="H896" s="1">
        <v>30</v>
      </c>
      <c r="I896" s="1">
        <f>grand[[#This Row],[number]]-grand[[#This Row],[received]]</f>
        <v>0</v>
      </c>
      <c r="J896" s="30"/>
      <c r="K896" s="2">
        <v>14040.506329113923</v>
      </c>
      <c r="L896" s="2">
        <v>14040.506329113923</v>
      </c>
      <c r="M896" s="2">
        <f>K896-L896</f>
        <v>0</v>
      </c>
      <c r="N896" s="2">
        <v>8873.6</v>
      </c>
      <c r="O896" s="2">
        <v>0</v>
      </c>
      <c r="P896" s="7">
        <f>grand[[#This Row],[total weight]]/grand[[#This Row],[received]]</f>
        <v>468.01687763713079</v>
      </c>
      <c r="Q896" s="7">
        <f>grand[[#This Row],[receiving weight]]/grand[[#This Row],[received]]</f>
        <v>468.01687763713079</v>
      </c>
      <c r="R896" s="7">
        <f>grand[[#This Row],[transportation loss ]]/grand[[#This Row],[received]]</f>
        <v>0</v>
      </c>
      <c r="S896" s="7">
        <f>grand[[#This Row],[ carcass weight]]/grand[[#This Row],[received]]</f>
        <v>295.78666666666669</v>
      </c>
      <c r="T896" s="7">
        <f>grand[[#This Row],[ kidneys fat quantity]]/grand[[#This Row],[received]]</f>
        <v>0</v>
      </c>
      <c r="U896" s="1">
        <v>25</v>
      </c>
      <c r="V896" s="1">
        <v>4</v>
      </c>
      <c r="W896" s="1">
        <v>50</v>
      </c>
      <c r="X896" s="1">
        <v>10</v>
      </c>
      <c r="Y896" s="1">
        <v>8.5</v>
      </c>
      <c r="Z896" s="18">
        <f>grand[[#This Row],[av. Transportation loss]]/grand[[#This Row],[av.total weight]]</f>
        <v>0</v>
      </c>
      <c r="AA896" s="12">
        <f>AVERAGE((grand[[#This Row],[am]]/25),(grand[[#This Row],[pm]]/50))</f>
        <v>1</v>
      </c>
      <c r="AB896" s="3">
        <f>grand[[#This Row],[ carcass weight]]/grand[[#This Row],[total weight]]</f>
        <v>0.63200000000000012</v>
      </c>
      <c r="AC896" s="18">
        <f>SUM(grand[[#This Row],[am]:[meat transportation]])/100</f>
        <v>0.97499999999999998</v>
      </c>
      <c r="AK896" s="1"/>
      <c r="AL896" s="1"/>
    </row>
    <row r="897" spans="1:38" hidden="1" x14ac:dyDescent="0.2">
      <c r="A897" s="11">
        <v>45308</v>
      </c>
      <c r="B897" s="53" t="s">
        <v>2861</v>
      </c>
      <c r="C897" s="52" t="str">
        <f>IF(MID(B897,4,2)="09","Ramadan",IF(AND(MID(B897,4,2)="12",VALUE(LEFT(B897,2))&lt;=9),"Adha Season","Normal"))</f>
        <v>Normal</v>
      </c>
      <c r="D897" s="1" t="s">
        <v>45</v>
      </c>
      <c r="E897" s="1" t="s">
        <v>528</v>
      </c>
      <c r="F897" s="4" t="s">
        <v>462</v>
      </c>
      <c r="G897" s="1">
        <v>52</v>
      </c>
      <c r="H897" s="1">
        <v>52</v>
      </c>
      <c r="I897" s="1">
        <f>grand[[#This Row],[number]]-grand[[#This Row],[received]]</f>
        <v>0</v>
      </c>
      <c r="J897" s="30"/>
      <c r="K897" s="2">
        <v>25064.240506329112</v>
      </c>
      <c r="L897" s="2">
        <v>25064.240506329112</v>
      </c>
      <c r="M897" s="2">
        <f>K897-L897</f>
        <v>0</v>
      </c>
      <c r="N897" s="2">
        <v>15840.6</v>
      </c>
      <c r="O897" s="2">
        <v>0</v>
      </c>
      <c r="P897" s="7">
        <f>grand[[#This Row],[total weight]]/grand[[#This Row],[received]]</f>
        <v>482.00462512171367</v>
      </c>
      <c r="Q897" s="7">
        <f>grand[[#This Row],[receiving weight]]/grand[[#This Row],[received]]</f>
        <v>482.00462512171367</v>
      </c>
      <c r="R897" s="7">
        <f>grand[[#This Row],[transportation loss ]]/grand[[#This Row],[received]]</f>
        <v>0</v>
      </c>
      <c r="S897" s="7">
        <f>grand[[#This Row],[ carcass weight]]/grand[[#This Row],[received]]</f>
        <v>304.62692307692311</v>
      </c>
      <c r="T897" s="7">
        <f>grand[[#This Row],[ kidneys fat quantity]]/grand[[#This Row],[received]]</f>
        <v>0</v>
      </c>
      <c r="U897" s="1">
        <v>25</v>
      </c>
      <c r="V897" s="1">
        <v>4</v>
      </c>
      <c r="W897" s="1">
        <v>50</v>
      </c>
      <c r="X897" s="1">
        <v>10</v>
      </c>
      <c r="Y897" s="1">
        <v>8.5</v>
      </c>
      <c r="Z897" s="18">
        <f>grand[[#This Row],[av. Transportation loss]]/grand[[#This Row],[av.total weight]]</f>
        <v>0</v>
      </c>
      <c r="AA897" s="12">
        <f>AVERAGE((grand[[#This Row],[am]]/25),(grand[[#This Row],[pm]]/50))</f>
        <v>1</v>
      </c>
      <c r="AB897" s="3">
        <f>grand[[#This Row],[ carcass weight]]/grand[[#This Row],[total weight]]</f>
        <v>0.63200000000000012</v>
      </c>
      <c r="AC897" s="18">
        <f>SUM(grand[[#This Row],[am]:[meat transportation]])/100</f>
        <v>0.97499999999999998</v>
      </c>
      <c r="AK897" s="1"/>
      <c r="AL897" s="1"/>
    </row>
    <row r="898" spans="1:38" hidden="1" x14ac:dyDescent="0.2">
      <c r="A898" s="11">
        <v>45310</v>
      </c>
      <c r="B898" s="53" t="s">
        <v>2862</v>
      </c>
      <c r="C898" s="52" t="str">
        <f>IF(MID(B898,4,2)="09","Ramadan",IF(AND(MID(B898,4,2)="12",VALUE(LEFT(B898,2))&lt;=9),"Adha Season","Normal"))</f>
        <v>Normal</v>
      </c>
      <c r="D898" s="1" t="s">
        <v>45</v>
      </c>
      <c r="E898" s="1" t="s">
        <v>528</v>
      </c>
      <c r="F898" s="4" t="s">
        <v>462</v>
      </c>
      <c r="G898" s="1">
        <v>32</v>
      </c>
      <c r="H898" s="1">
        <v>32</v>
      </c>
      <c r="I898" s="1">
        <f>grand[[#This Row],[number]]-grand[[#This Row],[received]]</f>
        <v>0</v>
      </c>
      <c r="J898" s="30"/>
      <c r="K898" s="2">
        <v>15605.696202531642</v>
      </c>
      <c r="L898" s="2">
        <v>15605.696202531642</v>
      </c>
      <c r="M898" s="2">
        <f>K898-L898</f>
        <v>0</v>
      </c>
      <c r="N898" s="2">
        <v>9862.7999999999993</v>
      </c>
      <c r="O898" s="2">
        <v>0</v>
      </c>
      <c r="P898" s="7">
        <f>grand[[#This Row],[total weight]]/grand[[#This Row],[received]]</f>
        <v>487.67800632911383</v>
      </c>
      <c r="Q898" s="7">
        <f>grand[[#This Row],[receiving weight]]/grand[[#This Row],[received]]</f>
        <v>487.67800632911383</v>
      </c>
      <c r="R898" s="7">
        <f>grand[[#This Row],[transportation loss ]]/grand[[#This Row],[received]]</f>
        <v>0</v>
      </c>
      <c r="S898" s="7">
        <f>grand[[#This Row],[ carcass weight]]/grand[[#This Row],[received]]</f>
        <v>308.21249999999998</v>
      </c>
      <c r="T898" s="7">
        <f>grand[[#This Row],[ kidneys fat quantity]]/grand[[#This Row],[received]]</f>
        <v>0</v>
      </c>
      <c r="U898" s="1">
        <v>25</v>
      </c>
      <c r="V898" s="1">
        <v>4</v>
      </c>
      <c r="W898" s="1">
        <v>50</v>
      </c>
      <c r="X898" s="1">
        <v>10</v>
      </c>
      <c r="Y898" s="1">
        <v>8.5</v>
      </c>
      <c r="Z898" s="18">
        <f>grand[[#This Row],[av. Transportation loss]]/grand[[#This Row],[av.total weight]]</f>
        <v>0</v>
      </c>
      <c r="AA898" s="12">
        <f>AVERAGE((grand[[#This Row],[am]]/25),(grand[[#This Row],[pm]]/50))</f>
        <v>1</v>
      </c>
      <c r="AB898" s="3">
        <f>grand[[#This Row],[ carcass weight]]/grand[[#This Row],[total weight]]</f>
        <v>0.63200000000000012</v>
      </c>
      <c r="AC898" s="18">
        <f>SUM(grand[[#This Row],[am]:[meat transportation]])/100</f>
        <v>0.97499999999999998</v>
      </c>
      <c r="AK898" s="1"/>
      <c r="AL898" s="1"/>
    </row>
    <row r="899" spans="1:38" hidden="1" x14ac:dyDescent="0.2">
      <c r="A899" s="11">
        <v>45311</v>
      </c>
      <c r="B899" s="53" t="s">
        <v>1932</v>
      </c>
      <c r="C899" s="52" t="str">
        <f>IF(MID(B899,4,2)="09","Ramadan",IF(AND(MID(B899,4,2)="12",VALUE(LEFT(B899,2))&lt;=9),"Adha Season","Normal"))</f>
        <v>Normal</v>
      </c>
      <c r="D899" s="1" t="s">
        <v>45</v>
      </c>
      <c r="E899" s="1" t="s">
        <v>528</v>
      </c>
      <c r="F899" s="4" t="s">
        <v>462</v>
      </c>
      <c r="G899" s="1">
        <v>56</v>
      </c>
      <c r="H899" s="1">
        <v>56</v>
      </c>
      <c r="I899" s="1">
        <f>grand[[#This Row],[number]]-grand[[#This Row],[received]]</f>
        <v>0</v>
      </c>
      <c r="J899" s="30"/>
      <c r="K899" s="2">
        <v>27629.113924050627</v>
      </c>
      <c r="L899" s="2">
        <v>27629.113924050627</v>
      </c>
      <c r="M899" s="2">
        <f>K899-L899</f>
        <v>0</v>
      </c>
      <c r="N899" s="2">
        <v>17461.599999999999</v>
      </c>
      <c r="O899" s="2">
        <v>0</v>
      </c>
      <c r="P899" s="7">
        <f>grand[[#This Row],[total weight]]/grand[[#This Row],[received]]</f>
        <v>493.3770343580469</v>
      </c>
      <c r="Q899" s="7">
        <f>grand[[#This Row],[receiving weight]]/grand[[#This Row],[received]]</f>
        <v>493.3770343580469</v>
      </c>
      <c r="R899" s="7">
        <f>grand[[#This Row],[transportation loss ]]/grand[[#This Row],[received]]</f>
        <v>0</v>
      </c>
      <c r="S899" s="7">
        <f>grand[[#This Row],[ carcass weight]]/grand[[#This Row],[received]]</f>
        <v>311.81428571428569</v>
      </c>
      <c r="T899" s="7">
        <f>grand[[#This Row],[ kidneys fat quantity]]/grand[[#This Row],[received]]</f>
        <v>0</v>
      </c>
      <c r="U899" s="1">
        <v>25</v>
      </c>
      <c r="V899" s="1">
        <v>4</v>
      </c>
      <c r="W899" s="1">
        <v>50</v>
      </c>
      <c r="X899" s="1">
        <v>10</v>
      </c>
      <c r="Y899" s="1">
        <v>8.5</v>
      </c>
      <c r="Z899" s="18">
        <f>grand[[#This Row],[av. Transportation loss]]/grand[[#This Row],[av.total weight]]</f>
        <v>0</v>
      </c>
      <c r="AA899" s="12">
        <f>AVERAGE((grand[[#This Row],[am]]/25),(grand[[#This Row],[pm]]/50))</f>
        <v>1</v>
      </c>
      <c r="AB899" s="3">
        <f>grand[[#This Row],[ carcass weight]]/grand[[#This Row],[total weight]]</f>
        <v>0.63200000000000012</v>
      </c>
      <c r="AC899" s="18">
        <f>SUM(grand[[#This Row],[am]:[meat transportation]])/100</f>
        <v>0.97499999999999998</v>
      </c>
      <c r="AK899" s="1"/>
      <c r="AL899" s="1"/>
    </row>
    <row r="900" spans="1:38" hidden="1" x14ac:dyDescent="0.2">
      <c r="A900" s="11">
        <v>45313</v>
      </c>
      <c r="B900" s="53" t="s">
        <v>2863</v>
      </c>
      <c r="C900" s="52" t="str">
        <f>IF(MID(B900,4,2)="09","Ramadan",IF(AND(MID(B900,4,2)="12",VALUE(LEFT(B900,2))&lt;=9),"Adha Season","Normal"))</f>
        <v>Normal</v>
      </c>
      <c r="D900" s="1" t="s">
        <v>45</v>
      </c>
      <c r="E900" s="1" t="s">
        <v>528</v>
      </c>
      <c r="F900" s="4" t="s">
        <v>462</v>
      </c>
      <c r="G900" s="1">
        <v>45</v>
      </c>
      <c r="H900" s="1">
        <v>45</v>
      </c>
      <c r="I900" s="1">
        <f>grand[[#This Row],[number]]-grand[[#This Row],[received]]</f>
        <v>0</v>
      </c>
      <c r="J900" s="30"/>
      <c r="K900" s="2">
        <v>21716.455696202531</v>
      </c>
      <c r="L900" s="2">
        <v>21716.455696202531</v>
      </c>
      <c r="M900" s="2">
        <f>K900-L900</f>
        <v>0</v>
      </c>
      <c r="N900" s="2">
        <v>13724.8</v>
      </c>
      <c r="O900" s="2">
        <v>0</v>
      </c>
      <c r="P900" s="7">
        <f>grand[[#This Row],[total weight]]/grand[[#This Row],[received]]</f>
        <v>482.58790436005626</v>
      </c>
      <c r="Q900" s="7">
        <f>grand[[#This Row],[receiving weight]]/grand[[#This Row],[received]]</f>
        <v>482.58790436005626</v>
      </c>
      <c r="R900" s="7">
        <f>grand[[#This Row],[transportation loss ]]/grand[[#This Row],[received]]</f>
        <v>0</v>
      </c>
      <c r="S900" s="7">
        <f>grand[[#This Row],[ carcass weight]]/grand[[#This Row],[received]]</f>
        <v>304.99555555555554</v>
      </c>
      <c r="T900" s="7">
        <f>grand[[#This Row],[ kidneys fat quantity]]/grand[[#This Row],[received]]</f>
        <v>0</v>
      </c>
      <c r="U900" s="1">
        <v>25</v>
      </c>
      <c r="V900" s="1">
        <v>0</v>
      </c>
      <c r="W900" s="1">
        <v>50</v>
      </c>
      <c r="X900" s="1">
        <v>10</v>
      </c>
      <c r="Y900" s="1">
        <v>8.5</v>
      </c>
      <c r="Z900" s="18">
        <f>grand[[#This Row],[av. Transportation loss]]/grand[[#This Row],[av.total weight]]</f>
        <v>0</v>
      </c>
      <c r="AA900" s="12">
        <f>AVERAGE((grand[[#This Row],[am]]/25),(grand[[#This Row],[pm]]/50))</f>
        <v>1</v>
      </c>
      <c r="AB900" s="3">
        <f>grand[[#This Row],[ carcass weight]]/grand[[#This Row],[total weight]]</f>
        <v>0.63200000000000001</v>
      </c>
      <c r="AC900" s="18">
        <f>SUM(grand[[#This Row],[am]:[meat transportation]])/100</f>
        <v>0.93500000000000005</v>
      </c>
      <c r="AK900" s="1"/>
      <c r="AL900" s="1"/>
    </row>
    <row r="901" spans="1:38" hidden="1" x14ac:dyDescent="0.2">
      <c r="A901" s="11">
        <v>45316</v>
      </c>
      <c r="B901" s="53" t="s">
        <v>1933</v>
      </c>
      <c r="C901" s="52" t="str">
        <f>IF(MID(B901,4,2)="09","Ramadan",IF(AND(MID(B901,4,2)="12",VALUE(LEFT(B901,2))&lt;=9),"Adha Season","Normal"))</f>
        <v>Normal</v>
      </c>
      <c r="D901" s="1" t="s">
        <v>45</v>
      </c>
      <c r="E901" s="1" t="s">
        <v>528</v>
      </c>
      <c r="F901" s="4" t="s">
        <v>462</v>
      </c>
      <c r="G901" s="1">
        <v>39</v>
      </c>
      <c r="H901" s="1">
        <v>39</v>
      </c>
      <c r="I901" s="1">
        <f>grand[[#This Row],[number]]-grand[[#This Row],[received]]</f>
        <v>0</v>
      </c>
      <c r="J901" s="30"/>
      <c r="K901" s="2">
        <v>18823.101265822785</v>
      </c>
      <c r="L901" s="2">
        <v>18823.101265822785</v>
      </c>
      <c r="M901" s="2">
        <f>K901-L901</f>
        <v>0</v>
      </c>
      <c r="N901" s="2">
        <v>11896.2</v>
      </c>
      <c r="O901" s="2">
        <v>0</v>
      </c>
      <c r="P901" s="7">
        <f>grand[[#This Row],[total weight]]/grand[[#This Row],[received]]</f>
        <v>482.64362220058422</v>
      </c>
      <c r="Q901" s="7">
        <f>grand[[#This Row],[receiving weight]]/grand[[#This Row],[received]]</f>
        <v>482.64362220058422</v>
      </c>
      <c r="R901" s="7">
        <f>grand[[#This Row],[transportation loss ]]/grand[[#This Row],[received]]</f>
        <v>0</v>
      </c>
      <c r="S901" s="7">
        <f>grand[[#This Row],[ carcass weight]]/grand[[#This Row],[received]]</f>
        <v>305.03076923076924</v>
      </c>
      <c r="T901" s="7">
        <f>grand[[#This Row],[ kidneys fat quantity]]/grand[[#This Row],[received]]</f>
        <v>0</v>
      </c>
      <c r="U901" s="1">
        <v>25</v>
      </c>
      <c r="V901" s="1">
        <v>4</v>
      </c>
      <c r="W901" s="1">
        <v>50</v>
      </c>
      <c r="X901" s="1">
        <v>10</v>
      </c>
      <c r="Y901" s="1">
        <v>8.5</v>
      </c>
      <c r="Z901" s="18">
        <f>grand[[#This Row],[av. Transportation loss]]/grand[[#This Row],[av.total weight]]</f>
        <v>0</v>
      </c>
      <c r="AA901" s="12">
        <f>AVERAGE((grand[[#This Row],[am]]/25),(grand[[#This Row],[pm]]/50))</f>
        <v>1</v>
      </c>
      <c r="AB901" s="3">
        <f>grand[[#This Row],[ carcass weight]]/grand[[#This Row],[total weight]]</f>
        <v>0.63200000000000001</v>
      </c>
      <c r="AC901" s="18">
        <f>SUM(grand[[#This Row],[am]:[meat transportation]])/100</f>
        <v>0.97499999999999998</v>
      </c>
      <c r="AK901" s="1"/>
      <c r="AL901" s="1"/>
    </row>
    <row r="902" spans="1:38" hidden="1" x14ac:dyDescent="0.2">
      <c r="A902" s="11">
        <v>45318</v>
      </c>
      <c r="B902" s="53" t="s">
        <v>2865</v>
      </c>
      <c r="C902" s="52" t="str">
        <f>IF(MID(B902,4,2)="09","Ramadan",IF(AND(MID(B902,4,2)="12",VALUE(LEFT(B902,2))&lt;=9),"Adha Season","Normal"))</f>
        <v>Normal</v>
      </c>
      <c r="D902" s="1" t="s">
        <v>45</v>
      </c>
      <c r="E902" s="1" t="s">
        <v>528</v>
      </c>
      <c r="F902" s="4" t="s">
        <v>462</v>
      </c>
      <c r="G902" s="1">
        <v>54</v>
      </c>
      <c r="H902" s="1">
        <v>54</v>
      </c>
      <c r="I902" s="1">
        <f>grand[[#This Row],[number]]-grand[[#This Row],[received]]</f>
        <v>0</v>
      </c>
      <c r="J902" s="30"/>
      <c r="K902" s="2">
        <v>24503.797468354431</v>
      </c>
      <c r="L902" s="2">
        <v>24503.797468354431</v>
      </c>
      <c r="M902" s="2">
        <f>K902-L902</f>
        <v>0</v>
      </c>
      <c r="N902" s="2">
        <v>15486.4</v>
      </c>
      <c r="O902" s="2">
        <v>0</v>
      </c>
      <c r="P902" s="7">
        <f>grand[[#This Row],[total weight]]/grand[[#This Row],[received]]</f>
        <v>453.7740271917487</v>
      </c>
      <c r="Q902" s="7">
        <f>grand[[#This Row],[receiving weight]]/grand[[#This Row],[received]]</f>
        <v>453.7740271917487</v>
      </c>
      <c r="R902" s="7">
        <f>grand[[#This Row],[transportation loss ]]/grand[[#This Row],[received]]</f>
        <v>0</v>
      </c>
      <c r="S902" s="7">
        <f>grand[[#This Row],[ carcass weight]]/grand[[#This Row],[received]]</f>
        <v>286.78518518518518</v>
      </c>
      <c r="T902" s="7">
        <f>grand[[#This Row],[ kidneys fat quantity]]/grand[[#This Row],[received]]</f>
        <v>0</v>
      </c>
      <c r="U902" s="1">
        <v>25</v>
      </c>
      <c r="V902" s="1">
        <v>4</v>
      </c>
      <c r="W902" s="1">
        <v>50</v>
      </c>
      <c r="X902" s="1">
        <v>10</v>
      </c>
      <c r="Y902" s="1">
        <v>8.5</v>
      </c>
      <c r="Z902" s="18">
        <f>grand[[#This Row],[av. Transportation loss]]/grand[[#This Row],[av.total weight]]</f>
        <v>0</v>
      </c>
      <c r="AA902" s="12">
        <f>AVERAGE((grand[[#This Row],[am]]/25),(grand[[#This Row],[pm]]/50))</f>
        <v>1</v>
      </c>
      <c r="AB902" s="3">
        <f>grand[[#This Row],[ carcass weight]]/grand[[#This Row],[total weight]]</f>
        <v>0.63200000000000001</v>
      </c>
      <c r="AC902" s="18">
        <f>SUM(grand[[#This Row],[am]:[meat transportation]])/100</f>
        <v>0.97499999999999998</v>
      </c>
      <c r="AK902" s="1"/>
      <c r="AL902" s="1"/>
    </row>
    <row r="903" spans="1:38" hidden="1" x14ac:dyDescent="0.2">
      <c r="A903" s="11">
        <v>45320</v>
      </c>
      <c r="B903" s="53" t="s">
        <v>2866</v>
      </c>
      <c r="C903" s="52" t="str">
        <f>IF(MID(B903,4,2)="09","Ramadan",IF(AND(MID(B903,4,2)="12",VALUE(LEFT(B903,2))&lt;=9),"Adha Season","Normal"))</f>
        <v>Normal</v>
      </c>
      <c r="D903" s="1" t="s">
        <v>45</v>
      </c>
      <c r="E903" s="1" t="s">
        <v>528</v>
      </c>
      <c r="F903" s="4" t="s">
        <v>462</v>
      </c>
      <c r="G903" s="1">
        <v>48</v>
      </c>
      <c r="H903" s="1">
        <v>48</v>
      </c>
      <c r="I903" s="1">
        <f>grand[[#This Row],[number]]-grand[[#This Row],[received]]</f>
        <v>0</v>
      </c>
      <c r="J903" s="30"/>
      <c r="K903" s="2">
        <v>20948.734177215189</v>
      </c>
      <c r="L903" s="2">
        <v>20948.734177215189</v>
      </c>
      <c r="M903" s="2">
        <f>K903-L903</f>
        <v>0</v>
      </c>
      <c r="N903" s="2">
        <v>13239.6</v>
      </c>
      <c r="O903" s="2">
        <v>0</v>
      </c>
      <c r="P903" s="7">
        <f>grand[[#This Row],[total weight]]/grand[[#This Row],[received]]</f>
        <v>436.43196202531641</v>
      </c>
      <c r="Q903" s="7">
        <f>grand[[#This Row],[receiving weight]]/grand[[#This Row],[received]]</f>
        <v>436.43196202531641</v>
      </c>
      <c r="R903" s="7">
        <f>grand[[#This Row],[transportation loss ]]/grand[[#This Row],[received]]</f>
        <v>0</v>
      </c>
      <c r="S903" s="7">
        <f>grand[[#This Row],[ carcass weight]]/grand[[#This Row],[received]]</f>
        <v>275.82499999999999</v>
      </c>
      <c r="T903" s="7">
        <f>grand[[#This Row],[ kidneys fat quantity]]/grand[[#This Row],[received]]</f>
        <v>0</v>
      </c>
      <c r="U903" s="1">
        <v>25</v>
      </c>
      <c r="V903" s="1">
        <v>4</v>
      </c>
      <c r="W903" s="1">
        <v>50</v>
      </c>
      <c r="X903" s="1">
        <v>10</v>
      </c>
      <c r="Y903" s="1">
        <v>8.5</v>
      </c>
      <c r="Z903" s="18">
        <f>grand[[#This Row],[av. Transportation loss]]/grand[[#This Row],[av.total weight]]</f>
        <v>0</v>
      </c>
      <c r="AA903" s="12">
        <f>AVERAGE((grand[[#This Row],[am]]/25),(grand[[#This Row],[pm]]/50))</f>
        <v>1</v>
      </c>
      <c r="AB903" s="3">
        <f>grand[[#This Row],[ carcass weight]]/grand[[#This Row],[total weight]]</f>
        <v>0.63200000000000001</v>
      </c>
      <c r="AC903" s="18">
        <f>SUM(grand[[#This Row],[am]:[meat transportation]])/100</f>
        <v>0.97499999999999998</v>
      </c>
      <c r="AK903" s="1"/>
      <c r="AL903" s="1"/>
    </row>
    <row r="904" spans="1:38" hidden="1" x14ac:dyDescent="0.2">
      <c r="A904" s="11">
        <v>45325</v>
      </c>
      <c r="B904" s="53" t="s">
        <v>1934</v>
      </c>
      <c r="C904" s="52" t="str">
        <f>IF(MID(B904,4,2)="09","Ramadan",IF(AND(MID(B904,4,2)="12",VALUE(LEFT(B904,2))&lt;=9),"Adha Season","Normal"))</f>
        <v>Normal</v>
      </c>
      <c r="D904" s="1" t="s">
        <v>45</v>
      </c>
      <c r="E904" s="1" t="s">
        <v>528</v>
      </c>
      <c r="F904" s="4" t="s">
        <v>462</v>
      </c>
      <c r="G904" s="1">
        <v>55</v>
      </c>
      <c r="H904" s="1">
        <v>55</v>
      </c>
      <c r="I904" s="1">
        <f>grand[[#This Row],[number]]-grand[[#This Row],[received]]</f>
        <v>0</v>
      </c>
      <c r="J904" s="30"/>
      <c r="K904" s="2">
        <v>26128.164556962023</v>
      </c>
      <c r="L904" s="2">
        <v>26128.164556962023</v>
      </c>
      <c r="M904" s="2">
        <f>K904-L904</f>
        <v>0</v>
      </c>
      <c r="N904" s="2">
        <v>16513</v>
      </c>
      <c r="O904" s="2">
        <v>0</v>
      </c>
      <c r="P904" s="7">
        <f>grand[[#This Row],[total weight]]/grand[[#This Row],[received]]</f>
        <v>475.05753739930952</v>
      </c>
      <c r="Q904" s="7">
        <f>grand[[#This Row],[receiving weight]]/grand[[#This Row],[received]]</f>
        <v>475.05753739930952</v>
      </c>
      <c r="R904" s="7">
        <f>grand[[#This Row],[transportation loss ]]/grand[[#This Row],[received]]</f>
        <v>0</v>
      </c>
      <c r="S904" s="7">
        <f>grand[[#This Row],[ carcass weight]]/grand[[#This Row],[received]]</f>
        <v>300.23636363636365</v>
      </c>
      <c r="T904" s="7">
        <f>grand[[#This Row],[ kidneys fat quantity]]/grand[[#This Row],[received]]</f>
        <v>0</v>
      </c>
      <c r="U904" s="1">
        <v>25</v>
      </c>
      <c r="V904" s="1">
        <v>0</v>
      </c>
      <c r="W904" s="1">
        <v>49.18181818181818</v>
      </c>
      <c r="X904" s="1">
        <v>9.6363636363636367</v>
      </c>
      <c r="Y904" s="1">
        <v>8.5</v>
      </c>
      <c r="Z904" s="18">
        <f>grand[[#This Row],[av. Transportation loss]]/grand[[#This Row],[av.total weight]]</f>
        <v>0</v>
      </c>
      <c r="AA904" s="12">
        <f>AVERAGE((grand[[#This Row],[am]]/25),(grand[[#This Row],[pm]]/50))</f>
        <v>0.99181818181818182</v>
      </c>
      <c r="AB904" s="3">
        <f>grand[[#This Row],[ carcass weight]]/grand[[#This Row],[total weight]]</f>
        <v>0.63200000000000001</v>
      </c>
      <c r="AC904" s="18">
        <f>SUM(grand[[#This Row],[am]:[meat transportation]])/100</f>
        <v>0.92318181818181833</v>
      </c>
      <c r="AK904" s="1"/>
      <c r="AL904" s="1"/>
    </row>
    <row r="905" spans="1:38" hidden="1" x14ac:dyDescent="0.2">
      <c r="A905" s="11">
        <v>45327</v>
      </c>
      <c r="B905" s="53" t="s">
        <v>1936</v>
      </c>
      <c r="C905" s="52" t="str">
        <f>IF(MID(B905,4,2)="09","Ramadan",IF(AND(MID(B905,4,2)="12",VALUE(LEFT(B905,2))&lt;=9),"Adha Season","Normal"))</f>
        <v>Normal</v>
      </c>
      <c r="D905" s="1" t="s">
        <v>45</v>
      </c>
      <c r="E905" s="1" t="s">
        <v>528</v>
      </c>
      <c r="F905" s="4" t="s">
        <v>462</v>
      </c>
      <c r="G905" s="1">
        <v>50</v>
      </c>
      <c r="H905" s="1">
        <v>50</v>
      </c>
      <c r="I905" s="1">
        <f>grand[[#This Row],[number]]-grand[[#This Row],[received]]</f>
        <v>0</v>
      </c>
      <c r="J905" s="30"/>
      <c r="K905" s="2">
        <v>22757.911392405062</v>
      </c>
      <c r="L905" s="2">
        <v>22757.911392405062</v>
      </c>
      <c r="M905" s="2">
        <f>K905-L905</f>
        <v>0</v>
      </c>
      <c r="N905" s="2">
        <v>14383</v>
      </c>
      <c r="O905" s="2">
        <v>0</v>
      </c>
      <c r="P905" s="7">
        <f>grand[[#This Row],[total weight]]/grand[[#This Row],[received]]</f>
        <v>455.15822784810121</v>
      </c>
      <c r="Q905" s="7">
        <f>grand[[#This Row],[receiving weight]]/grand[[#This Row],[received]]</f>
        <v>455.15822784810121</v>
      </c>
      <c r="R905" s="7">
        <f>grand[[#This Row],[transportation loss ]]/grand[[#This Row],[received]]</f>
        <v>0</v>
      </c>
      <c r="S905" s="7">
        <f>grand[[#This Row],[ carcass weight]]/grand[[#This Row],[received]]</f>
        <v>287.66000000000003</v>
      </c>
      <c r="T905" s="7">
        <f>grand[[#This Row],[ kidneys fat quantity]]/grand[[#This Row],[received]]</f>
        <v>0</v>
      </c>
      <c r="U905" s="1">
        <v>25</v>
      </c>
      <c r="V905" s="1">
        <v>4</v>
      </c>
      <c r="W905" s="1">
        <v>50</v>
      </c>
      <c r="X905" s="1">
        <v>10</v>
      </c>
      <c r="Y905" s="1">
        <v>8.5</v>
      </c>
      <c r="Z905" s="18">
        <f>grand[[#This Row],[av. Transportation loss]]/grand[[#This Row],[av.total weight]]</f>
        <v>0</v>
      </c>
      <c r="AA905" s="12">
        <f>AVERAGE((grand[[#This Row],[am]]/25),(grand[[#This Row],[pm]]/50))</f>
        <v>1</v>
      </c>
      <c r="AB905" s="3">
        <f>grand[[#This Row],[ carcass weight]]/grand[[#This Row],[total weight]]</f>
        <v>0.63200000000000001</v>
      </c>
      <c r="AC905" s="18">
        <f>SUM(grand[[#This Row],[am]:[meat transportation]])/100</f>
        <v>0.97499999999999998</v>
      </c>
      <c r="AK905" s="1"/>
      <c r="AL905" s="1"/>
    </row>
    <row r="906" spans="1:38" hidden="1" x14ac:dyDescent="0.2">
      <c r="A906" s="11">
        <v>45328</v>
      </c>
      <c r="B906" s="53" t="s">
        <v>1937</v>
      </c>
      <c r="C906" s="52" t="str">
        <f>IF(MID(B906,4,2)="09","Ramadan",IF(AND(MID(B906,4,2)="12",VALUE(LEFT(B906,2))&lt;=9),"Adha Season","Normal"))</f>
        <v>Normal</v>
      </c>
      <c r="D906" s="1" t="s">
        <v>45</v>
      </c>
      <c r="E906" s="1" t="s">
        <v>483</v>
      </c>
      <c r="F906" s="4" t="s">
        <v>550</v>
      </c>
      <c r="G906" s="1">
        <v>18</v>
      </c>
      <c r="H906" s="1">
        <v>18</v>
      </c>
      <c r="I906" s="1">
        <f>grand[[#This Row],[number]]-grand[[#This Row],[received]]</f>
        <v>0</v>
      </c>
      <c r="J906" s="30"/>
      <c r="K906" s="2">
        <v>7925</v>
      </c>
      <c r="L906" s="2">
        <v>7925</v>
      </c>
      <c r="M906" s="2">
        <f>K906-L906</f>
        <v>0</v>
      </c>
      <c r="N906" s="2">
        <v>4755.3</v>
      </c>
      <c r="O906" s="2">
        <v>87</v>
      </c>
      <c r="P906" s="7">
        <f>grand[[#This Row],[total weight]]/grand[[#This Row],[received]]</f>
        <v>440.27777777777777</v>
      </c>
      <c r="Q906" s="7">
        <f>grand[[#This Row],[receiving weight]]/grand[[#This Row],[received]]</f>
        <v>440.27777777777777</v>
      </c>
      <c r="R906" s="7">
        <f>grand[[#This Row],[transportation loss ]]/grand[[#This Row],[received]]</f>
        <v>0</v>
      </c>
      <c r="S906" s="7">
        <f>grand[[#This Row],[ carcass weight]]/grand[[#This Row],[received]]</f>
        <v>264.18333333333334</v>
      </c>
      <c r="T906" s="7">
        <f>grand[[#This Row],[ kidneys fat quantity]]/grand[[#This Row],[received]]</f>
        <v>4.833333333333333</v>
      </c>
      <c r="U906" s="1">
        <v>25</v>
      </c>
      <c r="V906" s="1">
        <v>0</v>
      </c>
      <c r="W906" s="1">
        <v>48.277777777777779</v>
      </c>
      <c r="X906" s="1">
        <v>10</v>
      </c>
      <c r="Y906" s="1">
        <v>8.5</v>
      </c>
      <c r="Z906" s="18">
        <f>grand[[#This Row],[av. Transportation loss]]/grand[[#This Row],[av.total weight]]</f>
        <v>0</v>
      </c>
      <c r="AA906" s="12">
        <f>AVERAGE((grand[[#This Row],[am]]/25),(grand[[#This Row],[pm]]/50))</f>
        <v>0.98277777777777775</v>
      </c>
      <c r="AB906" s="3">
        <f>grand[[#This Row],[ carcass weight]]/grand[[#This Row],[total weight]]</f>
        <v>0.60003785488958994</v>
      </c>
      <c r="AC906" s="18">
        <f>SUM(grand[[#This Row],[am]:[meat transportation]])/100</f>
        <v>0.91777777777777769</v>
      </c>
      <c r="AJ906" s="1">
        <v>12</v>
      </c>
      <c r="AK906" s="1"/>
      <c r="AL906" s="1"/>
    </row>
    <row r="907" spans="1:38" hidden="1" x14ac:dyDescent="0.2">
      <c r="A907" s="11">
        <v>45329</v>
      </c>
      <c r="B907" s="53" t="s">
        <v>1938</v>
      </c>
      <c r="C907" s="52" t="str">
        <f>IF(MID(B907,4,2)="09","Ramadan",IF(AND(MID(B907,4,2)="12",VALUE(LEFT(B907,2))&lt;=9),"Adha Season","Normal"))</f>
        <v>Normal</v>
      </c>
      <c r="D907" s="1" t="s">
        <v>45</v>
      </c>
      <c r="E907" s="1" t="s">
        <v>528</v>
      </c>
      <c r="F907" s="4" t="s">
        <v>462</v>
      </c>
      <c r="G907" s="1">
        <v>70</v>
      </c>
      <c r="H907" s="1">
        <v>70</v>
      </c>
      <c r="I907" s="1">
        <f>grand[[#This Row],[number]]-grand[[#This Row],[received]]</f>
        <v>0</v>
      </c>
      <c r="J907" s="30"/>
      <c r="K907" s="2">
        <v>29798.417721518981</v>
      </c>
      <c r="L907" s="2">
        <v>29798.417721518981</v>
      </c>
      <c r="M907" s="2">
        <f>K907-L907</f>
        <v>0</v>
      </c>
      <c r="N907" s="2">
        <v>18832.599999999999</v>
      </c>
      <c r="O907" s="2">
        <v>0</v>
      </c>
      <c r="P907" s="7">
        <f>grand[[#This Row],[total weight]]/grand[[#This Row],[received]]</f>
        <v>425.69168173598547</v>
      </c>
      <c r="Q907" s="7">
        <f>grand[[#This Row],[receiving weight]]/grand[[#This Row],[received]]</f>
        <v>425.69168173598547</v>
      </c>
      <c r="R907" s="7">
        <f>grand[[#This Row],[transportation loss ]]/grand[[#This Row],[received]]</f>
        <v>0</v>
      </c>
      <c r="S907" s="7">
        <f>grand[[#This Row],[ carcass weight]]/grand[[#This Row],[received]]</f>
        <v>269.03714285714284</v>
      </c>
      <c r="T907" s="7">
        <f>grand[[#This Row],[ kidneys fat quantity]]/grand[[#This Row],[received]]</f>
        <v>0</v>
      </c>
      <c r="U907" s="1">
        <v>25</v>
      </c>
      <c r="V907" s="1">
        <v>4</v>
      </c>
      <c r="W907" s="1">
        <v>50</v>
      </c>
      <c r="X907" s="1">
        <v>9.9285714285714288</v>
      </c>
      <c r="Y907" s="1">
        <v>8.5</v>
      </c>
      <c r="Z907" s="18">
        <f>grand[[#This Row],[av. Transportation loss]]/grand[[#This Row],[av.total weight]]</f>
        <v>0</v>
      </c>
      <c r="AA907" s="12">
        <f>AVERAGE((grand[[#This Row],[am]]/25),(grand[[#This Row],[pm]]/50))</f>
        <v>1</v>
      </c>
      <c r="AB907" s="3">
        <f>grand[[#This Row],[ carcass weight]]/grand[[#This Row],[total weight]]</f>
        <v>0.63200000000000012</v>
      </c>
      <c r="AC907" s="18">
        <f>SUM(grand[[#This Row],[am]:[meat transportation]])/100</f>
        <v>0.97428571428571431</v>
      </c>
      <c r="AK907" s="1"/>
      <c r="AL907" s="1"/>
    </row>
    <row r="908" spans="1:38" hidden="1" x14ac:dyDescent="0.2">
      <c r="A908" s="11">
        <v>45330</v>
      </c>
      <c r="B908" s="53" t="s">
        <v>1939</v>
      </c>
      <c r="C908" s="52" t="str">
        <f>IF(MID(B908,4,2)="09","Ramadan",IF(AND(MID(B908,4,2)="12",VALUE(LEFT(B908,2))&lt;=9),"Adha Season","Normal"))</f>
        <v>Normal</v>
      </c>
      <c r="D908" s="1" t="s">
        <v>45</v>
      </c>
      <c r="E908" s="1" t="s">
        <v>528</v>
      </c>
      <c r="F908" s="4" t="s">
        <v>462</v>
      </c>
      <c r="G908" s="1">
        <v>35</v>
      </c>
      <c r="H908" s="1">
        <v>35</v>
      </c>
      <c r="I908" s="1">
        <f>grand[[#This Row],[number]]-grand[[#This Row],[received]]</f>
        <v>0</v>
      </c>
      <c r="J908" s="30"/>
      <c r="K908" s="2">
        <v>14800.3164556962</v>
      </c>
      <c r="L908" s="2">
        <v>14800.3164556962</v>
      </c>
      <c r="M908" s="2">
        <f>K908-L908</f>
        <v>0</v>
      </c>
      <c r="N908" s="2">
        <v>9353</v>
      </c>
      <c r="O908" s="2">
        <v>0</v>
      </c>
      <c r="P908" s="7">
        <f>grand[[#This Row],[total weight]]/grand[[#This Row],[received]]</f>
        <v>422.86618444846289</v>
      </c>
      <c r="Q908" s="7">
        <f>grand[[#This Row],[receiving weight]]/grand[[#This Row],[received]]</f>
        <v>422.86618444846289</v>
      </c>
      <c r="R908" s="7">
        <f>grand[[#This Row],[transportation loss ]]/grand[[#This Row],[received]]</f>
        <v>0</v>
      </c>
      <c r="S908" s="7">
        <f>grand[[#This Row],[ carcass weight]]/grand[[#This Row],[received]]</f>
        <v>267.22857142857146</v>
      </c>
      <c r="T908" s="7">
        <f>grand[[#This Row],[ kidneys fat quantity]]/grand[[#This Row],[received]]</f>
        <v>0</v>
      </c>
      <c r="U908" s="1">
        <v>25</v>
      </c>
      <c r="V908" s="1">
        <v>4</v>
      </c>
      <c r="W908" s="1">
        <v>50</v>
      </c>
      <c r="X908" s="1">
        <v>9.5714285714285712</v>
      </c>
      <c r="Y908" s="1">
        <v>8.5</v>
      </c>
      <c r="Z908" s="18">
        <f>grand[[#This Row],[av. Transportation loss]]/grand[[#This Row],[av.total weight]]</f>
        <v>0</v>
      </c>
      <c r="AA908" s="12">
        <f>AVERAGE((grand[[#This Row],[am]]/25),(grand[[#This Row],[pm]]/50))</f>
        <v>1</v>
      </c>
      <c r="AB908" s="3">
        <f>grand[[#This Row],[ carcass weight]]/grand[[#This Row],[total weight]]</f>
        <v>0.63194594710171281</v>
      </c>
      <c r="AC908" s="18">
        <f>SUM(grand[[#This Row],[am]:[meat transportation]])/100</f>
        <v>0.97071428571428564</v>
      </c>
      <c r="AK908" s="1"/>
      <c r="AL908" s="1"/>
    </row>
    <row r="909" spans="1:38" hidden="1" x14ac:dyDescent="0.2">
      <c r="A909" s="11">
        <v>45334</v>
      </c>
      <c r="B909" s="53" t="s">
        <v>1940</v>
      </c>
      <c r="C909" s="52" t="str">
        <f>IF(MID(B909,4,2)="09","Ramadan",IF(AND(MID(B909,4,2)="12",VALUE(LEFT(B909,2))&lt;=9),"Adha Season","Normal"))</f>
        <v>Normal</v>
      </c>
      <c r="D909" s="1" t="s">
        <v>45</v>
      </c>
      <c r="E909" s="1" t="s">
        <v>528</v>
      </c>
      <c r="F909" s="4" t="s">
        <v>462</v>
      </c>
      <c r="G909" s="1">
        <v>51</v>
      </c>
      <c r="H909" s="1">
        <v>51</v>
      </c>
      <c r="I909" s="1">
        <f>grand[[#This Row],[number]]-grand[[#This Row],[received]]</f>
        <v>0</v>
      </c>
      <c r="J909" s="30"/>
      <c r="K909" s="2">
        <v>21007.594936708861</v>
      </c>
      <c r="L909" s="2">
        <v>21007.594936708861</v>
      </c>
      <c r="M909" s="2">
        <f>K909-L909</f>
        <v>0</v>
      </c>
      <c r="N909" s="2">
        <v>13276.8</v>
      </c>
      <c r="O909" s="2">
        <v>0</v>
      </c>
      <c r="P909" s="7">
        <f>grand[[#This Row],[total weight]]/grand[[#This Row],[received]]</f>
        <v>411.91362620997768</v>
      </c>
      <c r="Q909" s="7">
        <f>grand[[#This Row],[receiving weight]]/grand[[#This Row],[received]]</f>
        <v>411.91362620997768</v>
      </c>
      <c r="R909" s="7">
        <f>grand[[#This Row],[transportation loss ]]/grand[[#This Row],[received]]</f>
        <v>0</v>
      </c>
      <c r="S909" s="7">
        <f>grand[[#This Row],[ carcass weight]]/grand[[#This Row],[received]]</f>
        <v>260.32941176470587</v>
      </c>
      <c r="T909" s="7">
        <f>grand[[#This Row],[ kidneys fat quantity]]/grand[[#This Row],[received]]</f>
        <v>0</v>
      </c>
      <c r="U909" s="1">
        <v>25</v>
      </c>
      <c r="V909" s="1">
        <v>4</v>
      </c>
      <c r="W909" s="1">
        <v>50</v>
      </c>
      <c r="X909" s="1">
        <v>9.9019607843137258</v>
      </c>
      <c r="Y909" s="1">
        <v>8.5</v>
      </c>
      <c r="Z909" s="18">
        <f>grand[[#This Row],[av. Transportation loss]]/grand[[#This Row],[av.total weight]]</f>
        <v>0</v>
      </c>
      <c r="AA909" s="12">
        <f>AVERAGE((grand[[#This Row],[am]]/25),(grand[[#This Row],[pm]]/50))</f>
        <v>1</v>
      </c>
      <c r="AB909" s="3">
        <f>grand[[#This Row],[ carcass weight]]/grand[[#This Row],[total weight]]</f>
        <v>0.6319999999999999</v>
      </c>
      <c r="AC909" s="18">
        <f>SUM(grand[[#This Row],[am]:[meat transportation]])/100</f>
        <v>0.97401960784313735</v>
      </c>
      <c r="AK909" s="1"/>
      <c r="AL909" s="1"/>
    </row>
    <row r="910" spans="1:38" hidden="1" x14ac:dyDescent="0.2">
      <c r="A910" s="11">
        <v>45337</v>
      </c>
      <c r="B910" s="53" t="s">
        <v>1941</v>
      </c>
      <c r="C910" s="52" t="str">
        <f>IF(MID(B910,4,2)="09","Ramadan",IF(AND(MID(B910,4,2)="12",VALUE(LEFT(B910,2))&lt;=9),"Adha Season","Normal"))</f>
        <v>Normal</v>
      </c>
      <c r="D910" s="1" t="s">
        <v>45</v>
      </c>
      <c r="E910" s="1" t="s">
        <v>528</v>
      </c>
      <c r="F910" s="4" t="s">
        <v>462</v>
      </c>
      <c r="G910" s="1">
        <v>35</v>
      </c>
      <c r="H910" s="1">
        <v>35</v>
      </c>
      <c r="I910" s="1">
        <f>grand[[#This Row],[number]]-grand[[#This Row],[received]]</f>
        <v>0</v>
      </c>
      <c r="J910" s="30"/>
      <c r="K910" s="2">
        <v>14728.164556962027</v>
      </c>
      <c r="L910" s="2">
        <v>14728.164556962027</v>
      </c>
      <c r="M910" s="2">
        <f>K910-L910</f>
        <v>0</v>
      </c>
      <c r="N910" s="2">
        <v>9308.2000000000007</v>
      </c>
      <c r="O910" s="2">
        <v>0</v>
      </c>
      <c r="P910" s="7">
        <f>grand[[#This Row],[total weight]]/grand[[#This Row],[received]]</f>
        <v>420.80470162748651</v>
      </c>
      <c r="Q910" s="7">
        <f>grand[[#This Row],[receiving weight]]/grand[[#This Row],[received]]</f>
        <v>420.80470162748651</v>
      </c>
      <c r="R910" s="7">
        <f>grand[[#This Row],[transportation loss ]]/grand[[#This Row],[received]]</f>
        <v>0</v>
      </c>
      <c r="S910" s="7">
        <f>grand[[#This Row],[ carcass weight]]/grand[[#This Row],[received]]</f>
        <v>265.94857142857143</v>
      </c>
      <c r="T910" s="7">
        <f>grand[[#This Row],[ kidneys fat quantity]]/grand[[#This Row],[received]]</f>
        <v>0</v>
      </c>
      <c r="U910" s="1">
        <v>25</v>
      </c>
      <c r="V910" s="1">
        <v>4</v>
      </c>
      <c r="W910" s="1">
        <v>50</v>
      </c>
      <c r="X910" s="1">
        <v>10</v>
      </c>
      <c r="Y910" s="1">
        <v>8.5</v>
      </c>
      <c r="Z910" s="18">
        <f>grand[[#This Row],[av. Transportation loss]]/grand[[#This Row],[av.total weight]]</f>
        <v>0</v>
      </c>
      <c r="AA910" s="12">
        <f>AVERAGE((grand[[#This Row],[am]]/25),(grand[[#This Row],[pm]]/50))</f>
        <v>1</v>
      </c>
      <c r="AB910" s="3">
        <f>grand[[#This Row],[ carcass weight]]/grand[[#This Row],[total weight]]</f>
        <v>0.63200000000000001</v>
      </c>
      <c r="AC910" s="18">
        <f>SUM(grand[[#This Row],[am]:[meat transportation]])/100</f>
        <v>0.97499999999999998</v>
      </c>
      <c r="AK910" s="1"/>
      <c r="AL910" s="1"/>
    </row>
    <row r="911" spans="1:38" hidden="1" x14ac:dyDescent="0.2">
      <c r="A911" s="11">
        <v>45340</v>
      </c>
      <c r="B911" s="53" t="s">
        <v>2871</v>
      </c>
      <c r="C911" s="52" t="str">
        <f>IF(MID(B911,4,2)="09","Ramadan",IF(AND(MID(B911,4,2)="12",VALUE(LEFT(B911,2))&lt;=9),"Adha Season","Normal"))</f>
        <v>Normal</v>
      </c>
      <c r="D911" s="2" t="s">
        <v>294</v>
      </c>
      <c r="F911" s="4" t="s">
        <v>334</v>
      </c>
      <c r="G911" s="1">
        <v>20</v>
      </c>
      <c r="H911" s="1">
        <v>20</v>
      </c>
      <c r="I911" s="1">
        <f>grand[[#This Row],[number]]-grand[[#This Row],[received]]</f>
        <v>0</v>
      </c>
      <c r="J911" s="30"/>
      <c r="K911" s="2">
        <v>944</v>
      </c>
      <c r="L911" s="2">
        <v>944</v>
      </c>
      <c r="M911" s="2">
        <f>K911-L911</f>
        <v>0</v>
      </c>
      <c r="N911" s="2">
        <v>538.5</v>
      </c>
      <c r="O911" s="2">
        <v>0</v>
      </c>
      <c r="P911" s="7">
        <f>grand[[#This Row],[total weight]]/grand[[#This Row],[received]]</f>
        <v>47.2</v>
      </c>
      <c r="Q911" s="7">
        <f>grand[[#This Row],[receiving weight]]/grand[[#This Row],[received]]</f>
        <v>47.2</v>
      </c>
      <c r="R911" s="7">
        <f>grand[[#This Row],[transportation loss ]]/grand[[#This Row],[received]]</f>
        <v>0</v>
      </c>
      <c r="S911" s="7">
        <f>grand[[#This Row],[ carcass weight]]/grand[[#This Row],[received]]</f>
        <v>26.925000000000001</v>
      </c>
      <c r="T911" s="7">
        <f>grand[[#This Row],[ kidneys fat quantity]]/grand[[#This Row],[received]]</f>
        <v>0</v>
      </c>
      <c r="U911" s="1">
        <v>25</v>
      </c>
      <c r="V911" s="1">
        <v>0</v>
      </c>
      <c r="W911" s="1">
        <v>49.05</v>
      </c>
      <c r="X911" s="1">
        <v>10</v>
      </c>
      <c r="Y911" s="1">
        <v>8.5</v>
      </c>
      <c r="Z911" s="18">
        <f>grand[[#This Row],[av. Transportation loss]]/grand[[#This Row],[av.total weight]]</f>
        <v>0</v>
      </c>
      <c r="AA911" s="12">
        <f>AVERAGE((grand[[#This Row],[am]]/25),(grand[[#This Row],[pm]]/50))</f>
        <v>0.99049999999999994</v>
      </c>
      <c r="AB911" s="3">
        <f>grand[[#This Row],[ carcass weight]]/grand[[#This Row],[total weight]]</f>
        <v>0.57044491525423724</v>
      </c>
      <c r="AC911" s="18">
        <f>SUM(grand[[#This Row],[am]:[meat transportation]])/100</f>
        <v>0.92549999999999999</v>
      </c>
      <c r="AK911" s="1"/>
      <c r="AL911" s="1"/>
    </row>
    <row r="912" spans="1:38" hidden="1" x14ac:dyDescent="0.2">
      <c r="A912" s="11">
        <v>45341</v>
      </c>
      <c r="B912" s="53" t="s">
        <v>1942</v>
      </c>
      <c r="C912" s="52" t="str">
        <f>IF(MID(B912,4,2)="09","Ramadan",IF(AND(MID(B912,4,2)="12",VALUE(LEFT(B912,2))&lt;=9),"Adha Season","Normal"))</f>
        <v>Normal</v>
      </c>
      <c r="D912" s="2" t="s">
        <v>294</v>
      </c>
      <c r="F912" s="4" t="s">
        <v>334</v>
      </c>
      <c r="G912" s="1">
        <v>7</v>
      </c>
      <c r="H912" s="1">
        <v>7</v>
      </c>
      <c r="I912" s="1">
        <f>grand[[#This Row],[number]]-grand[[#This Row],[received]]</f>
        <v>0</v>
      </c>
      <c r="J912" s="30"/>
      <c r="K912" s="2">
        <v>325</v>
      </c>
      <c r="L912" s="2">
        <v>320</v>
      </c>
      <c r="M912" s="2">
        <f>K912-L912</f>
        <v>5</v>
      </c>
      <c r="N912" s="2">
        <v>182.5</v>
      </c>
      <c r="O912" s="2">
        <v>0</v>
      </c>
      <c r="P912" s="7">
        <f>grand[[#This Row],[total weight]]/grand[[#This Row],[received]]</f>
        <v>46.428571428571431</v>
      </c>
      <c r="Q912" s="7">
        <f>grand[[#This Row],[receiving weight]]/grand[[#This Row],[received]]</f>
        <v>45.714285714285715</v>
      </c>
      <c r="R912" s="7">
        <f>grand[[#This Row],[transportation loss ]]/grand[[#This Row],[received]]</f>
        <v>0.7142857142857143</v>
      </c>
      <c r="S912" s="7">
        <f>grand[[#This Row],[ carcass weight]]/grand[[#This Row],[received]]</f>
        <v>26.071428571428573</v>
      </c>
      <c r="T912" s="7">
        <f>grand[[#This Row],[ kidneys fat quantity]]/grand[[#This Row],[received]]</f>
        <v>0</v>
      </c>
      <c r="U912" s="1">
        <v>25</v>
      </c>
      <c r="V912" s="1">
        <v>0</v>
      </c>
      <c r="W912" s="1">
        <v>48</v>
      </c>
      <c r="X912" s="1">
        <v>10</v>
      </c>
      <c r="Y912" s="1">
        <v>8.5</v>
      </c>
      <c r="Z912" s="18">
        <f>grand[[#This Row],[av. Transportation loss]]/grand[[#This Row],[av.total weight]]</f>
        <v>1.5384615384615384E-2</v>
      </c>
      <c r="AA912" s="12">
        <f>AVERAGE((grand[[#This Row],[am]]/25),(grand[[#This Row],[pm]]/50))</f>
        <v>0.98</v>
      </c>
      <c r="AB912" s="3">
        <f>grand[[#This Row],[ carcass weight]]/grand[[#This Row],[total weight]]</f>
        <v>0.56153846153846154</v>
      </c>
      <c r="AC912" s="18">
        <f>SUM(grand[[#This Row],[am]:[meat transportation]])/100</f>
        <v>0.91500000000000004</v>
      </c>
      <c r="AK912" s="1"/>
      <c r="AL912" s="1"/>
    </row>
    <row r="913" spans="1:38" hidden="1" x14ac:dyDescent="0.2">
      <c r="A913" s="11">
        <v>45341</v>
      </c>
      <c r="B913" s="53" t="s">
        <v>1942</v>
      </c>
      <c r="C913" s="52" t="str">
        <f>IF(MID(B913,4,2)="09","Ramadan",IF(AND(MID(B913,4,2)="12",VALUE(LEFT(B913,2))&lt;=9),"Adha Season","Normal"))</f>
        <v>Normal</v>
      </c>
      <c r="D913" s="1" t="s">
        <v>45</v>
      </c>
      <c r="E913" s="1" t="s">
        <v>483</v>
      </c>
      <c r="F913" s="4" t="s">
        <v>280</v>
      </c>
      <c r="G913" s="1">
        <v>40</v>
      </c>
      <c r="H913" s="1">
        <v>40</v>
      </c>
      <c r="I913" s="1">
        <f>grand[[#This Row],[number]]-grand[[#This Row],[received]]</f>
        <v>0</v>
      </c>
      <c r="J913" s="30"/>
      <c r="K913" s="2">
        <v>20730</v>
      </c>
      <c r="L913" s="2">
        <v>20010</v>
      </c>
      <c r="M913" s="2">
        <f>K913-L913</f>
        <v>720</v>
      </c>
      <c r="N913" s="2">
        <v>12442.6</v>
      </c>
      <c r="O913" s="2">
        <v>489</v>
      </c>
      <c r="P913" s="7">
        <f>grand[[#This Row],[total weight]]/grand[[#This Row],[received]]</f>
        <v>518.25</v>
      </c>
      <c r="Q913" s="7">
        <f>grand[[#This Row],[receiving weight]]/grand[[#This Row],[received]]</f>
        <v>500.25</v>
      </c>
      <c r="R913" s="7">
        <f>grand[[#This Row],[transportation loss ]]/grand[[#This Row],[received]]</f>
        <v>18</v>
      </c>
      <c r="S913" s="7">
        <f>grand[[#This Row],[ carcass weight]]/grand[[#This Row],[received]]</f>
        <v>311.065</v>
      </c>
      <c r="T913" s="7">
        <f>grand[[#This Row],[ kidneys fat quantity]]/grand[[#This Row],[received]]</f>
        <v>12.225</v>
      </c>
      <c r="U913" s="1">
        <v>24.125</v>
      </c>
      <c r="V913" s="1">
        <v>0</v>
      </c>
      <c r="W913" s="1">
        <v>48.337500000000006</v>
      </c>
      <c r="X913" s="1">
        <v>10</v>
      </c>
      <c r="Y913" s="1">
        <v>8.5</v>
      </c>
      <c r="Z913" s="18">
        <f>grand[[#This Row],[av. Transportation loss]]/grand[[#This Row],[av.total weight]]</f>
        <v>3.4732272069464547E-2</v>
      </c>
      <c r="AA913" s="12">
        <f>AVERAGE((grand[[#This Row],[am]]/25),(grand[[#This Row],[pm]]/50))</f>
        <v>0.96587500000000004</v>
      </c>
      <c r="AB913" s="3">
        <f>grand[[#This Row],[ carcass weight]]/grand[[#This Row],[total weight]]</f>
        <v>0.60022190062711045</v>
      </c>
      <c r="AC913" s="18">
        <f>SUM(grand[[#This Row],[am]:[meat transportation]])/100</f>
        <v>0.90962500000000002</v>
      </c>
      <c r="AJ913" s="1">
        <v>26</v>
      </c>
      <c r="AK913" s="1"/>
      <c r="AL913" s="1"/>
    </row>
    <row r="914" spans="1:38" hidden="1" x14ac:dyDescent="0.2">
      <c r="A914" s="11">
        <v>45341</v>
      </c>
      <c r="B914" s="53" t="s">
        <v>1942</v>
      </c>
      <c r="C914" s="52" t="str">
        <f>IF(MID(B914,4,2)="09","Ramadan",IF(AND(MID(B914,4,2)="12",VALUE(LEFT(B914,2))&lt;=9),"Adha Season","Normal"))</f>
        <v>Normal</v>
      </c>
      <c r="D914" s="1" t="s">
        <v>45</v>
      </c>
      <c r="E914" s="1" t="s">
        <v>528</v>
      </c>
      <c r="F914" s="4" t="s">
        <v>462</v>
      </c>
      <c r="G914" s="1">
        <v>68</v>
      </c>
      <c r="H914" s="1">
        <v>68</v>
      </c>
      <c r="I914" s="1">
        <f>grand[[#This Row],[number]]-grand[[#This Row],[received]]</f>
        <v>0</v>
      </c>
      <c r="J914" s="30"/>
      <c r="K914" s="2">
        <v>28092.088607594935</v>
      </c>
      <c r="L914" s="2">
        <v>28092.088607594935</v>
      </c>
      <c r="M914" s="2">
        <f>K914-L914</f>
        <v>0</v>
      </c>
      <c r="N914" s="2">
        <v>17754.2</v>
      </c>
      <c r="O914" s="2">
        <v>0</v>
      </c>
      <c r="P914" s="7">
        <f>grand[[#This Row],[total weight]]/grand[[#This Row],[received]]</f>
        <v>413.1189501116902</v>
      </c>
      <c r="Q914" s="7">
        <f>grand[[#This Row],[receiving weight]]/grand[[#This Row],[received]]</f>
        <v>413.1189501116902</v>
      </c>
      <c r="R914" s="7">
        <f>grand[[#This Row],[transportation loss ]]/grand[[#This Row],[received]]</f>
        <v>0</v>
      </c>
      <c r="S914" s="7">
        <f>grand[[#This Row],[ carcass weight]]/grand[[#This Row],[received]]</f>
        <v>261.09117647058827</v>
      </c>
      <c r="T914" s="7">
        <f>grand[[#This Row],[ kidneys fat quantity]]/grand[[#This Row],[received]]</f>
        <v>0</v>
      </c>
      <c r="U914" s="1">
        <v>25</v>
      </c>
      <c r="V914" s="1">
        <v>4</v>
      </c>
      <c r="W914" s="1">
        <v>50</v>
      </c>
      <c r="X914" s="1">
        <v>10</v>
      </c>
      <c r="Y914" s="1">
        <v>8.5</v>
      </c>
      <c r="Z914" s="18">
        <f>grand[[#This Row],[av. Transportation loss]]/grand[[#This Row],[av.total weight]]</f>
        <v>0</v>
      </c>
      <c r="AA914" s="12">
        <f>AVERAGE((grand[[#This Row],[am]]/25),(grand[[#This Row],[pm]]/50))</f>
        <v>1</v>
      </c>
      <c r="AB914" s="3">
        <f>grand[[#This Row],[ carcass weight]]/grand[[#This Row],[total weight]]</f>
        <v>0.63200000000000012</v>
      </c>
      <c r="AC914" s="18">
        <f>SUM(grand[[#This Row],[am]:[meat transportation]])/100</f>
        <v>0.97499999999999998</v>
      </c>
      <c r="AK914" s="1"/>
      <c r="AL914" s="1"/>
    </row>
    <row r="915" spans="1:38" hidden="1" x14ac:dyDescent="0.2">
      <c r="A915" s="11">
        <v>45344</v>
      </c>
      <c r="B915" s="53" t="s">
        <v>2872</v>
      </c>
      <c r="C915" s="52" t="str">
        <f>IF(MID(B915,4,2)="09","Ramadan",IF(AND(MID(B915,4,2)="12",VALUE(LEFT(B915,2))&lt;=9),"Adha Season","Normal"))</f>
        <v>Normal</v>
      </c>
      <c r="D915" s="1" t="s">
        <v>45</v>
      </c>
      <c r="E915" s="1" t="s">
        <v>483</v>
      </c>
      <c r="F915" s="4" t="s">
        <v>43</v>
      </c>
      <c r="G915" s="1">
        <v>26</v>
      </c>
      <c r="H915" s="1">
        <v>26</v>
      </c>
      <c r="I915" s="1">
        <f>grand[[#This Row],[number]]-grand[[#This Row],[received]]</f>
        <v>0</v>
      </c>
      <c r="J915" s="30"/>
      <c r="K915" s="2">
        <v>13490</v>
      </c>
      <c r="L915" s="2">
        <v>13165</v>
      </c>
      <c r="M915" s="2">
        <f>K915-L915</f>
        <v>325</v>
      </c>
      <c r="N915" s="2">
        <v>8093.4</v>
      </c>
      <c r="O915" s="2">
        <v>294</v>
      </c>
      <c r="P915" s="7">
        <f>grand[[#This Row],[total weight]]/grand[[#This Row],[received]]</f>
        <v>518.84615384615381</v>
      </c>
      <c r="Q915" s="7">
        <f>grand[[#This Row],[receiving weight]]/grand[[#This Row],[received]]</f>
        <v>506.34615384615387</v>
      </c>
      <c r="R915" s="7">
        <f>grand[[#This Row],[transportation loss ]]/grand[[#This Row],[received]]</f>
        <v>12.5</v>
      </c>
      <c r="S915" s="7">
        <f>grand[[#This Row],[ carcass weight]]/grand[[#This Row],[received]]</f>
        <v>311.28461538461539</v>
      </c>
      <c r="T915" s="7">
        <f>grand[[#This Row],[ kidneys fat quantity]]/grand[[#This Row],[received]]</f>
        <v>11.307692307692308</v>
      </c>
      <c r="U915" s="1">
        <v>23.888888888888889</v>
      </c>
      <c r="V915" s="1">
        <v>0</v>
      </c>
      <c r="W915" s="1">
        <v>48.333333333333329</v>
      </c>
      <c r="X915" s="1">
        <v>10</v>
      </c>
      <c r="Y915" s="1">
        <v>8.5</v>
      </c>
      <c r="Z915" s="18">
        <f>grand[[#This Row],[av. Transportation loss]]/grand[[#This Row],[av.total weight]]</f>
        <v>2.4091919940696815E-2</v>
      </c>
      <c r="AA915" s="12">
        <f>AVERAGE((grand[[#This Row],[am]]/25),(grand[[#This Row],[pm]]/50))</f>
        <v>0.96111111111111103</v>
      </c>
      <c r="AB915" s="3">
        <f>grand[[#This Row],[ carcass weight]]/grand[[#This Row],[total weight]]</f>
        <v>0.59995552260934026</v>
      </c>
      <c r="AC915" s="18">
        <f>SUM(grand[[#This Row],[am]:[meat transportation]])/100</f>
        <v>0.90722222222222215</v>
      </c>
      <c r="AJ915" s="1">
        <v>13</v>
      </c>
      <c r="AK915" s="1"/>
      <c r="AL915" s="1"/>
    </row>
    <row r="916" spans="1:38" hidden="1" x14ac:dyDescent="0.2">
      <c r="A916" s="11">
        <v>45344</v>
      </c>
      <c r="B916" s="53" t="s">
        <v>2872</v>
      </c>
      <c r="C916" s="52" t="str">
        <f>IF(MID(B916,4,2)="09","Ramadan",IF(AND(MID(B916,4,2)="12",VALUE(LEFT(B916,2))&lt;=9),"Adha Season","Normal"))</f>
        <v>Normal</v>
      </c>
      <c r="D916" s="1" t="s">
        <v>45</v>
      </c>
      <c r="E916" s="1" t="s">
        <v>528</v>
      </c>
      <c r="F916" s="4" t="s">
        <v>462</v>
      </c>
      <c r="G916" s="1">
        <v>40</v>
      </c>
      <c r="H916" s="1">
        <v>40</v>
      </c>
      <c r="I916" s="1">
        <f>grand[[#This Row],[number]]-grand[[#This Row],[received]]</f>
        <v>0</v>
      </c>
      <c r="J916" s="30"/>
      <c r="K916" s="2">
        <v>16661.392405063289</v>
      </c>
      <c r="L916" s="2">
        <v>16661.392405063289</v>
      </c>
      <c r="M916" s="2">
        <f>K916-L916</f>
        <v>0</v>
      </c>
      <c r="N916" s="2">
        <v>10530</v>
      </c>
      <c r="O916" s="2">
        <v>0</v>
      </c>
      <c r="P916" s="7">
        <f>grand[[#This Row],[total weight]]/grand[[#This Row],[received]]</f>
        <v>416.53481012658222</v>
      </c>
      <c r="Q916" s="7">
        <f>grand[[#This Row],[receiving weight]]/grand[[#This Row],[received]]</f>
        <v>416.53481012658222</v>
      </c>
      <c r="R916" s="7">
        <f>grand[[#This Row],[transportation loss ]]/grand[[#This Row],[received]]</f>
        <v>0</v>
      </c>
      <c r="S916" s="7">
        <f>grand[[#This Row],[ carcass weight]]/grand[[#This Row],[received]]</f>
        <v>263.25</v>
      </c>
      <c r="T916" s="7">
        <f>grand[[#This Row],[ kidneys fat quantity]]/grand[[#This Row],[received]]</f>
        <v>0</v>
      </c>
      <c r="U916" s="1">
        <v>25</v>
      </c>
      <c r="V916" s="1">
        <v>4</v>
      </c>
      <c r="W916" s="1">
        <v>50</v>
      </c>
      <c r="X916" s="1">
        <v>10</v>
      </c>
      <c r="Y916" s="1">
        <v>8.5</v>
      </c>
      <c r="Z916" s="18">
        <f>grand[[#This Row],[av. Transportation loss]]/grand[[#This Row],[av.total weight]]</f>
        <v>0</v>
      </c>
      <c r="AA916" s="12">
        <f>AVERAGE((grand[[#This Row],[am]]/25),(grand[[#This Row],[pm]]/50))</f>
        <v>1</v>
      </c>
      <c r="AB916" s="3">
        <f>grand[[#This Row],[ carcass weight]]/grand[[#This Row],[total weight]]</f>
        <v>0.63200000000000012</v>
      </c>
      <c r="AC916" s="18">
        <f>SUM(grand[[#This Row],[am]:[meat transportation]])/100</f>
        <v>0.97499999999999998</v>
      </c>
      <c r="AK916" s="1"/>
      <c r="AL916" s="1"/>
    </row>
    <row r="917" spans="1:38" hidden="1" x14ac:dyDescent="0.2">
      <c r="A917" s="11">
        <v>45347</v>
      </c>
      <c r="B917" s="53" t="s">
        <v>2873</v>
      </c>
      <c r="C917" s="52" t="str">
        <f>IF(MID(B917,4,2)="09","Ramadan",IF(AND(MID(B917,4,2)="12",VALUE(LEFT(B917,2))&lt;=9),"Adha Season","Normal"))</f>
        <v>Normal</v>
      </c>
      <c r="D917" s="1" t="s">
        <v>45</v>
      </c>
      <c r="E917" s="1" t="s">
        <v>483</v>
      </c>
      <c r="F917" s="4" t="s">
        <v>39</v>
      </c>
      <c r="G917" s="1">
        <v>45</v>
      </c>
      <c r="H917" s="1">
        <v>45</v>
      </c>
      <c r="I917" s="1">
        <f>grand[[#This Row],[number]]-grand[[#This Row],[received]]</f>
        <v>0</v>
      </c>
      <c r="J917" s="30"/>
      <c r="K917" s="2">
        <v>19746</v>
      </c>
      <c r="L917" s="2">
        <v>19065</v>
      </c>
      <c r="M917" s="2">
        <f>K917-L917</f>
        <v>681</v>
      </c>
      <c r="N917" s="2">
        <v>12322.9</v>
      </c>
      <c r="O917" s="2">
        <v>421</v>
      </c>
      <c r="P917" s="7">
        <f>grand[[#This Row],[total weight]]/grand[[#This Row],[received]]</f>
        <v>438.8</v>
      </c>
      <c r="Q917" s="7">
        <f>grand[[#This Row],[receiving weight]]/grand[[#This Row],[received]]</f>
        <v>423.66666666666669</v>
      </c>
      <c r="R917" s="7">
        <f>grand[[#This Row],[transportation loss ]]/grand[[#This Row],[received]]</f>
        <v>15.133333333333333</v>
      </c>
      <c r="S917" s="7">
        <f>grand[[#This Row],[ carcass weight]]/grand[[#This Row],[received]]</f>
        <v>273.84222222222223</v>
      </c>
      <c r="T917" s="7">
        <f>grand[[#This Row],[ kidneys fat quantity]]/grand[[#This Row],[received]]</f>
        <v>9.3555555555555561</v>
      </c>
      <c r="U917" s="1">
        <v>22.777777777777779</v>
      </c>
      <c r="V917" s="1">
        <v>0</v>
      </c>
      <c r="W917" s="1">
        <v>49.088888888888889</v>
      </c>
      <c r="X917" s="1">
        <v>10</v>
      </c>
      <c r="Y917" s="1">
        <v>8.5</v>
      </c>
      <c r="Z917" s="18">
        <f>grand[[#This Row],[av. Transportation loss]]/grand[[#This Row],[av.total weight]]</f>
        <v>3.4487997569127925E-2</v>
      </c>
      <c r="AA917" s="12">
        <f>AVERAGE((grand[[#This Row],[am]]/25),(grand[[#This Row],[pm]]/50))</f>
        <v>0.94644444444444442</v>
      </c>
      <c r="AB917" s="3">
        <f>grand[[#This Row],[ carcass weight]]/grand[[#This Row],[total weight]]</f>
        <v>0.62407069786285829</v>
      </c>
      <c r="AC917" s="18">
        <f>SUM(grand[[#This Row],[am]:[meat transportation]])/100</f>
        <v>0.90366666666666673</v>
      </c>
      <c r="AJ917" s="1">
        <v>14</v>
      </c>
      <c r="AK917" s="1"/>
      <c r="AL917" s="1"/>
    </row>
    <row r="918" spans="1:38" hidden="1" x14ac:dyDescent="0.2">
      <c r="A918" s="11">
        <v>45348</v>
      </c>
      <c r="B918" s="53" t="s">
        <v>1943</v>
      </c>
      <c r="C918" s="52" t="str">
        <f>IF(MID(B918,4,2)="09","Ramadan",IF(AND(MID(B918,4,2)="12",VALUE(LEFT(B918,2))&lt;=9),"Adha Season","Normal"))</f>
        <v>Normal</v>
      </c>
      <c r="D918" s="1" t="s">
        <v>45</v>
      </c>
      <c r="E918" s="1" t="s">
        <v>483</v>
      </c>
      <c r="F918" s="4" t="s">
        <v>550</v>
      </c>
      <c r="G918" s="1">
        <v>16</v>
      </c>
      <c r="H918" s="1">
        <v>16</v>
      </c>
      <c r="I918" s="1">
        <f>grand[[#This Row],[number]]-grand[[#This Row],[received]]</f>
        <v>0</v>
      </c>
      <c r="J918" s="30"/>
      <c r="K918" s="2">
        <v>6897</v>
      </c>
      <c r="L918" s="2">
        <v>6695</v>
      </c>
      <c r="M918" s="2">
        <f>K918-L918</f>
        <v>202</v>
      </c>
      <c r="N918" s="2">
        <v>4138.5</v>
      </c>
      <c r="O918" s="2">
        <v>74</v>
      </c>
      <c r="P918" s="7">
        <f>grand[[#This Row],[total weight]]/grand[[#This Row],[received]]</f>
        <v>431.0625</v>
      </c>
      <c r="Q918" s="7">
        <f>grand[[#This Row],[receiving weight]]/grand[[#This Row],[received]]</f>
        <v>418.4375</v>
      </c>
      <c r="R918" s="7">
        <f>grand[[#This Row],[transportation loss ]]/grand[[#This Row],[received]]</f>
        <v>12.625</v>
      </c>
      <c r="S918" s="7">
        <f>grand[[#This Row],[ carcass weight]]/grand[[#This Row],[received]]</f>
        <v>258.65625</v>
      </c>
      <c r="T918" s="7">
        <f>grand[[#This Row],[ kidneys fat quantity]]/grand[[#This Row],[received]]</f>
        <v>4.625</v>
      </c>
      <c r="U918" s="1">
        <v>25</v>
      </c>
      <c r="V918" s="1">
        <v>0</v>
      </c>
      <c r="W918" s="1">
        <v>49.6875</v>
      </c>
      <c r="X918" s="1">
        <v>10</v>
      </c>
      <c r="Y918" s="1">
        <v>8.5</v>
      </c>
      <c r="Z918" s="18">
        <f>grand[[#This Row],[av. Transportation loss]]/grand[[#This Row],[av.total weight]]</f>
        <v>2.9288096273742206E-2</v>
      </c>
      <c r="AA918" s="12">
        <f>AVERAGE((grand[[#This Row],[am]]/25),(grand[[#This Row],[pm]]/50))</f>
        <v>0.99687499999999996</v>
      </c>
      <c r="AB918" s="3">
        <f>grand[[#This Row],[ carcass weight]]/grand[[#This Row],[total weight]]</f>
        <v>0.60004349717268379</v>
      </c>
      <c r="AC918" s="18">
        <f>SUM(grand[[#This Row],[am]:[meat transportation]])/100</f>
        <v>0.93187500000000001</v>
      </c>
      <c r="AJ918" s="1">
        <v>8</v>
      </c>
      <c r="AK918" s="1"/>
      <c r="AL918" s="1"/>
    </row>
    <row r="919" spans="1:38" hidden="1" x14ac:dyDescent="0.2">
      <c r="A919" s="11">
        <v>45348</v>
      </c>
      <c r="B919" s="53" t="s">
        <v>1943</v>
      </c>
      <c r="C919" s="52" t="str">
        <f>IF(MID(B919,4,2)="09","Ramadan",IF(AND(MID(B919,4,2)="12",VALUE(LEFT(B919,2))&lt;=9),"Adha Season","Normal"))</f>
        <v>Normal</v>
      </c>
      <c r="D919" s="1" t="s">
        <v>45</v>
      </c>
      <c r="E919" s="1" t="s">
        <v>528</v>
      </c>
      <c r="F919" s="4" t="s">
        <v>462</v>
      </c>
      <c r="G919" s="1">
        <v>60</v>
      </c>
      <c r="H919" s="1">
        <v>60</v>
      </c>
      <c r="I919" s="1">
        <f>grand[[#This Row],[number]]-grand[[#This Row],[received]]</f>
        <v>0</v>
      </c>
      <c r="J919" s="30"/>
      <c r="K919" s="2">
        <v>24281.32911392405</v>
      </c>
      <c r="L919" s="2">
        <v>24281.32911392405</v>
      </c>
      <c r="M919" s="2">
        <f>K919-L919</f>
        <v>0</v>
      </c>
      <c r="N919" s="2">
        <v>15345.8</v>
      </c>
      <c r="O919" s="2">
        <v>0</v>
      </c>
      <c r="P919" s="7">
        <f>grand[[#This Row],[total weight]]/grand[[#This Row],[received]]</f>
        <v>404.68881856540082</v>
      </c>
      <c r="Q919" s="7">
        <f>grand[[#This Row],[receiving weight]]/grand[[#This Row],[received]]</f>
        <v>404.68881856540082</v>
      </c>
      <c r="R919" s="7">
        <f>grand[[#This Row],[transportation loss ]]/grand[[#This Row],[received]]</f>
        <v>0</v>
      </c>
      <c r="S919" s="7">
        <f>grand[[#This Row],[ carcass weight]]/grand[[#This Row],[received]]</f>
        <v>255.76333333333332</v>
      </c>
      <c r="T919" s="7">
        <f>grand[[#This Row],[ kidneys fat quantity]]/grand[[#This Row],[received]]</f>
        <v>0</v>
      </c>
      <c r="U919" s="1">
        <v>25</v>
      </c>
      <c r="V919" s="1">
        <v>4</v>
      </c>
      <c r="W919" s="1">
        <v>45</v>
      </c>
      <c r="X919" s="1">
        <v>10</v>
      </c>
      <c r="Y919" s="1">
        <v>8.5</v>
      </c>
      <c r="Z919" s="18">
        <f>grand[[#This Row],[av. Transportation loss]]/grand[[#This Row],[av.total weight]]</f>
        <v>0</v>
      </c>
      <c r="AA919" s="12">
        <f>AVERAGE((grand[[#This Row],[am]]/25),(grand[[#This Row],[pm]]/50))</f>
        <v>0.95</v>
      </c>
      <c r="AB919" s="3">
        <f>grand[[#This Row],[ carcass weight]]/grand[[#This Row],[total weight]]</f>
        <v>0.63200000000000001</v>
      </c>
      <c r="AC919" s="18">
        <f>SUM(grand[[#This Row],[am]:[meat transportation]])/100</f>
        <v>0.92500000000000004</v>
      </c>
      <c r="AK919" s="1"/>
      <c r="AL919" s="1"/>
    </row>
    <row r="920" spans="1:38" hidden="1" x14ac:dyDescent="0.2">
      <c r="A920" s="11">
        <v>45353</v>
      </c>
      <c r="B920" s="53" t="s">
        <v>2875</v>
      </c>
      <c r="C920" s="52" t="str">
        <f>IF(MID(B920,4,2)="09","Ramadan",IF(AND(MID(B920,4,2)="12",VALUE(LEFT(B920,2))&lt;=9),"Adha Season","Normal"))</f>
        <v>Normal</v>
      </c>
      <c r="D920" s="1" t="s">
        <v>45</v>
      </c>
      <c r="E920" s="1" t="s">
        <v>528</v>
      </c>
      <c r="F920" s="4" t="s">
        <v>462</v>
      </c>
      <c r="G920" s="1">
        <v>60</v>
      </c>
      <c r="H920" s="1">
        <v>60</v>
      </c>
      <c r="I920" s="1">
        <f>grand[[#This Row],[number]]-grand[[#This Row],[received]]</f>
        <v>0</v>
      </c>
      <c r="J920" s="30"/>
      <c r="K920" s="2">
        <v>24721.202531645569</v>
      </c>
      <c r="L920" s="2">
        <v>24721.202531645569</v>
      </c>
      <c r="M920" s="2">
        <f>K920-L920</f>
        <v>0</v>
      </c>
      <c r="N920" s="2">
        <v>15623.8</v>
      </c>
      <c r="O920" s="2">
        <v>0</v>
      </c>
      <c r="P920" s="7">
        <f>grand[[#This Row],[total weight]]/grand[[#This Row],[received]]</f>
        <v>412.02004219409281</v>
      </c>
      <c r="Q920" s="7">
        <f>grand[[#This Row],[receiving weight]]/grand[[#This Row],[received]]</f>
        <v>412.02004219409281</v>
      </c>
      <c r="R920" s="7">
        <f>grand[[#This Row],[transportation loss ]]/grand[[#This Row],[received]]</f>
        <v>0</v>
      </c>
      <c r="S920" s="7">
        <f>grand[[#This Row],[ carcass weight]]/grand[[#This Row],[received]]</f>
        <v>260.39666666666665</v>
      </c>
      <c r="T920" s="7">
        <f>grand[[#This Row],[ kidneys fat quantity]]/grand[[#This Row],[received]]</f>
        <v>0</v>
      </c>
      <c r="U920" s="1">
        <v>25</v>
      </c>
      <c r="V920" s="1">
        <v>4</v>
      </c>
      <c r="W920" s="1">
        <v>45</v>
      </c>
      <c r="X920" s="1">
        <v>10</v>
      </c>
      <c r="Y920" s="1">
        <v>8.5</v>
      </c>
      <c r="Z920" s="18">
        <f>grand[[#This Row],[av. Transportation loss]]/grand[[#This Row],[av.total weight]]</f>
        <v>0</v>
      </c>
      <c r="AA920" s="12">
        <f>AVERAGE((grand[[#This Row],[am]]/25),(grand[[#This Row],[pm]]/50))</f>
        <v>0.95</v>
      </c>
      <c r="AB920" s="3">
        <f>grand[[#This Row],[ carcass weight]]/grand[[#This Row],[total weight]]</f>
        <v>0.63200000000000001</v>
      </c>
      <c r="AC920" s="18">
        <f>SUM(grand[[#This Row],[am]:[meat transportation]])/100</f>
        <v>0.92500000000000004</v>
      </c>
      <c r="AK920" s="1"/>
      <c r="AL920" s="1"/>
    </row>
    <row r="921" spans="1:38" hidden="1" x14ac:dyDescent="0.2">
      <c r="A921" s="11">
        <v>45354</v>
      </c>
      <c r="B921" s="53" t="s">
        <v>1945</v>
      </c>
      <c r="C921" s="52" t="str">
        <f>IF(MID(B921,4,2)="09","Ramadan",IF(AND(MID(B921,4,2)="12",VALUE(LEFT(B921,2))&lt;=9),"Adha Season","Normal"))</f>
        <v>Normal</v>
      </c>
      <c r="D921" s="1" t="s">
        <v>45</v>
      </c>
      <c r="E921" s="1" t="s">
        <v>528</v>
      </c>
      <c r="F921" s="4" t="s">
        <v>462</v>
      </c>
      <c r="G921" s="1">
        <v>50</v>
      </c>
      <c r="H921" s="1">
        <v>50</v>
      </c>
      <c r="I921" s="1">
        <f>grand[[#This Row],[number]]-grand[[#This Row],[received]]</f>
        <v>0</v>
      </c>
      <c r="J921" s="30"/>
      <c r="K921" s="2">
        <v>20471.835443037973</v>
      </c>
      <c r="L921" s="2">
        <v>20471.835443037973</v>
      </c>
      <c r="M921" s="2">
        <f>K921-L921</f>
        <v>0</v>
      </c>
      <c r="N921" s="2">
        <v>12938.2</v>
      </c>
      <c r="O921" s="2">
        <v>0</v>
      </c>
      <c r="P921" s="7">
        <f>grand[[#This Row],[total weight]]/grand[[#This Row],[received]]</f>
        <v>409.43670886075944</v>
      </c>
      <c r="Q921" s="7">
        <f>grand[[#This Row],[receiving weight]]/grand[[#This Row],[received]]</f>
        <v>409.43670886075944</v>
      </c>
      <c r="R921" s="7">
        <f>grand[[#This Row],[transportation loss ]]/grand[[#This Row],[received]]</f>
        <v>0</v>
      </c>
      <c r="S921" s="7">
        <f>grand[[#This Row],[ carcass weight]]/grand[[#This Row],[received]]</f>
        <v>258.76400000000001</v>
      </c>
      <c r="T921" s="7">
        <f>grand[[#This Row],[ kidneys fat quantity]]/grand[[#This Row],[received]]</f>
        <v>0</v>
      </c>
      <c r="U921" s="1">
        <v>25</v>
      </c>
      <c r="V921" s="1">
        <v>4</v>
      </c>
      <c r="W921" s="1">
        <v>45</v>
      </c>
      <c r="X921" s="1">
        <v>10</v>
      </c>
      <c r="Y921" s="1">
        <v>8.5</v>
      </c>
      <c r="Z921" s="18">
        <f>grand[[#This Row],[av. Transportation loss]]/grand[[#This Row],[av.total weight]]</f>
        <v>0</v>
      </c>
      <c r="AA921" s="12">
        <f>AVERAGE((grand[[#This Row],[am]]/25),(grand[[#This Row],[pm]]/50))</f>
        <v>0.95</v>
      </c>
      <c r="AB921" s="3">
        <f>grand[[#This Row],[ carcass weight]]/grand[[#This Row],[total weight]]</f>
        <v>0.63200000000000012</v>
      </c>
      <c r="AC921" s="18">
        <f>SUM(grand[[#This Row],[am]:[meat transportation]])/100</f>
        <v>0.92500000000000004</v>
      </c>
      <c r="AK921" s="1"/>
      <c r="AL921" s="1"/>
    </row>
    <row r="922" spans="1:38" hidden="1" x14ac:dyDescent="0.2">
      <c r="A922" s="11">
        <v>45355</v>
      </c>
      <c r="B922" s="53" t="s">
        <v>1946</v>
      </c>
      <c r="C922" s="52" t="str">
        <f>IF(MID(B922,4,2)="09","Ramadan",IF(AND(MID(B922,4,2)="12",VALUE(LEFT(B922,2))&lt;=9),"Adha Season","Normal"))</f>
        <v>Normal</v>
      </c>
      <c r="D922" s="1" t="s">
        <v>45</v>
      </c>
      <c r="E922" s="1" t="s">
        <v>483</v>
      </c>
      <c r="F922" s="4" t="s">
        <v>43</v>
      </c>
      <c r="G922" s="1">
        <v>16</v>
      </c>
      <c r="H922" s="1">
        <v>16</v>
      </c>
      <c r="I922" s="1">
        <f>grand[[#This Row],[number]]-grand[[#This Row],[received]]</f>
        <v>0</v>
      </c>
      <c r="J922" s="30"/>
      <c r="K922" s="2">
        <v>7360</v>
      </c>
      <c r="L922" s="2">
        <v>7140</v>
      </c>
      <c r="M922" s="2">
        <f>K922-L922</f>
        <v>220</v>
      </c>
      <c r="N922" s="2">
        <v>4415.8</v>
      </c>
      <c r="O922" s="2">
        <v>147</v>
      </c>
      <c r="P922" s="7">
        <f>grand[[#This Row],[total weight]]/grand[[#This Row],[received]]</f>
        <v>460</v>
      </c>
      <c r="Q922" s="7">
        <f>grand[[#This Row],[receiving weight]]/grand[[#This Row],[received]]</f>
        <v>446.25</v>
      </c>
      <c r="R922" s="7">
        <f>grand[[#This Row],[transportation loss ]]/grand[[#This Row],[received]]</f>
        <v>13.75</v>
      </c>
      <c r="S922" s="7">
        <f>grand[[#This Row],[ carcass weight]]/grand[[#This Row],[received]]</f>
        <v>275.98750000000001</v>
      </c>
      <c r="T922" s="7">
        <f>grand[[#This Row],[ kidneys fat quantity]]/grand[[#This Row],[received]]</f>
        <v>9.1875</v>
      </c>
      <c r="U922" s="1">
        <v>25</v>
      </c>
      <c r="V922" s="1">
        <v>0</v>
      </c>
      <c r="W922" s="1">
        <v>48.125</v>
      </c>
      <c r="X922" s="1">
        <v>10</v>
      </c>
      <c r="Y922" s="1">
        <v>8.5</v>
      </c>
      <c r="Z922" s="18">
        <f>grand[[#This Row],[av. Transportation loss]]/grand[[#This Row],[av.total weight]]</f>
        <v>2.9891304347826088E-2</v>
      </c>
      <c r="AA922" s="12">
        <f>AVERAGE((grand[[#This Row],[am]]/25),(grand[[#This Row],[pm]]/50))</f>
        <v>0.98124999999999996</v>
      </c>
      <c r="AB922" s="3">
        <f>grand[[#This Row],[ carcass weight]]/grand[[#This Row],[total weight]]</f>
        <v>0.59997282608695657</v>
      </c>
      <c r="AC922" s="18">
        <f>SUM(grand[[#This Row],[am]:[meat transportation]])/100</f>
        <v>0.91625000000000001</v>
      </c>
      <c r="AJ922" s="1">
        <v>8</v>
      </c>
      <c r="AK922" s="1"/>
      <c r="AL922" s="1"/>
    </row>
    <row r="923" spans="1:38" hidden="1" x14ac:dyDescent="0.2">
      <c r="A923" s="11">
        <v>45360</v>
      </c>
      <c r="B923" s="53" t="s">
        <v>1951</v>
      </c>
      <c r="C923" s="52" t="str">
        <f>IF(MID(B923,4,2)="09","Ramadan",IF(AND(MID(B923,4,2)="12",VALUE(LEFT(B923,2))&lt;=9),"Adha Season","Normal"))</f>
        <v>Normal</v>
      </c>
      <c r="D923" s="1" t="s">
        <v>45</v>
      </c>
      <c r="E923" s="1" t="s">
        <v>528</v>
      </c>
      <c r="F923" s="4" t="s">
        <v>462</v>
      </c>
      <c r="G923" s="1">
        <v>70</v>
      </c>
      <c r="H923" s="1">
        <v>70</v>
      </c>
      <c r="I923" s="1">
        <f>grand[[#This Row],[number]]-grand[[#This Row],[received]]</f>
        <v>0</v>
      </c>
      <c r="J923" s="30"/>
      <c r="K923" s="2">
        <v>28468.037974683542</v>
      </c>
      <c r="L923" s="2">
        <v>28468.037974683542</v>
      </c>
      <c r="M923" s="2">
        <f>K923-L923</f>
        <v>0</v>
      </c>
      <c r="N923" s="2">
        <v>17991.8</v>
      </c>
      <c r="O923" s="2">
        <v>0</v>
      </c>
      <c r="P923" s="7">
        <f>grand[[#This Row],[total weight]]/grand[[#This Row],[received]]</f>
        <v>406.68625678119344</v>
      </c>
      <c r="Q923" s="7">
        <f>grand[[#This Row],[receiving weight]]/grand[[#This Row],[received]]</f>
        <v>406.68625678119344</v>
      </c>
      <c r="R923" s="7">
        <f>grand[[#This Row],[transportation loss ]]/grand[[#This Row],[received]]</f>
        <v>0</v>
      </c>
      <c r="S923" s="7">
        <f>grand[[#This Row],[ carcass weight]]/grand[[#This Row],[received]]</f>
        <v>257.02571428571429</v>
      </c>
      <c r="T923" s="7">
        <f>grand[[#This Row],[ kidneys fat quantity]]/grand[[#This Row],[received]]</f>
        <v>0</v>
      </c>
      <c r="U923" s="1">
        <v>25</v>
      </c>
      <c r="V923" s="1">
        <v>4</v>
      </c>
      <c r="W923" s="1">
        <v>45</v>
      </c>
      <c r="X923" s="1">
        <v>10</v>
      </c>
      <c r="Y923" s="1">
        <v>8.5</v>
      </c>
      <c r="Z923" s="18">
        <f>grand[[#This Row],[av. Transportation loss]]/grand[[#This Row],[av.total weight]]</f>
        <v>0</v>
      </c>
      <c r="AA923" s="12">
        <f>AVERAGE((grand[[#This Row],[am]]/25),(grand[[#This Row],[pm]]/50))</f>
        <v>0.95</v>
      </c>
      <c r="AB923" s="3">
        <f>grand[[#This Row],[ carcass weight]]/grand[[#This Row],[total weight]]</f>
        <v>0.63200000000000001</v>
      </c>
      <c r="AC923" s="18">
        <f>SUM(grand[[#This Row],[am]:[meat transportation]])/100</f>
        <v>0.92500000000000004</v>
      </c>
      <c r="AK923" s="1"/>
      <c r="AL923" s="1"/>
    </row>
    <row r="924" spans="1:38" hidden="1" x14ac:dyDescent="0.2">
      <c r="A924" s="11">
        <v>45363</v>
      </c>
      <c r="B924" s="53" t="s">
        <v>2876</v>
      </c>
      <c r="C924" s="52" t="str">
        <f>IF(MID(B924,4,2)="09","Ramadan",IF(AND(MID(B924,4,2)="12",VALUE(LEFT(B924,2))&lt;=9),"Adha Season","Normal"))</f>
        <v>Ramadan</v>
      </c>
      <c r="D924" s="1" t="s">
        <v>45</v>
      </c>
      <c r="E924" s="1" t="s">
        <v>483</v>
      </c>
      <c r="F924" s="4" t="s">
        <v>576</v>
      </c>
      <c r="G924" s="1">
        <v>40</v>
      </c>
      <c r="H924" s="1">
        <v>40</v>
      </c>
      <c r="I924" s="1">
        <f>grand[[#This Row],[number]]-grand[[#This Row],[received]]</f>
        <v>0</v>
      </c>
      <c r="J924" s="30"/>
      <c r="K924" s="2">
        <v>18860</v>
      </c>
      <c r="L924" s="2">
        <v>18860</v>
      </c>
      <c r="M924" s="2">
        <f>K924-L924</f>
        <v>0</v>
      </c>
      <c r="N924" s="2">
        <v>11521.1</v>
      </c>
      <c r="O924" s="2">
        <v>348</v>
      </c>
      <c r="P924" s="7">
        <f>grand[[#This Row],[total weight]]/grand[[#This Row],[received]]</f>
        <v>471.5</v>
      </c>
      <c r="Q924" s="7">
        <f>grand[[#This Row],[receiving weight]]/grand[[#This Row],[received]]</f>
        <v>471.5</v>
      </c>
      <c r="R924" s="7">
        <f>grand[[#This Row],[transportation loss ]]/grand[[#This Row],[received]]</f>
        <v>0</v>
      </c>
      <c r="S924" s="7">
        <f>grand[[#This Row],[ carcass weight]]/grand[[#This Row],[received]]</f>
        <v>288.02750000000003</v>
      </c>
      <c r="T924" s="7">
        <f>grand[[#This Row],[ kidneys fat quantity]]/grand[[#This Row],[received]]</f>
        <v>8.6999999999999993</v>
      </c>
      <c r="U924" s="1">
        <v>25</v>
      </c>
      <c r="V924" s="1">
        <v>0</v>
      </c>
      <c r="W924" s="1">
        <v>45</v>
      </c>
      <c r="X924" s="1">
        <v>10</v>
      </c>
      <c r="Y924" s="1">
        <v>8.5</v>
      </c>
      <c r="Z924" s="18">
        <f>grand[[#This Row],[av. Transportation loss]]/grand[[#This Row],[av.total weight]]</f>
        <v>0</v>
      </c>
      <c r="AA924" s="12">
        <f>AVERAGE((grand[[#This Row],[am]]/25),(grand[[#This Row],[pm]]/50))</f>
        <v>0.95</v>
      </c>
      <c r="AB924" s="3">
        <f>grand[[#This Row],[ carcass weight]]/grand[[#This Row],[total weight]]</f>
        <v>0.61087486744432662</v>
      </c>
      <c r="AC924" s="18">
        <f>SUM(grand[[#This Row],[am]:[meat transportation]])/100</f>
        <v>0.88500000000000001</v>
      </c>
      <c r="AJ924" s="1">
        <v>12</v>
      </c>
      <c r="AK924" s="1"/>
      <c r="AL924" s="1"/>
    </row>
    <row r="925" spans="1:38" hidden="1" x14ac:dyDescent="0.2">
      <c r="A925" s="11">
        <v>45363</v>
      </c>
      <c r="B925" s="53" t="s">
        <v>2876</v>
      </c>
      <c r="C925" s="52" t="str">
        <f>IF(MID(B925,4,2)="09","Ramadan",IF(AND(MID(B925,4,2)="12",VALUE(LEFT(B925,2))&lt;=9),"Adha Season","Normal"))</f>
        <v>Ramadan</v>
      </c>
      <c r="D925" s="1" t="s">
        <v>45</v>
      </c>
      <c r="E925" s="1" t="s">
        <v>483</v>
      </c>
      <c r="F925" s="4" t="s">
        <v>43</v>
      </c>
      <c r="G925" s="1">
        <v>18</v>
      </c>
      <c r="H925" s="1">
        <v>18</v>
      </c>
      <c r="I925" s="1">
        <f>grand[[#This Row],[number]]-grand[[#This Row],[received]]</f>
        <v>0</v>
      </c>
      <c r="J925" s="30"/>
      <c r="K925" s="2">
        <v>10030</v>
      </c>
      <c r="L925" s="2">
        <v>10030</v>
      </c>
      <c r="M925" s="2">
        <f>K925-L925</f>
        <v>0</v>
      </c>
      <c r="N925" s="2">
        <v>6291</v>
      </c>
      <c r="O925" s="2">
        <v>288</v>
      </c>
      <c r="P925" s="7">
        <f>grand[[#This Row],[total weight]]/grand[[#This Row],[received]]</f>
        <v>557.22222222222217</v>
      </c>
      <c r="Q925" s="7">
        <f>grand[[#This Row],[receiving weight]]/grand[[#This Row],[received]]</f>
        <v>557.22222222222217</v>
      </c>
      <c r="R925" s="7">
        <f>grand[[#This Row],[transportation loss ]]/grand[[#This Row],[received]]</f>
        <v>0</v>
      </c>
      <c r="S925" s="7">
        <f>grand[[#This Row],[ carcass weight]]/grand[[#This Row],[received]]</f>
        <v>349.5</v>
      </c>
      <c r="T925" s="7">
        <f>grand[[#This Row],[ kidneys fat quantity]]/grand[[#This Row],[received]]</f>
        <v>16</v>
      </c>
      <c r="U925" s="1">
        <v>22.777777777777779</v>
      </c>
      <c r="V925" s="1">
        <v>0</v>
      </c>
      <c r="W925" s="1">
        <v>48.222222222222221</v>
      </c>
      <c r="X925" s="1">
        <v>10</v>
      </c>
      <c r="Y925" s="1">
        <v>8.5</v>
      </c>
      <c r="Z925" s="18">
        <f>grand[[#This Row],[av. Transportation loss]]/grand[[#This Row],[av.total weight]]</f>
        <v>0</v>
      </c>
      <c r="AA925" s="12">
        <f>AVERAGE((grand[[#This Row],[am]]/25),(grand[[#This Row],[pm]]/50))</f>
        <v>0.93777777777777782</v>
      </c>
      <c r="AB925" s="3">
        <f>grand[[#This Row],[ carcass weight]]/grand[[#This Row],[total weight]]</f>
        <v>0.62721834496510465</v>
      </c>
      <c r="AC925" s="18">
        <f>SUM(grand[[#This Row],[am]:[meat transportation]])/100</f>
        <v>0.89500000000000002</v>
      </c>
      <c r="AJ925" s="1">
        <v>14</v>
      </c>
      <c r="AK925" s="1"/>
      <c r="AL925" s="1"/>
    </row>
    <row r="926" spans="1:38" hidden="1" x14ac:dyDescent="0.2">
      <c r="A926" s="11">
        <v>45364</v>
      </c>
      <c r="B926" s="53" t="s">
        <v>1953</v>
      </c>
      <c r="C926" s="52" t="str">
        <f>IF(MID(B926,4,2)="09","Ramadan",IF(AND(MID(B926,4,2)="12",VALUE(LEFT(B926,2))&lt;=9),"Adha Season","Normal"))</f>
        <v>Ramadan</v>
      </c>
      <c r="D926" s="1" t="s">
        <v>45</v>
      </c>
      <c r="E926" s="1" t="s">
        <v>528</v>
      </c>
      <c r="F926" s="4" t="s">
        <v>462</v>
      </c>
      <c r="G926" s="1">
        <v>50</v>
      </c>
      <c r="H926" s="1">
        <v>50</v>
      </c>
      <c r="I926" s="1">
        <f>grand[[#This Row],[number]]-grand[[#This Row],[received]]</f>
        <v>0</v>
      </c>
      <c r="J926" s="30"/>
      <c r="K926" s="2">
        <v>19961.075949367088</v>
      </c>
      <c r="L926" s="2">
        <v>19961.075949367088</v>
      </c>
      <c r="M926" s="2">
        <f>K926-L926</f>
        <v>0</v>
      </c>
      <c r="N926" s="2">
        <v>12615.4</v>
      </c>
      <c r="O926" s="2">
        <v>0</v>
      </c>
      <c r="P926" s="7">
        <f>grand[[#This Row],[total weight]]/grand[[#This Row],[received]]</f>
        <v>399.22151898734177</v>
      </c>
      <c r="Q926" s="7">
        <f>grand[[#This Row],[receiving weight]]/grand[[#This Row],[received]]</f>
        <v>399.22151898734177</v>
      </c>
      <c r="R926" s="7">
        <f>grand[[#This Row],[transportation loss ]]/grand[[#This Row],[received]]</f>
        <v>0</v>
      </c>
      <c r="S926" s="7">
        <f>grand[[#This Row],[ carcass weight]]/grand[[#This Row],[received]]</f>
        <v>252.30799999999999</v>
      </c>
      <c r="T926" s="7">
        <f>grand[[#This Row],[ kidneys fat quantity]]/grand[[#This Row],[received]]</f>
        <v>0</v>
      </c>
      <c r="U926" s="1">
        <v>25</v>
      </c>
      <c r="V926" s="1">
        <v>4</v>
      </c>
      <c r="W926" s="1">
        <v>45</v>
      </c>
      <c r="X926" s="1">
        <v>10</v>
      </c>
      <c r="Y926" s="1">
        <v>8.5</v>
      </c>
      <c r="Z926" s="18">
        <f>grand[[#This Row],[av. Transportation loss]]/grand[[#This Row],[av.total weight]]</f>
        <v>0</v>
      </c>
      <c r="AA926" s="12">
        <f>AVERAGE((grand[[#This Row],[am]]/25),(grand[[#This Row],[pm]]/50))</f>
        <v>0.95</v>
      </c>
      <c r="AB926" s="3">
        <f>grand[[#This Row],[ carcass weight]]/grand[[#This Row],[total weight]]</f>
        <v>0.63200000000000001</v>
      </c>
      <c r="AC926" s="18">
        <f>SUM(grand[[#This Row],[am]:[meat transportation]])/100</f>
        <v>0.92500000000000004</v>
      </c>
      <c r="AK926" s="1"/>
      <c r="AL926" s="1"/>
    </row>
    <row r="927" spans="1:38" hidden="1" x14ac:dyDescent="0.2">
      <c r="A927" s="11">
        <v>45368</v>
      </c>
      <c r="B927" s="53" t="s">
        <v>1954</v>
      </c>
      <c r="C927" s="52" t="str">
        <f>IF(MID(B927,4,2)="09","Ramadan",IF(AND(MID(B927,4,2)="12",VALUE(LEFT(B927,2))&lt;=9),"Adha Season","Normal"))</f>
        <v>Ramadan</v>
      </c>
      <c r="D927" s="1" t="s">
        <v>45</v>
      </c>
      <c r="E927" s="1" t="s">
        <v>483</v>
      </c>
      <c r="F927" s="4" t="s">
        <v>280</v>
      </c>
      <c r="G927" s="1">
        <v>24</v>
      </c>
      <c r="H927" s="1">
        <v>24</v>
      </c>
      <c r="I927" s="1">
        <f>grand[[#This Row],[number]]-grand[[#This Row],[received]]</f>
        <v>0</v>
      </c>
      <c r="J927" s="30"/>
      <c r="K927" s="2">
        <v>12540</v>
      </c>
      <c r="L927" s="2">
        <v>11795</v>
      </c>
      <c r="M927" s="2">
        <f>K927-L927</f>
        <v>745</v>
      </c>
      <c r="N927" s="2">
        <v>7533.5</v>
      </c>
      <c r="O927" s="2">
        <v>253</v>
      </c>
      <c r="P927" s="7">
        <f>grand[[#This Row],[total weight]]/grand[[#This Row],[received]]</f>
        <v>522.5</v>
      </c>
      <c r="Q927" s="7">
        <f>grand[[#This Row],[receiving weight]]/grand[[#This Row],[received]]</f>
        <v>491.45833333333331</v>
      </c>
      <c r="R927" s="7">
        <f>grand[[#This Row],[transportation loss ]]/grand[[#This Row],[received]]</f>
        <v>31.041666666666668</v>
      </c>
      <c r="S927" s="7">
        <f>grand[[#This Row],[ carcass weight]]/grand[[#This Row],[received]]</f>
        <v>313.89583333333331</v>
      </c>
      <c r="T927" s="7">
        <f>grand[[#This Row],[ kidneys fat quantity]]/grand[[#This Row],[received]]</f>
        <v>10.541666666666666</v>
      </c>
      <c r="U927" s="1">
        <v>24.375</v>
      </c>
      <c r="V927" s="1">
        <v>0</v>
      </c>
      <c r="W927" s="1">
        <v>49.5</v>
      </c>
      <c r="X927" s="1">
        <v>10</v>
      </c>
      <c r="Y927" s="1">
        <v>8.5</v>
      </c>
      <c r="Z927" s="18">
        <f>grand[[#This Row],[av. Transportation loss]]/grand[[#This Row],[av.total weight]]</f>
        <v>5.9409888357256781E-2</v>
      </c>
      <c r="AA927" s="12">
        <f>AVERAGE((grand[[#This Row],[am]]/25),(grand[[#This Row],[pm]]/50))</f>
        <v>0.98249999999999993</v>
      </c>
      <c r="AB927" s="3">
        <f>grand[[#This Row],[ carcass weight]]/grand[[#This Row],[total weight]]</f>
        <v>0.60075757575757571</v>
      </c>
      <c r="AC927" s="18">
        <f>SUM(grand[[#This Row],[am]:[meat transportation]])/100</f>
        <v>0.92374999999999996</v>
      </c>
      <c r="AJ927" s="1">
        <v>15</v>
      </c>
      <c r="AK927" s="1"/>
      <c r="AL927" s="1"/>
    </row>
    <row r="928" spans="1:38" hidden="1" x14ac:dyDescent="0.2">
      <c r="A928" s="11">
        <v>45369</v>
      </c>
      <c r="B928" s="53" t="s">
        <v>1955</v>
      </c>
      <c r="C928" s="52" t="str">
        <f>IF(MID(B928,4,2)="09","Ramadan",IF(AND(MID(B928,4,2)="12",VALUE(LEFT(B928,2))&lt;=9),"Adha Season","Normal"))</f>
        <v>Ramadan</v>
      </c>
      <c r="D928" s="1" t="s">
        <v>45</v>
      </c>
      <c r="E928" s="1" t="s">
        <v>483</v>
      </c>
      <c r="F928" s="4" t="s">
        <v>43</v>
      </c>
      <c r="G928" s="1">
        <v>32</v>
      </c>
      <c r="H928" s="1">
        <v>32</v>
      </c>
      <c r="I928" s="1">
        <f>grand[[#This Row],[number]]-grand[[#This Row],[received]]</f>
        <v>0</v>
      </c>
      <c r="J928" s="30"/>
      <c r="K928" s="2">
        <v>17375</v>
      </c>
      <c r="L928" s="2">
        <v>16760</v>
      </c>
      <c r="M928" s="2">
        <f>K928-L928</f>
        <v>615</v>
      </c>
      <c r="N928" s="2">
        <v>10815.5</v>
      </c>
      <c r="O928" s="2">
        <v>468</v>
      </c>
      <c r="P928" s="7">
        <f>grand[[#This Row],[total weight]]/grand[[#This Row],[received]]</f>
        <v>542.96875</v>
      </c>
      <c r="Q928" s="7">
        <f>grand[[#This Row],[receiving weight]]/grand[[#This Row],[received]]</f>
        <v>523.75</v>
      </c>
      <c r="R928" s="7">
        <f>grand[[#This Row],[transportation loss ]]/grand[[#This Row],[received]]</f>
        <v>19.21875</v>
      </c>
      <c r="S928" s="7">
        <f>grand[[#This Row],[ carcass weight]]/grand[[#This Row],[received]]</f>
        <v>337.984375</v>
      </c>
      <c r="T928" s="7">
        <f>grand[[#This Row],[ kidneys fat quantity]]/grand[[#This Row],[received]]</f>
        <v>14.625</v>
      </c>
      <c r="U928" s="1">
        <v>24.375</v>
      </c>
      <c r="V928" s="1">
        <v>0</v>
      </c>
      <c r="W928" s="1">
        <v>47.8125</v>
      </c>
      <c r="X928" s="1">
        <v>10</v>
      </c>
      <c r="Y928" s="1">
        <v>8.5</v>
      </c>
      <c r="Z928" s="18">
        <f>grand[[#This Row],[av. Transportation loss]]/grand[[#This Row],[av.total weight]]</f>
        <v>3.539568345323741E-2</v>
      </c>
      <c r="AA928" s="12">
        <f>AVERAGE((grand[[#This Row],[am]]/25),(grand[[#This Row],[pm]]/50))</f>
        <v>0.96562499999999996</v>
      </c>
      <c r="AB928" s="3">
        <f>grand[[#This Row],[ carcass weight]]/grand[[#This Row],[total weight]]</f>
        <v>0.62247482014388489</v>
      </c>
      <c r="AC928" s="18">
        <f>SUM(grand[[#This Row],[am]:[meat transportation]])/100</f>
        <v>0.90687499999999999</v>
      </c>
      <c r="AJ928" s="1">
        <v>29</v>
      </c>
      <c r="AK928" s="1"/>
      <c r="AL928" s="1"/>
    </row>
    <row r="929" spans="1:38" hidden="1" x14ac:dyDescent="0.2">
      <c r="A929" s="11">
        <v>45370</v>
      </c>
      <c r="B929" s="53" t="s">
        <v>1956</v>
      </c>
      <c r="C929" s="52" t="str">
        <f>IF(MID(B929,4,2)="09","Ramadan",IF(AND(MID(B929,4,2)="12",VALUE(LEFT(B929,2))&lt;=9),"Adha Season","Normal"))</f>
        <v>Ramadan</v>
      </c>
      <c r="D929" s="1" t="s">
        <v>45</v>
      </c>
      <c r="E929" s="1" t="s">
        <v>483</v>
      </c>
      <c r="F929" s="4" t="s">
        <v>43</v>
      </c>
      <c r="G929" s="1">
        <v>47</v>
      </c>
      <c r="H929" s="1">
        <v>47</v>
      </c>
      <c r="I929" s="1">
        <f>grand[[#This Row],[number]]-grand[[#This Row],[received]]</f>
        <v>0</v>
      </c>
      <c r="J929" s="30"/>
      <c r="K929" s="2">
        <v>24540</v>
      </c>
      <c r="L929" s="2">
        <v>23440</v>
      </c>
      <c r="M929" s="2">
        <f>K929-L929</f>
        <v>1100</v>
      </c>
      <c r="N929" s="2">
        <v>14927</v>
      </c>
      <c r="O929" s="2">
        <v>636</v>
      </c>
      <c r="P929" s="7">
        <f>grand[[#This Row],[total weight]]/grand[[#This Row],[received]]</f>
        <v>522.12765957446811</v>
      </c>
      <c r="Q929" s="7">
        <f>grand[[#This Row],[receiving weight]]/grand[[#This Row],[received]]</f>
        <v>498.72340425531917</v>
      </c>
      <c r="R929" s="7">
        <f>grand[[#This Row],[transportation loss ]]/grand[[#This Row],[received]]</f>
        <v>23.404255319148938</v>
      </c>
      <c r="S929" s="7">
        <f>grand[[#This Row],[ carcass weight]]/grand[[#This Row],[received]]</f>
        <v>317.59574468085106</v>
      </c>
      <c r="T929" s="7">
        <f>grand[[#This Row],[ kidneys fat quantity]]/grand[[#This Row],[received]]</f>
        <v>13.531914893617021</v>
      </c>
      <c r="U929" s="1">
        <v>24.468085106382979</v>
      </c>
      <c r="V929" s="1">
        <v>0</v>
      </c>
      <c r="W929" s="1">
        <v>48.893617021276597</v>
      </c>
      <c r="X929" s="1">
        <v>10</v>
      </c>
      <c r="Y929" s="1">
        <v>8.5</v>
      </c>
      <c r="Z929" s="18">
        <f>grand[[#This Row],[av. Transportation loss]]/grand[[#This Row],[av.total weight]]</f>
        <v>4.4824775876120618E-2</v>
      </c>
      <c r="AA929" s="12">
        <f>AVERAGE((grand[[#This Row],[am]]/25),(grand[[#This Row],[pm]]/50))</f>
        <v>0.97829787234042553</v>
      </c>
      <c r="AB929" s="3">
        <f>grand[[#This Row],[ carcass weight]]/grand[[#This Row],[total weight]]</f>
        <v>0.60827220863895681</v>
      </c>
      <c r="AC929" s="18">
        <f>SUM(grand[[#This Row],[am]:[meat transportation]])/100</f>
        <v>0.91861702127659584</v>
      </c>
      <c r="AJ929" s="1">
        <v>38</v>
      </c>
      <c r="AK929" s="1"/>
      <c r="AL929" s="1"/>
    </row>
    <row r="930" spans="1:38" hidden="1" x14ac:dyDescent="0.2">
      <c r="A930" s="11">
        <v>45374</v>
      </c>
      <c r="B930" s="53" t="s">
        <v>2879</v>
      </c>
      <c r="C930" s="52" t="str">
        <f>IF(MID(B930,4,2)="09","Ramadan",IF(AND(MID(B930,4,2)="12",VALUE(LEFT(B930,2))&lt;=9),"Adha Season","Normal"))</f>
        <v>Ramadan</v>
      </c>
      <c r="D930" s="1" t="s">
        <v>45</v>
      </c>
      <c r="E930" s="1" t="s">
        <v>528</v>
      </c>
      <c r="F930" s="4" t="s">
        <v>462</v>
      </c>
      <c r="G930" s="1">
        <v>65</v>
      </c>
      <c r="H930" s="1">
        <v>65</v>
      </c>
      <c r="I930" s="1">
        <f>grand[[#This Row],[number]]-grand[[#This Row],[received]]</f>
        <v>0</v>
      </c>
      <c r="J930" s="30"/>
      <c r="K930" s="2">
        <v>32236.708860759489</v>
      </c>
      <c r="L930" s="2">
        <v>32236.708860759489</v>
      </c>
      <c r="M930" s="2">
        <f>K930-L930</f>
        <v>0</v>
      </c>
      <c r="N930" s="2">
        <v>20373.599999999999</v>
      </c>
      <c r="O930" s="2">
        <v>0</v>
      </c>
      <c r="P930" s="7">
        <f>grand[[#This Row],[total weight]]/grand[[#This Row],[received]]</f>
        <v>495.94936708860752</v>
      </c>
      <c r="Q930" s="7">
        <f>grand[[#This Row],[receiving weight]]/grand[[#This Row],[received]]</f>
        <v>495.94936708860752</v>
      </c>
      <c r="R930" s="7">
        <f>grand[[#This Row],[transportation loss ]]/grand[[#This Row],[received]]</f>
        <v>0</v>
      </c>
      <c r="S930" s="7">
        <f>grand[[#This Row],[ carcass weight]]/grand[[#This Row],[received]]</f>
        <v>313.44</v>
      </c>
      <c r="T930" s="7">
        <f>grand[[#This Row],[ kidneys fat quantity]]/grand[[#This Row],[received]]</f>
        <v>0</v>
      </c>
      <c r="U930" s="1">
        <v>25</v>
      </c>
      <c r="V930" s="1">
        <v>4</v>
      </c>
      <c r="W930" s="1">
        <v>50</v>
      </c>
      <c r="X930" s="1">
        <v>9.9230769230769234</v>
      </c>
      <c r="Y930" s="1">
        <v>8.5</v>
      </c>
      <c r="Z930" s="18">
        <f>grand[[#This Row],[av. Transportation loss]]/grand[[#This Row],[av.total weight]]</f>
        <v>0</v>
      </c>
      <c r="AA930" s="12">
        <f>AVERAGE((grand[[#This Row],[am]]/25),(grand[[#This Row],[pm]]/50))</f>
        <v>1</v>
      </c>
      <c r="AB930" s="3">
        <f>grand[[#This Row],[ carcass weight]]/grand[[#This Row],[total weight]]</f>
        <v>0.63200000000000001</v>
      </c>
      <c r="AC930" s="18">
        <f>SUM(grand[[#This Row],[am]:[meat transportation]])/100</f>
        <v>0.97423076923076923</v>
      </c>
      <c r="AK930" s="1"/>
      <c r="AL930" s="1"/>
    </row>
    <row r="931" spans="1:38" hidden="1" x14ac:dyDescent="0.2">
      <c r="A931" s="11">
        <v>45376</v>
      </c>
      <c r="B931" s="53" t="s">
        <v>2880</v>
      </c>
      <c r="C931" s="52" t="str">
        <f>IF(MID(B931,4,2)="09","Ramadan",IF(AND(MID(B931,4,2)="12",VALUE(LEFT(B931,2))&lt;=9),"Adha Season","Normal"))</f>
        <v>Ramadan</v>
      </c>
      <c r="D931" s="1" t="s">
        <v>45</v>
      </c>
      <c r="E931" s="1" t="s">
        <v>528</v>
      </c>
      <c r="F931" s="4" t="s">
        <v>462</v>
      </c>
      <c r="G931" s="1">
        <v>50</v>
      </c>
      <c r="H931" s="1">
        <v>50</v>
      </c>
      <c r="I931" s="1">
        <f>grand[[#This Row],[number]]-grand[[#This Row],[received]]</f>
        <v>0</v>
      </c>
      <c r="J931" s="30"/>
      <c r="K931" s="2">
        <v>25193.67088607595</v>
      </c>
      <c r="L931" s="2">
        <v>25193.67088607595</v>
      </c>
      <c r="M931" s="2">
        <f>K931-L931</f>
        <v>0</v>
      </c>
      <c r="N931" s="2">
        <v>15922.4</v>
      </c>
      <c r="O931" s="2">
        <v>0</v>
      </c>
      <c r="P931" s="7">
        <f>grand[[#This Row],[total weight]]/grand[[#This Row],[received]]</f>
        <v>503.87341772151899</v>
      </c>
      <c r="Q931" s="7">
        <f>grand[[#This Row],[receiving weight]]/grand[[#This Row],[received]]</f>
        <v>503.87341772151899</v>
      </c>
      <c r="R931" s="7">
        <f>grand[[#This Row],[transportation loss ]]/grand[[#This Row],[received]]</f>
        <v>0</v>
      </c>
      <c r="S931" s="7">
        <f>grand[[#This Row],[ carcass weight]]/grand[[#This Row],[received]]</f>
        <v>318.44799999999998</v>
      </c>
      <c r="T931" s="7">
        <f>grand[[#This Row],[ kidneys fat quantity]]/grand[[#This Row],[received]]</f>
        <v>0</v>
      </c>
      <c r="U931" s="1">
        <v>25</v>
      </c>
      <c r="V931" s="1">
        <v>4</v>
      </c>
      <c r="W931" s="1">
        <v>50</v>
      </c>
      <c r="X931" s="1">
        <v>10</v>
      </c>
      <c r="Y931" s="1">
        <v>8.5</v>
      </c>
      <c r="Z931" s="18">
        <f>grand[[#This Row],[av. Transportation loss]]/grand[[#This Row],[av.total weight]]</f>
        <v>0</v>
      </c>
      <c r="AA931" s="12">
        <f>AVERAGE((grand[[#This Row],[am]]/25),(grand[[#This Row],[pm]]/50))</f>
        <v>1</v>
      </c>
      <c r="AB931" s="3">
        <f>grand[[#This Row],[ carcass weight]]/grand[[#This Row],[total weight]]</f>
        <v>0.63200000000000001</v>
      </c>
      <c r="AC931" s="18">
        <f>SUM(grand[[#This Row],[am]:[meat transportation]])/100</f>
        <v>0.97499999999999998</v>
      </c>
      <c r="AK931" s="1"/>
      <c r="AL931" s="1"/>
    </row>
    <row r="932" spans="1:38" hidden="1" x14ac:dyDescent="0.2">
      <c r="A932" s="11">
        <v>45378</v>
      </c>
      <c r="B932" s="53" t="s">
        <v>2881</v>
      </c>
      <c r="C932" s="52" t="str">
        <f>IF(MID(B932,4,2)="09","Ramadan",IF(AND(MID(B932,4,2)="12",VALUE(LEFT(B932,2))&lt;=9),"Adha Season","Normal"))</f>
        <v>Ramadan</v>
      </c>
      <c r="D932" s="1" t="s">
        <v>45</v>
      </c>
      <c r="E932" s="1" t="s">
        <v>528</v>
      </c>
      <c r="F932" s="4" t="s">
        <v>462</v>
      </c>
      <c r="G932" s="1">
        <v>40</v>
      </c>
      <c r="H932" s="1">
        <v>40</v>
      </c>
      <c r="I932" s="1">
        <f>grand[[#This Row],[number]]-grand[[#This Row],[received]]</f>
        <v>0</v>
      </c>
      <c r="J932" s="30"/>
      <c r="K932" s="2">
        <v>19887.341772151896</v>
      </c>
      <c r="L932" s="2">
        <v>19887.341772151896</v>
      </c>
      <c r="M932" s="2">
        <f>K932-L932</f>
        <v>0</v>
      </c>
      <c r="N932" s="2">
        <v>12568.8</v>
      </c>
      <c r="O932" s="2">
        <v>0</v>
      </c>
      <c r="P932" s="7">
        <f>grand[[#This Row],[total weight]]/grand[[#This Row],[received]]</f>
        <v>497.18354430379742</v>
      </c>
      <c r="Q932" s="7">
        <f>grand[[#This Row],[receiving weight]]/grand[[#This Row],[received]]</f>
        <v>497.18354430379742</v>
      </c>
      <c r="R932" s="7">
        <f>grand[[#This Row],[transportation loss ]]/grand[[#This Row],[received]]</f>
        <v>0</v>
      </c>
      <c r="S932" s="7">
        <f>grand[[#This Row],[ carcass weight]]/grand[[#This Row],[received]]</f>
        <v>314.21999999999997</v>
      </c>
      <c r="T932" s="7">
        <f>grand[[#This Row],[ kidneys fat quantity]]/grand[[#This Row],[received]]</f>
        <v>0</v>
      </c>
      <c r="U932" s="1">
        <v>25</v>
      </c>
      <c r="V932" s="1">
        <v>4</v>
      </c>
      <c r="W932" s="1">
        <v>50</v>
      </c>
      <c r="X932" s="1">
        <v>10</v>
      </c>
      <c r="Y932" s="1">
        <v>8.5</v>
      </c>
      <c r="Z932" s="18">
        <f>grand[[#This Row],[av. Transportation loss]]/grand[[#This Row],[av.total weight]]</f>
        <v>0</v>
      </c>
      <c r="AA932" s="12">
        <f>AVERAGE((grand[[#This Row],[am]]/25),(grand[[#This Row],[pm]]/50))</f>
        <v>1</v>
      </c>
      <c r="AB932" s="3">
        <f>grand[[#This Row],[ carcass weight]]/grand[[#This Row],[total weight]]</f>
        <v>0.63200000000000001</v>
      </c>
      <c r="AC932" s="18">
        <f>SUM(grand[[#This Row],[am]:[meat transportation]])/100</f>
        <v>0.97499999999999998</v>
      </c>
      <c r="AK932" s="1"/>
      <c r="AL932" s="1"/>
    </row>
    <row r="933" spans="1:38" hidden="1" x14ac:dyDescent="0.2">
      <c r="A933" s="11">
        <v>45379</v>
      </c>
      <c r="B933" s="53" t="s">
        <v>1957</v>
      </c>
      <c r="C933" s="52" t="str">
        <f>IF(MID(B933,4,2)="09","Ramadan",IF(AND(MID(B933,4,2)="12",VALUE(LEFT(B933,2))&lt;=9),"Adha Season","Normal"))</f>
        <v>Ramadan</v>
      </c>
      <c r="D933" s="1" t="s">
        <v>45</v>
      </c>
      <c r="E933" s="1" t="s">
        <v>483</v>
      </c>
      <c r="F933" s="4" t="s">
        <v>43</v>
      </c>
      <c r="G933" s="1">
        <v>35</v>
      </c>
      <c r="H933" s="1">
        <v>35</v>
      </c>
      <c r="I933" s="1">
        <f>grand[[#This Row],[number]]-grand[[#This Row],[received]]</f>
        <v>0</v>
      </c>
      <c r="J933" s="30"/>
      <c r="K933" s="2">
        <v>18428</v>
      </c>
      <c r="L933" s="2">
        <v>17600</v>
      </c>
      <c r="M933" s="2">
        <f>K933-L933</f>
        <v>828</v>
      </c>
      <c r="N933" s="2">
        <v>11057.1</v>
      </c>
      <c r="O933" s="2">
        <v>412</v>
      </c>
      <c r="P933" s="7">
        <f>grand[[#This Row],[total weight]]/grand[[#This Row],[received]]</f>
        <v>526.51428571428573</v>
      </c>
      <c r="Q933" s="7">
        <f>grand[[#This Row],[receiving weight]]/grand[[#This Row],[received]]</f>
        <v>502.85714285714283</v>
      </c>
      <c r="R933" s="7">
        <f>grand[[#This Row],[transportation loss ]]/grand[[#This Row],[received]]</f>
        <v>23.657142857142858</v>
      </c>
      <c r="S933" s="7">
        <f>grand[[#This Row],[ carcass weight]]/grand[[#This Row],[received]]</f>
        <v>315.91714285714289</v>
      </c>
      <c r="T933" s="7">
        <f>grand[[#This Row],[ kidneys fat quantity]]/grand[[#This Row],[received]]</f>
        <v>11.771428571428572</v>
      </c>
      <c r="U933" s="1">
        <v>24.571428571428569</v>
      </c>
      <c r="V933" s="1">
        <v>0</v>
      </c>
      <c r="W933" s="1">
        <v>48.957142857142856</v>
      </c>
      <c r="X933" s="1">
        <v>10</v>
      </c>
      <c r="Y933" s="1">
        <v>8.5</v>
      </c>
      <c r="Z933" s="18">
        <f>grand[[#This Row],[av. Transportation loss]]/grand[[#This Row],[av.total weight]]</f>
        <v>4.4931625786846105E-2</v>
      </c>
      <c r="AA933" s="12">
        <f>AVERAGE((grand[[#This Row],[am]]/25),(grand[[#This Row],[pm]]/50))</f>
        <v>0.98099999999999987</v>
      </c>
      <c r="AB933" s="3">
        <f>grand[[#This Row],[ carcass weight]]/grand[[#This Row],[total weight]]</f>
        <v>0.6000162795745605</v>
      </c>
      <c r="AC933" s="18">
        <f>SUM(grand[[#This Row],[am]:[meat transportation]])/100</f>
        <v>0.92028571428571426</v>
      </c>
      <c r="AJ933" s="1">
        <v>34</v>
      </c>
      <c r="AK933" s="1"/>
      <c r="AL933" s="1"/>
    </row>
    <row r="934" spans="1:38" hidden="1" x14ac:dyDescent="0.2">
      <c r="A934" s="11">
        <v>45380</v>
      </c>
      <c r="B934" s="53" t="s">
        <v>1958</v>
      </c>
      <c r="C934" s="52" t="str">
        <f>IF(MID(B934,4,2)="09","Ramadan",IF(AND(MID(B934,4,2)="12",VALUE(LEFT(B934,2))&lt;=9),"Adha Season","Normal"))</f>
        <v>Ramadan</v>
      </c>
      <c r="D934" s="1" t="s">
        <v>45</v>
      </c>
      <c r="E934" s="1" t="s">
        <v>483</v>
      </c>
      <c r="F934" s="4" t="s">
        <v>462</v>
      </c>
      <c r="G934" s="1">
        <v>40</v>
      </c>
      <c r="H934" s="1">
        <v>40</v>
      </c>
      <c r="I934" s="1">
        <f>grand[[#This Row],[number]]-grand[[#This Row],[received]]</f>
        <v>0</v>
      </c>
      <c r="J934" s="30"/>
      <c r="K934" s="2">
        <v>19152.531645569619</v>
      </c>
      <c r="L934" s="2">
        <v>19152.531645569619</v>
      </c>
      <c r="M934" s="2">
        <f>K934-L934</f>
        <v>0</v>
      </c>
      <c r="N934" s="2">
        <v>12104.4</v>
      </c>
      <c r="O934" s="2">
        <v>0</v>
      </c>
      <c r="P934" s="7">
        <f>grand[[#This Row],[total weight]]/grand[[#This Row],[received]]</f>
        <v>478.8132911392405</v>
      </c>
      <c r="Q934" s="7">
        <f>grand[[#This Row],[receiving weight]]/grand[[#This Row],[received]]</f>
        <v>478.8132911392405</v>
      </c>
      <c r="R934" s="7">
        <f>grand[[#This Row],[transportation loss ]]/grand[[#This Row],[received]]</f>
        <v>0</v>
      </c>
      <c r="S934" s="7">
        <f>grand[[#This Row],[ carcass weight]]/grand[[#This Row],[received]]</f>
        <v>302.61</v>
      </c>
      <c r="T934" s="7">
        <f>grand[[#This Row],[ kidneys fat quantity]]/grand[[#This Row],[received]]</f>
        <v>0</v>
      </c>
      <c r="U934" s="1">
        <v>25</v>
      </c>
      <c r="V934" s="1">
        <v>4</v>
      </c>
      <c r="W934" s="1">
        <v>50</v>
      </c>
      <c r="X934" s="1">
        <v>10</v>
      </c>
      <c r="Y934" s="1">
        <v>8.5</v>
      </c>
      <c r="Z934" s="18">
        <f>grand[[#This Row],[av. Transportation loss]]/grand[[#This Row],[av.total weight]]</f>
        <v>0</v>
      </c>
      <c r="AA934" s="12">
        <f>AVERAGE((grand[[#This Row],[am]]/25),(grand[[#This Row],[pm]]/50))</f>
        <v>1</v>
      </c>
      <c r="AB934" s="3">
        <f>grand[[#This Row],[ carcass weight]]/grand[[#This Row],[total weight]]</f>
        <v>0.63200000000000001</v>
      </c>
      <c r="AC934" s="18">
        <f>SUM(grand[[#This Row],[am]:[meat transportation]])/100</f>
        <v>0.97499999999999998</v>
      </c>
      <c r="AK934" s="1"/>
      <c r="AL934" s="1"/>
    </row>
    <row r="935" spans="1:38" hidden="1" x14ac:dyDescent="0.2">
      <c r="A935" s="11">
        <v>45382</v>
      </c>
      <c r="B935" s="53" t="s">
        <v>2882</v>
      </c>
      <c r="C935" s="52" t="str">
        <f>IF(MID(B935,4,2)="09","Ramadan",IF(AND(MID(B935,4,2)="12",VALUE(LEFT(B935,2))&lt;=9),"Adha Season","Normal"))</f>
        <v>Ramadan</v>
      </c>
      <c r="D935" s="1" t="s">
        <v>45</v>
      </c>
      <c r="E935" s="1" t="s">
        <v>483</v>
      </c>
      <c r="F935" s="4" t="s">
        <v>39</v>
      </c>
      <c r="G935" s="1">
        <v>50</v>
      </c>
      <c r="H935" s="1">
        <v>50</v>
      </c>
      <c r="I935" s="1">
        <f>grand[[#This Row],[number]]-grand[[#This Row],[received]]</f>
        <v>0</v>
      </c>
      <c r="J935" s="30"/>
      <c r="K935" s="2">
        <v>21681</v>
      </c>
      <c r="L935" s="2">
        <v>20930</v>
      </c>
      <c r="M935" s="2">
        <f>K935-L935</f>
        <v>751</v>
      </c>
      <c r="N935" s="2">
        <v>13470</v>
      </c>
      <c r="O935" s="2">
        <v>460</v>
      </c>
      <c r="P935" s="7">
        <f>grand[[#This Row],[total weight]]/grand[[#This Row],[received]]</f>
        <v>433.62</v>
      </c>
      <c r="Q935" s="7">
        <f>grand[[#This Row],[receiving weight]]/grand[[#This Row],[received]]</f>
        <v>418.6</v>
      </c>
      <c r="R935" s="7">
        <f>grand[[#This Row],[transportation loss ]]/grand[[#This Row],[received]]</f>
        <v>15.02</v>
      </c>
      <c r="S935" s="7">
        <f>grand[[#This Row],[ carcass weight]]/grand[[#This Row],[received]]</f>
        <v>269.39999999999998</v>
      </c>
      <c r="T935" s="7">
        <f>grand[[#This Row],[ kidneys fat quantity]]/grand[[#This Row],[received]]</f>
        <v>9.1999999999999993</v>
      </c>
      <c r="U935" s="1">
        <v>25</v>
      </c>
      <c r="V935" s="1">
        <v>0</v>
      </c>
      <c r="W935" s="1">
        <v>49.48</v>
      </c>
      <c r="X935" s="1">
        <v>10</v>
      </c>
      <c r="Y935" s="1">
        <v>8.5</v>
      </c>
      <c r="Z935" s="18">
        <f>grand[[#This Row],[av. Transportation loss]]/grand[[#This Row],[av.total weight]]</f>
        <v>3.4638623679719566E-2</v>
      </c>
      <c r="AA935" s="12">
        <f>AVERAGE((grand[[#This Row],[am]]/25),(grand[[#This Row],[pm]]/50))</f>
        <v>0.99479999999999991</v>
      </c>
      <c r="AB935" s="3">
        <f>grand[[#This Row],[ carcass weight]]/grand[[#This Row],[total weight]]</f>
        <v>0.62128130621281308</v>
      </c>
      <c r="AC935" s="18">
        <f>SUM(grand[[#This Row],[am]:[meat transportation]])/100</f>
        <v>0.92979999999999985</v>
      </c>
      <c r="AJ935" s="1">
        <v>6</v>
      </c>
      <c r="AK935" s="1"/>
      <c r="AL935" s="1"/>
    </row>
    <row r="936" spans="1:38" hidden="1" x14ac:dyDescent="0.2">
      <c r="A936" s="11">
        <v>45383</v>
      </c>
      <c r="B936" s="53" t="s">
        <v>1959</v>
      </c>
      <c r="C936" s="52" t="str">
        <f>IF(MID(B936,4,2)="09","Ramadan",IF(AND(MID(B936,4,2)="12",VALUE(LEFT(B936,2))&lt;=9),"Adha Season","Normal"))</f>
        <v>Ramadan</v>
      </c>
      <c r="D936" s="1" t="s">
        <v>45</v>
      </c>
      <c r="E936" s="1" t="s">
        <v>528</v>
      </c>
      <c r="F936" s="4" t="s">
        <v>462</v>
      </c>
      <c r="G936" s="1">
        <v>40</v>
      </c>
      <c r="H936" s="1">
        <v>40</v>
      </c>
      <c r="I936" s="1">
        <f>grand[[#This Row],[number]]-grand[[#This Row],[received]]</f>
        <v>0</v>
      </c>
      <c r="J936" s="30"/>
      <c r="K936" s="2">
        <v>19152.531645569619</v>
      </c>
      <c r="L936" s="2">
        <v>19152.531645569619</v>
      </c>
      <c r="M936" s="2">
        <f>K936-L936</f>
        <v>0</v>
      </c>
      <c r="N936" s="2">
        <v>12104.4</v>
      </c>
      <c r="O936" s="2">
        <v>0</v>
      </c>
      <c r="P936" s="7">
        <f>grand[[#This Row],[total weight]]/grand[[#This Row],[received]]</f>
        <v>478.8132911392405</v>
      </c>
      <c r="Q936" s="7">
        <f>grand[[#This Row],[receiving weight]]/grand[[#This Row],[received]]</f>
        <v>478.8132911392405</v>
      </c>
      <c r="R936" s="7">
        <f>grand[[#This Row],[transportation loss ]]/grand[[#This Row],[received]]</f>
        <v>0</v>
      </c>
      <c r="S936" s="7">
        <f>grand[[#This Row],[ carcass weight]]/grand[[#This Row],[received]]</f>
        <v>302.61</v>
      </c>
      <c r="T936" s="7">
        <f>grand[[#This Row],[ kidneys fat quantity]]/grand[[#This Row],[received]]</f>
        <v>0</v>
      </c>
      <c r="U936" s="1">
        <v>25</v>
      </c>
      <c r="V936" s="1">
        <v>4</v>
      </c>
      <c r="W936" s="1">
        <v>50</v>
      </c>
      <c r="X936" s="1">
        <v>10</v>
      </c>
      <c r="Y936" s="1">
        <v>8.5</v>
      </c>
      <c r="Z936" s="18">
        <f>grand[[#This Row],[av. Transportation loss]]/grand[[#This Row],[av.total weight]]</f>
        <v>0</v>
      </c>
      <c r="AA936" s="12">
        <f>AVERAGE((grand[[#This Row],[am]]/25),(grand[[#This Row],[pm]]/50))</f>
        <v>1</v>
      </c>
      <c r="AB936" s="3">
        <f>grand[[#This Row],[ carcass weight]]/grand[[#This Row],[total weight]]</f>
        <v>0.63200000000000001</v>
      </c>
      <c r="AC936" s="18">
        <f>SUM(grand[[#This Row],[am]:[meat transportation]])/100</f>
        <v>0.97499999999999998</v>
      </c>
      <c r="AK936" s="1"/>
      <c r="AL936" s="1"/>
    </row>
    <row r="937" spans="1:38" hidden="1" x14ac:dyDescent="0.2">
      <c r="A937" s="11">
        <v>45385</v>
      </c>
      <c r="B937" s="53" t="s">
        <v>1961</v>
      </c>
      <c r="C937" s="52" t="str">
        <f>IF(MID(B937,4,2)="09","Ramadan",IF(AND(MID(B937,4,2)="12",VALUE(LEFT(B937,2))&lt;=9),"Adha Season","Normal"))</f>
        <v>Ramadan</v>
      </c>
      <c r="D937" s="1" t="s">
        <v>45</v>
      </c>
      <c r="E937" s="1" t="s">
        <v>528</v>
      </c>
      <c r="F937" s="4" t="s">
        <v>462</v>
      </c>
      <c r="G937" s="1">
        <v>32</v>
      </c>
      <c r="H937" s="1">
        <v>32</v>
      </c>
      <c r="I937" s="1">
        <f>grand[[#This Row],[number]]-grand[[#This Row],[received]]</f>
        <v>0</v>
      </c>
      <c r="J937" s="30"/>
      <c r="K937" s="2">
        <v>15149.683544303796</v>
      </c>
      <c r="L937" s="2">
        <v>15149.683544303796</v>
      </c>
      <c r="M937" s="2">
        <f>K937-L937</f>
        <v>0</v>
      </c>
      <c r="N937" s="2">
        <v>9574.6</v>
      </c>
      <c r="O937" s="2">
        <v>252</v>
      </c>
      <c r="P937" s="7">
        <f>grand[[#This Row],[total weight]]/grand[[#This Row],[received]]</f>
        <v>473.42761075949363</v>
      </c>
      <c r="Q937" s="7">
        <f>grand[[#This Row],[receiving weight]]/grand[[#This Row],[received]]</f>
        <v>473.42761075949363</v>
      </c>
      <c r="R937" s="7">
        <f>grand[[#This Row],[transportation loss ]]/grand[[#This Row],[received]]</f>
        <v>0</v>
      </c>
      <c r="S937" s="7">
        <f>grand[[#This Row],[ carcass weight]]/grand[[#This Row],[received]]</f>
        <v>299.20625000000001</v>
      </c>
      <c r="T937" s="7">
        <f>grand[[#This Row],[ kidneys fat quantity]]/grand[[#This Row],[received]]</f>
        <v>7.875</v>
      </c>
      <c r="U937" s="1">
        <v>25</v>
      </c>
      <c r="V937" s="1">
        <v>4</v>
      </c>
      <c r="W937" s="1">
        <v>50</v>
      </c>
      <c r="X937" s="1">
        <v>10</v>
      </c>
      <c r="Y937" s="1">
        <v>8.5</v>
      </c>
      <c r="Z937" s="18">
        <f>grand[[#This Row],[av. Transportation loss]]/grand[[#This Row],[av.total weight]]</f>
        <v>0</v>
      </c>
      <c r="AA937" s="12">
        <f>AVERAGE((grand[[#This Row],[am]]/25),(grand[[#This Row],[pm]]/50))</f>
        <v>1</v>
      </c>
      <c r="AB937" s="3">
        <f>grand[[#This Row],[ carcass weight]]/grand[[#This Row],[total weight]]</f>
        <v>0.63200000000000012</v>
      </c>
      <c r="AC937" s="18">
        <f>SUM(grand[[#This Row],[am]:[meat transportation]])/100</f>
        <v>0.97499999999999998</v>
      </c>
      <c r="AK937" s="1"/>
      <c r="AL937" s="1"/>
    </row>
    <row r="938" spans="1:38" hidden="1" x14ac:dyDescent="0.2">
      <c r="A938" s="11">
        <v>45386</v>
      </c>
      <c r="B938" s="53" t="s">
        <v>1962</v>
      </c>
      <c r="C938" s="52" t="str">
        <f>IF(MID(B938,4,2)="09","Ramadan",IF(AND(MID(B938,4,2)="12",VALUE(LEFT(B938,2))&lt;=9),"Adha Season","Normal"))</f>
        <v>Ramadan</v>
      </c>
      <c r="D938" s="1" t="s">
        <v>45</v>
      </c>
      <c r="E938" s="1" t="s">
        <v>483</v>
      </c>
      <c r="F938" s="4" t="s">
        <v>576</v>
      </c>
      <c r="G938" s="1">
        <v>32</v>
      </c>
      <c r="H938" s="1">
        <v>32</v>
      </c>
      <c r="I938" s="1">
        <f>grand[[#This Row],[number]]-grand[[#This Row],[received]]</f>
        <v>0</v>
      </c>
      <c r="J938" s="30"/>
      <c r="K938" s="2">
        <v>15204</v>
      </c>
      <c r="L938" s="2">
        <v>14925</v>
      </c>
      <c r="M938" s="2">
        <f>K938-L938</f>
        <v>279</v>
      </c>
      <c r="N938" s="2">
        <v>9593.4</v>
      </c>
      <c r="O938" s="2">
        <v>252</v>
      </c>
      <c r="P938" s="7">
        <f>grand[[#This Row],[total weight]]/grand[[#This Row],[received]]</f>
        <v>475.125</v>
      </c>
      <c r="Q938" s="7">
        <f>grand[[#This Row],[receiving weight]]/grand[[#This Row],[received]]</f>
        <v>466.40625</v>
      </c>
      <c r="R938" s="7">
        <f>grand[[#This Row],[transportation loss ]]/grand[[#This Row],[received]]</f>
        <v>8.71875</v>
      </c>
      <c r="S938" s="7">
        <f>grand[[#This Row],[ carcass weight]]/grand[[#This Row],[received]]</f>
        <v>299.79374999999999</v>
      </c>
      <c r="T938" s="7">
        <f>grand[[#This Row],[ kidneys fat quantity]]/grand[[#This Row],[received]]</f>
        <v>7.875</v>
      </c>
      <c r="U938" s="1">
        <v>25</v>
      </c>
      <c r="V938" s="1">
        <v>0</v>
      </c>
      <c r="W938" s="1">
        <v>44.4375</v>
      </c>
      <c r="X938" s="1">
        <v>10</v>
      </c>
      <c r="Y938" s="1">
        <v>8.5</v>
      </c>
      <c r="Z938" s="18">
        <f>grand[[#This Row],[av. Transportation loss]]/grand[[#This Row],[av.total weight]]</f>
        <v>1.835043409629045E-2</v>
      </c>
      <c r="AA938" s="12">
        <f>AVERAGE((grand[[#This Row],[am]]/25),(grand[[#This Row],[pm]]/50))</f>
        <v>0.94437499999999996</v>
      </c>
      <c r="AB938" s="3">
        <f>grand[[#This Row],[ carcass weight]]/grand[[#This Row],[total weight]]</f>
        <v>0.63097868981846883</v>
      </c>
      <c r="AC938" s="18">
        <f>SUM(grand[[#This Row],[am]:[meat transportation]])/100</f>
        <v>0.87937500000000002</v>
      </c>
      <c r="AJ938" s="1">
        <v>18</v>
      </c>
      <c r="AK938" s="1"/>
      <c r="AL938" s="1"/>
    </row>
    <row r="939" spans="1:38" hidden="1" x14ac:dyDescent="0.2">
      <c r="A939" s="11">
        <v>45389</v>
      </c>
      <c r="B939" s="53" t="s">
        <v>1963</v>
      </c>
      <c r="C939" s="52" t="str">
        <f>IF(MID(B939,4,2)="09","Ramadan",IF(AND(MID(B939,4,2)="12",VALUE(LEFT(B939,2))&lt;=9),"Adha Season","Normal"))</f>
        <v>Ramadan</v>
      </c>
      <c r="D939" s="1" t="s">
        <v>45</v>
      </c>
      <c r="E939" s="1" t="s">
        <v>528</v>
      </c>
      <c r="F939" s="4" t="s">
        <v>462</v>
      </c>
      <c r="G939" s="1">
        <v>34</v>
      </c>
      <c r="H939" s="1">
        <v>34</v>
      </c>
      <c r="I939" s="1">
        <f>grand[[#This Row],[number]]-grand[[#This Row],[received]]</f>
        <v>0</v>
      </c>
      <c r="J939" s="30"/>
      <c r="K939" s="2">
        <v>15524.367088607594</v>
      </c>
      <c r="L939" s="2">
        <v>15524.367088607594</v>
      </c>
      <c r="M939" s="2">
        <f>K939-L939</f>
        <v>0</v>
      </c>
      <c r="N939" s="2">
        <v>9811.4</v>
      </c>
      <c r="O939" s="2">
        <v>0</v>
      </c>
      <c r="P939" s="7">
        <f>grand[[#This Row],[total weight]]/grand[[#This Row],[received]]</f>
        <v>456.5990320178704</v>
      </c>
      <c r="Q939" s="7">
        <f>grand[[#This Row],[receiving weight]]/grand[[#This Row],[received]]</f>
        <v>456.5990320178704</v>
      </c>
      <c r="R939" s="7">
        <f>grand[[#This Row],[transportation loss ]]/grand[[#This Row],[received]]</f>
        <v>0</v>
      </c>
      <c r="S939" s="7">
        <f>grand[[#This Row],[ carcass weight]]/grand[[#This Row],[received]]</f>
        <v>288.57058823529411</v>
      </c>
      <c r="T939" s="7">
        <f>grand[[#This Row],[ kidneys fat quantity]]/grand[[#This Row],[received]]</f>
        <v>0</v>
      </c>
      <c r="U939" s="1">
        <v>25</v>
      </c>
      <c r="V939" s="1">
        <v>4</v>
      </c>
      <c r="W939" s="1">
        <v>50</v>
      </c>
      <c r="X939" s="1">
        <v>10</v>
      </c>
      <c r="Y939" s="1">
        <v>8.5</v>
      </c>
      <c r="Z939" s="18">
        <f>grand[[#This Row],[av. Transportation loss]]/grand[[#This Row],[av.total weight]]</f>
        <v>0</v>
      </c>
      <c r="AA939" s="12">
        <f>AVERAGE((grand[[#This Row],[am]]/25),(grand[[#This Row],[pm]]/50))</f>
        <v>1</v>
      </c>
      <c r="AB939" s="3">
        <f>grand[[#This Row],[ carcass weight]]/grand[[#This Row],[total weight]]</f>
        <v>0.63200000000000001</v>
      </c>
      <c r="AC939" s="18">
        <f>SUM(grand[[#This Row],[am]:[meat transportation]])/100</f>
        <v>0.97499999999999998</v>
      </c>
      <c r="AK939" s="1"/>
      <c r="AL939" s="1"/>
    </row>
    <row r="940" spans="1:38" hidden="1" x14ac:dyDescent="0.2">
      <c r="A940" s="11">
        <v>45395</v>
      </c>
      <c r="B940" s="53" t="s">
        <v>2885</v>
      </c>
      <c r="C940" s="52" t="str">
        <f>IF(MID(B940,4,2)="09","Ramadan",IF(AND(MID(B940,4,2)="12",VALUE(LEFT(B940,2))&lt;=9),"Adha Season","Normal"))</f>
        <v>Normal</v>
      </c>
      <c r="D940" s="1" t="s">
        <v>45</v>
      </c>
      <c r="E940" s="1" t="s">
        <v>528</v>
      </c>
      <c r="F940" s="4" t="s">
        <v>462</v>
      </c>
      <c r="G940" s="1">
        <v>59</v>
      </c>
      <c r="H940" s="1">
        <v>59</v>
      </c>
      <c r="I940" s="1">
        <f>grand[[#This Row],[number]]-grand[[#This Row],[received]]</f>
        <v>0</v>
      </c>
      <c r="J940" s="30"/>
      <c r="K940" s="2">
        <v>27451.898734177212</v>
      </c>
      <c r="L940" s="2">
        <v>27451.898734177212</v>
      </c>
      <c r="M940" s="2">
        <f>K940-L940</f>
        <v>0</v>
      </c>
      <c r="N940" s="2">
        <v>17349.599999999999</v>
      </c>
      <c r="O940" s="2">
        <v>0</v>
      </c>
      <c r="P940" s="7">
        <f>grand[[#This Row],[total weight]]/grand[[#This Row],[received]]</f>
        <v>465.28641922334259</v>
      </c>
      <c r="Q940" s="7">
        <f>grand[[#This Row],[receiving weight]]/grand[[#This Row],[received]]</f>
        <v>465.28641922334259</v>
      </c>
      <c r="R940" s="7">
        <f>grand[[#This Row],[transportation loss ]]/grand[[#This Row],[received]]</f>
        <v>0</v>
      </c>
      <c r="S940" s="7">
        <f>grand[[#This Row],[ carcass weight]]/grand[[#This Row],[received]]</f>
        <v>294.06101694915253</v>
      </c>
      <c r="T940" s="7">
        <f>grand[[#This Row],[ kidneys fat quantity]]/grand[[#This Row],[received]]</f>
        <v>0</v>
      </c>
      <c r="U940" s="1">
        <v>25</v>
      </c>
      <c r="V940" s="1">
        <v>4</v>
      </c>
      <c r="W940" s="1">
        <v>50</v>
      </c>
      <c r="X940" s="1">
        <v>10</v>
      </c>
      <c r="Y940" s="1">
        <v>8.5</v>
      </c>
      <c r="Z940" s="18">
        <f>grand[[#This Row],[av. Transportation loss]]/grand[[#This Row],[av.total weight]]</f>
        <v>0</v>
      </c>
      <c r="AA940" s="12">
        <f>AVERAGE((grand[[#This Row],[am]]/25),(grand[[#This Row],[pm]]/50))</f>
        <v>1</v>
      </c>
      <c r="AB940" s="3">
        <f>grand[[#This Row],[ carcass weight]]/grand[[#This Row],[total weight]]</f>
        <v>0.63200000000000001</v>
      </c>
      <c r="AC940" s="18">
        <f>SUM(grand[[#This Row],[am]:[meat transportation]])/100</f>
        <v>0.97499999999999998</v>
      </c>
      <c r="AK940" s="1"/>
      <c r="AL940" s="1"/>
    </row>
    <row r="941" spans="1:38" hidden="1" x14ac:dyDescent="0.2">
      <c r="A941" s="11">
        <v>45397</v>
      </c>
      <c r="B941" s="53" t="s">
        <v>2886</v>
      </c>
      <c r="C941" s="52" t="str">
        <f>IF(MID(B941,4,2)="09","Ramadan",IF(AND(MID(B941,4,2)="12",VALUE(LEFT(B941,2))&lt;=9),"Adha Season","Normal"))</f>
        <v>Normal</v>
      </c>
      <c r="D941" s="1" t="s">
        <v>45</v>
      </c>
      <c r="E941" s="1" t="s">
        <v>528</v>
      </c>
      <c r="F941" s="4" t="s">
        <v>462</v>
      </c>
      <c r="G941" s="1">
        <v>50</v>
      </c>
      <c r="H941" s="1">
        <v>50</v>
      </c>
      <c r="I941" s="1">
        <f>grand[[#This Row],[number]]-grand[[#This Row],[received]]</f>
        <v>0</v>
      </c>
      <c r="J941" s="30"/>
      <c r="K941" s="2">
        <v>23487.974683544304</v>
      </c>
      <c r="L941" s="2">
        <v>23487.974683544304</v>
      </c>
      <c r="M941" s="2">
        <f>K941-L941</f>
        <v>0</v>
      </c>
      <c r="N941" s="2">
        <v>14844.4</v>
      </c>
      <c r="O941" s="2">
        <v>0</v>
      </c>
      <c r="P941" s="7">
        <f>grand[[#This Row],[total weight]]/grand[[#This Row],[received]]</f>
        <v>469.75949367088606</v>
      </c>
      <c r="Q941" s="7">
        <f>grand[[#This Row],[receiving weight]]/grand[[#This Row],[received]]</f>
        <v>469.75949367088606</v>
      </c>
      <c r="R941" s="7">
        <f>grand[[#This Row],[transportation loss ]]/grand[[#This Row],[received]]</f>
        <v>0</v>
      </c>
      <c r="S941" s="7">
        <f>grand[[#This Row],[ carcass weight]]/grand[[#This Row],[received]]</f>
        <v>296.88799999999998</v>
      </c>
      <c r="T941" s="7">
        <f>grand[[#This Row],[ kidneys fat quantity]]/grand[[#This Row],[received]]</f>
        <v>0</v>
      </c>
      <c r="U941" s="1">
        <v>25</v>
      </c>
      <c r="V941" s="1">
        <v>4</v>
      </c>
      <c r="W941" s="1">
        <v>50</v>
      </c>
      <c r="X941" s="1">
        <v>10</v>
      </c>
      <c r="Y941" s="1">
        <v>8.5</v>
      </c>
      <c r="Z941" s="18">
        <f>grand[[#This Row],[av. Transportation loss]]/grand[[#This Row],[av.total weight]]</f>
        <v>0</v>
      </c>
      <c r="AA941" s="12">
        <f>AVERAGE((grand[[#This Row],[am]]/25),(grand[[#This Row],[pm]]/50))</f>
        <v>1</v>
      </c>
      <c r="AB941" s="3">
        <f>grand[[#This Row],[ carcass weight]]/grand[[#This Row],[total weight]]</f>
        <v>0.63200000000000001</v>
      </c>
      <c r="AC941" s="18">
        <f>SUM(grand[[#This Row],[am]:[meat transportation]])/100</f>
        <v>0.97499999999999998</v>
      </c>
      <c r="AK941" s="1"/>
      <c r="AL941" s="1"/>
    </row>
    <row r="942" spans="1:38" hidden="1" x14ac:dyDescent="0.2">
      <c r="A942" s="11">
        <v>45398</v>
      </c>
      <c r="B942" s="53" t="s">
        <v>1964</v>
      </c>
      <c r="C942" s="52" t="str">
        <f>IF(MID(B942,4,2)="09","Ramadan",IF(AND(MID(B942,4,2)="12",VALUE(LEFT(B942,2))&lt;=9),"Adha Season","Normal"))</f>
        <v>Normal</v>
      </c>
      <c r="D942" s="1" t="s">
        <v>45</v>
      </c>
      <c r="E942" s="1" t="s">
        <v>528</v>
      </c>
      <c r="F942" s="4" t="s">
        <v>462</v>
      </c>
      <c r="G942" s="1">
        <v>40</v>
      </c>
      <c r="H942" s="1">
        <v>40</v>
      </c>
      <c r="I942" s="1">
        <f>grand[[#This Row],[number]]-grand[[#This Row],[received]]</f>
        <v>0</v>
      </c>
      <c r="J942" s="30"/>
      <c r="K942" s="2">
        <v>18377.531645569619</v>
      </c>
      <c r="L942" s="2">
        <v>18377.531645569619</v>
      </c>
      <c r="M942" s="2">
        <f>K942-L942</f>
        <v>0</v>
      </c>
      <c r="N942" s="2">
        <v>11614.6</v>
      </c>
      <c r="O942" s="2">
        <v>0</v>
      </c>
      <c r="P942" s="7">
        <f>grand[[#This Row],[total weight]]/grand[[#This Row],[received]]</f>
        <v>459.4382911392405</v>
      </c>
      <c r="Q942" s="7">
        <f>grand[[#This Row],[receiving weight]]/grand[[#This Row],[received]]</f>
        <v>459.4382911392405</v>
      </c>
      <c r="R942" s="7">
        <f>grand[[#This Row],[transportation loss ]]/grand[[#This Row],[received]]</f>
        <v>0</v>
      </c>
      <c r="S942" s="7">
        <f>grand[[#This Row],[ carcass weight]]/grand[[#This Row],[received]]</f>
        <v>290.36500000000001</v>
      </c>
      <c r="T942" s="7">
        <f>grand[[#This Row],[ kidneys fat quantity]]/grand[[#This Row],[received]]</f>
        <v>0</v>
      </c>
      <c r="U942" s="1">
        <v>25</v>
      </c>
      <c r="V942" s="1">
        <v>4</v>
      </c>
      <c r="W942" s="1">
        <v>50</v>
      </c>
      <c r="X942" s="1">
        <v>10</v>
      </c>
      <c r="Y942" s="1">
        <v>8.5</v>
      </c>
      <c r="Z942" s="18">
        <f>grand[[#This Row],[av. Transportation loss]]/grand[[#This Row],[av.total weight]]</f>
        <v>0</v>
      </c>
      <c r="AA942" s="12">
        <f>AVERAGE((grand[[#This Row],[am]]/25),(grand[[#This Row],[pm]]/50))</f>
        <v>1</v>
      </c>
      <c r="AB942" s="3">
        <f>grand[[#This Row],[ carcass weight]]/grand[[#This Row],[total weight]]</f>
        <v>0.63200000000000001</v>
      </c>
      <c r="AC942" s="18">
        <f>SUM(grand[[#This Row],[am]:[meat transportation]])/100</f>
        <v>0.97499999999999998</v>
      </c>
      <c r="AK942" s="1"/>
      <c r="AL942" s="1"/>
    </row>
    <row r="943" spans="1:38" hidden="1" x14ac:dyDescent="0.2">
      <c r="A943" s="11">
        <v>45405</v>
      </c>
      <c r="B943" s="53" t="s">
        <v>2887</v>
      </c>
      <c r="C943" s="52" t="str">
        <f>IF(MID(B943,4,2)="09","Ramadan",IF(AND(MID(B943,4,2)="12",VALUE(LEFT(B943,2))&lt;=9),"Adha Season","Normal"))</f>
        <v>Normal</v>
      </c>
      <c r="D943" s="1" t="s">
        <v>45</v>
      </c>
      <c r="E943" s="1" t="s">
        <v>483</v>
      </c>
      <c r="F943" s="4" t="s">
        <v>550</v>
      </c>
      <c r="G943" s="1">
        <v>9</v>
      </c>
      <c r="H943" s="1">
        <v>9</v>
      </c>
      <c r="I943" s="1">
        <f>grand[[#This Row],[number]]-grand[[#This Row],[received]]</f>
        <v>0</v>
      </c>
      <c r="J943" s="30"/>
      <c r="K943" s="2">
        <v>4021</v>
      </c>
      <c r="L943" s="2">
        <v>4021</v>
      </c>
      <c r="M943" s="2">
        <f>K943-L943</f>
        <v>0</v>
      </c>
      <c r="N943" s="2">
        <v>2412.6</v>
      </c>
      <c r="O943" s="2">
        <v>43</v>
      </c>
      <c r="P943" s="7">
        <f>grand[[#This Row],[total weight]]/grand[[#This Row],[received]]</f>
        <v>446.77777777777777</v>
      </c>
      <c r="Q943" s="7">
        <f>grand[[#This Row],[receiving weight]]/grand[[#This Row],[received]]</f>
        <v>446.77777777777777</v>
      </c>
      <c r="R943" s="7">
        <f>grand[[#This Row],[transportation loss ]]/grand[[#This Row],[received]]</f>
        <v>0</v>
      </c>
      <c r="S943" s="7">
        <f>grand[[#This Row],[ carcass weight]]/grand[[#This Row],[received]]</f>
        <v>268.06666666666666</v>
      </c>
      <c r="T943" s="7">
        <f>grand[[#This Row],[ kidneys fat quantity]]/grand[[#This Row],[received]]</f>
        <v>4.7777777777777777</v>
      </c>
      <c r="U943" s="1">
        <v>25</v>
      </c>
      <c r="V943" s="1">
        <v>0</v>
      </c>
      <c r="W943" s="1">
        <v>43.777777777777771</v>
      </c>
      <c r="X943" s="1">
        <v>10</v>
      </c>
      <c r="Y943" s="1">
        <v>8.5</v>
      </c>
      <c r="Z943" s="18">
        <f>grand[[#This Row],[av. Transportation loss]]/grand[[#This Row],[av.total weight]]</f>
        <v>0</v>
      </c>
      <c r="AA943" s="12">
        <f>AVERAGE((grand[[#This Row],[am]]/25),(grand[[#This Row],[pm]]/50))</f>
        <v>0.93777777777777771</v>
      </c>
      <c r="AB943" s="3">
        <f>grand[[#This Row],[ carcass weight]]/grand[[#This Row],[total weight]]</f>
        <v>0.6</v>
      </c>
      <c r="AC943" s="18">
        <f>SUM(grand[[#This Row],[am]:[meat transportation]])/100</f>
        <v>0.87277777777777776</v>
      </c>
      <c r="AJ943" s="1">
        <v>8</v>
      </c>
      <c r="AK943" s="1"/>
      <c r="AL943" s="1"/>
    </row>
    <row r="944" spans="1:38" hidden="1" x14ac:dyDescent="0.2">
      <c r="A944" s="11">
        <v>45406</v>
      </c>
      <c r="B944" s="53" t="s">
        <v>1967</v>
      </c>
      <c r="C944" s="52" t="str">
        <f>IF(MID(B944,4,2)="09","Ramadan",IF(AND(MID(B944,4,2)="12",VALUE(LEFT(B944,2))&lt;=9),"Adha Season","Normal"))</f>
        <v>Normal</v>
      </c>
      <c r="D944" s="1" t="s">
        <v>45</v>
      </c>
      <c r="E944" s="1" t="s">
        <v>528</v>
      </c>
      <c r="F944" s="4" t="s">
        <v>39</v>
      </c>
      <c r="G944" s="1">
        <v>24</v>
      </c>
      <c r="H944" s="1">
        <v>24</v>
      </c>
      <c r="I944" s="1">
        <f>grand[[#This Row],[number]]-grand[[#This Row],[received]]</f>
        <v>0</v>
      </c>
      <c r="J944" s="30"/>
      <c r="K944" s="2">
        <v>12310</v>
      </c>
      <c r="L944" s="2">
        <v>12310</v>
      </c>
      <c r="M944" s="2">
        <f>K944-L944</f>
        <v>0</v>
      </c>
      <c r="N944" s="2">
        <v>7606.9</v>
      </c>
      <c r="O944" s="2">
        <v>174</v>
      </c>
      <c r="P944" s="7">
        <f>grand[[#This Row],[total weight]]/grand[[#This Row],[received]]</f>
        <v>512.91666666666663</v>
      </c>
      <c r="Q944" s="7">
        <f>grand[[#This Row],[receiving weight]]/grand[[#This Row],[received]]</f>
        <v>512.91666666666663</v>
      </c>
      <c r="R944" s="7">
        <f>grand[[#This Row],[transportation loss ]]/grand[[#This Row],[received]]</f>
        <v>0</v>
      </c>
      <c r="S944" s="7">
        <f>grand[[#This Row],[ carcass weight]]/grand[[#This Row],[received]]</f>
        <v>316.95416666666665</v>
      </c>
      <c r="T944" s="7">
        <f>grand[[#This Row],[ kidneys fat quantity]]/grand[[#This Row],[received]]</f>
        <v>7.25</v>
      </c>
      <c r="U944" s="1">
        <v>25</v>
      </c>
      <c r="V944" s="1">
        <v>0</v>
      </c>
      <c r="W944" s="1">
        <v>48.791666666666664</v>
      </c>
      <c r="X944" s="1">
        <v>10</v>
      </c>
      <c r="Y944" s="1">
        <v>8.5</v>
      </c>
      <c r="Z944" s="18">
        <f>grand[[#This Row],[av. Transportation loss]]/grand[[#This Row],[av.total weight]]</f>
        <v>0</v>
      </c>
      <c r="AA944" s="12">
        <f>AVERAGE((grand[[#This Row],[am]]/25),(grand[[#This Row],[pm]]/50))</f>
        <v>0.98791666666666667</v>
      </c>
      <c r="AB944" s="3">
        <f>grand[[#This Row],[ carcass weight]]/grand[[#This Row],[total weight]]</f>
        <v>0.61794476035743295</v>
      </c>
      <c r="AC944" s="18">
        <f>SUM(grand[[#This Row],[am]:[meat transportation]])/100</f>
        <v>0.92291666666666661</v>
      </c>
      <c r="AK944" s="1"/>
      <c r="AL944" s="1"/>
    </row>
    <row r="945" spans="1:38" hidden="1" x14ac:dyDescent="0.2">
      <c r="A945" s="11">
        <v>45409</v>
      </c>
      <c r="B945" s="53" t="s">
        <v>2888</v>
      </c>
      <c r="C945" s="52" t="str">
        <f>IF(MID(B945,4,2)="09","Ramadan",IF(AND(MID(B945,4,2)="12",VALUE(LEFT(B945,2))&lt;=9),"Adha Season","Normal"))</f>
        <v>Normal</v>
      </c>
      <c r="D945" s="1" t="s">
        <v>45</v>
      </c>
      <c r="E945" s="1" t="s">
        <v>483</v>
      </c>
      <c r="F945" s="4" t="s">
        <v>43</v>
      </c>
      <c r="G945" s="1">
        <v>31</v>
      </c>
      <c r="H945" s="1">
        <v>31</v>
      </c>
      <c r="I945" s="1">
        <f>grand[[#This Row],[number]]-grand[[#This Row],[received]]</f>
        <v>0</v>
      </c>
      <c r="J945" s="30"/>
      <c r="K945" s="2">
        <v>17365</v>
      </c>
      <c r="L945" s="2">
        <v>16770</v>
      </c>
      <c r="M945" s="2">
        <f>K945-L945</f>
        <v>595</v>
      </c>
      <c r="N945" s="2">
        <v>10521.9</v>
      </c>
      <c r="O945" s="2">
        <v>437</v>
      </c>
      <c r="P945" s="7">
        <f>grand[[#This Row],[total weight]]/grand[[#This Row],[received]]</f>
        <v>560.16129032258061</v>
      </c>
      <c r="Q945" s="7">
        <f>grand[[#This Row],[receiving weight]]/grand[[#This Row],[received]]</f>
        <v>540.9677419354839</v>
      </c>
      <c r="R945" s="7">
        <f>grand[[#This Row],[transportation loss ]]/grand[[#This Row],[received]]</f>
        <v>19.193548387096776</v>
      </c>
      <c r="S945" s="7">
        <f>grand[[#This Row],[ carcass weight]]/grand[[#This Row],[received]]</f>
        <v>339.41612903225803</v>
      </c>
      <c r="T945" s="7">
        <f>grand[[#This Row],[ kidneys fat quantity]]/grand[[#This Row],[received]]</f>
        <v>14.096774193548388</v>
      </c>
      <c r="U945" s="1">
        <v>24.838709677419356</v>
      </c>
      <c r="V945" s="1">
        <v>0</v>
      </c>
      <c r="W945" s="1">
        <v>44.822580645161295</v>
      </c>
      <c r="X945" s="1">
        <v>10</v>
      </c>
      <c r="Y945" s="1">
        <v>8.5</v>
      </c>
      <c r="Z945" s="18">
        <f>grand[[#This Row],[av. Transportation loss]]/grand[[#This Row],[av.total weight]]</f>
        <v>3.4264324791246768E-2</v>
      </c>
      <c r="AA945" s="12">
        <f>AVERAGE((grand[[#This Row],[am]]/25),(grand[[#This Row],[pm]]/50))</f>
        <v>0.94500000000000006</v>
      </c>
      <c r="AB945" s="3">
        <f>grand[[#This Row],[ carcass weight]]/grand[[#This Row],[total weight]]</f>
        <v>0.60592571264036854</v>
      </c>
      <c r="AC945" s="18">
        <f>SUM(grand[[#This Row],[am]:[meat transportation]])/100</f>
        <v>0.88161290322580654</v>
      </c>
      <c r="AJ945" s="1">
        <v>31</v>
      </c>
      <c r="AK945" s="1"/>
      <c r="AL945" s="1"/>
    </row>
    <row r="946" spans="1:38" hidden="1" x14ac:dyDescent="0.2">
      <c r="A946" s="11">
        <v>45413</v>
      </c>
      <c r="B946" s="53" t="s">
        <v>1969</v>
      </c>
      <c r="C946" s="52" t="str">
        <f>IF(MID(B946,4,2)="09","Ramadan",IF(AND(MID(B946,4,2)="12",VALUE(LEFT(B946,2))&lt;=9),"Adha Season","Normal"))</f>
        <v>Normal</v>
      </c>
      <c r="D946" s="1" t="s">
        <v>45</v>
      </c>
      <c r="E946" s="1" t="s">
        <v>528</v>
      </c>
      <c r="F946" s="4" t="s">
        <v>462</v>
      </c>
      <c r="G946" s="1">
        <v>30</v>
      </c>
      <c r="H946" s="1">
        <v>30</v>
      </c>
      <c r="I946" s="1">
        <f>grand[[#This Row],[number]]-grand[[#This Row],[received]]</f>
        <v>0</v>
      </c>
      <c r="J946" s="30"/>
      <c r="K946" s="2">
        <v>14232.102728731943</v>
      </c>
      <c r="L946" s="2">
        <v>14232.102728731943</v>
      </c>
      <c r="M946" s="2">
        <f>K946-L946</f>
        <v>0</v>
      </c>
      <c r="N946" s="2">
        <v>8866.6</v>
      </c>
      <c r="O946" s="2">
        <v>0</v>
      </c>
      <c r="P946" s="7">
        <f>grand[[#This Row],[total weight]]/grand[[#This Row],[received]]</f>
        <v>474.40342429106477</v>
      </c>
      <c r="Q946" s="7">
        <f>grand[[#This Row],[receiving weight]]/grand[[#This Row],[received]]</f>
        <v>474.40342429106477</v>
      </c>
      <c r="R946" s="7">
        <f>grand[[#This Row],[transportation loss ]]/grand[[#This Row],[received]]</f>
        <v>0</v>
      </c>
      <c r="S946" s="7">
        <f>grand[[#This Row],[ carcass weight]]/grand[[#This Row],[received]]</f>
        <v>295.55333333333334</v>
      </c>
      <c r="T946" s="7">
        <f>grand[[#This Row],[ kidneys fat quantity]]/grand[[#This Row],[received]]</f>
        <v>0</v>
      </c>
      <c r="U946" s="1">
        <v>25</v>
      </c>
      <c r="V946" s="1">
        <v>4</v>
      </c>
      <c r="W946" s="1">
        <v>50</v>
      </c>
      <c r="X946" s="1">
        <v>10</v>
      </c>
      <c r="Y946" s="1">
        <v>8.5</v>
      </c>
      <c r="Z946" s="18">
        <f>grand[[#This Row],[av. Transportation loss]]/grand[[#This Row],[av.total weight]]</f>
        <v>0</v>
      </c>
      <c r="AA946" s="12">
        <f>AVERAGE((grand[[#This Row],[am]]/25),(grand[[#This Row],[pm]]/50))</f>
        <v>1</v>
      </c>
      <c r="AB946" s="3">
        <f>grand[[#This Row],[ carcass weight]]/grand[[#This Row],[total weight]]</f>
        <v>0.623</v>
      </c>
      <c r="AC946" s="18">
        <f>SUM(grand[[#This Row],[am]:[meat transportation]])/100</f>
        <v>0.97499999999999998</v>
      </c>
      <c r="AK946" s="1"/>
      <c r="AL946" s="1"/>
    </row>
    <row r="947" spans="1:38" hidden="1" x14ac:dyDescent="0.2">
      <c r="A947" s="11">
        <v>45416</v>
      </c>
      <c r="B947" s="53" t="s">
        <v>2890</v>
      </c>
      <c r="C947" s="52" t="str">
        <f>IF(MID(B947,4,2)="09","Ramadan",IF(AND(MID(B947,4,2)="12",VALUE(LEFT(B947,2))&lt;=9),"Adha Season","Normal"))</f>
        <v>Normal</v>
      </c>
      <c r="D947" s="1" t="s">
        <v>45</v>
      </c>
      <c r="E947" s="1" t="s">
        <v>528</v>
      </c>
      <c r="F947" s="4" t="s">
        <v>462</v>
      </c>
      <c r="G947" s="1">
        <v>64</v>
      </c>
      <c r="H947" s="1">
        <v>64</v>
      </c>
      <c r="I947" s="1">
        <f>grand[[#This Row],[number]]-grand[[#This Row],[received]]</f>
        <v>0</v>
      </c>
      <c r="J947" s="30"/>
      <c r="K947" s="2">
        <v>29443.659711075448</v>
      </c>
      <c r="L947" s="2">
        <v>29443.659711075448</v>
      </c>
      <c r="M947" s="2">
        <f>K947-L947</f>
        <v>0</v>
      </c>
      <c r="N947" s="2">
        <v>18343.400000000001</v>
      </c>
      <c r="O947" s="2">
        <v>0</v>
      </c>
      <c r="P947" s="7">
        <f>grand[[#This Row],[total weight]]/grand[[#This Row],[received]]</f>
        <v>460.05718298555388</v>
      </c>
      <c r="Q947" s="7">
        <f>grand[[#This Row],[receiving weight]]/grand[[#This Row],[received]]</f>
        <v>460.05718298555388</v>
      </c>
      <c r="R947" s="7">
        <f>grand[[#This Row],[transportation loss ]]/grand[[#This Row],[received]]</f>
        <v>0</v>
      </c>
      <c r="S947" s="7">
        <f>grand[[#This Row],[ carcass weight]]/grand[[#This Row],[received]]</f>
        <v>286.61562500000002</v>
      </c>
      <c r="T947" s="7">
        <f>grand[[#This Row],[ kidneys fat quantity]]/grand[[#This Row],[received]]</f>
        <v>0</v>
      </c>
      <c r="U947" s="1">
        <v>25</v>
      </c>
      <c r="V947" s="1">
        <v>4</v>
      </c>
      <c r="W947" s="1">
        <v>50</v>
      </c>
      <c r="X947" s="1">
        <v>10</v>
      </c>
      <c r="Y947" s="1">
        <v>8.5</v>
      </c>
      <c r="Z947" s="18">
        <f>grand[[#This Row],[av. Transportation loss]]/grand[[#This Row],[av.total weight]]</f>
        <v>0</v>
      </c>
      <c r="AA947" s="12">
        <f>AVERAGE((grand[[#This Row],[am]]/25),(grand[[#This Row],[pm]]/50))</f>
        <v>1</v>
      </c>
      <c r="AB947" s="3">
        <f>grand[[#This Row],[ carcass weight]]/grand[[#This Row],[total weight]]</f>
        <v>0.62299999999999989</v>
      </c>
      <c r="AC947" s="18">
        <f>SUM(grand[[#This Row],[am]:[meat transportation]])/100</f>
        <v>0.97499999999999998</v>
      </c>
      <c r="AK947" s="1"/>
      <c r="AL947" s="1"/>
    </row>
    <row r="948" spans="1:38" hidden="1" x14ac:dyDescent="0.2">
      <c r="A948" s="11">
        <v>45419</v>
      </c>
      <c r="B948" s="53" t="s">
        <v>2891</v>
      </c>
      <c r="C948" s="52" t="str">
        <f>IF(MID(B948,4,2)="09","Ramadan",IF(AND(MID(B948,4,2)="12",VALUE(LEFT(B948,2))&lt;=9),"Adha Season","Normal"))</f>
        <v>Normal</v>
      </c>
      <c r="D948" s="1" t="s">
        <v>45</v>
      </c>
      <c r="E948" s="1" t="s">
        <v>528</v>
      </c>
      <c r="F948" s="4" t="s">
        <v>39</v>
      </c>
      <c r="G948" s="1">
        <v>44</v>
      </c>
      <c r="H948" s="1">
        <v>44</v>
      </c>
      <c r="I948" s="1">
        <f>grand[[#This Row],[number]]-grand[[#This Row],[received]]</f>
        <v>0</v>
      </c>
      <c r="J948" s="30"/>
      <c r="K948" s="2">
        <v>22202</v>
      </c>
      <c r="L948" s="2">
        <v>21330</v>
      </c>
      <c r="M948" s="2">
        <f>K948-L948</f>
        <v>872</v>
      </c>
      <c r="N948" s="2">
        <v>13668.5</v>
      </c>
      <c r="O948" s="2">
        <v>327</v>
      </c>
      <c r="P948" s="7">
        <f>grand[[#This Row],[total weight]]/grand[[#This Row],[received]]</f>
        <v>504.59090909090907</v>
      </c>
      <c r="Q948" s="7">
        <f>grand[[#This Row],[receiving weight]]/grand[[#This Row],[received]]</f>
        <v>484.77272727272725</v>
      </c>
      <c r="R948" s="7">
        <f>grand[[#This Row],[transportation loss ]]/grand[[#This Row],[received]]</f>
        <v>19.818181818181817</v>
      </c>
      <c r="S948" s="7">
        <f>grand[[#This Row],[ carcass weight]]/grand[[#This Row],[received]]</f>
        <v>310.64772727272725</v>
      </c>
      <c r="T948" s="7">
        <f>grand[[#This Row],[ kidneys fat quantity]]/grand[[#This Row],[received]]</f>
        <v>7.4318181818181817</v>
      </c>
      <c r="U948" s="1">
        <v>25</v>
      </c>
      <c r="V948" s="1">
        <v>0</v>
      </c>
      <c r="W948" s="1">
        <v>49.136363636363633</v>
      </c>
      <c r="X948" s="1">
        <v>10</v>
      </c>
      <c r="Y948" s="1">
        <v>8.5</v>
      </c>
      <c r="Z948" s="18">
        <f>grand[[#This Row],[av. Transportation loss]]/grand[[#This Row],[av.total weight]]</f>
        <v>3.9275740924241055E-2</v>
      </c>
      <c r="AA948" s="12">
        <f>AVERAGE((grand[[#This Row],[am]]/25),(grand[[#This Row],[pm]]/50))</f>
        <v>0.99136363636363634</v>
      </c>
      <c r="AB948" s="3">
        <f>grand[[#This Row],[ carcass weight]]/grand[[#This Row],[total weight]]</f>
        <v>0.61564273488874877</v>
      </c>
      <c r="AC948" s="18">
        <f>SUM(grand[[#This Row],[am]:[meat transportation]])/100</f>
        <v>0.92636363636363628</v>
      </c>
      <c r="AK948" s="1"/>
      <c r="AL948" s="1"/>
    </row>
    <row r="949" spans="1:38" hidden="1" x14ac:dyDescent="0.2">
      <c r="A949" s="11">
        <v>45420</v>
      </c>
      <c r="B949" s="53" t="s">
        <v>1971</v>
      </c>
      <c r="C949" s="52" t="str">
        <f>IF(MID(B949,4,2)="09","Ramadan",IF(AND(MID(B949,4,2)="12",VALUE(LEFT(B949,2))&lt;=9),"Adha Season","Normal"))</f>
        <v>Normal</v>
      </c>
      <c r="D949" s="1" t="s">
        <v>45</v>
      </c>
      <c r="E949" s="1" t="s">
        <v>528</v>
      </c>
      <c r="F949" s="4" t="s">
        <v>462</v>
      </c>
      <c r="G949" s="1">
        <v>25</v>
      </c>
      <c r="H949" s="1">
        <v>25</v>
      </c>
      <c r="I949" s="1">
        <f>grand[[#This Row],[number]]-grand[[#This Row],[received]]</f>
        <v>0</v>
      </c>
      <c r="J949" s="30"/>
      <c r="K949" s="2">
        <v>11492.134831460675</v>
      </c>
      <c r="L949" s="2">
        <v>11492.134831460675</v>
      </c>
      <c r="M949" s="2">
        <f>K949-L949</f>
        <v>0</v>
      </c>
      <c r="N949" s="2">
        <v>7159.6</v>
      </c>
      <c r="O949" s="2">
        <v>0</v>
      </c>
      <c r="P949" s="7">
        <f>grand[[#This Row],[total weight]]/grand[[#This Row],[received]]</f>
        <v>459.68539325842698</v>
      </c>
      <c r="Q949" s="7">
        <f>grand[[#This Row],[receiving weight]]/grand[[#This Row],[received]]</f>
        <v>459.68539325842698</v>
      </c>
      <c r="R949" s="7">
        <f>grand[[#This Row],[transportation loss ]]/grand[[#This Row],[received]]</f>
        <v>0</v>
      </c>
      <c r="S949" s="7">
        <f>grand[[#This Row],[ carcass weight]]/grand[[#This Row],[received]]</f>
        <v>286.38400000000001</v>
      </c>
      <c r="T949" s="7">
        <f>grand[[#This Row],[ kidneys fat quantity]]/grand[[#This Row],[received]]</f>
        <v>0</v>
      </c>
      <c r="U949" s="1">
        <v>25</v>
      </c>
      <c r="V949" s="1">
        <v>4</v>
      </c>
      <c r="W949" s="1">
        <v>47</v>
      </c>
      <c r="X949" s="1">
        <v>10</v>
      </c>
      <c r="Y949" s="1">
        <v>8.5</v>
      </c>
      <c r="Z949" s="18">
        <f>grand[[#This Row],[av. Transportation loss]]/grand[[#This Row],[av.total weight]]</f>
        <v>0</v>
      </c>
      <c r="AA949" s="12">
        <f>AVERAGE((grand[[#This Row],[am]]/25),(grand[[#This Row],[pm]]/50))</f>
        <v>0.97</v>
      </c>
      <c r="AB949" s="3">
        <f>grand[[#This Row],[ carcass weight]]/grand[[#This Row],[total weight]]</f>
        <v>0.623</v>
      </c>
      <c r="AC949" s="18">
        <f>SUM(grand[[#This Row],[am]:[meat transportation]])/100</f>
        <v>0.94499999999999995</v>
      </c>
      <c r="AK949" s="1"/>
      <c r="AL949" s="1"/>
    </row>
    <row r="950" spans="1:38" hidden="1" x14ac:dyDescent="0.2">
      <c r="A950" s="11">
        <v>45421</v>
      </c>
      <c r="B950" s="53" t="s">
        <v>1972</v>
      </c>
      <c r="C950" s="52" t="str">
        <f>IF(MID(B950,4,2)="09","Ramadan",IF(AND(MID(B950,4,2)="12",VALUE(LEFT(B950,2))&lt;=9),"Adha Season","Normal"))</f>
        <v>Normal</v>
      </c>
      <c r="D950" s="1" t="s">
        <v>45</v>
      </c>
      <c r="E950" s="1" t="s">
        <v>483</v>
      </c>
      <c r="F950" s="4" t="s">
        <v>280</v>
      </c>
      <c r="G950" s="1">
        <v>35</v>
      </c>
      <c r="H950" s="1">
        <v>35</v>
      </c>
      <c r="I950" s="1">
        <f>grand[[#This Row],[number]]-grand[[#This Row],[received]]</f>
        <v>0</v>
      </c>
      <c r="J950" s="30"/>
      <c r="K950" s="2">
        <v>17629.5</v>
      </c>
      <c r="L950" s="2">
        <v>16866.5</v>
      </c>
      <c r="M950" s="2">
        <f>K950-L950</f>
        <v>763</v>
      </c>
      <c r="N950" s="2">
        <v>10752.7</v>
      </c>
      <c r="O950" s="2">
        <v>448</v>
      </c>
      <c r="P950" s="7">
        <f>grand[[#This Row],[total weight]]/grand[[#This Row],[received]]</f>
        <v>503.7</v>
      </c>
      <c r="Q950" s="7">
        <f>grand[[#This Row],[receiving weight]]/grand[[#This Row],[received]]</f>
        <v>481.9</v>
      </c>
      <c r="R950" s="7">
        <f>grand[[#This Row],[transportation loss ]]/grand[[#This Row],[received]]</f>
        <v>21.8</v>
      </c>
      <c r="S950" s="7">
        <f>grand[[#This Row],[ carcass weight]]/grand[[#This Row],[received]]</f>
        <v>307.22000000000003</v>
      </c>
      <c r="T950" s="7">
        <f>grand[[#This Row],[ kidneys fat quantity]]/grand[[#This Row],[received]]</f>
        <v>12.8</v>
      </c>
      <c r="U950" s="1">
        <v>25</v>
      </c>
      <c r="V950" s="1">
        <v>0</v>
      </c>
      <c r="W950" s="1">
        <v>45.628571428571426</v>
      </c>
      <c r="X950" s="1">
        <v>10</v>
      </c>
      <c r="Y950" s="1">
        <v>8.5</v>
      </c>
      <c r="Z950" s="18">
        <f>grand[[#This Row],[av. Transportation loss]]/grand[[#This Row],[av.total weight]]</f>
        <v>4.3279729998014695E-2</v>
      </c>
      <c r="AA950" s="12">
        <f>AVERAGE((grand[[#This Row],[am]]/25),(grand[[#This Row],[pm]]/50))</f>
        <v>0.95628571428571418</v>
      </c>
      <c r="AB950" s="3">
        <f>grand[[#This Row],[ carcass weight]]/grand[[#This Row],[total weight]]</f>
        <v>0.60992654357752629</v>
      </c>
      <c r="AC950" s="18">
        <f>SUM(grand[[#This Row],[am]:[meat transportation]])/100</f>
        <v>0.89128571428571435</v>
      </c>
      <c r="AJ950" s="1">
        <v>17</v>
      </c>
      <c r="AK950" s="1"/>
      <c r="AL950" s="1"/>
    </row>
    <row r="951" spans="1:38" hidden="1" x14ac:dyDescent="0.2">
      <c r="A951" s="11">
        <v>45423</v>
      </c>
      <c r="B951" s="53" t="s">
        <v>2892</v>
      </c>
      <c r="C951" s="52" t="str">
        <f>IF(MID(B951,4,2)="09","Ramadan",IF(AND(MID(B951,4,2)="12",VALUE(LEFT(B951,2))&lt;=9),"Adha Season","Normal"))</f>
        <v>Normal</v>
      </c>
      <c r="D951" s="2" t="s">
        <v>294</v>
      </c>
      <c r="E951" s="1" t="s">
        <v>483</v>
      </c>
      <c r="F951" s="4" t="s">
        <v>550</v>
      </c>
      <c r="G951" s="1">
        <v>18</v>
      </c>
      <c r="H951" s="1">
        <v>18</v>
      </c>
      <c r="I951" s="1">
        <f>grand[[#This Row],[number]]-grand[[#This Row],[received]]</f>
        <v>0</v>
      </c>
      <c r="J951" s="30"/>
      <c r="K951" s="2">
        <v>918</v>
      </c>
      <c r="L951" s="2">
        <v>910</v>
      </c>
      <c r="M951" s="2">
        <f>K951-L951</f>
        <v>8</v>
      </c>
      <c r="N951" s="2">
        <v>542</v>
      </c>
      <c r="O951" s="2">
        <v>0</v>
      </c>
      <c r="P951" s="7">
        <f>grand[[#This Row],[total weight]]/grand[[#This Row],[received]]</f>
        <v>51</v>
      </c>
      <c r="Q951" s="7">
        <f>grand[[#This Row],[receiving weight]]/grand[[#This Row],[received]]</f>
        <v>50.555555555555557</v>
      </c>
      <c r="R951" s="7">
        <f>grand[[#This Row],[transportation loss ]]/grand[[#This Row],[received]]</f>
        <v>0.44444444444444442</v>
      </c>
      <c r="S951" s="7">
        <f>grand[[#This Row],[ carcass weight]]/grand[[#This Row],[received]]</f>
        <v>30.111111111111111</v>
      </c>
      <c r="T951" s="7">
        <f>grand[[#This Row],[ kidneys fat quantity]]/grand[[#This Row],[received]]</f>
        <v>0</v>
      </c>
      <c r="U951" s="1">
        <v>25</v>
      </c>
      <c r="V951" s="1">
        <v>0</v>
      </c>
      <c r="W951" s="1">
        <v>50</v>
      </c>
      <c r="X951" s="1">
        <v>10</v>
      </c>
      <c r="Y951" s="1">
        <v>8.5</v>
      </c>
      <c r="Z951" s="18">
        <f>grand[[#This Row],[av. Transportation loss]]/grand[[#This Row],[av.total weight]]</f>
        <v>8.7145969498910666E-3</v>
      </c>
      <c r="AA951" s="12">
        <f>AVERAGE((grand[[#This Row],[am]]/25),(grand[[#This Row],[pm]]/50))</f>
        <v>1</v>
      </c>
      <c r="AB951" s="3">
        <f>grand[[#This Row],[ carcass weight]]/grand[[#This Row],[total weight]]</f>
        <v>0.59041394335511987</v>
      </c>
      <c r="AC951" s="18">
        <f>SUM(grand[[#This Row],[am]:[meat transportation]])/100</f>
        <v>0.93500000000000005</v>
      </c>
      <c r="AK951" s="1"/>
      <c r="AL951" s="1"/>
    </row>
    <row r="952" spans="1:38" hidden="1" x14ac:dyDescent="0.2">
      <c r="A952" s="11">
        <v>45423</v>
      </c>
      <c r="B952" s="53" t="s">
        <v>2892</v>
      </c>
      <c r="C952" s="52" t="str">
        <f>IF(MID(B952,4,2)="09","Ramadan",IF(AND(MID(B952,4,2)="12",VALUE(LEFT(B952,2))&lt;=9),"Adha Season","Normal"))</f>
        <v>Normal</v>
      </c>
      <c r="D952" s="1" t="s">
        <v>45</v>
      </c>
      <c r="E952" s="1" t="s">
        <v>483</v>
      </c>
      <c r="F952" s="4" t="s">
        <v>550</v>
      </c>
      <c r="G952" s="1">
        <v>16</v>
      </c>
      <c r="H952" s="1">
        <v>16</v>
      </c>
      <c r="I952" s="1">
        <f>grand[[#This Row],[number]]-grand[[#This Row],[received]]</f>
        <v>0</v>
      </c>
      <c r="J952" s="30"/>
      <c r="K952" s="2">
        <v>6937</v>
      </c>
      <c r="L952" s="2">
        <v>6890</v>
      </c>
      <c r="M952" s="2">
        <f>K952-L952</f>
        <v>47</v>
      </c>
      <c r="N952" s="2">
        <v>4162.1000000000004</v>
      </c>
      <c r="O952" s="2">
        <v>66</v>
      </c>
      <c r="P952" s="7">
        <f>grand[[#This Row],[total weight]]/grand[[#This Row],[received]]</f>
        <v>433.5625</v>
      </c>
      <c r="Q952" s="7">
        <f>grand[[#This Row],[receiving weight]]/grand[[#This Row],[received]]</f>
        <v>430.625</v>
      </c>
      <c r="R952" s="7">
        <f>grand[[#This Row],[transportation loss ]]/grand[[#This Row],[received]]</f>
        <v>2.9375</v>
      </c>
      <c r="S952" s="7">
        <f>grand[[#This Row],[ carcass weight]]/grand[[#This Row],[received]]</f>
        <v>260.13125000000002</v>
      </c>
      <c r="T952" s="7">
        <f>grand[[#This Row],[ kidneys fat quantity]]/grand[[#This Row],[received]]</f>
        <v>4.125</v>
      </c>
      <c r="U952" s="1">
        <v>25</v>
      </c>
      <c r="V952" s="1">
        <v>0</v>
      </c>
      <c r="W952" s="1">
        <v>49</v>
      </c>
      <c r="X952" s="1">
        <v>10</v>
      </c>
      <c r="Y952" s="1">
        <v>8.5</v>
      </c>
      <c r="Z952" s="18">
        <f>grand[[#This Row],[av. Transportation loss]]/grand[[#This Row],[av.total weight]]</f>
        <v>6.7752630820239294E-3</v>
      </c>
      <c r="AA952" s="12">
        <f>AVERAGE((grand[[#This Row],[am]]/25),(grand[[#This Row],[pm]]/50))</f>
        <v>0.99</v>
      </c>
      <c r="AB952" s="3">
        <f>grand[[#This Row],[ carcass weight]]/grand[[#This Row],[total weight]]</f>
        <v>0.59998558454663409</v>
      </c>
      <c r="AC952" s="18">
        <f>SUM(grand[[#This Row],[am]:[meat transportation]])/100</f>
        <v>0.92500000000000004</v>
      </c>
      <c r="AK952" s="1"/>
      <c r="AL952" s="1"/>
    </row>
    <row r="953" spans="1:38" hidden="1" x14ac:dyDescent="0.2">
      <c r="A953" s="11">
        <v>45423</v>
      </c>
      <c r="B953" s="53" t="s">
        <v>2892</v>
      </c>
      <c r="C953" s="52" t="str">
        <f>IF(MID(B953,4,2)="09","Ramadan",IF(AND(MID(B953,4,2)="12",VALUE(LEFT(B953,2))&lt;=9),"Adha Season","Normal"))</f>
        <v>Normal</v>
      </c>
      <c r="D953" s="1" t="s">
        <v>45</v>
      </c>
      <c r="E953" s="1" t="s">
        <v>483</v>
      </c>
      <c r="F953" s="4" t="s">
        <v>280</v>
      </c>
      <c r="G953" s="1">
        <v>19</v>
      </c>
      <c r="H953" s="1">
        <v>19</v>
      </c>
      <c r="I953" s="1">
        <f>grand[[#This Row],[number]]-grand[[#This Row],[received]]</f>
        <v>0</v>
      </c>
      <c r="J953" s="30"/>
      <c r="K953" s="2">
        <v>9550</v>
      </c>
      <c r="L953" s="2">
        <v>9275</v>
      </c>
      <c r="M953" s="2">
        <f>K953-L953</f>
        <v>275</v>
      </c>
      <c r="N953" s="2">
        <v>5754.8</v>
      </c>
      <c r="O953" s="2">
        <v>206</v>
      </c>
      <c r="P953" s="7">
        <f>grand[[#This Row],[total weight]]/grand[[#This Row],[received]]</f>
        <v>502.63157894736844</v>
      </c>
      <c r="Q953" s="7">
        <f>grand[[#This Row],[receiving weight]]/grand[[#This Row],[received]]</f>
        <v>488.15789473684208</v>
      </c>
      <c r="R953" s="7">
        <f>grand[[#This Row],[transportation loss ]]/grand[[#This Row],[received]]</f>
        <v>14.473684210526315</v>
      </c>
      <c r="S953" s="7">
        <f>grand[[#This Row],[ carcass weight]]/grand[[#This Row],[received]]</f>
        <v>302.88421052631583</v>
      </c>
      <c r="T953" s="7">
        <f>grand[[#This Row],[ kidneys fat quantity]]/grand[[#This Row],[received]]</f>
        <v>10.842105263157896</v>
      </c>
      <c r="U953" s="1">
        <v>25</v>
      </c>
      <c r="V953" s="1">
        <v>0</v>
      </c>
      <c r="W953" s="1">
        <v>49.631578947368418</v>
      </c>
      <c r="X953" s="1">
        <v>10</v>
      </c>
      <c r="Y953" s="1">
        <v>8.5</v>
      </c>
      <c r="Z953" s="18">
        <f>grand[[#This Row],[av. Transportation loss]]/grand[[#This Row],[av.total weight]]</f>
        <v>2.8795811518324606E-2</v>
      </c>
      <c r="AA953" s="12">
        <f>AVERAGE((grand[[#This Row],[am]]/25),(grand[[#This Row],[pm]]/50))</f>
        <v>0.99631578947368415</v>
      </c>
      <c r="AB953" s="3">
        <f>grand[[#This Row],[ carcass weight]]/grand[[#This Row],[total weight]]</f>
        <v>0.60259685863874346</v>
      </c>
      <c r="AC953" s="18">
        <f>SUM(grand[[#This Row],[am]:[meat transportation]])/100</f>
        <v>0.9313157894736841</v>
      </c>
      <c r="AK953" s="1"/>
      <c r="AL953" s="1"/>
    </row>
    <row r="954" spans="1:38" hidden="1" x14ac:dyDescent="0.2">
      <c r="A954" s="11">
        <v>45423</v>
      </c>
      <c r="B954" s="53" t="s">
        <v>2892</v>
      </c>
      <c r="C954" s="52" t="str">
        <f>IF(MID(B954,4,2)="09","Ramadan",IF(AND(MID(B954,4,2)="12",VALUE(LEFT(B954,2))&lt;=9),"Adha Season","Normal"))</f>
        <v>Normal</v>
      </c>
      <c r="D954" s="1" t="s">
        <v>45</v>
      </c>
      <c r="E954" s="1" t="s">
        <v>528</v>
      </c>
      <c r="F954" s="4" t="s">
        <v>462</v>
      </c>
      <c r="G954" s="1">
        <v>53</v>
      </c>
      <c r="H954" s="1">
        <v>53</v>
      </c>
      <c r="I954" s="1">
        <f>grand[[#This Row],[number]]-grand[[#This Row],[received]]</f>
        <v>0</v>
      </c>
      <c r="J954" s="30"/>
      <c r="K954" s="2">
        <v>24783.544303797466</v>
      </c>
      <c r="L954" s="2">
        <v>24783.544303797466</v>
      </c>
      <c r="M954" s="2">
        <f>K954-L954</f>
        <v>0</v>
      </c>
      <c r="N954" s="2">
        <v>15663.2</v>
      </c>
      <c r="O954" s="2">
        <v>0</v>
      </c>
      <c r="P954" s="7">
        <f>grand[[#This Row],[total weight]]/grand[[#This Row],[received]]</f>
        <v>467.61404346787668</v>
      </c>
      <c r="Q954" s="7">
        <f>grand[[#This Row],[receiving weight]]/grand[[#This Row],[received]]</f>
        <v>467.61404346787668</v>
      </c>
      <c r="R954" s="7">
        <f>grand[[#This Row],[transportation loss ]]/grand[[#This Row],[received]]</f>
        <v>0</v>
      </c>
      <c r="S954" s="7">
        <f>grand[[#This Row],[ carcass weight]]/grand[[#This Row],[received]]</f>
        <v>295.53207547169814</v>
      </c>
      <c r="T954" s="7">
        <f>grand[[#This Row],[ kidneys fat quantity]]/grand[[#This Row],[received]]</f>
        <v>0</v>
      </c>
      <c r="U954" s="1">
        <v>25</v>
      </c>
      <c r="V954" s="1">
        <v>4</v>
      </c>
      <c r="W954" s="1">
        <v>50</v>
      </c>
      <c r="X954" s="1">
        <v>10</v>
      </c>
      <c r="Y954" s="1">
        <v>8.5</v>
      </c>
      <c r="Z954" s="18">
        <f>grand[[#This Row],[av. Transportation loss]]/grand[[#This Row],[av.total weight]]</f>
        <v>0</v>
      </c>
      <c r="AA954" s="12">
        <f>AVERAGE((grand[[#This Row],[am]]/25),(grand[[#This Row],[pm]]/50))</f>
        <v>1</v>
      </c>
      <c r="AB954" s="3">
        <f>grand[[#This Row],[ carcass weight]]/grand[[#This Row],[total weight]]</f>
        <v>0.63200000000000012</v>
      </c>
      <c r="AC954" s="18">
        <f>SUM(grand[[#This Row],[am]:[meat transportation]])/100</f>
        <v>0.97499999999999998</v>
      </c>
      <c r="AK954" s="1"/>
      <c r="AL954" s="1"/>
    </row>
    <row r="955" spans="1:38" hidden="1" x14ac:dyDescent="0.2">
      <c r="A955" s="11">
        <v>45426</v>
      </c>
      <c r="B955" s="53" t="s">
        <v>2893</v>
      </c>
      <c r="C955" s="52" t="str">
        <f>IF(MID(B955,4,2)="09","Ramadan",IF(AND(MID(B955,4,2)="12",VALUE(LEFT(B955,2))&lt;=9),"Adha Season","Normal"))</f>
        <v>Normal</v>
      </c>
      <c r="D955" s="2" t="s">
        <v>294</v>
      </c>
      <c r="E955" s="1" t="s">
        <v>483</v>
      </c>
      <c r="F955" s="4" t="s">
        <v>550</v>
      </c>
      <c r="G955" s="1">
        <v>24</v>
      </c>
      <c r="H955" s="1">
        <v>24</v>
      </c>
      <c r="I955" s="1">
        <f>grand[[#This Row],[number]]-grand[[#This Row],[received]]</f>
        <v>0</v>
      </c>
      <c r="J955" s="30"/>
      <c r="K955" s="2">
        <v>1250</v>
      </c>
      <c r="L955" s="2">
        <v>1242</v>
      </c>
      <c r="M955" s="2">
        <f>K955-L955</f>
        <v>8</v>
      </c>
      <c r="N955" s="2">
        <v>729.6</v>
      </c>
      <c r="O955" s="2">
        <v>0</v>
      </c>
      <c r="P955" s="7">
        <f>grand[[#This Row],[total weight]]/grand[[#This Row],[received]]</f>
        <v>52.083333333333336</v>
      </c>
      <c r="Q955" s="7">
        <f>grand[[#This Row],[receiving weight]]/grand[[#This Row],[received]]</f>
        <v>51.75</v>
      </c>
      <c r="R955" s="7">
        <f>grand[[#This Row],[transportation loss ]]/grand[[#This Row],[received]]</f>
        <v>0.33333333333333331</v>
      </c>
      <c r="S955" s="7">
        <f>grand[[#This Row],[ carcass weight]]/grand[[#This Row],[received]]</f>
        <v>30.400000000000002</v>
      </c>
      <c r="T955" s="7">
        <f>grand[[#This Row],[ kidneys fat quantity]]/grand[[#This Row],[received]]</f>
        <v>0</v>
      </c>
      <c r="U955" s="1">
        <v>25</v>
      </c>
      <c r="V955" s="1">
        <v>0</v>
      </c>
      <c r="W955" s="1">
        <v>49.666666666666671</v>
      </c>
      <c r="X955" s="1">
        <v>10</v>
      </c>
      <c r="Y955" s="1">
        <v>8.5</v>
      </c>
      <c r="Z955" s="18">
        <f>grand[[#This Row],[av. Transportation loss]]/grand[[#This Row],[av.total weight]]</f>
        <v>6.3999999999999994E-3</v>
      </c>
      <c r="AA955" s="12">
        <f>AVERAGE((grand[[#This Row],[am]]/25),(grand[[#This Row],[pm]]/50))</f>
        <v>0.9966666666666667</v>
      </c>
      <c r="AB955" s="3">
        <f>grand[[#This Row],[ carcass weight]]/grand[[#This Row],[total weight]]</f>
        <v>0.58367999999999998</v>
      </c>
      <c r="AC955" s="18">
        <f>SUM(grand[[#This Row],[am]:[meat transportation]])/100</f>
        <v>0.93166666666666675</v>
      </c>
      <c r="AK955" s="1"/>
      <c r="AL955" s="1"/>
    </row>
    <row r="956" spans="1:38" hidden="1" x14ac:dyDescent="0.2">
      <c r="A956" s="11">
        <v>45426</v>
      </c>
      <c r="B956" s="53" t="s">
        <v>2893</v>
      </c>
      <c r="C956" s="52" t="str">
        <f>IF(MID(B956,4,2)="09","Ramadan",IF(AND(MID(B956,4,2)="12",VALUE(LEFT(B956,2))&lt;=9),"Adha Season","Normal"))</f>
        <v>Normal</v>
      </c>
      <c r="D956" s="1" t="s">
        <v>45</v>
      </c>
      <c r="E956" s="1" t="s">
        <v>528</v>
      </c>
      <c r="F956" s="4" t="s">
        <v>39</v>
      </c>
      <c r="G956" s="1">
        <v>51</v>
      </c>
      <c r="H956" s="1">
        <v>51</v>
      </c>
      <c r="I956" s="1">
        <f>grand[[#This Row],[number]]-grand[[#This Row],[received]]</f>
        <v>0</v>
      </c>
      <c r="J956" s="30"/>
      <c r="K956" s="2">
        <v>26136</v>
      </c>
      <c r="L956" s="2">
        <v>25140</v>
      </c>
      <c r="M956" s="2">
        <f>K956-L956</f>
        <v>996</v>
      </c>
      <c r="N956" s="2">
        <v>16032.5</v>
      </c>
      <c r="O956" s="2">
        <v>405</v>
      </c>
      <c r="P956" s="7">
        <f>grand[[#This Row],[total weight]]/grand[[#This Row],[received]]</f>
        <v>512.47058823529414</v>
      </c>
      <c r="Q956" s="7">
        <f>grand[[#This Row],[receiving weight]]/grand[[#This Row],[received]]</f>
        <v>492.94117647058823</v>
      </c>
      <c r="R956" s="7">
        <f>grand[[#This Row],[transportation loss ]]/grand[[#This Row],[received]]</f>
        <v>19.529411764705884</v>
      </c>
      <c r="S956" s="7">
        <f>grand[[#This Row],[ carcass weight]]/grand[[#This Row],[received]]</f>
        <v>314.36274509803923</v>
      </c>
      <c r="T956" s="7">
        <f>grand[[#This Row],[ kidneys fat quantity]]/grand[[#This Row],[received]]</f>
        <v>7.9411764705882355</v>
      </c>
      <c r="U956" s="1">
        <v>25</v>
      </c>
      <c r="V956" s="1">
        <v>0</v>
      </c>
      <c r="W956" s="1">
        <v>48.686274509803923</v>
      </c>
      <c r="X956" s="1">
        <v>10</v>
      </c>
      <c r="Y956" s="1">
        <v>8.5</v>
      </c>
      <c r="Z956" s="18">
        <f>grand[[#This Row],[av. Transportation loss]]/grand[[#This Row],[av.total weight]]</f>
        <v>3.8108356290174471E-2</v>
      </c>
      <c r="AA956" s="12">
        <f>AVERAGE((grand[[#This Row],[am]]/25),(grand[[#This Row],[pm]]/50))</f>
        <v>0.98686274509803917</v>
      </c>
      <c r="AB956" s="3">
        <f>grand[[#This Row],[ carcass weight]]/grand[[#This Row],[total weight]]</f>
        <v>0.61342592592592593</v>
      </c>
      <c r="AC956" s="18">
        <f>SUM(grand[[#This Row],[am]:[meat transportation]])/100</f>
        <v>0.92186274509803923</v>
      </c>
      <c r="AK956" s="1"/>
      <c r="AL956" s="1"/>
    </row>
    <row r="957" spans="1:38" hidden="1" x14ac:dyDescent="0.2">
      <c r="A957" s="11">
        <v>45427</v>
      </c>
      <c r="B957" s="53" t="s">
        <v>1973</v>
      </c>
      <c r="C957" s="52" t="str">
        <f>IF(MID(B957,4,2)="09","Ramadan",IF(AND(MID(B957,4,2)="12",VALUE(LEFT(B957,2))&lt;=9),"Adha Season","Normal"))</f>
        <v>Normal</v>
      </c>
      <c r="D957" s="1" t="s">
        <v>45</v>
      </c>
      <c r="E957" s="1" t="s">
        <v>528</v>
      </c>
      <c r="F957" s="4" t="s">
        <v>462</v>
      </c>
      <c r="G957" s="1">
        <v>20</v>
      </c>
      <c r="H957" s="1">
        <v>20</v>
      </c>
      <c r="I957" s="1">
        <f>grand[[#This Row],[number]]-grand[[#This Row],[received]]</f>
        <v>0</v>
      </c>
      <c r="J957" s="30"/>
      <c r="K957" s="2">
        <v>9615.5063291139231</v>
      </c>
      <c r="L957" s="2">
        <v>9615.5063291139231</v>
      </c>
      <c r="M957" s="2">
        <f>K957-L957</f>
        <v>0</v>
      </c>
      <c r="N957" s="2">
        <v>6077</v>
      </c>
      <c r="O957" s="2">
        <v>0</v>
      </c>
      <c r="P957" s="7">
        <f>grand[[#This Row],[total weight]]/grand[[#This Row],[received]]</f>
        <v>480.77531645569616</v>
      </c>
      <c r="Q957" s="7">
        <f>grand[[#This Row],[receiving weight]]/grand[[#This Row],[received]]</f>
        <v>480.77531645569616</v>
      </c>
      <c r="R957" s="7">
        <f>grand[[#This Row],[transportation loss ]]/grand[[#This Row],[received]]</f>
        <v>0</v>
      </c>
      <c r="S957" s="7">
        <f>grand[[#This Row],[ carcass weight]]/grand[[#This Row],[received]]</f>
        <v>303.85000000000002</v>
      </c>
      <c r="T957" s="7">
        <f>grand[[#This Row],[ kidneys fat quantity]]/grand[[#This Row],[received]]</f>
        <v>0</v>
      </c>
      <c r="U957" s="1">
        <v>25</v>
      </c>
      <c r="V957" s="1">
        <v>4</v>
      </c>
      <c r="W957" s="1">
        <v>50</v>
      </c>
      <c r="X957" s="1">
        <v>10</v>
      </c>
      <c r="Y957" s="1">
        <v>8.5</v>
      </c>
      <c r="Z957" s="18">
        <f>grand[[#This Row],[av. Transportation loss]]/grand[[#This Row],[av.total weight]]</f>
        <v>0</v>
      </c>
      <c r="AA957" s="12">
        <f>AVERAGE((grand[[#This Row],[am]]/25),(grand[[#This Row],[pm]]/50))</f>
        <v>1</v>
      </c>
      <c r="AB957" s="3">
        <f>grand[[#This Row],[ carcass weight]]/grand[[#This Row],[total weight]]</f>
        <v>0.63200000000000001</v>
      </c>
      <c r="AC957" s="18">
        <f>SUM(grand[[#This Row],[am]:[meat transportation]])/100</f>
        <v>0.97499999999999998</v>
      </c>
      <c r="AK957" s="1"/>
      <c r="AL957" s="1"/>
    </row>
    <row r="958" spans="1:38" hidden="1" x14ac:dyDescent="0.2">
      <c r="A958" s="11">
        <v>45428</v>
      </c>
      <c r="B958" s="53" t="s">
        <v>1974</v>
      </c>
      <c r="C958" s="52" t="str">
        <f>IF(MID(B958,4,2)="09","Ramadan",IF(AND(MID(B958,4,2)="12",VALUE(LEFT(B958,2))&lt;=9),"Adha Season","Normal"))</f>
        <v>Normal</v>
      </c>
      <c r="D958" s="1" t="s">
        <v>45</v>
      </c>
      <c r="E958" s="1" t="s">
        <v>483</v>
      </c>
      <c r="F958" s="4" t="s">
        <v>43</v>
      </c>
      <c r="G958" s="1">
        <v>34</v>
      </c>
      <c r="H958" s="1">
        <v>34</v>
      </c>
      <c r="I958" s="1">
        <f>grand[[#This Row],[number]]-grand[[#This Row],[received]]</f>
        <v>0</v>
      </c>
      <c r="J958" s="30"/>
      <c r="K958" s="2">
        <v>17355</v>
      </c>
      <c r="L958" s="2">
        <v>16705</v>
      </c>
      <c r="M958" s="2">
        <f>K958-L958</f>
        <v>650</v>
      </c>
      <c r="N958" s="2">
        <v>10597.8</v>
      </c>
      <c r="O958" s="2">
        <v>416</v>
      </c>
      <c r="P958" s="7">
        <f>grand[[#This Row],[total weight]]/grand[[#This Row],[received]]</f>
        <v>510.44117647058823</v>
      </c>
      <c r="Q958" s="7">
        <f>grand[[#This Row],[receiving weight]]/grand[[#This Row],[received]]</f>
        <v>491.3235294117647</v>
      </c>
      <c r="R958" s="7">
        <f>grand[[#This Row],[transportation loss ]]/grand[[#This Row],[received]]</f>
        <v>19.117647058823529</v>
      </c>
      <c r="S958" s="7">
        <f>grand[[#This Row],[ carcass weight]]/grand[[#This Row],[received]]</f>
        <v>311.7</v>
      </c>
      <c r="T958" s="7">
        <f>grand[[#This Row],[ kidneys fat quantity]]/grand[[#This Row],[received]]</f>
        <v>12.235294117647058</v>
      </c>
      <c r="U958" s="1">
        <v>24.705882352941178</v>
      </c>
      <c r="V958" s="1">
        <v>0</v>
      </c>
      <c r="W958" s="1">
        <v>48.25</v>
      </c>
      <c r="X958" s="1">
        <v>10</v>
      </c>
      <c r="Y958" s="1">
        <v>8.5</v>
      </c>
      <c r="Z958" s="18">
        <f>grand[[#This Row],[av. Transportation loss]]/grand[[#This Row],[av.total weight]]</f>
        <v>3.7453183520599252E-2</v>
      </c>
      <c r="AA958" s="12">
        <f>AVERAGE((grand[[#This Row],[am]]/25),(grand[[#This Row],[pm]]/50))</f>
        <v>0.97661764705882348</v>
      </c>
      <c r="AB958" s="3">
        <f>grand[[#This Row],[ carcass weight]]/grand[[#This Row],[total weight]]</f>
        <v>0.61064822817631803</v>
      </c>
      <c r="AC958" s="18">
        <f>SUM(grand[[#This Row],[am]:[meat transportation]])/100</f>
        <v>0.91455882352941176</v>
      </c>
      <c r="AJ958" s="1">
        <v>20</v>
      </c>
      <c r="AK958" s="1"/>
      <c r="AL958" s="1"/>
    </row>
    <row r="959" spans="1:38" hidden="1" x14ac:dyDescent="0.2">
      <c r="A959" s="11">
        <v>45430</v>
      </c>
      <c r="B959" s="53" t="s">
        <v>2894</v>
      </c>
      <c r="C959" s="52" t="str">
        <f>IF(MID(B959,4,2)="09","Ramadan",IF(AND(MID(B959,4,2)="12",VALUE(LEFT(B959,2))&lt;=9),"Adha Season","Normal"))</f>
        <v>Normal</v>
      </c>
      <c r="D959" s="1" t="s">
        <v>45</v>
      </c>
      <c r="E959" s="1" t="s">
        <v>483</v>
      </c>
      <c r="F959" s="4" t="s">
        <v>43</v>
      </c>
      <c r="G959" s="1">
        <v>30</v>
      </c>
      <c r="H959" s="1">
        <v>30</v>
      </c>
      <c r="I959" s="1">
        <f>grand[[#This Row],[number]]-grand[[#This Row],[received]]</f>
        <v>0</v>
      </c>
      <c r="J959" s="30"/>
      <c r="K959" s="2">
        <v>15519</v>
      </c>
      <c r="L959" s="2">
        <v>14860</v>
      </c>
      <c r="M959" s="2">
        <f>K959-L959</f>
        <v>659</v>
      </c>
      <c r="N959" s="2">
        <v>9311</v>
      </c>
      <c r="O959" s="2">
        <v>400</v>
      </c>
      <c r="P959" s="7">
        <f>grand[[#This Row],[total weight]]/grand[[#This Row],[received]]</f>
        <v>517.29999999999995</v>
      </c>
      <c r="Q959" s="7">
        <f>grand[[#This Row],[receiving weight]]/grand[[#This Row],[received]]</f>
        <v>495.33333333333331</v>
      </c>
      <c r="R959" s="7">
        <f>grand[[#This Row],[transportation loss ]]/grand[[#This Row],[received]]</f>
        <v>21.966666666666665</v>
      </c>
      <c r="S959" s="7">
        <f>grand[[#This Row],[ carcass weight]]/grand[[#This Row],[received]]</f>
        <v>310.36666666666667</v>
      </c>
      <c r="T959" s="7">
        <f>grand[[#This Row],[ kidneys fat quantity]]/grand[[#This Row],[received]]</f>
        <v>13.333333333333334</v>
      </c>
      <c r="U959" s="1">
        <v>24.166666666666668</v>
      </c>
      <c r="V959" s="1">
        <v>0</v>
      </c>
      <c r="W959" s="1">
        <v>48.699999999999996</v>
      </c>
      <c r="X959" s="1">
        <v>10</v>
      </c>
      <c r="Y959" s="1">
        <v>8.5</v>
      </c>
      <c r="Z959" s="18">
        <f>grand[[#This Row],[av. Transportation loss]]/grand[[#This Row],[av.total weight]]</f>
        <v>4.2464076293575619E-2</v>
      </c>
      <c r="AA959" s="12">
        <f>AVERAGE((grand[[#This Row],[am]]/25),(grand[[#This Row],[pm]]/50))</f>
        <v>0.97033333333333327</v>
      </c>
      <c r="AB959" s="3">
        <f>grand[[#This Row],[ carcass weight]]/grand[[#This Row],[total weight]]</f>
        <v>0.59997422514337262</v>
      </c>
      <c r="AC959" s="18">
        <f>SUM(grand[[#This Row],[am]:[meat transportation]])/100</f>
        <v>0.91366666666666663</v>
      </c>
      <c r="AJ959" s="1">
        <v>19</v>
      </c>
      <c r="AK959" s="1"/>
      <c r="AL959" s="1"/>
    </row>
    <row r="960" spans="1:38" hidden="1" x14ac:dyDescent="0.2">
      <c r="A960" s="11">
        <v>45432</v>
      </c>
      <c r="B960" s="53" t="s">
        <v>1976</v>
      </c>
      <c r="C960" s="52" t="str">
        <f>IF(MID(B960,4,2)="09","Ramadan",IF(AND(MID(B960,4,2)="12",VALUE(LEFT(B960,2))&lt;=9),"Adha Season","Normal"))</f>
        <v>Normal</v>
      </c>
      <c r="D960" s="1" t="s">
        <v>45</v>
      </c>
      <c r="E960" s="1" t="s">
        <v>528</v>
      </c>
      <c r="F960" s="4" t="s">
        <v>462</v>
      </c>
      <c r="G960" s="1">
        <v>47</v>
      </c>
      <c r="H960" s="1">
        <v>47</v>
      </c>
      <c r="I960" s="1">
        <f>grand[[#This Row],[number]]-grand[[#This Row],[received]]</f>
        <v>0</v>
      </c>
      <c r="J960" s="30"/>
      <c r="K960" s="2">
        <v>21959.113924050631</v>
      </c>
      <c r="L960" s="2">
        <v>21959.113924050631</v>
      </c>
      <c r="M960" s="2">
        <f>K960-L960</f>
        <v>0</v>
      </c>
      <c r="N960" s="2">
        <v>13878.16</v>
      </c>
      <c r="O960" s="2">
        <v>0</v>
      </c>
      <c r="P960" s="7">
        <f>grand[[#This Row],[total weight]]/grand[[#This Row],[received]]</f>
        <v>467.21518987341767</v>
      </c>
      <c r="Q960" s="7">
        <f>grand[[#This Row],[receiving weight]]/grand[[#This Row],[received]]</f>
        <v>467.21518987341767</v>
      </c>
      <c r="R960" s="7">
        <f>grand[[#This Row],[transportation loss ]]/grand[[#This Row],[received]]</f>
        <v>0</v>
      </c>
      <c r="S960" s="7">
        <f>grand[[#This Row],[ carcass weight]]/grand[[#This Row],[received]]</f>
        <v>295.27999999999997</v>
      </c>
      <c r="T960" s="7">
        <f>grand[[#This Row],[ kidneys fat quantity]]/grand[[#This Row],[received]]</f>
        <v>0</v>
      </c>
      <c r="U960" s="1">
        <v>25</v>
      </c>
      <c r="V960" s="1">
        <v>4</v>
      </c>
      <c r="W960" s="1">
        <v>45</v>
      </c>
      <c r="X960" s="1">
        <v>10</v>
      </c>
      <c r="Y960" s="1">
        <v>8.5</v>
      </c>
      <c r="Z960" s="18">
        <f>grand[[#This Row],[av. Transportation loss]]/grand[[#This Row],[av.total weight]]</f>
        <v>0</v>
      </c>
      <c r="AA960" s="12">
        <f>AVERAGE((grand[[#This Row],[am]]/25),(grand[[#This Row],[pm]]/50))</f>
        <v>0.95</v>
      </c>
      <c r="AB960" s="3">
        <f>grand[[#This Row],[ carcass weight]]/grand[[#This Row],[total weight]]</f>
        <v>0.63200000000000001</v>
      </c>
      <c r="AC960" s="18">
        <f>SUM(grand[[#This Row],[am]:[meat transportation]])/100</f>
        <v>0.92500000000000004</v>
      </c>
      <c r="AK960" s="1"/>
      <c r="AL960" s="1"/>
    </row>
    <row r="961" spans="1:38" hidden="1" x14ac:dyDescent="0.2">
      <c r="A961" s="11">
        <v>45434</v>
      </c>
      <c r="B961" s="53" t="s">
        <v>2895</v>
      </c>
      <c r="C961" s="52" t="str">
        <f>IF(MID(B961,4,2)="09","Ramadan",IF(AND(MID(B961,4,2)="12",VALUE(LEFT(B961,2))&lt;=9),"Adha Season","Normal"))</f>
        <v>Normal</v>
      </c>
      <c r="D961" s="1" t="s">
        <v>45</v>
      </c>
      <c r="E961" s="1" t="s">
        <v>528</v>
      </c>
      <c r="F961" s="4" t="s">
        <v>462</v>
      </c>
      <c r="G961" s="1">
        <v>20</v>
      </c>
      <c r="H961" s="1">
        <v>20</v>
      </c>
      <c r="I961" s="1">
        <f>grand[[#This Row],[number]]-grand[[#This Row],[received]]</f>
        <v>0</v>
      </c>
      <c r="J961" s="30"/>
      <c r="K961" s="2">
        <v>9344.3037974683539</v>
      </c>
      <c r="L961" s="2">
        <v>9344.3037974683539</v>
      </c>
      <c r="M961" s="2">
        <f>K961-L961</f>
        <v>0</v>
      </c>
      <c r="N961" s="2">
        <v>5905.6</v>
      </c>
      <c r="O961" s="2">
        <v>0</v>
      </c>
      <c r="P961" s="7">
        <f>grand[[#This Row],[total weight]]/grand[[#This Row],[received]]</f>
        <v>467.21518987341767</v>
      </c>
      <c r="Q961" s="7">
        <f>grand[[#This Row],[receiving weight]]/grand[[#This Row],[received]]</f>
        <v>467.21518987341767</v>
      </c>
      <c r="R961" s="7">
        <f>grand[[#This Row],[transportation loss ]]/grand[[#This Row],[received]]</f>
        <v>0</v>
      </c>
      <c r="S961" s="7">
        <f>grand[[#This Row],[ carcass weight]]/grand[[#This Row],[received]]</f>
        <v>295.28000000000003</v>
      </c>
      <c r="T961" s="7">
        <f>grand[[#This Row],[ kidneys fat quantity]]/grand[[#This Row],[received]]</f>
        <v>0</v>
      </c>
      <c r="U961" s="1">
        <v>25</v>
      </c>
      <c r="V961" s="1">
        <v>4</v>
      </c>
      <c r="W961" s="1">
        <v>48</v>
      </c>
      <c r="X961" s="1">
        <v>10</v>
      </c>
      <c r="Y961" s="1">
        <v>8.5</v>
      </c>
      <c r="Z961" s="18">
        <f>grand[[#This Row],[av. Transportation loss]]/grand[[#This Row],[av.total weight]]</f>
        <v>0</v>
      </c>
      <c r="AA961" s="12">
        <f>AVERAGE((grand[[#This Row],[am]]/25),(grand[[#This Row],[pm]]/50))</f>
        <v>0.98</v>
      </c>
      <c r="AB961" s="3">
        <f>grand[[#This Row],[ carcass weight]]/grand[[#This Row],[total weight]]</f>
        <v>0.63200000000000012</v>
      </c>
      <c r="AC961" s="18">
        <f>SUM(grand[[#This Row],[am]:[meat transportation]])/100</f>
        <v>0.95499999999999996</v>
      </c>
      <c r="AK961" s="1"/>
      <c r="AL961" s="1"/>
    </row>
    <row r="962" spans="1:38" hidden="1" x14ac:dyDescent="0.2">
      <c r="A962" s="11">
        <v>45435</v>
      </c>
      <c r="B962" s="53" t="s">
        <v>1977</v>
      </c>
      <c r="C962" s="52" t="str">
        <f>IF(MID(B962,4,2)="09","Ramadan",IF(AND(MID(B962,4,2)="12",VALUE(LEFT(B962,2))&lt;=9),"Adha Season","Normal"))</f>
        <v>Normal</v>
      </c>
      <c r="D962" s="1" t="s">
        <v>45</v>
      </c>
      <c r="E962" s="1" t="s">
        <v>528</v>
      </c>
      <c r="F962" s="4" t="s">
        <v>39</v>
      </c>
      <c r="G962" s="1">
        <v>32</v>
      </c>
      <c r="H962" s="1">
        <v>32</v>
      </c>
      <c r="I962" s="1">
        <f>grand[[#This Row],[number]]-grand[[#This Row],[received]]</f>
        <v>0</v>
      </c>
      <c r="J962" s="30"/>
      <c r="K962" s="2">
        <v>16073</v>
      </c>
      <c r="L962" s="2">
        <v>15360</v>
      </c>
      <c r="M962" s="2">
        <f>K962-L962</f>
        <v>713</v>
      </c>
      <c r="N962" s="2">
        <v>9847.2999999999993</v>
      </c>
      <c r="O962" s="2">
        <v>230</v>
      </c>
      <c r="P962" s="7">
        <f>grand[[#This Row],[total weight]]/grand[[#This Row],[received]]</f>
        <v>502.28125</v>
      </c>
      <c r="Q962" s="7">
        <f>grand[[#This Row],[receiving weight]]/grand[[#This Row],[received]]</f>
        <v>480</v>
      </c>
      <c r="R962" s="7">
        <f>grand[[#This Row],[transportation loss ]]/grand[[#This Row],[received]]</f>
        <v>22.28125</v>
      </c>
      <c r="S962" s="7">
        <f>grand[[#This Row],[ carcass weight]]/grand[[#This Row],[received]]</f>
        <v>307.72812499999998</v>
      </c>
      <c r="T962" s="7">
        <f>grand[[#This Row],[ kidneys fat quantity]]/grand[[#This Row],[received]]</f>
        <v>7.1875</v>
      </c>
      <c r="U962" s="1">
        <v>25</v>
      </c>
      <c r="V962" s="1">
        <v>0</v>
      </c>
      <c r="W962" s="1">
        <v>48.46875</v>
      </c>
      <c r="X962" s="1">
        <v>10</v>
      </c>
      <c r="Y962" s="1">
        <v>8.5</v>
      </c>
      <c r="Z962" s="18">
        <f>grand[[#This Row],[av. Transportation loss]]/grand[[#This Row],[av.total weight]]</f>
        <v>4.4360107011758854E-2</v>
      </c>
      <c r="AA962" s="12">
        <f>AVERAGE((grand[[#This Row],[am]]/25),(grand[[#This Row],[pm]]/50))</f>
        <v>0.98468749999999994</v>
      </c>
      <c r="AB962" s="3">
        <f>grand[[#This Row],[ carcass weight]]/grand[[#This Row],[total weight]]</f>
        <v>0.61266098425931681</v>
      </c>
      <c r="AC962" s="18">
        <f>SUM(grand[[#This Row],[am]:[meat transportation]])/100</f>
        <v>0.91968749999999999</v>
      </c>
      <c r="AK962" s="1"/>
      <c r="AL962" s="1"/>
    </row>
    <row r="963" spans="1:38" hidden="1" x14ac:dyDescent="0.2">
      <c r="A963" s="11">
        <v>45439</v>
      </c>
      <c r="B963" s="53" t="s">
        <v>1979</v>
      </c>
      <c r="C963" s="52" t="str">
        <f>IF(MID(B963,4,2)="09","Ramadan",IF(AND(MID(B963,4,2)="12",VALUE(LEFT(B963,2))&lt;=9),"Adha Season","Normal"))</f>
        <v>Normal</v>
      </c>
      <c r="D963" s="1" t="s">
        <v>45</v>
      </c>
      <c r="E963" s="1" t="s">
        <v>528</v>
      </c>
      <c r="F963" s="4" t="s">
        <v>462</v>
      </c>
      <c r="G963" s="1">
        <v>50</v>
      </c>
      <c r="H963" s="1">
        <v>50</v>
      </c>
      <c r="I963" s="1">
        <f>grand[[#This Row],[number]]-grand[[#This Row],[received]]</f>
        <v>0</v>
      </c>
      <c r="J963" s="30"/>
      <c r="K963" s="2">
        <v>23269.303797468354</v>
      </c>
      <c r="L963" s="2">
        <v>23269.303797468354</v>
      </c>
      <c r="M963" s="2">
        <f>K963-L963</f>
        <v>0</v>
      </c>
      <c r="N963" s="2">
        <v>14706.2</v>
      </c>
      <c r="O963" s="2">
        <v>0</v>
      </c>
      <c r="P963" s="7">
        <f>grand[[#This Row],[total weight]]/grand[[#This Row],[received]]</f>
        <v>465.38607594936707</v>
      </c>
      <c r="Q963" s="7">
        <f>grand[[#This Row],[receiving weight]]/grand[[#This Row],[received]]</f>
        <v>465.38607594936707</v>
      </c>
      <c r="R963" s="7">
        <f>grand[[#This Row],[transportation loss ]]/grand[[#This Row],[received]]</f>
        <v>0</v>
      </c>
      <c r="S963" s="7">
        <f>grand[[#This Row],[ carcass weight]]/grand[[#This Row],[received]]</f>
        <v>294.12400000000002</v>
      </c>
      <c r="T963" s="7">
        <f>grand[[#This Row],[ kidneys fat quantity]]/grand[[#This Row],[received]]</f>
        <v>0</v>
      </c>
      <c r="U963" s="1">
        <v>25</v>
      </c>
      <c r="V963" s="1">
        <v>4</v>
      </c>
      <c r="W963" s="1">
        <v>48.3</v>
      </c>
      <c r="X963" s="1">
        <v>10</v>
      </c>
      <c r="Y963" s="1">
        <v>8.5</v>
      </c>
      <c r="Z963" s="18">
        <f>grand[[#This Row],[av. Transportation loss]]/grand[[#This Row],[av.total weight]]</f>
        <v>0</v>
      </c>
      <c r="AA963" s="12">
        <f>AVERAGE((grand[[#This Row],[am]]/25),(grand[[#This Row],[pm]]/50))</f>
        <v>0.98299999999999998</v>
      </c>
      <c r="AB963" s="3">
        <f>grand[[#This Row],[ carcass weight]]/grand[[#This Row],[total weight]]</f>
        <v>0.63200000000000001</v>
      </c>
      <c r="AC963" s="18">
        <f>SUM(grand[[#This Row],[am]:[meat transportation]])/100</f>
        <v>0.95799999999999996</v>
      </c>
      <c r="AK963" s="1"/>
      <c r="AL963" s="1"/>
    </row>
    <row r="964" spans="1:38" hidden="1" x14ac:dyDescent="0.2">
      <c r="A964" s="11">
        <v>45442</v>
      </c>
      <c r="B964" s="53" t="s">
        <v>2897</v>
      </c>
      <c r="C964" s="52" t="str">
        <f>IF(MID(B964,4,2)="09","Ramadan",IF(AND(MID(B964,4,2)="12",VALUE(LEFT(B964,2))&lt;=9),"Adha Season","Normal"))</f>
        <v>Normal</v>
      </c>
      <c r="D964" s="1" t="s">
        <v>45</v>
      </c>
      <c r="E964" s="1" t="s">
        <v>528</v>
      </c>
      <c r="F964" s="4" t="s">
        <v>576</v>
      </c>
      <c r="G964" s="1">
        <v>66</v>
      </c>
      <c r="H964" s="1">
        <v>66</v>
      </c>
      <c r="I964" s="1">
        <f>grand[[#This Row],[number]]-grand[[#This Row],[received]]</f>
        <v>0</v>
      </c>
      <c r="J964" s="30"/>
      <c r="K964" s="2">
        <v>31881</v>
      </c>
      <c r="L964" s="2">
        <v>31175</v>
      </c>
      <c r="M964" s="2">
        <f>K964-L964</f>
        <v>706</v>
      </c>
      <c r="N964" s="2">
        <v>19127.900000000001</v>
      </c>
      <c r="O964" s="2">
        <v>397</v>
      </c>
      <c r="P964" s="7">
        <f>grand[[#This Row],[total weight]]/grand[[#This Row],[received]]</f>
        <v>483.04545454545456</v>
      </c>
      <c r="Q964" s="7">
        <f>grand[[#This Row],[receiving weight]]/grand[[#This Row],[received]]</f>
        <v>472.34848484848487</v>
      </c>
      <c r="R964" s="7">
        <f>grand[[#This Row],[transportation loss ]]/grand[[#This Row],[received]]</f>
        <v>10.696969696969697</v>
      </c>
      <c r="S964" s="7">
        <f>grand[[#This Row],[ carcass weight]]/grand[[#This Row],[received]]</f>
        <v>289.81666666666666</v>
      </c>
      <c r="T964" s="7">
        <f>grand[[#This Row],[ kidneys fat quantity]]/grand[[#This Row],[received]]</f>
        <v>6.0151515151515156</v>
      </c>
      <c r="U964" s="1">
        <v>25</v>
      </c>
      <c r="V964" s="1">
        <v>0</v>
      </c>
      <c r="W964" s="1">
        <v>48.18181818181818</v>
      </c>
      <c r="X964" s="1">
        <v>10</v>
      </c>
      <c r="Y964" s="1">
        <v>8.5</v>
      </c>
      <c r="Z964" s="18">
        <f>grand[[#This Row],[av. Transportation loss]]/grand[[#This Row],[av.total weight]]</f>
        <v>2.2144851165270849E-2</v>
      </c>
      <c r="AA964" s="12">
        <f>AVERAGE((grand[[#This Row],[am]]/25),(grand[[#This Row],[pm]]/50))</f>
        <v>0.98181818181818181</v>
      </c>
      <c r="AB964" s="3">
        <f>grand[[#This Row],[ carcass weight]]/grand[[#This Row],[total weight]]</f>
        <v>0.59997804334870308</v>
      </c>
      <c r="AC964" s="18">
        <f>SUM(grand[[#This Row],[am]:[meat transportation]])/100</f>
        <v>0.91681818181818187</v>
      </c>
      <c r="AK964" s="1"/>
      <c r="AL964" s="1"/>
    </row>
    <row r="965" spans="1:38" hidden="1" x14ac:dyDescent="0.2">
      <c r="A965" s="11">
        <v>45444</v>
      </c>
      <c r="B965" s="53" t="s">
        <v>2898</v>
      </c>
      <c r="C965" s="52" t="str">
        <f>IF(MID(B965,4,2)="09","Ramadan",IF(AND(MID(B965,4,2)="12",VALUE(LEFT(B965,2))&lt;=9),"Adha Season","Normal"))</f>
        <v>Normal</v>
      </c>
      <c r="D965" s="1" t="s">
        <v>45</v>
      </c>
      <c r="E965" s="1" t="s">
        <v>483</v>
      </c>
      <c r="F965" s="4" t="s">
        <v>43</v>
      </c>
      <c r="G965" s="1">
        <v>47</v>
      </c>
      <c r="H965" s="1">
        <v>47</v>
      </c>
      <c r="I965" s="1">
        <f>grand[[#This Row],[number]]-grand[[#This Row],[received]]</f>
        <v>0</v>
      </c>
      <c r="J965" s="30"/>
      <c r="K965" s="2">
        <v>24721</v>
      </c>
      <c r="L965" s="2">
        <v>23300</v>
      </c>
      <c r="M965" s="2">
        <f>K965-L965</f>
        <v>1421</v>
      </c>
      <c r="N965" s="2">
        <v>14831.5</v>
      </c>
      <c r="O965" s="2">
        <v>541</v>
      </c>
      <c r="P965" s="7">
        <f>grand[[#This Row],[total weight]]/grand[[#This Row],[received]]</f>
        <v>525.97872340425533</v>
      </c>
      <c r="Q965" s="7">
        <f>grand[[#This Row],[receiving weight]]/grand[[#This Row],[received]]</f>
        <v>495.74468085106383</v>
      </c>
      <c r="R965" s="7">
        <f>grand[[#This Row],[transportation loss ]]/grand[[#This Row],[received]]</f>
        <v>30.23404255319149</v>
      </c>
      <c r="S965" s="7">
        <f>grand[[#This Row],[ carcass weight]]/grand[[#This Row],[received]]</f>
        <v>315.56382978723406</v>
      </c>
      <c r="T965" s="7">
        <f>grand[[#This Row],[ kidneys fat quantity]]/grand[[#This Row],[received]]</f>
        <v>11.51063829787234</v>
      </c>
      <c r="U965" s="1">
        <v>24.574468085106382</v>
      </c>
      <c r="V965" s="1">
        <v>0</v>
      </c>
      <c r="W965" s="1">
        <v>46.021276595744681</v>
      </c>
      <c r="X965" s="1">
        <v>10</v>
      </c>
      <c r="Y965" s="1">
        <v>8.5</v>
      </c>
      <c r="Z965" s="18">
        <f>grand[[#This Row],[av. Transportation loss]]/grand[[#This Row],[av.total weight]]</f>
        <v>5.7481493467092755E-2</v>
      </c>
      <c r="AA965" s="12">
        <f>AVERAGE((grand[[#This Row],[am]]/25),(grand[[#This Row],[pm]]/50))</f>
        <v>0.95170212765957451</v>
      </c>
      <c r="AB965" s="3">
        <f>grand[[#This Row],[ carcass weight]]/grand[[#This Row],[total weight]]</f>
        <v>0.59995550341814652</v>
      </c>
      <c r="AC965" s="18">
        <f>SUM(grand[[#This Row],[am]:[meat transportation]])/100</f>
        <v>0.89095744680851052</v>
      </c>
      <c r="AJ965" s="1">
        <v>25</v>
      </c>
      <c r="AK965" s="1"/>
      <c r="AL965" s="1"/>
    </row>
    <row r="966" spans="1:38" hidden="1" x14ac:dyDescent="0.2">
      <c r="A966" s="11">
        <v>45445</v>
      </c>
      <c r="B966" s="53" t="s">
        <v>1980</v>
      </c>
      <c r="C966" s="52" t="str">
        <f>IF(MID(B966,4,2)="09","Ramadan",IF(AND(MID(B966,4,2)="12",VALUE(LEFT(B966,2))&lt;=9),"Adha Season","Normal"))</f>
        <v>Normal</v>
      </c>
      <c r="D966" s="1" t="s">
        <v>45</v>
      </c>
      <c r="E966" s="1" t="s">
        <v>528</v>
      </c>
      <c r="F966" s="4" t="s">
        <v>39</v>
      </c>
      <c r="G966" s="1">
        <v>64</v>
      </c>
      <c r="H966" s="1">
        <v>64</v>
      </c>
      <c r="I966" s="1">
        <f>grand[[#This Row],[number]]-grand[[#This Row],[received]]</f>
        <v>0</v>
      </c>
      <c r="J966" s="30"/>
      <c r="K966" s="2">
        <v>32252</v>
      </c>
      <c r="L966" s="2">
        <v>30740</v>
      </c>
      <c r="M966" s="2">
        <f>K966-L966</f>
        <v>1512</v>
      </c>
      <c r="N966" s="2">
        <v>19466.5</v>
      </c>
      <c r="O966" s="2">
        <v>476</v>
      </c>
      <c r="P966" s="7">
        <f>grand[[#This Row],[total weight]]/grand[[#This Row],[received]]</f>
        <v>503.9375</v>
      </c>
      <c r="Q966" s="7">
        <f>grand[[#This Row],[receiving weight]]/grand[[#This Row],[received]]</f>
        <v>480.3125</v>
      </c>
      <c r="R966" s="7">
        <f>grand[[#This Row],[transportation loss ]]/grand[[#This Row],[received]]</f>
        <v>23.625</v>
      </c>
      <c r="S966" s="7">
        <f>grand[[#This Row],[ carcass weight]]/grand[[#This Row],[received]]</f>
        <v>304.1640625</v>
      </c>
      <c r="T966" s="7">
        <f>grand[[#This Row],[ kidneys fat quantity]]/grand[[#This Row],[received]]</f>
        <v>7.4375</v>
      </c>
      <c r="U966" s="1">
        <v>25</v>
      </c>
      <c r="V966" s="1">
        <v>0</v>
      </c>
      <c r="W966" s="1">
        <v>48.890625</v>
      </c>
      <c r="X966" s="1">
        <v>10</v>
      </c>
      <c r="Y966" s="1">
        <v>8.5</v>
      </c>
      <c r="Z966" s="18">
        <f>grand[[#This Row],[av. Transportation loss]]/grand[[#This Row],[av.total weight]]</f>
        <v>4.6880813592955477E-2</v>
      </c>
      <c r="AA966" s="12">
        <f>AVERAGE((grand[[#This Row],[am]]/25),(grand[[#This Row],[pm]]/50))</f>
        <v>0.98890624999999999</v>
      </c>
      <c r="AB966" s="3">
        <f>grand[[#This Row],[ carcass weight]]/grand[[#This Row],[total weight]]</f>
        <v>0.60357497209475386</v>
      </c>
      <c r="AC966" s="18">
        <f>SUM(grand[[#This Row],[am]:[meat transportation]])/100</f>
        <v>0.92390625000000004</v>
      </c>
      <c r="AK966" s="1"/>
      <c r="AL966" s="1"/>
    </row>
    <row r="967" spans="1:38" hidden="1" x14ac:dyDescent="0.2">
      <c r="A967" s="11">
        <v>45449</v>
      </c>
      <c r="B967" s="53" t="s">
        <v>2899</v>
      </c>
      <c r="C967" s="52" t="str">
        <f>IF(MID(B967,4,2)="09","Ramadan",IF(AND(MID(B967,4,2)="12",VALUE(LEFT(B967,2))&lt;=9),"Adha Season","Normal"))</f>
        <v>Normal</v>
      </c>
      <c r="D967" s="1" t="s">
        <v>45</v>
      </c>
      <c r="E967" s="1" t="s">
        <v>528</v>
      </c>
      <c r="F967" s="4" t="s">
        <v>576</v>
      </c>
      <c r="G967" s="1">
        <v>68</v>
      </c>
      <c r="H967" s="1">
        <v>68</v>
      </c>
      <c r="I967" s="1">
        <f>grand[[#This Row],[number]]-grand[[#This Row],[received]]</f>
        <v>0</v>
      </c>
      <c r="J967" s="30"/>
      <c r="K967" s="2">
        <v>31432</v>
      </c>
      <c r="L967" s="2">
        <v>31432</v>
      </c>
      <c r="M967" s="2">
        <f>K967-L967</f>
        <v>0</v>
      </c>
      <c r="N967" s="2">
        <v>18858</v>
      </c>
      <c r="O967" s="2">
        <v>369</v>
      </c>
      <c r="P967" s="7">
        <f>grand[[#This Row],[total weight]]/grand[[#This Row],[received]]</f>
        <v>462.23529411764707</v>
      </c>
      <c r="Q967" s="7">
        <f>grand[[#This Row],[receiving weight]]/grand[[#This Row],[received]]</f>
        <v>462.23529411764707</v>
      </c>
      <c r="R967" s="7">
        <f>grand[[#This Row],[transportation loss ]]/grand[[#This Row],[received]]</f>
        <v>0</v>
      </c>
      <c r="S967" s="7">
        <f>grand[[#This Row],[ carcass weight]]/grand[[#This Row],[received]]</f>
        <v>277.3235294117647</v>
      </c>
      <c r="T967" s="7">
        <f>grand[[#This Row],[ kidneys fat quantity]]/grand[[#This Row],[received]]</f>
        <v>5.4264705882352944</v>
      </c>
      <c r="U967" s="1">
        <v>25</v>
      </c>
      <c r="V967" s="1">
        <v>0</v>
      </c>
      <c r="W967" s="1">
        <v>48.455882352941174</v>
      </c>
      <c r="X967" s="1">
        <v>10</v>
      </c>
      <c r="Y967" s="1">
        <v>8.5</v>
      </c>
      <c r="Z967" s="18">
        <f>grand[[#This Row],[av. Transportation loss]]/grand[[#This Row],[av.total weight]]</f>
        <v>0</v>
      </c>
      <c r="AA967" s="12">
        <f>AVERAGE((grand[[#This Row],[am]]/25),(grand[[#This Row],[pm]]/50))</f>
        <v>0.98455882352941182</v>
      </c>
      <c r="AB967" s="3">
        <f>grand[[#This Row],[ carcass weight]]/grand[[#This Row],[total weight]]</f>
        <v>0.59996182234665307</v>
      </c>
      <c r="AC967" s="18">
        <f>SUM(grand[[#This Row],[am]:[meat transportation]])/100</f>
        <v>0.91955882352941176</v>
      </c>
      <c r="AK967" s="1"/>
      <c r="AL967" s="1"/>
    </row>
    <row r="968" spans="1:38" hidden="1" x14ac:dyDescent="0.2">
      <c r="A968" s="11">
        <v>45449</v>
      </c>
      <c r="B968" s="53" t="s">
        <v>2899</v>
      </c>
      <c r="C968" s="52" t="str">
        <f>IF(MID(B968,4,2)="09","Ramadan",IF(AND(MID(B968,4,2)="12",VALUE(LEFT(B968,2))&lt;=9),"Adha Season","Normal"))</f>
        <v>Normal</v>
      </c>
      <c r="D968" s="1" t="s">
        <v>45</v>
      </c>
      <c r="E968" s="1" t="s">
        <v>528</v>
      </c>
      <c r="F968" s="4" t="s">
        <v>280</v>
      </c>
      <c r="G968" s="1">
        <v>14</v>
      </c>
      <c r="H968" s="1">
        <v>14</v>
      </c>
      <c r="I968" s="1">
        <f>grand[[#This Row],[number]]-grand[[#This Row],[received]]</f>
        <v>0</v>
      </c>
      <c r="J968" s="30"/>
      <c r="K968" s="2">
        <v>9134</v>
      </c>
      <c r="L968" s="2">
        <v>9134</v>
      </c>
      <c r="M968" s="2">
        <f>K968-L968</f>
        <v>0</v>
      </c>
      <c r="N968" s="2">
        <v>5617.5</v>
      </c>
      <c r="O968" s="2">
        <v>112</v>
      </c>
      <c r="P968" s="7">
        <f>grand[[#This Row],[total weight]]/grand[[#This Row],[received]]</f>
        <v>652.42857142857144</v>
      </c>
      <c r="Q968" s="7">
        <f>grand[[#This Row],[receiving weight]]/grand[[#This Row],[received]]</f>
        <v>652.42857142857144</v>
      </c>
      <c r="R968" s="7">
        <f>grand[[#This Row],[transportation loss ]]/grand[[#This Row],[received]]</f>
        <v>0</v>
      </c>
      <c r="S968" s="7">
        <f>grand[[#This Row],[ carcass weight]]/grand[[#This Row],[received]]</f>
        <v>401.25</v>
      </c>
      <c r="T968" s="7">
        <f>grand[[#This Row],[ kidneys fat quantity]]/grand[[#This Row],[received]]</f>
        <v>8</v>
      </c>
      <c r="U968" s="1">
        <v>22.285714285714285</v>
      </c>
      <c r="V968" s="1">
        <v>0</v>
      </c>
      <c r="W968" s="1">
        <v>47.928571428571431</v>
      </c>
      <c r="X968" s="1">
        <v>10</v>
      </c>
      <c r="Y968" s="1">
        <v>8.5</v>
      </c>
      <c r="Z968" s="18">
        <f>grand[[#This Row],[av. Transportation loss]]/grand[[#This Row],[av.total weight]]</f>
        <v>0</v>
      </c>
      <c r="AA968" s="12">
        <f>AVERAGE((grand[[#This Row],[am]]/25),(grand[[#This Row],[pm]]/50))</f>
        <v>0.92500000000000004</v>
      </c>
      <c r="AB968" s="3">
        <f>grand[[#This Row],[ carcass weight]]/grand[[#This Row],[total weight]]</f>
        <v>0.61500985329537994</v>
      </c>
      <c r="AC968" s="18">
        <f>SUM(grand[[#This Row],[am]:[meat transportation]])/100</f>
        <v>0.88714285714285723</v>
      </c>
      <c r="AJ968" s="1">
        <v>5</v>
      </c>
      <c r="AK968" s="1"/>
      <c r="AL968" s="1"/>
    </row>
    <row r="969" spans="1:38" hidden="1" x14ac:dyDescent="0.2">
      <c r="A969" s="11">
        <v>45450</v>
      </c>
      <c r="B969" s="53" t="s">
        <v>1982</v>
      </c>
      <c r="C969" s="52" t="str">
        <f>IF(MID(B969,4,2)="09","Ramadan",IF(AND(MID(B969,4,2)="12",VALUE(LEFT(B969,2))&lt;=9),"Adha Season","Normal"))</f>
        <v>Adha Season</v>
      </c>
      <c r="D969" s="1" t="s">
        <v>45</v>
      </c>
      <c r="E969" s="1" t="s">
        <v>528</v>
      </c>
      <c r="F969" s="4" t="s">
        <v>462</v>
      </c>
      <c r="G969" s="1">
        <v>36</v>
      </c>
      <c r="H969" s="1">
        <v>36</v>
      </c>
      <c r="I969" s="1">
        <f>grand[[#This Row],[number]]-grand[[#This Row],[received]]</f>
        <v>0</v>
      </c>
      <c r="J969" s="30"/>
      <c r="K969" s="2">
        <v>16734.177215189873</v>
      </c>
      <c r="L969" s="2">
        <v>16734.177215189873</v>
      </c>
      <c r="M969" s="2">
        <f>K969-L969</f>
        <v>0</v>
      </c>
      <c r="N969" s="2">
        <v>10576</v>
      </c>
      <c r="O969" s="2">
        <v>0</v>
      </c>
      <c r="P969" s="7">
        <f>grand[[#This Row],[total weight]]/grand[[#This Row],[received]]</f>
        <v>464.83825597749649</v>
      </c>
      <c r="Q969" s="7">
        <f>grand[[#This Row],[receiving weight]]/grand[[#This Row],[received]]</f>
        <v>464.83825597749649</v>
      </c>
      <c r="R969" s="7">
        <f>grand[[#This Row],[transportation loss ]]/grand[[#This Row],[received]]</f>
        <v>0</v>
      </c>
      <c r="S969" s="7">
        <f>grand[[#This Row],[ carcass weight]]/grand[[#This Row],[received]]</f>
        <v>293.77777777777777</v>
      </c>
      <c r="T969" s="7">
        <f>grand[[#This Row],[ kidneys fat quantity]]/grand[[#This Row],[received]]</f>
        <v>0</v>
      </c>
      <c r="U969" s="1">
        <v>25</v>
      </c>
      <c r="V969" s="1">
        <v>4</v>
      </c>
      <c r="W969" s="1">
        <v>50</v>
      </c>
      <c r="X969" s="1">
        <v>10</v>
      </c>
      <c r="Y969" s="1">
        <v>8.5</v>
      </c>
      <c r="Z969" s="18">
        <f>grand[[#This Row],[av. Transportation loss]]/grand[[#This Row],[av.total weight]]</f>
        <v>0</v>
      </c>
      <c r="AA969" s="12">
        <f>AVERAGE((grand[[#This Row],[am]]/25),(grand[[#This Row],[pm]]/50))</f>
        <v>1</v>
      </c>
      <c r="AB969" s="3">
        <f>grand[[#This Row],[ carcass weight]]/grand[[#This Row],[total weight]]</f>
        <v>0.63200000000000001</v>
      </c>
      <c r="AC969" s="18">
        <f>SUM(grand[[#This Row],[am]:[meat transportation]])/100</f>
        <v>0.97499999999999998</v>
      </c>
      <c r="AK969" s="1"/>
      <c r="AL969" s="1"/>
    </row>
    <row r="970" spans="1:38" hidden="1" x14ac:dyDescent="0.2">
      <c r="A970" s="11">
        <v>45451</v>
      </c>
      <c r="B970" s="53" t="s">
        <v>1983</v>
      </c>
      <c r="C970" s="52" t="str">
        <f>IF(MID(B970,4,2)="09","Ramadan",IF(AND(MID(B970,4,2)="12",VALUE(LEFT(B970,2))&lt;=9),"Adha Season","Normal"))</f>
        <v>Adha Season</v>
      </c>
      <c r="D970" s="2" t="s">
        <v>294</v>
      </c>
      <c r="F970" s="4" t="s">
        <v>280</v>
      </c>
      <c r="G970" s="1">
        <v>52</v>
      </c>
      <c r="H970" s="1">
        <v>52</v>
      </c>
      <c r="I970" s="1">
        <f>grand[[#This Row],[number]]-grand[[#This Row],[received]]</f>
        <v>0</v>
      </c>
      <c r="J970" s="30"/>
      <c r="K970" s="2">
        <v>2750</v>
      </c>
      <c r="L970" s="2">
        <v>2750</v>
      </c>
      <c r="M970" s="2">
        <f>K970-L970</f>
        <v>0</v>
      </c>
      <c r="N970" s="2">
        <v>1526</v>
      </c>
      <c r="O970" s="2">
        <v>0</v>
      </c>
      <c r="P970" s="7">
        <f>grand[[#This Row],[total weight]]/grand[[#This Row],[received]]</f>
        <v>52.884615384615387</v>
      </c>
      <c r="Q970" s="7">
        <f>grand[[#This Row],[receiving weight]]/grand[[#This Row],[received]]</f>
        <v>52.884615384615387</v>
      </c>
      <c r="R970" s="7">
        <f>grand[[#This Row],[transportation loss ]]/grand[[#This Row],[received]]</f>
        <v>0</v>
      </c>
      <c r="S970" s="7">
        <f>grand[[#This Row],[ carcass weight]]/grand[[#This Row],[received]]</f>
        <v>29.346153846153847</v>
      </c>
      <c r="T970" s="7">
        <f>grand[[#This Row],[ kidneys fat quantity]]/grand[[#This Row],[received]]</f>
        <v>0</v>
      </c>
      <c r="U970" s="1">
        <v>25</v>
      </c>
      <c r="V970" s="1">
        <v>0</v>
      </c>
      <c r="W970" s="1">
        <v>47.076923076923066</v>
      </c>
      <c r="X970" s="1">
        <v>10</v>
      </c>
      <c r="Y970" s="1">
        <v>8.5</v>
      </c>
      <c r="Z970" s="18">
        <f>grand[[#This Row],[av. Transportation loss]]/grand[[#This Row],[av.total weight]]</f>
        <v>0</v>
      </c>
      <c r="AA970" s="12">
        <f>AVERAGE((grand[[#This Row],[am]]/25),(grand[[#This Row],[pm]]/50))</f>
        <v>0.97076923076923061</v>
      </c>
      <c r="AB970" s="3">
        <f>grand[[#This Row],[ carcass weight]]/grand[[#This Row],[total weight]]</f>
        <v>0.55490909090909091</v>
      </c>
      <c r="AC970" s="18">
        <f>SUM(grand[[#This Row],[am]:[meat transportation]])/100</f>
        <v>0.90576923076923066</v>
      </c>
      <c r="AK970" s="1"/>
      <c r="AL970" s="1"/>
    </row>
    <row r="971" spans="1:38" hidden="1" x14ac:dyDescent="0.2">
      <c r="A971" s="11">
        <v>45451</v>
      </c>
      <c r="B971" s="53" t="s">
        <v>1983</v>
      </c>
      <c r="C971" s="52" t="str">
        <f>IF(MID(B971,4,2)="09","Ramadan",IF(AND(MID(B971,4,2)="12",VALUE(LEFT(B971,2))&lt;=9),"Adha Season","Normal"))</f>
        <v>Adha Season</v>
      </c>
      <c r="D971" s="1" t="s">
        <v>45</v>
      </c>
      <c r="E971" s="1" t="s">
        <v>528</v>
      </c>
      <c r="F971" s="4" t="s">
        <v>462</v>
      </c>
      <c r="G971" s="1">
        <v>58</v>
      </c>
      <c r="H971" s="1">
        <v>58</v>
      </c>
      <c r="I971" s="1">
        <f>grand[[#This Row],[number]]-grand[[#This Row],[received]]</f>
        <v>0</v>
      </c>
      <c r="J971" s="30"/>
      <c r="K971" s="2">
        <v>26369.303797468354</v>
      </c>
      <c r="L971" s="2">
        <v>26369.303797468354</v>
      </c>
      <c r="M971" s="2">
        <f>K971-L971</f>
        <v>0</v>
      </c>
      <c r="N971" s="2">
        <v>16665.400000000001</v>
      </c>
      <c r="O971" s="2">
        <v>0</v>
      </c>
      <c r="P971" s="7">
        <f>grand[[#This Row],[total weight]]/grand[[#This Row],[received]]</f>
        <v>454.64316892186815</v>
      </c>
      <c r="Q971" s="7">
        <f>grand[[#This Row],[receiving weight]]/grand[[#This Row],[received]]</f>
        <v>454.64316892186815</v>
      </c>
      <c r="R971" s="7">
        <f>grand[[#This Row],[transportation loss ]]/grand[[#This Row],[received]]</f>
        <v>0</v>
      </c>
      <c r="S971" s="7">
        <f>grand[[#This Row],[ carcass weight]]/grand[[#This Row],[received]]</f>
        <v>287.33448275862071</v>
      </c>
      <c r="T971" s="7">
        <f>grand[[#This Row],[ kidneys fat quantity]]/grand[[#This Row],[received]]</f>
        <v>0</v>
      </c>
      <c r="U971" s="1">
        <v>25</v>
      </c>
      <c r="V971" s="1">
        <v>4</v>
      </c>
      <c r="W971" s="1">
        <v>50</v>
      </c>
      <c r="X971" s="1">
        <v>10</v>
      </c>
      <c r="Y971" s="1">
        <v>8.5</v>
      </c>
      <c r="Z971" s="18">
        <f>grand[[#This Row],[av. Transportation loss]]/grand[[#This Row],[av.total weight]]</f>
        <v>0</v>
      </c>
      <c r="AA971" s="12">
        <f>AVERAGE((grand[[#This Row],[am]]/25),(grand[[#This Row],[pm]]/50))</f>
        <v>1</v>
      </c>
      <c r="AB971" s="3">
        <f>grand[[#This Row],[ carcass weight]]/grand[[#This Row],[total weight]]</f>
        <v>0.63200000000000012</v>
      </c>
      <c r="AC971" s="18">
        <f>SUM(grand[[#This Row],[am]:[meat transportation]])/100</f>
        <v>0.97499999999999998</v>
      </c>
      <c r="AK971" s="1"/>
      <c r="AL971" s="1"/>
    </row>
    <row r="972" spans="1:38" hidden="1" x14ac:dyDescent="0.2">
      <c r="A972" s="11">
        <v>45452</v>
      </c>
      <c r="B972" s="53" t="s">
        <v>1984</v>
      </c>
      <c r="C972" s="52" t="str">
        <f>IF(MID(B972,4,2)="09","Ramadan",IF(AND(MID(B972,4,2)="12",VALUE(LEFT(B972,2))&lt;=9),"Adha Season","Normal"))</f>
        <v>Adha Season</v>
      </c>
      <c r="D972" s="2" t="s">
        <v>294</v>
      </c>
      <c r="F972" s="4" t="s">
        <v>280</v>
      </c>
      <c r="G972" s="1">
        <v>40</v>
      </c>
      <c r="H972" s="1">
        <v>40</v>
      </c>
      <c r="I972" s="1">
        <f>grand[[#This Row],[number]]-grand[[#This Row],[received]]</f>
        <v>0</v>
      </c>
      <c r="J972" s="30"/>
      <c r="K972" s="2">
        <v>2046</v>
      </c>
      <c r="L972" s="2">
        <v>2046</v>
      </c>
      <c r="M972" s="2">
        <f>K972-L972</f>
        <v>0</v>
      </c>
      <c r="N972" s="2">
        <v>1118</v>
      </c>
      <c r="O972" s="2">
        <v>0</v>
      </c>
      <c r="P972" s="7">
        <f>grand[[#This Row],[total weight]]/grand[[#This Row],[received]]</f>
        <v>51.15</v>
      </c>
      <c r="Q972" s="7">
        <f>grand[[#This Row],[receiving weight]]/grand[[#This Row],[received]]</f>
        <v>51.15</v>
      </c>
      <c r="R972" s="7">
        <f>grand[[#This Row],[transportation loss ]]/grand[[#This Row],[received]]</f>
        <v>0</v>
      </c>
      <c r="S972" s="7">
        <f>grand[[#This Row],[ carcass weight]]/grand[[#This Row],[received]]</f>
        <v>27.95</v>
      </c>
      <c r="T972" s="7">
        <f>grand[[#This Row],[ kidneys fat quantity]]/grand[[#This Row],[received]]</f>
        <v>0</v>
      </c>
      <c r="U972" s="1">
        <v>25</v>
      </c>
      <c r="V972" s="1">
        <v>0</v>
      </c>
      <c r="W972" s="1">
        <v>49.65</v>
      </c>
      <c r="X972" s="1">
        <v>10</v>
      </c>
      <c r="Y972" s="1">
        <v>8.5</v>
      </c>
      <c r="Z972" s="18">
        <f>grand[[#This Row],[av. Transportation loss]]/grand[[#This Row],[av.total weight]]</f>
        <v>0</v>
      </c>
      <c r="AA972" s="12">
        <f>AVERAGE((grand[[#This Row],[am]]/25),(grand[[#This Row],[pm]]/50))</f>
        <v>0.99649999999999994</v>
      </c>
      <c r="AB972" s="3">
        <f>grand[[#This Row],[ carcass weight]]/grand[[#This Row],[total weight]]</f>
        <v>0.54643206256109478</v>
      </c>
      <c r="AC972" s="18">
        <f>SUM(grand[[#This Row],[am]:[meat transportation]])/100</f>
        <v>0.93150000000000011</v>
      </c>
      <c r="AK972" s="1"/>
      <c r="AL972" s="1"/>
    </row>
    <row r="973" spans="1:38" hidden="1" x14ac:dyDescent="0.2">
      <c r="A973" s="11">
        <v>45452</v>
      </c>
      <c r="B973" s="53" t="s">
        <v>1984</v>
      </c>
      <c r="C973" s="52" t="str">
        <f>IF(MID(B973,4,2)="09","Ramadan",IF(AND(MID(B973,4,2)="12",VALUE(LEFT(B973,2))&lt;=9),"Adha Season","Normal"))</f>
        <v>Adha Season</v>
      </c>
      <c r="D973" s="1" t="s">
        <v>45</v>
      </c>
      <c r="E973" s="1" t="s">
        <v>528</v>
      </c>
      <c r="F973" s="4" t="s">
        <v>462</v>
      </c>
      <c r="G973" s="1">
        <v>71</v>
      </c>
      <c r="H973" s="1">
        <v>71</v>
      </c>
      <c r="I973" s="1">
        <f>grand[[#This Row],[number]]-grand[[#This Row],[received]]</f>
        <v>0</v>
      </c>
      <c r="J973" s="30"/>
      <c r="K973" s="2">
        <v>34438.291139240508</v>
      </c>
      <c r="L973" s="2">
        <v>34438.291139240508</v>
      </c>
      <c r="M973" s="2">
        <f>K973-L973</f>
        <v>0</v>
      </c>
      <c r="N973" s="2">
        <v>21765</v>
      </c>
      <c r="O973" s="2">
        <v>0</v>
      </c>
      <c r="P973" s="7">
        <f>grand[[#This Row],[total weight]]/grand[[#This Row],[received]]</f>
        <v>485.04635407380999</v>
      </c>
      <c r="Q973" s="7">
        <f>grand[[#This Row],[receiving weight]]/grand[[#This Row],[received]]</f>
        <v>485.04635407380999</v>
      </c>
      <c r="R973" s="7">
        <f>grand[[#This Row],[transportation loss ]]/grand[[#This Row],[received]]</f>
        <v>0</v>
      </c>
      <c r="S973" s="7">
        <f>grand[[#This Row],[ carcass weight]]/grand[[#This Row],[received]]</f>
        <v>306.54929577464787</v>
      </c>
      <c r="T973" s="7">
        <f>grand[[#This Row],[ kidneys fat quantity]]/grand[[#This Row],[received]]</f>
        <v>0</v>
      </c>
      <c r="U973" s="1">
        <v>25</v>
      </c>
      <c r="V973" s="1">
        <v>4</v>
      </c>
      <c r="W973" s="1">
        <v>50</v>
      </c>
      <c r="X973" s="1">
        <v>10</v>
      </c>
      <c r="Y973" s="1">
        <v>8.5</v>
      </c>
      <c r="Z973" s="18">
        <f>grand[[#This Row],[av. Transportation loss]]/grand[[#This Row],[av.total weight]]</f>
        <v>0</v>
      </c>
      <c r="AA973" s="12">
        <f>AVERAGE((grand[[#This Row],[am]]/25),(grand[[#This Row],[pm]]/50))</f>
        <v>1</v>
      </c>
      <c r="AB973" s="3">
        <f>grand[[#This Row],[ carcass weight]]/grand[[#This Row],[total weight]]</f>
        <v>0.63200000000000001</v>
      </c>
      <c r="AC973" s="18">
        <f>SUM(grand[[#This Row],[am]:[meat transportation]])/100</f>
        <v>0.97499999999999998</v>
      </c>
      <c r="AK973" s="1"/>
      <c r="AL973" s="1"/>
    </row>
    <row r="974" spans="1:38" hidden="1" x14ac:dyDescent="0.2">
      <c r="A974" s="11">
        <v>45453</v>
      </c>
      <c r="B974" s="53" t="s">
        <v>1985</v>
      </c>
      <c r="C974" s="52" t="str">
        <f>IF(MID(B974,4,2)="09","Ramadan",IF(AND(MID(B974,4,2)="12",VALUE(LEFT(B974,2))&lt;=9),"Adha Season","Normal"))</f>
        <v>Adha Season</v>
      </c>
      <c r="D974" s="2" t="s">
        <v>294</v>
      </c>
      <c r="F974" s="4" t="s">
        <v>280</v>
      </c>
      <c r="G974" s="1">
        <v>59</v>
      </c>
      <c r="H974" s="1">
        <v>59</v>
      </c>
      <c r="I974" s="1">
        <f>grand[[#This Row],[number]]-grand[[#This Row],[received]]</f>
        <v>0</v>
      </c>
      <c r="J974" s="30"/>
      <c r="K974" s="2">
        <v>3161</v>
      </c>
      <c r="L974" s="2">
        <v>3161</v>
      </c>
      <c r="M974" s="2">
        <f>K974-L974</f>
        <v>0</v>
      </c>
      <c r="N974" s="2">
        <v>1732</v>
      </c>
      <c r="O974" s="2">
        <v>0</v>
      </c>
      <c r="P974" s="7">
        <f>grand[[#This Row],[total weight]]/grand[[#This Row],[received]]</f>
        <v>53.576271186440678</v>
      </c>
      <c r="Q974" s="7">
        <f>grand[[#This Row],[receiving weight]]/grand[[#This Row],[received]]</f>
        <v>53.576271186440678</v>
      </c>
      <c r="R974" s="7">
        <f>grand[[#This Row],[transportation loss ]]/grand[[#This Row],[received]]</f>
        <v>0</v>
      </c>
      <c r="S974" s="7">
        <f>grand[[#This Row],[ carcass weight]]/grand[[#This Row],[received]]</f>
        <v>29.35593220338983</v>
      </c>
      <c r="T974" s="7">
        <f>grand[[#This Row],[ kidneys fat quantity]]/grand[[#This Row],[received]]</f>
        <v>0</v>
      </c>
      <c r="U974" s="1">
        <v>25</v>
      </c>
      <c r="V974" s="1">
        <v>0</v>
      </c>
      <c r="W974" s="1">
        <v>49.525423728813557</v>
      </c>
      <c r="X974" s="1">
        <v>10</v>
      </c>
      <c r="Y974" s="1">
        <v>8.5</v>
      </c>
      <c r="Z974" s="18">
        <f>grand[[#This Row],[av. Transportation loss]]/grand[[#This Row],[av.total weight]]</f>
        <v>0</v>
      </c>
      <c r="AA974" s="12">
        <f>AVERAGE((grand[[#This Row],[am]]/25),(grand[[#This Row],[pm]]/50))</f>
        <v>0.99525423728813556</v>
      </c>
      <c r="AB974" s="3">
        <f>grand[[#This Row],[ carcass weight]]/grand[[#This Row],[total weight]]</f>
        <v>0.54792787092692186</v>
      </c>
      <c r="AC974" s="18">
        <f>SUM(grand[[#This Row],[am]:[meat transportation]])/100</f>
        <v>0.93025423728813561</v>
      </c>
      <c r="AK974" s="1"/>
      <c r="AL974" s="1"/>
    </row>
    <row r="975" spans="1:38" hidden="1" x14ac:dyDescent="0.2">
      <c r="A975" s="11">
        <v>45453</v>
      </c>
      <c r="B975" s="53" t="s">
        <v>1985</v>
      </c>
      <c r="C975" s="52" t="str">
        <f>IF(MID(B975,4,2)="09","Ramadan",IF(AND(MID(B975,4,2)="12",VALUE(LEFT(B975,2))&lt;=9),"Adha Season","Normal"))</f>
        <v>Adha Season</v>
      </c>
      <c r="D975" s="1" t="s">
        <v>45</v>
      </c>
      <c r="E975" s="1" t="s">
        <v>528</v>
      </c>
      <c r="F975" s="4" t="s">
        <v>462</v>
      </c>
      <c r="G975" s="1">
        <v>60</v>
      </c>
      <c r="H975" s="1">
        <v>60</v>
      </c>
      <c r="I975" s="1">
        <f>grand[[#This Row],[number]]-grand[[#This Row],[received]]</f>
        <v>0</v>
      </c>
      <c r="J975" s="30"/>
      <c r="K975" s="2">
        <v>29044.620253164554</v>
      </c>
      <c r="L975" s="2">
        <v>29044.620253164554</v>
      </c>
      <c r="M975" s="2">
        <f>K975-L975</f>
        <v>0</v>
      </c>
      <c r="N975" s="2">
        <v>18356.2</v>
      </c>
      <c r="O975" s="2">
        <v>0</v>
      </c>
      <c r="P975" s="7">
        <f>grand[[#This Row],[total weight]]/grand[[#This Row],[received]]</f>
        <v>484.07700421940922</v>
      </c>
      <c r="Q975" s="7">
        <f>grand[[#This Row],[receiving weight]]/grand[[#This Row],[received]]</f>
        <v>484.07700421940922</v>
      </c>
      <c r="R975" s="7">
        <f>grand[[#This Row],[transportation loss ]]/grand[[#This Row],[received]]</f>
        <v>0</v>
      </c>
      <c r="S975" s="7">
        <f>grand[[#This Row],[ carcass weight]]/grand[[#This Row],[received]]</f>
        <v>305.93666666666667</v>
      </c>
      <c r="T975" s="7">
        <f>grand[[#This Row],[ kidneys fat quantity]]/grand[[#This Row],[received]]</f>
        <v>0</v>
      </c>
      <c r="U975" s="1">
        <v>25</v>
      </c>
      <c r="V975" s="1">
        <v>4</v>
      </c>
      <c r="W975" s="1">
        <v>50</v>
      </c>
      <c r="X975" s="1">
        <v>9.9166666666666661</v>
      </c>
      <c r="Y975" s="1">
        <v>8.5</v>
      </c>
      <c r="Z975" s="18">
        <f>grand[[#This Row],[av. Transportation loss]]/grand[[#This Row],[av.total weight]]</f>
        <v>0</v>
      </c>
      <c r="AA975" s="12">
        <f>AVERAGE((grand[[#This Row],[am]]/25),(grand[[#This Row],[pm]]/50))</f>
        <v>1</v>
      </c>
      <c r="AB975" s="3">
        <f>grand[[#This Row],[ carcass weight]]/grand[[#This Row],[total weight]]</f>
        <v>0.63200000000000012</v>
      </c>
      <c r="AC975" s="18">
        <f>SUM(grand[[#This Row],[am]:[meat transportation]])/100</f>
        <v>0.97416666666666674</v>
      </c>
      <c r="AK975" s="1"/>
      <c r="AL975" s="1"/>
    </row>
    <row r="976" spans="1:38" hidden="1" x14ac:dyDescent="0.2">
      <c r="A976" s="11">
        <v>45454</v>
      </c>
      <c r="B976" s="53" t="s">
        <v>1986</v>
      </c>
      <c r="C976" s="52" t="str">
        <f>IF(MID(B976,4,2)="09","Ramadan",IF(AND(MID(B976,4,2)="12",VALUE(LEFT(B976,2))&lt;=9),"Adha Season","Normal"))</f>
        <v>Adha Season</v>
      </c>
      <c r="D976" s="2" t="s">
        <v>294</v>
      </c>
      <c r="F976" s="4" t="s">
        <v>280</v>
      </c>
      <c r="G976" s="1">
        <v>59</v>
      </c>
      <c r="H976" s="1">
        <v>59</v>
      </c>
      <c r="I976" s="1">
        <f>grand[[#This Row],[number]]-grand[[#This Row],[received]]</f>
        <v>0</v>
      </c>
      <c r="J976" s="30"/>
      <c r="K976" s="2">
        <v>2884</v>
      </c>
      <c r="L976" s="2">
        <v>2884</v>
      </c>
      <c r="M976" s="2">
        <f>K976-L976</f>
        <v>0</v>
      </c>
      <c r="N976" s="2">
        <v>1502.1</v>
      </c>
      <c r="O976" s="2">
        <v>0</v>
      </c>
      <c r="P976" s="7">
        <f>grand[[#This Row],[total weight]]/grand[[#This Row],[received]]</f>
        <v>48.881355932203391</v>
      </c>
      <c r="Q976" s="7">
        <f>grand[[#This Row],[receiving weight]]/grand[[#This Row],[received]]</f>
        <v>48.881355932203391</v>
      </c>
      <c r="R976" s="7">
        <f>grand[[#This Row],[transportation loss ]]/grand[[#This Row],[received]]</f>
        <v>0</v>
      </c>
      <c r="S976" s="7">
        <f>grand[[#This Row],[ carcass weight]]/grand[[#This Row],[received]]</f>
        <v>25.459322033898303</v>
      </c>
      <c r="T976" s="7">
        <f>grand[[#This Row],[ kidneys fat quantity]]/grand[[#This Row],[received]]</f>
        <v>0</v>
      </c>
      <c r="U976" s="1">
        <v>25</v>
      </c>
      <c r="V976" s="1">
        <v>0</v>
      </c>
      <c r="W976" s="1">
        <v>49.254237288135592</v>
      </c>
      <c r="X976" s="1">
        <v>10</v>
      </c>
      <c r="Y976" s="1">
        <v>8.5</v>
      </c>
      <c r="Z976" s="18">
        <f>grand[[#This Row],[av. Transportation loss]]/grand[[#This Row],[av.total weight]]</f>
        <v>0</v>
      </c>
      <c r="AA976" s="12">
        <f>AVERAGE((grand[[#This Row],[am]]/25),(grand[[#This Row],[pm]]/50))</f>
        <v>0.99254237288135594</v>
      </c>
      <c r="AB976" s="3">
        <f>grand[[#This Row],[ carcass weight]]/grand[[#This Row],[total weight]]</f>
        <v>0.52083911234396663</v>
      </c>
      <c r="AC976" s="18">
        <f>SUM(grand[[#This Row],[am]:[meat transportation]])/100</f>
        <v>0.92754237288135588</v>
      </c>
      <c r="AK976" s="1"/>
      <c r="AL976" s="1"/>
    </row>
    <row r="977" spans="1:38" hidden="1" x14ac:dyDescent="0.2">
      <c r="A977" s="11">
        <v>45455</v>
      </c>
      <c r="B977" s="53" t="s">
        <v>1987</v>
      </c>
      <c r="C977" s="52" t="str">
        <f>IF(MID(B977,4,2)="09","Ramadan",IF(AND(MID(B977,4,2)="12",VALUE(LEFT(B977,2))&lt;=9),"Adha Season","Normal"))</f>
        <v>Adha Season</v>
      </c>
      <c r="D977" s="2" t="s">
        <v>294</v>
      </c>
      <c r="F977" s="4" t="s">
        <v>637</v>
      </c>
      <c r="G977" s="1">
        <v>57</v>
      </c>
      <c r="H977" s="1">
        <v>57</v>
      </c>
      <c r="I977" s="1">
        <f>grand[[#This Row],[number]]-grand[[#This Row],[received]]</f>
        <v>0</v>
      </c>
      <c r="J977" s="30"/>
      <c r="K977" s="2">
        <v>2920</v>
      </c>
      <c r="L977" s="2">
        <v>2920</v>
      </c>
      <c r="M977" s="2">
        <f>K977-L977</f>
        <v>0</v>
      </c>
      <c r="N977" s="2">
        <v>1599.5</v>
      </c>
      <c r="O977" s="2">
        <v>0</v>
      </c>
      <c r="P977" s="7">
        <f>grand[[#This Row],[total weight]]/grand[[#This Row],[received]]</f>
        <v>51.228070175438596</v>
      </c>
      <c r="Q977" s="7">
        <f>grand[[#This Row],[receiving weight]]/grand[[#This Row],[received]]</f>
        <v>51.228070175438596</v>
      </c>
      <c r="R977" s="7">
        <f>grand[[#This Row],[transportation loss ]]/grand[[#This Row],[received]]</f>
        <v>0</v>
      </c>
      <c r="S977" s="7">
        <f>grand[[#This Row],[ carcass weight]]/grand[[#This Row],[received]]</f>
        <v>28.061403508771932</v>
      </c>
      <c r="T977" s="7">
        <f>grand[[#This Row],[ kidneys fat quantity]]/grand[[#This Row],[received]]</f>
        <v>0</v>
      </c>
      <c r="U977" s="1">
        <v>25</v>
      </c>
      <c r="V977" s="1">
        <v>0</v>
      </c>
      <c r="W977" s="1">
        <v>47.456140350877199</v>
      </c>
      <c r="X977" s="1">
        <v>10</v>
      </c>
      <c r="Y977" s="1">
        <v>8.5</v>
      </c>
      <c r="Z977" s="18">
        <f>grand[[#This Row],[av. Transportation loss]]/grand[[#This Row],[av.total weight]]</f>
        <v>0</v>
      </c>
      <c r="AA977" s="12">
        <f>AVERAGE((grand[[#This Row],[am]]/25),(grand[[#This Row],[pm]]/50))</f>
        <v>0.97456140350877196</v>
      </c>
      <c r="AB977" s="3">
        <f>grand[[#This Row],[ carcass weight]]/grand[[#This Row],[total weight]]</f>
        <v>0.54777397260273974</v>
      </c>
      <c r="AC977" s="18">
        <f>SUM(grand[[#This Row],[am]:[meat transportation]])/100</f>
        <v>0.90956140350877202</v>
      </c>
      <c r="AK977" s="1"/>
      <c r="AL977" s="1"/>
    </row>
    <row r="978" spans="1:38" hidden="1" x14ac:dyDescent="0.2">
      <c r="A978" s="11">
        <v>45455</v>
      </c>
      <c r="B978" s="53" t="s">
        <v>1987</v>
      </c>
      <c r="C978" s="52" t="str">
        <f>IF(MID(B978,4,2)="09","Ramadan",IF(AND(MID(B978,4,2)="12",VALUE(LEFT(B978,2))&lt;=9),"Adha Season","Normal"))</f>
        <v>Adha Season</v>
      </c>
      <c r="D978" s="1" t="s">
        <v>45</v>
      </c>
      <c r="E978" s="1" t="s">
        <v>528</v>
      </c>
      <c r="F978" s="4" t="s">
        <v>280</v>
      </c>
      <c r="G978" s="1">
        <v>45</v>
      </c>
      <c r="H978" s="1">
        <v>45</v>
      </c>
      <c r="I978" s="1">
        <f>grand[[#This Row],[number]]-grand[[#This Row],[received]]</f>
        <v>0</v>
      </c>
      <c r="J978" s="30"/>
      <c r="K978" s="2">
        <v>29826</v>
      </c>
      <c r="L978" s="2">
        <v>29826</v>
      </c>
      <c r="M978" s="2">
        <f>K978-L978</f>
        <v>0</v>
      </c>
      <c r="N978" s="2">
        <v>18259</v>
      </c>
      <c r="O978" s="2">
        <v>302</v>
      </c>
      <c r="P978" s="7">
        <f>grand[[#This Row],[total weight]]/grand[[#This Row],[received]]</f>
        <v>662.8</v>
      </c>
      <c r="Q978" s="7">
        <f>grand[[#This Row],[receiving weight]]/grand[[#This Row],[received]]</f>
        <v>662.8</v>
      </c>
      <c r="R978" s="7">
        <f>grand[[#This Row],[transportation loss ]]/grand[[#This Row],[received]]</f>
        <v>0</v>
      </c>
      <c r="S978" s="7">
        <f>grand[[#This Row],[ carcass weight]]/grand[[#This Row],[received]]</f>
        <v>405.75555555555553</v>
      </c>
      <c r="T978" s="7">
        <f>grand[[#This Row],[ kidneys fat quantity]]/grand[[#This Row],[received]]</f>
        <v>6.7111111111111112</v>
      </c>
      <c r="U978" s="1">
        <v>22.333333333333336</v>
      </c>
      <c r="V978" s="1">
        <v>0</v>
      </c>
      <c r="W978" s="1">
        <v>46.444444444444443</v>
      </c>
      <c r="X978" s="1">
        <v>10</v>
      </c>
      <c r="Y978" s="1">
        <v>8.5</v>
      </c>
      <c r="Z978" s="18">
        <f>grand[[#This Row],[av. Transportation loss]]/grand[[#This Row],[av.total weight]]</f>
        <v>0</v>
      </c>
      <c r="AA978" s="12">
        <f>AVERAGE((grand[[#This Row],[am]]/25),(grand[[#This Row],[pm]]/50))</f>
        <v>0.9111111111111112</v>
      </c>
      <c r="AB978" s="3">
        <f>grand[[#This Row],[ carcass weight]]/grand[[#This Row],[total weight]]</f>
        <v>0.61218400053644473</v>
      </c>
      <c r="AC978" s="18">
        <f>SUM(grand[[#This Row],[am]:[meat transportation]])/100</f>
        <v>0.87277777777777776</v>
      </c>
      <c r="AJ978" s="1">
        <v>27</v>
      </c>
      <c r="AK978" s="1"/>
      <c r="AL978" s="1"/>
    </row>
    <row r="979" spans="1:38" hidden="1" x14ac:dyDescent="0.2">
      <c r="A979" s="11">
        <v>45456</v>
      </c>
      <c r="B979" s="53" t="s">
        <v>1988</v>
      </c>
      <c r="C979" s="52" t="str">
        <f>IF(MID(B979,4,2)="09","Ramadan",IF(AND(MID(B979,4,2)="12",VALUE(LEFT(B979,2))&lt;=9),"Adha Season","Normal"))</f>
        <v>Adha Season</v>
      </c>
      <c r="D979" s="2" t="s">
        <v>294</v>
      </c>
      <c r="F979" s="4" t="s">
        <v>637</v>
      </c>
      <c r="G979" s="1">
        <v>70</v>
      </c>
      <c r="H979" s="1">
        <v>70</v>
      </c>
      <c r="I979" s="1">
        <f>grand[[#This Row],[number]]-grand[[#This Row],[received]]</f>
        <v>0</v>
      </c>
      <c r="J979" s="30"/>
      <c r="K979" s="2">
        <v>3690</v>
      </c>
      <c r="L979" s="2">
        <v>3690</v>
      </c>
      <c r="M979" s="2">
        <f>K979-L979</f>
        <v>0</v>
      </c>
      <c r="N979" s="2">
        <v>2028.7</v>
      </c>
      <c r="O979" s="2">
        <v>0</v>
      </c>
      <c r="P979" s="7">
        <f>grand[[#This Row],[total weight]]/grand[[#This Row],[received]]</f>
        <v>52.714285714285715</v>
      </c>
      <c r="Q979" s="7">
        <f>grand[[#This Row],[receiving weight]]/grand[[#This Row],[received]]</f>
        <v>52.714285714285715</v>
      </c>
      <c r="R979" s="7">
        <f>grand[[#This Row],[transportation loss ]]/grand[[#This Row],[received]]</f>
        <v>0</v>
      </c>
      <c r="S979" s="7">
        <f>grand[[#This Row],[ carcass weight]]/grand[[#This Row],[received]]</f>
        <v>28.981428571428573</v>
      </c>
      <c r="T979" s="7">
        <f>grand[[#This Row],[ kidneys fat quantity]]/grand[[#This Row],[received]]</f>
        <v>0</v>
      </c>
      <c r="U979" s="1">
        <v>25</v>
      </c>
      <c r="V979" s="1">
        <v>0</v>
      </c>
      <c r="W979" s="1">
        <v>47.18571428571429</v>
      </c>
      <c r="X979" s="1">
        <v>10</v>
      </c>
      <c r="Y979" s="1">
        <v>8.5</v>
      </c>
      <c r="Z979" s="18">
        <f>grand[[#This Row],[av. Transportation loss]]/grand[[#This Row],[av.total weight]]</f>
        <v>0</v>
      </c>
      <c r="AA979" s="12">
        <f>AVERAGE((grand[[#This Row],[am]]/25),(grand[[#This Row],[pm]]/50))</f>
        <v>0.97185714285714297</v>
      </c>
      <c r="AB979" s="3">
        <f>grand[[#This Row],[ carcass weight]]/grand[[#This Row],[total weight]]</f>
        <v>0.54978319783197838</v>
      </c>
      <c r="AC979" s="18">
        <f>SUM(grand[[#This Row],[am]:[meat transportation]])/100</f>
        <v>0.90685714285714281</v>
      </c>
      <c r="AK979" s="1"/>
      <c r="AL979" s="1"/>
    </row>
    <row r="980" spans="1:38" hidden="1" x14ac:dyDescent="0.2">
      <c r="A980" s="11">
        <v>45456</v>
      </c>
      <c r="B980" s="53" t="s">
        <v>1988</v>
      </c>
      <c r="C980" s="52" t="str">
        <f>IF(MID(B980,4,2)="09","Ramadan",IF(AND(MID(B980,4,2)="12",VALUE(LEFT(B980,2))&lt;=9),"Adha Season","Normal"))</f>
        <v>Adha Season</v>
      </c>
      <c r="D980" s="1" t="s">
        <v>45</v>
      </c>
      <c r="E980" s="1" t="s">
        <v>528</v>
      </c>
      <c r="F980" s="4" t="s">
        <v>280</v>
      </c>
      <c r="G980" s="1">
        <v>39</v>
      </c>
      <c r="H980" s="1">
        <v>39</v>
      </c>
      <c r="I980" s="1">
        <f>grand[[#This Row],[number]]-grand[[#This Row],[received]]</f>
        <v>0</v>
      </c>
      <c r="J980" s="30"/>
      <c r="K980" s="2">
        <v>25500</v>
      </c>
      <c r="L980" s="2">
        <v>25500</v>
      </c>
      <c r="M980" s="2">
        <f>K980-L980</f>
        <v>0</v>
      </c>
      <c r="N980" s="2">
        <v>15418.8</v>
      </c>
      <c r="O980" s="2">
        <v>297</v>
      </c>
      <c r="P980" s="7">
        <f>grand[[#This Row],[total weight]]/grand[[#This Row],[received]]</f>
        <v>653.84615384615381</v>
      </c>
      <c r="Q980" s="7">
        <f>grand[[#This Row],[receiving weight]]/grand[[#This Row],[received]]</f>
        <v>653.84615384615381</v>
      </c>
      <c r="R980" s="7">
        <f>grand[[#This Row],[transportation loss ]]/grand[[#This Row],[received]]</f>
        <v>0</v>
      </c>
      <c r="S980" s="7">
        <f>grand[[#This Row],[ carcass weight]]/grand[[#This Row],[received]]</f>
        <v>395.35384615384612</v>
      </c>
      <c r="T980" s="7">
        <f>grand[[#This Row],[ kidneys fat quantity]]/grand[[#This Row],[received]]</f>
        <v>7.615384615384615</v>
      </c>
      <c r="U980" s="1">
        <v>22.342105263157894</v>
      </c>
      <c r="V980" s="1">
        <v>0</v>
      </c>
      <c r="W980" s="1">
        <v>48.55263157894737</v>
      </c>
      <c r="X980" s="1">
        <v>10</v>
      </c>
      <c r="Y980" s="1">
        <v>8.5</v>
      </c>
      <c r="Z980" s="18">
        <f>grand[[#This Row],[av. Transportation loss]]/grand[[#This Row],[av.total weight]]</f>
        <v>0</v>
      </c>
      <c r="AA980" s="12">
        <f>AVERAGE((grand[[#This Row],[am]]/25),(grand[[#This Row],[pm]]/50))</f>
        <v>0.93236842105263151</v>
      </c>
      <c r="AB980" s="3">
        <f>grand[[#This Row],[ carcass weight]]/grand[[#This Row],[total weight]]</f>
        <v>0.60465882352941169</v>
      </c>
      <c r="AC980" s="18">
        <f>SUM(grand[[#This Row],[am]:[meat transportation]])/100</f>
        <v>0.8939473684210526</v>
      </c>
      <c r="AJ980" s="1">
        <v>28</v>
      </c>
      <c r="AK980" s="1"/>
      <c r="AL980" s="1"/>
    </row>
    <row r="981" spans="1:38" hidden="1" x14ac:dyDescent="0.2">
      <c r="A981" s="11">
        <v>45457</v>
      </c>
      <c r="B981" s="53" t="s">
        <v>1989</v>
      </c>
      <c r="C981" s="52" t="str">
        <f>IF(MID(B981,4,2)="09","Ramadan",IF(AND(MID(B981,4,2)="12",VALUE(LEFT(B981,2))&lt;=9),"Adha Season","Normal"))</f>
        <v>Adha Season</v>
      </c>
      <c r="D981" s="2" t="s">
        <v>294</v>
      </c>
      <c r="F981" s="4" t="s">
        <v>280</v>
      </c>
      <c r="G981" s="1">
        <v>85</v>
      </c>
      <c r="H981" s="1">
        <v>85</v>
      </c>
      <c r="I981" s="1">
        <f>grand[[#This Row],[number]]-grand[[#This Row],[received]]</f>
        <v>0</v>
      </c>
      <c r="J981" s="30"/>
      <c r="K981" s="2">
        <v>4468</v>
      </c>
      <c r="L981" s="2">
        <v>4468</v>
      </c>
      <c r="M981" s="2">
        <f>K981-L981</f>
        <v>0</v>
      </c>
      <c r="N981" s="2">
        <v>2546.1999999999998</v>
      </c>
      <c r="O981" s="2">
        <v>0</v>
      </c>
      <c r="P981" s="7">
        <f>grand[[#This Row],[total weight]]/grand[[#This Row],[received]]</f>
        <v>52.564705882352939</v>
      </c>
      <c r="Q981" s="7">
        <f>grand[[#This Row],[receiving weight]]/grand[[#This Row],[received]]</f>
        <v>52.564705882352939</v>
      </c>
      <c r="R981" s="7">
        <f>grand[[#This Row],[transportation loss ]]/grand[[#This Row],[received]]</f>
        <v>0</v>
      </c>
      <c r="S981" s="7">
        <f>grand[[#This Row],[ carcass weight]]/grand[[#This Row],[received]]</f>
        <v>29.955294117647057</v>
      </c>
      <c r="T981" s="7">
        <f>grand[[#This Row],[ kidneys fat quantity]]/grand[[#This Row],[received]]</f>
        <v>0</v>
      </c>
      <c r="U981" s="1">
        <v>25</v>
      </c>
      <c r="V981" s="1">
        <v>0</v>
      </c>
      <c r="W981" s="1">
        <v>49.388235294117649</v>
      </c>
      <c r="X981" s="1">
        <v>10</v>
      </c>
      <c r="Y981" s="1">
        <v>8.5</v>
      </c>
      <c r="Z981" s="18">
        <f>grand[[#This Row],[av. Transportation loss]]/grand[[#This Row],[av.total weight]]</f>
        <v>0</v>
      </c>
      <c r="AA981" s="12">
        <f>AVERAGE((grand[[#This Row],[am]]/25),(grand[[#This Row],[pm]]/50))</f>
        <v>0.99388235294117644</v>
      </c>
      <c r="AB981" s="3">
        <f>grand[[#This Row],[ carcass weight]]/grand[[#This Row],[total weight]]</f>
        <v>0.56987466427931954</v>
      </c>
      <c r="AC981" s="18">
        <f>SUM(grand[[#This Row],[am]:[meat transportation]])/100</f>
        <v>0.92888235294117649</v>
      </c>
      <c r="AK981" s="1"/>
      <c r="AL981" s="1"/>
    </row>
    <row r="982" spans="1:38" hidden="1" x14ac:dyDescent="0.2">
      <c r="A982" s="11">
        <v>45457</v>
      </c>
      <c r="B982" s="53" t="s">
        <v>1989</v>
      </c>
      <c r="C982" s="52" t="str">
        <f>IF(MID(B982,4,2)="09","Ramadan",IF(AND(MID(B982,4,2)="12",VALUE(LEFT(B982,2))&lt;=9),"Adha Season","Normal"))</f>
        <v>Adha Season</v>
      </c>
      <c r="D982" s="1" t="s">
        <v>45</v>
      </c>
      <c r="E982" s="1" t="s">
        <v>528</v>
      </c>
      <c r="F982" s="4" t="s">
        <v>280</v>
      </c>
      <c r="G982" s="1">
        <v>33</v>
      </c>
      <c r="H982" s="1">
        <v>33</v>
      </c>
      <c r="I982" s="1">
        <f>grand[[#This Row],[number]]-grand[[#This Row],[received]]</f>
        <v>0</v>
      </c>
      <c r="J982" s="30"/>
      <c r="K982" s="2">
        <v>22426</v>
      </c>
      <c r="L982" s="2">
        <v>22426</v>
      </c>
      <c r="M982" s="2">
        <f>K982-L982</f>
        <v>0</v>
      </c>
      <c r="N982" s="2">
        <v>13866</v>
      </c>
      <c r="O982" s="2">
        <v>245</v>
      </c>
      <c r="P982" s="7">
        <f>grand[[#This Row],[total weight]]/grand[[#This Row],[received]]</f>
        <v>679.57575757575762</v>
      </c>
      <c r="Q982" s="7">
        <f>grand[[#This Row],[receiving weight]]/grand[[#This Row],[received]]</f>
        <v>679.57575757575762</v>
      </c>
      <c r="R982" s="7">
        <f>grand[[#This Row],[transportation loss ]]/grand[[#This Row],[received]]</f>
        <v>0</v>
      </c>
      <c r="S982" s="7">
        <f>grand[[#This Row],[ carcass weight]]/grand[[#This Row],[received]]</f>
        <v>420.18181818181819</v>
      </c>
      <c r="T982" s="7">
        <f>grand[[#This Row],[ kidneys fat quantity]]/grand[[#This Row],[received]]</f>
        <v>7.4242424242424239</v>
      </c>
      <c r="U982" s="1">
        <v>19.666666666666664</v>
      </c>
      <c r="V982" s="1">
        <v>0</v>
      </c>
      <c r="W982" s="1">
        <v>46.121212121212125</v>
      </c>
      <c r="X982" s="1">
        <v>10</v>
      </c>
      <c r="Y982" s="1">
        <v>8.5</v>
      </c>
      <c r="Z982" s="18">
        <f>grand[[#This Row],[av. Transportation loss]]/grand[[#This Row],[av.total weight]]</f>
        <v>0</v>
      </c>
      <c r="AA982" s="12">
        <f>AVERAGE((grand[[#This Row],[am]]/25),(grand[[#This Row],[pm]]/50))</f>
        <v>0.8545454545454545</v>
      </c>
      <c r="AB982" s="3">
        <f>grand[[#This Row],[ carcass weight]]/grand[[#This Row],[total weight]]</f>
        <v>0.61830018728261837</v>
      </c>
      <c r="AC982" s="18">
        <f>SUM(grand[[#This Row],[am]:[meat transportation]])/100</f>
        <v>0.84287878787878778</v>
      </c>
      <c r="AJ982" s="1">
        <v>22</v>
      </c>
      <c r="AK982" s="1"/>
      <c r="AL982" s="1"/>
    </row>
    <row r="983" spans="1:38" hidden="1" x14ac:dyDescent="0.2">
      <c r="A983" s="11">
        <v>45458</v>
      </c>
      <c r="B983" s="53" t="s">
        <v>1990</v>
      </c>
      <c r="C983" s="52" t="str">
        <f>IF(MID(B983,4,2)="09","Ramadan",IF(AND(MID(B983,4,2)="12",VALUE(LEFT(B983,2))&lt;=9),"Adha Season","Normal"))</f>
        <v>Adha Season</v>
      </c>
      <c r="D983" s="2" t="s">
        <v>294</v>
      </c>
      <c r="F983" s="4" t="s">
        <v>280</v>
      </c>
      <c r="G983" s="1">
        <v>88</v>
      </c>
      <c r="H983" s="1">
        <v>88</v>
      </c>
      <c r="I983" s="1">
        <f>grand[[#This Row],[number]]-grand[[#This Row],[received]]</f>
        <v>0</v>
      </c>
      <c r="J983" s="30"/>
      <c r="K983" s="2">
        <v>4827</v>
      </c>
      <c r="L983" s="2">
        <v>4827</v>
      </c>
      <c r="M983" s="2">
        <f>K983-L983</f>
        <v>0</v>
      </c>
      <c r="N983" s="2">
        <v>2663.6</v>
      </c>
      <c r="O983" s="2">
        <v>0</v>
      </c>
      <c r="P983" s="7">
        <f>grand[[#This Row],[total weight]]/grand[[#This Row],[received]]</f>
        <v>54.852272727272727</v>
      </c>
      <c r="Q983" s="7">
        <f>grand[[#This Row],[receiving weight]]/grand[[#This Row],[received]]</f>
        <v>54.852272727272727</v>
      </c>
      <c r="R983" s="7">
        <f>grand[[#This Row],[transportation loss ]]/grand[[#This Row],[received]]</f>
        <v>0</v>
      </c>
      <c r="S983" s="7">
        <f>grand[[#This Row],[ carcass weight]]/grand[[#This Row],[received]]</f>
        <v>30.268181818181816</v>
      </c>
      <c r="T983" s="7">
        <f>grand[[#This Row],[ kidneys fat quantity]]/grand[[#This Row],[received]]</f>
        <v>0</v>
      </c>
      <c r="U983" s="1">
        <v>25</v>
      </c>
      <c r="V983" s="1">
        <v>0</v>
      </c>
      <c r="W983" s="1">
        <v>49.272727272727273</v>
      </c>
      <c r="X983" s="1">
        <v>10</v>
      </c>
      <c r="Y983" s="1">
        <v>8.5</v>
      </c>
      <c r="Z983" s="18">
        <f>grand[[#This Row],[av. Transportation loss]]/grand[[#This Row],[av.total weight]]</f>
        <v>0</v>
      </c>
      <c r="AA983" s="12">
        <f>AVERAGE((grand[[#This Row],[am]]/25),(grand[[#This Row],[pm]]/50))</f>
        <v>0.99272727272727268</v>
      </c>
      <c r="AB983" s="3">
        <f>grand[[#This Row],[ carcass weight]]/grand[[#This Row],[total weight]]</f>
        <v>0.55181272011601412</v>
      </c>
      <c r="AC983" s="18">
        <f>SUM(grand[[#This Row],[am]:[meat transportation]])/100</f>
        <v>0.92772727272727284</v>
      </c>
      <c r="AK983" s="1"/>
      <c r="AL983" s="1"/>
    </row>
    <row r="984" spans="1:38" hidden="1" x14ac:dyDescent="0.2">
      <c r="A984" s="11">
        <v>45458</v>
      </c>
      <c r="B984" s="53" t="s">
        <v>1990</v>
      </c>
      <c r="C984" s="52" t="str">
        <f>IF(MID(B984,4,2)="09","Ramadan",IF(AND(MID(B984,4,2)="12",VALUE(LEFT(B984,2))&lt;=9),"Adha Season","Normal"))</f>
        <v>Adha Season</v>
      </c>
      <c r="D984" s="1" t="s">
        <v>45</v>
      </c>
      <c r="E984" s="1" t="s">
        <v>528</v>
      </c>
      <c r="F984" s="4" t="s">
        <v>280</v>
      </c>
      <c r="G984" s="1">
        <v>36</v>
      </c>
      <c r="H984" s="1">
        <v>36</v>
      </c>
      <c r="I984" s="1">
        <f>grand[[#This Row],[number]]-grand[[#This Row],[received]]</f>
        <v>0</v>
      </c>
      <c r="J984" s="30"/>
      <c r="K984" s="2">
        <v>24054</v>
      </c>
      <c r="L984" s="2">
        <v>24054</v>
      </c>
      <c r="M984" s="2">
        <f>K984-L984</f>
        <v>0</v>
      </c>
      <c r="N984" s="2">
        <v>14643.7</v>
      </c>
      <c r="O984" s="2">
        <v>264</v>
      </c>
      <c r="P984" s="7">
        <f>grand[[#This Row],[total weight]]/grand[[#This Row],[received]]</f>
        <v>668.16666666666663</v>
      </c>
      <c r="Q984" s="7">
        <f>grand[[#This Row],[receiving weight]]/grand[[#This Row],[received]]</f>
        <v>668.16666666666663</v>
      </c>
      <c r="R984" s="7">
        <f>grand[[#This Row],[transportation loss ]]/grand[[#This Row],[received]]</f>
        <v>0</v>
      </c>
      <c r="S984" s="7">
        <f>grand[[#This Row],[ carcass weight]]/grand[[#This Row],[received]]</f>
        <v>406.76944444444445</v>
      </c>
      <c r="T984" s="7">
        <f>grand[[#This Row],[ kidneys fat quantity]]/grand[[#This Row],[received]]</f>
        <v>7.333333333333333</v>
      </c>
      <c r="U984" s="1">
        <v>19.666666666666664</v>
      </c>
      <c r="V984" s="1">
        <v>0</v>
      </c>
      <c r="W984" s="1">
        <v>46.694444444444443</v>
      </c>
      <c r="X984" s="1">
        <v>10</v>
      </c>
      <c r="Y984" s="1">
        <v>8.5</v>
      </c>
      <c r="Z984" s="18">
        <f>grand[[#This Row],[av. Transportation loss]]/grand[[#This Row],[av.total weight]]</f>
        <v>0</v>
      </c>
      <c r="AA984" s="12">
        <f>AVERAGE((grand[[#This Row],[am]]/25),(grand[[#This Row],[pm]]/50))</f>
        <v>0.8602777777777777</v>
      </c>
      <c r="AB984" s="3">
        <f>grand[[#This Row],[ carcass weight]]/grand[[#This Row],[total weight]]</f>
        <v>0.60878440176270066</v>
      </c>
      <c r="AC984" s="18">
        <f>SUM(grand[[#This Row],[am]:[meat transportation]])/100</f>
        <v>0.84861111111111109</v>
      </c>
      <c r="AJ984" s="1">
        <v>24</v>
      </c>
      <c r="AK984" s="1"/>
      <c r="AL984" s="1"/>
    </row>
    <row r="985" spans="1:38" hidden="1" x14ac:dyDescent="0.2">
      <c r="A985" s="11">
        <v>45463</v>
      </c>
      <c r="B985" s="53" t="s">
        <v>1992</v>
      </c>
      <c r="C985" s="52" t="str">
        <f>IF(MID(B985,4,2)="09","Ramadan",IF(AND(MID(B985,4,2)="12",VALUE(LEFT(B985,2))&lt;=9),"Adha Season","Normal"))</f>
        <v>Normal</v>
      </c>
      <c r="D985" s="1" t="s">
        <v>45</v>
      </c>
      <c r="E985" s="1" t="s">
        <v>528</v>
      </c>
      <c r="F985" s="4" t="s">
        <v>462</v>
      </c>
      <c r="G985" s="1">
        <v>45</v>
      </c>
      <c r="H985" s="1">
        <v>45</v>
      </c>
      <c r="I985" s="1">
        <f>grand[[#This Row],[number]]-grand[[#This Row],[received]]</f>
        <v>0</v>
      </c>
      <c r="J985" s="30"/>
      <c r="K985" s="2">
        <v>21573.101265822785</v>
      </c>
      <c r="L985" s="2">
        <v>21573.101265822785</v>
      </c>
      <c r="M985" s="2">
        <f>K985-L985</f>
        <v>0</v>
      </c>
      <c r="N985" s="2">
        <v>13634.2</v>
      </c>
      <c r="O985" s="2">
        <v>0</v>
      </c>
      <c r="P985" s="7">
        <f>grand[[#This Row],[total weight]]/grand[[#This Row],[received]]</f>
        <v>479.40225035161745</v>
      </c>
      <c r="Q985" s="7">
        <f>grand[[#This Row],[receiving weight]]/grand[[#This Row],[received]]</f>
        <v>479.40225035161745</v>
      </c>
      <c r="R985" s="7">
        <f>grand[[#This Row],[transportation loss ]]/grand[[#This Row],[received]]</f>
        <v>0</v>
      </c>
      <c r="S985" s="7">
        <f>grand[[#This Row],[ carcass weight]]/grand[[#This Row],[received]]</f>
        <v>302.98222222222222</v>
      </c>
      <c r="T985" s="7">
        <f>grand[[#This Row],[ kidneys fat quantity]]/grand[[#This Row],[received]]</f>
        <v>0</v>
      </c>
      <c r="U985" s="1">
        <v>25</v>
      </c>
      <c r="V985" s="1">
        <v>4</v>
      </c>
      <c r="W985" s="1">
        <v>50</v>
      </c>
      <c r="X985" s="1">
        <v>9.8888888888888893</v>
      </c>
      <c r="Y985" s="1">
        <v>8.5</v>
      </c>
      <c r="Z985" s="18">
        <f>grand[[#This Row],[av. Transportation loss]]/grand[[#This Row],[av.total weight]]</f>
        <v>0</v>
      </c>
      <c r="AA985" s="12">
        <f>AVERAGE((grand[[#This Row],[am]]/25),(grand[[#This Row],[pm]]/50))</f>
        <v>1</v>
      </c>
      <c r="AB985" s="3">
        <f>grand[[#This Row],[ carcass weight]]/grand[[#This Row],[total weight]]</f>
        <v>0.63200000000000001</v>
      </c>
      <c r="AC985" s="18">
        <f>SUM(grand[[#This Row],[am]:[meat transportation]])/100</f>
        <v>0.9738888888888888</v>
      </c>
      <c r="AK985" s="1"/>
      <c r="AL985" s="1"/>
    </row>
    <row r="986" spans="1:38" hidden="1" x14ac:dyDescent="0.2">
      <c r="A986" s="11">
        <v>45465</v>
      </c>
      <c r="B986" s="53" t="s">
        <v>1993</v>
      </c>
      <c r="C986" s="52" t="str">
        <f>IF(MID(B986,4,2)="09","Ramadan",IF(AND(MID(B986,4,2)="12",VALUE(LEFT(B986,2))&lt;=9),"Adha Season","Normal"))</f>
        <v>Normal</v>
      </c>
      <c r="D986" s="1" t="s">
        <v>45</v>
      </c>
      <c r="E986" s="1" t="s">
        <v>528</v>
      </c>
      <c r="F986" s="4" t="s">
        <v>462</v>
      </c>
      <c r="G986" s="1">
        <v>56</v>
      </c>
      <c r="H986" s="1">
        <v>56</v>
      </c>
      <c r="I986" s="1">
        <f>grand[[#This Row],[number]]-grand[[#This Row],[received]]</f>
        <v>0</v>
      </c>
      <c r="J986" s="30"/>
      <c r="K986" s="2">
        <v>26370.569620253165</v>
      </c>
      <c r="L986" s="2">
        <v>26370.569620253165</v>
      </c>
      <c r="M986" s="2">
        <f>K986-L986</f>
        <v>0</v>
      </c>
      <c r="N986" s="2">
        <v>16666.2</v>
      </c>
      <c r="O986" s="2">
        <v>0</v>
      </c>
      <c r="P986" s="7">
        <f>grand[[#This Row],[total weight]]/grand[[#This Row],[received]]</f>
        <v>470.90302893309223</v>
      </c>
      <c r="Q986" s="7">
        <f>grand[[#This Row],[receiving weight]]/grand[[#This Row],[received]]</f>
        <v>470.90302893309223</v>
      </c>
      <c r="R986" s="7">
        <f>grand[[#This Row],[transportation loss ]]/grand[[#This Row],[received]]</f>
        <v>0</v>
      </c>
      <c r="S986" s="7">
        <f>grand[[#This Row],[ carcass weight]]/grand[[#This Row],[received]]</f>
        <v>297.61071428571432</v>
      </c>
      <c r="T986" s="7">
        <f>grand[[#This Row],[ kidneys fat quantity]]/grand[[#This Row],[received]]</f>
        <v>0</v>
      </c>
      <c r="U986" s="1">
        <v>25</v>
      </c>
      <c r="V986" s="1">
        <v>4</v>
      </c>
      <c r="W986" s="1">
        <v>48.571428571428569</v>
      </c>
      <c r="X986" s="1">
        <v>9.9107142857142847</v>
      </c>
      <c r="Y986" s="1">
        <v>8.5</v>
      </c>
      <c r="Z986" s="18">
        <f>grand[[#This Row],[av. Transportation loss]]/grand[[#This Row],[av.total weight]]</f>
        <v>0</v>
      </c>
      <c r="AA986" s="12">
        <f>AVERAGE((grand[[#This Row],[am]]/25),(grand[[#This Row],[pm]]/50))</f>
        <v>0.98571428571428577</v>
      </c>
      <c r="AB986" s="3">
        <f>grand[[#This Row],[ carcass weight]]/grand[[#This Row],[total weight]]</f>
        <v>0.63200000000000001</v>
      </c>
      <c r="AC986" s="18">
        <f>SUM(grand[[#This Row],[am]:[meat transportation]])/100</f>
        <v>0.9598214285714286</v>
      </c>
      <c r="AK986" s="1"/>
      <c r="AL986" s="1"/>
    </row>
    <row r="987" spans="1:38" hidden="1" x14ac:dyDescent="0.2">
      <c r="A987" s="11">
        <v>45467</v>
      </c>
      <c r="B987" s="53" t="s">
        <v>1994</v>
      </c>
      <c r="C987" s="52" t="str">
        <f>IF(MID(B987,4,2)="09","Ramadan",IF(AND(MID(B987,4,2)="12",VALUE(LEFT(B987,2))&lt;=9),"Adha Season","Normal"))</f>
        <v>Normal</v>
      </c>
      <c r="D987" s="1" t="s">
        <v>45</v>
      </c>
      <c r="E987" s="1" t="s">
        <v>528</v>
      </c>
      <c r="F987" s="4" t="s">
        <v>462</v>
      </c>
      <c r="G987" s="1">
        <v>30</v>
      </c>
      <c r="H987" s="1">
        <v>30</v>
      </c>
      <c r="I987" s="1">
        <f>grand[[#This Row],[number]]-grand[[#This Row],[received]]</f>
        <v>0</v>
      </c>
      <c r="J987" s="30"/>
      <c r="K987" s="2">
        <v>14077.531645569619</v>
      </c>
      <c r="L987" s="2">
        <v>14077.531645569619</v>
      </c>
      <c r="M987" s="2">
        <f>K987-L987</f>
        <v>0</v>
      </c>
      <c r="N987" s="2">
        <v>8897</v>
      </c>
      <c r="O987" s="2">
        <v>0</v>
      </c>
      <c r="P987" s="7">
        <f>grand[[#This Row],[total weight]]/grand[[#This Row],[received]]</f>
        <v>469.25105485232064</v>
      </c>
      <c r="Q987" s="7">
        <f>grand[[#This Row],[receiving weight]]/grand[[#This Row],[received]]</f>
        <v>469.25105485232064</v>
      </c>
      <c r="R987" s="7">
        <f>grand[[#This Row],[transportation loss ]]/grand[[#This Row],[received]]</f>
        <v>0</v>
      </c>
      <c r="S987" s="7">
        <f>grand[[#This Row],[ carcass weight]]/grand[[#This Row],[received]]</f>
        <v>296.56666666666666</v>
      </c>
      <c r="T987" s="7">
        <f>grand[[#This Row],[ kidneys fat quantity]]/grand[[#This Row],[received]]</f>
        <v>0</v>
      </c>
      <c r="U987" s="1">
        <v>25</v>
      </c>
      <c r="V987" s="1">
        <v>4</v>
      </c>
      <c r="W987" s="1">
        <v>50</v>
      </c>
      <c r="X987" s="1">
        <v>10</v>
      </c>
      <c r="Y987" s="1">
        <v>8.5</v>
      </c>
      <c r="Z987" s="18">
        <f>grand[[#This Row],[av. Transportation loss]]/grand[[#This Row],[av.total weight]]</f>
        <v>0</v>
      </c>
      <c r="AA987" s="12">
        <f>AVERAGE((grand[[#This Row],[am]]/25),(grand[[#This Row],[pm]]/50))</f>
        <v>1</v>
      </c>
      <c r="AB987" s="3">
        <f>grand[[#This Row],[ carcass weight]]/grand[[#This Row],[total weight]]</f>
        <v>0.63200000000000001</v>
      </c>
      <c r="AC987" s="18">
        <f>SUM(grand[[#This Row],[am]:[meat transportation]])/100</f>
        <v>0.97499999999999998</v>
      </c>
      <c r="AK987" s="1"/>
      <c r="AL987" s="1"/>
    </row>
    <row r="988" spans="1:38" hidden="1" x14ac:dyDescent="0.2">
      <c r="A988" s="11">
        <v>45469</v>
      </c>
      <c r="B988" s="53" t="s">
        <v>1995</v>
      </c>
      <c r="C988" s="52" t="str">
        <f>IF(MID(B988,4,2)="09","Ramadan",IF(AND(MID(B988,4,2)="12",VALUE(LEFT(B988,2))&lt;=9),"Adha Season","Normal"))</f>
        <v>Normal</v>
      </c>
      <c r="D988" s="1" t="s">
        <v>45</v>
      </c>
      <c r="E988" s="1" t="s">
        <v>528</v>
      </c>
      <c r="F988" s="4" t="s">
        <v>462</v>
      </c>
      <c r="G988" s="1">
        <v>69</v>
      </c>
      <c r="H988" s="1">
        <v>69</v>
      </c>
      <c r="I988" s="1">
        <f>grand[[#This Row],[number]]-grand[[#This Row],[received]]</f>
        <v>0</v>
      </c>
      <c r="J988" s="30"/>
      <c r="K988" s="2">
        <v>32075.632911392404</v>
      </c>
      <c r="L988" s="2">
        <v>32075.632911392404</v>
      </c>
      <c r="M988" s="2">
        <f>K988-L988</f>
        <v>0</v>
      </c>
      <c r="N988" s="2">
        <v>20271.8</v>
      </c>
      <c r="O988" s="2"/>
      <c r="P988" s="7">
        <f>grand[[#This Row],[total weight]]/grand[[#This Row],[received]]</f>
        <v>464.86424509264356</v>
      </c>
      <c r="Q988" s="7">
        <f>grand[[#This Row],[receiving weight]]/grand[[#This Row],[received]]</f>
        <v>464.86424509264356</v>
      </c>
      <c r="R988" s="7">
        <f>grand[[#This Row],[transportation loss ]]/grand[[#This Row],[received]]</f>
        <v>0</v>
      </c>
      <c r="S988" s="7">
        <f>grand[[#This Row],[ carcass weight]]/grand[[#This Row],[received]]</f>
        <v>293.79420289855074</v>
      </c>
      <c r="T988" s="7">
        <f>grand[[#This Row],[ kidneys fat quantity]]/grand[[#This Row],[received]]</f>
        <v>0</v>
      </c>
      <c r="U988" s="1">
        <v>25</v>
      </c>
      <c r="V988" s="1">
        <v>4</v>
      </c>
      <c r="W988" s="1">
        <v>50</v>
      </c>
      <c r="X988" s="1">
        <v>10</v>
      </c>
      <c r="Y988" s="1">
        <v>8.5</v>
      </c>
      <c r="Z988" s="18">
        <f>grand[[#This Row],[av. Transportation loss]]/grand[[#This Row],[av.total weight]]</f>
        <v>0</v>
      </c>
      <c r="AA988" s="12">
        <f>AVERAGE((grand[[#This Row],[am]]/25),(grand[[#This Row],[pm]]/50))</f>
        <v>1</v>
      </c>
      <c r="AB988" s="3">
        <f>grand[[#This Row],[ carcass weight]]/grand[[#This Row],[total weight]]</f>
        <v>0.63200000000000001</v>
      </c>
      <c r="AC988" s="18">
        <f>SUM(grand[[#This Row],[am]:[meat transportation]])/100</f>
        <v>0.97499999999999998</v>
      </c>
      <c r="AK988" s="1"/>
      <c r="AL988" s="1"/>
    </row>
    <row r="989" spans="1:38" hidden="1" x14ac:dyDescent="0.2">
      <c r="A989" s="11">
        <v>45472</v>
      </c>
      <c r="B989" s="53" t="s">
        <v>1996</v>
      </c>
      <c r="C989" s="52" t="str">
        <f>IF(MID(B989,4,2)="09","Ramadan",IF(AND(MID(B989,4,2)="12",VALUE(LEFT(B989,2))&lt;=9),"Adha Season","Normal"))</f>
        <v>Normal</v>
      </c>
      <c r="D989" s="1" t="s">
        <v>45</v>
      </c>
      <c r="E989" s="1" t="s">
        <v>528</v>
      </c>
      <c r="F989" s="4" t="s">
        <v>462</v>
      </c>
      <c r="G989" s="1">
        <v>60</v>
      </c>
      <c r="H989" s="1">
        <v>60</v>
      </c>
      <c r="I989" s="1">
        <f>grand[[#This Row],[number]]-grand[[#This Row],[received]]</f>
        <v>0</v>
      </c>
      <c r="J989" s="30"/>
      <c r="K989" s="2">
        <v>26725.949367088608</v>
      </c>
      <c r="L989" s="2">
        <v>26725.949367088608</v>
      </c>
      <c r="M989" s="2">
        <f>K989-L989</f>
        <v>0</v>
      </c>
      <c r="N989" s="2">
        <v>16890.8</v>
      </c>
      <c r="O989" s="2"/>
      <c r="P989" s="7">
        <f>grand[[#This Row],[total weight]]/grand[[#This Row],[received]]</f>
        <v>445.43248945147678</v>
      </c>
      <c r="Q989" s="7">
        <f>grand[[#This Row],[receiving weight]]/grand[[#This Row],[received]]</f>
        <v>445.43248945147678</v>
      </c>
      <c r="R989" s="7">
        <f>grand[[#This Row],[transportation loss ]]/grand[[#This Row],[received]]</f>
        <v>0</v>
      </c>
      <c r="S989" s="7">
        <f>grand[[#This Row],[ carcass weight]]/grand[[#This Row],[received]]</f>
        <v>281.51333333333332</v>
      </c>
      <c r="T989" s="7">
        <f>grand[[#This Row],[ kidneys fat quantity]]/grand[[#This Row],[received]]</f>
        <v>0</v>
      </c>
      <c r="U989" s="1">
        <v>25</v>
      </c>
      <c r="V989" s="1">
        <v>4</v>
      </c>
      <c r="W989" s="1">
        <v>50</v>
      </c>
      <c r="X989" s="1">
        <v>10</v>
      </c>
      <c r="Y989" s="1">
        <v>8.5</v>
      </c>
      <c r="Z989" s="18">
        <f>grand[[#This Row],[av. Transportation loss]]/grand[[#This Row],[av.total weight]]</f>
        <v>0</v>
      </c>
      <c r="AA989" s="12">
        <f>AVERAGE((grand[[#This Row],[am]]/25),(grand[[#This Row],[pm]]/50))</f>
        <v>1</v>
      </c>
      <c r="AB989" s="3">
        <f>grand[[#This Row],[ carcass weight]]/grand[[#This Row],[total weight]]</f>
        <v>0.63200000000000001</v>
      </c>
      <c r="AC989" s="18">
        <f>SUM(grand[[#This Row],[am]:[meat transportation]])/100</f>
        <v>0.97499999999999998</v>
      </c>
      <c r="AK989" s="1"/>
      <c r="AL989" s="1"/>
    </row>
    <row r="990" spans="1:38" hidden="1" x14ac:dyDescent="0.2">
      <c r="A990" s="11">
        <v>45476</v>
      </c>
      <c r="B990" s="53" t="s">
        <v>1998</v>
      </c>
      <c r="C990" s="52" t="str">
        <f>IF(MID(B990,4,2)="09","Ramadan",IF(AND(MID(B990,4,2)="12",VALUE(LEFT(B990,2))&lt;=9),"Adha Season","Normal"))</f>
        <v>Normal</v>
      </c>
      <c r="D990" s="1" t="s">
        <v>45</v>
      </c>
      <c r="E990" s="1" t="s">
        <v>528</v>
      </c>
      <c r="F990" s="4" t="s">
        <v>462</v>
      </c>
      <c r="G990" s="1">
        <v>68</v>
      </c>
      <c r="H990" s="1">
        <v>68</v>
      </c>
      <c r="I990" s="1">
        <f>grand[[#This Row],[number]]-grand[[#This Row],[received]]</f>
        <v>0</v>
      </c>
      <c r="J990" s="30"/>
      <c r="K990" s="2">
        <v>31817.088607594938</v>
      </c>
      <c r="L990" s="2">
        <v>31817.088607594938</v>
      </c>
      <c r="M990" s="2">
        <f>K990-L990</f>
        <v>0</v>
      </c>
      <c r="N990" s="2">
        <v>20108.400000000001</v>
      </c>
      <c r="O990" s="2">
        <v>0</v>
      </c>
      <c r="P990" s="7">
        <f>grand[[#This Row],[total weight]]/grand[[#This Row],[received]]</f>
        <v>467.89836187639617</v>
      </c>
      <c r="Q990" s="7">
        <f>grand[[#This Row],[receiving weight]]/grand[[#This Row],[received]]</f>
        <v>467.89836187639617</v>
      </c>
      <c r="R990" s="7">
        <f>grand[[#This Row],[transportation loss ]]/grand[[#This Row],[received]]</f>
        <v>0</v>
      </c>
      <c r="S990" s="7">
        <f>grand[[#This Row],[ carcass weight]]/grand[[#This Row],[received]]</f>
        <v>295.71176470588239</v>
      </c>
      <c r="T990" s="7">
        <f>grand[[#This Row],[ kidneys fat quantity]]/grand[[#This Row],[received]]</f>
        <v>0</v>
      </c>
      <c r="U990" s="1">
        <v>25</v>
      </c>
      <c r="V990" s="1">
        <v>4</v>
      </c>
      <c r="W990" s="1">
        <v>50</v>
      </c>
      <c r="X990" s="1">
        <v>10</v>
      </c>
      <c r="Y990" s="1">
        <v>8.5</v>
      </c>
      <c r="Z990" s="18">
        <f>grand[[#This Row],[av. Transportation loss]]/grand[[#This Row],[av.total weight]]</f>
        <v>0</v>
      </c>
      <c r="AA990" s="12">
        <f>AVERAGE((grand[[#This Row],[am]]/25),(grand[[#This Row],[pm]]/50))</f>
        <v>1</v>
      </c>
      <c r="AB990" s="3">
        <f>grand[[#This Row],[ carcass weight]]/grand[[#This Row],[total weight]]</f>
        <v>0.63200000000000001</v>
      </c>
      <c r="AC990" s="18">
        <f>SUM(grand[[#This Row],[am]:[meat transportation]])/100</f>
        <v>0.97499999999999998</v>
      </c>
      <c r="AK990" s="1"/>
      <c r="AL990" s="1"/>
    </row>
    <row r="991" spans="1:38" hidden="1" x14ac:dyDescent="0.2">
      <c r="A991" s="11">
        <v>45478</v>
      </c>
      <c r="B991" s="53" t="s">
        <v>1999</v>
      </c>
      <c r="C991" s="52" t="str">
        <f>IF(MID(B991,4,2)="09","Ramadan",IF(AND(MID(B991,4,2)="12",VALUE(LEFT(B991,2))&lt;=9),"Adha Season","Normal"))</f>
        <v>Normal</v>
      </c>
      <c r="D991" s="1" t="s">
        <v>45</v>
      </c>
      <c r="E991" s="1" t="s">
        <v>528</v>
      </c>
      <c r="F991" s="4" t="s">
        <v>462</v>
      </c>
      <c r="G991" s="1">
        <v>37</v>
      </c>
      <c r="H991" s="1">
        <v>37</v>
      </c>
      <c r="I991" s="1">
        <f>grand[[#This Row],[number]]-grand[[#This Row],[received]]</f>
        <v>0</v>
      </c>
      <c r="J991" s="30"/>
      <c r="K991" s="2">
        <v>17723.101265822785</v>
      </c>
      <c r="L991" s="2">
        <v>17723.101265822785</v>
      </c>
      <c r="M991" s="2">
        <f>K991-L991</f>
        <v>0</v>
      </c>
      <c r="N991" s="2">
        <v>11201</v>
      </c>
      <c r="O991" s="2">
        <v>0</v>
      </c>
      <c r="P991" s="7">
        <f>grand[[#This Row],[total weight]]/grand[[#This Row],[received]]</f>
        <v>479.00273691412929</v>
      </c>
      <c r="Q991" s="7">
        <f>grand[[#This Row],[receiving weight]]/grand[[#This Row],[received]]</f>
        <v>479.00273691412929</v>
      </c>
      <c r="R991" s="7">
        <f>grand[[#This Row],[transportation loss ]]/grand[[#This Row],[received]]</f>
        <v>0</v>
      </c>
      <c r="S991" s="7">
        <f>grand[[#This Row],[ carcass weight]]/grand[[#This Row],[received]]</f>
        <v>302.72972972972974</v>
      </c>
      <c r="T991" s="7">
        <f>grand[[#This Row],[ kidneys fat quantity]]/grand[[#This Row],[received]]</f>
        <v>0</v>
      </c>
      <c r="U991" s="1">
        <v>25</v>
      </c>
      <c r="V991" s="1">
        <v>4</v>
      </c>
      <c r="W991" s="1">
        <v>50</v>
      </c>
      <c r="X991" s="1">
        <v>10</v>
      </c>
      <c r="Y991" s="1">
        <v>8.5</v>
      </c>
      <c r="Z991" s="18">
        <f>grand[[#This Row],[av. Transportation loss]]/grand[[#This Row],[av.total weight]]</f>
        <v>0</v>
      </c>
      <c r="AA991" s="12">
        <f>AVERAGE((grand[[#This Row],[am]]/25),(grand[[#This Row],[pm]]/50))</f>
        <v>1</v>
      </c>
      <c r="AB991" s="3">
        <f>grand[[#This Row],[ carcass weight]]/grand[[#This Row],[total weight]]</f>
        <v>0.63200000000000001</v>
      </c>
      <c r="AC991" s="18">
        <f>SUM(grand[[#This Row],[am]:[meat transportation]])/100</f>
        <v>0.97499999999999998</v>
      </c>
      <c r="AK991" s="1"/>
      <c r="AL991" s="1"/>
    </row>
    <row r="992" spans="1:38" hidden="1" x14ac:dyDescent="0.2">
      <c r="A992" s="11">
        <v>45480</v>
      </c>
      <c r="B992" s="53" t="s">
        <v>2000</v>
      </c>
      <c r="C992" s="52" t="str">
        <f>IF(MID(B992,4,2)="09","Ramadan",IF(AND(MID(B992,4,2)="12",VALUE(LEFT(B992,2))&lt;=9),"Adha Season","Normal"))</f>
        <v>Normal</v>
      </c>
      <c r="D992" s="2" t="s">
        <v>294</v>
      </c>
      <c r="F992" s="4" t="s">
        <v>280</v>
      </c>
      <c r="G992" s="1">
        <v>1</v>
      </c>
      <c r="H992" s="1">
        <v>1</v>
      </c>
      <c r="I992" s="1">
        <f>grand[[#This Row],[number]]-grand[[#This Row],[received]]</f>
        <v>0</v>
      </c>
      <c r="J992" s="30"/>
      <c r="K992" s="2">
        <v>56</v>
      </c>
      <c r="L992" s="2">
        <v>56</v>
      </c>
      <c r="M992" s="2">
        <f>K992-L992</f>
        <v>0</v>
      </c>
      <c r="N992" s="2">
        <v>31.9</v>
      </c>
      <c r="O992" s="2"/>
      <c r="P992" s="7">
        <f>grand[[#This Row],[total weight]]/grand[[#This Row],[received]]</f>
        <v>56</v>
      </c>
      <c r="Q992" s="7">
        <f>grand[[#This Row],[receiving weight]]/grand[[#This Row],[received]]</f>
        <v>56</v>
      </c>
      <c r="R992" s="7">
        <f>grand[[#This Row],[transportation loss ]]/grand[[#This Row],[received]]</f>
        <v>0</v>
      </c>
      <c r="S992" s="7">
        <f>grand[[#This Row],[ carcass weight]]/grand[[#This Row],[received]]</f>
        <v>31.9</v>
      </c>
      <c r="T992" s="7">
        <f>grand[[#This Row],[ kidneys fat quantity]]/grand[[#This Row],[received]]</f>
        <v>0</v>
      </c>
      <c r="U992" s="1">
        <v>25</v>
      </c>
      <c r="V992" s="1">
        <v>0</v>
      </c>
      <c r="W992" s="1">
        <v>50</v>
      </c>
      <c r="X992" s="1">
        <v>10</v>
      </c>
      <c r="Y992" s="1">
        <v>8.5</v>
      </c>
      <c r="Z992" s="18">
        <f>grand[[#This Row],[av. Transportation loss]]/grand[[#This Row],[av.total weight]]</f>
        <v>0</v>
      </c>
      <c r="AA992" s="12">
        <f>AVERAGE((grand[[#This Row],[am]]/25),(grand[[#This Row],[pm]]/50))</f>
        <v>1</v>
      </c>
      <c r="AB992" s="3">
        <f>grand[[#This Row],[ carcass weight]]/grand[[#This Row],[total weight]]</f>
        <v>0.56964285714285712</v>
      </c>
      <c r="AC992" s="18">
        <f>SUM(grand[[#This Row],[am]:[meat transportation]])/100</f>
        <v>0.93500000000000005</v>
      </c>
      <c r="AK992" s="1"/>
      <c r="AL992" s="1"/>
    </row>
    <row r="993" spans="1:38" hidden="1" x14ac:dyDescent="0.2">
      <c r="A993" s="11">
        <v>45480</v>
      </c>
      <c r="B993" s="53" t="s">
        <v>2000</v>
      </c>
      <c r="C993" s="52" t="str">
        <f>IF(MID(B993,4,2)="09","Ramadan",IF(AND(MID(B993,4,2)="12",VALUE(LEFT(B993,2))&lt;=9),"Adha Season","Normal"))</f>
        <v>Normal</v>
      </c>
      <c r="D993" s="1" t="s">
        <v>45</v>
      </c>
      <c r="E993" s="1" t="s">
        <v>528</v>
      </c>
      <c r="F993" s="4" t="s">
        <v>280</v>
      </c>
      <c r="G993" s="1">
        <v>43</v>
      </c>
      <c r="H993" s="1">
        <v>43</v>
      </c>
      <c r="I993" s="1">
        <f>grand[[#This Row],[number]]-grand[[#This Row],[received]]</f>
        <v>0</v>
      </c>
      <c r="J993" s="30"/>
      <c r="K993" s="2">
        <v>29324</v>
      </c>
      <c r="L993" s="2">
        <v>28075</v>
      </c>
      <c r="M993" s="2">
        <f>K993-L993</f>
        <v>1249</v>
      </c>
      <c r="N993" s="2">
        <v>17778.7</v>
      </c>
      <c r="O993" s="2">
        <v>430</v>
      </c>
      <c r="P993" s="7">
        <f>grand[[#This Row],[total weight]]/grand[[#This Row],[received]]</f>
        <v>681.95348837209303</v>
      </c>
      <c r="Q993" s="7">
        <f>grand[[#This Row],[receiving weight]]/grand[[#This Row],[received]]</f>
        <v>652.90697674418607</v>
      </c>
      <c r="R993" s="7">
        <f>grand[[#This Row],[transportation loss ]]/grand[[#This Row],[received]]</f>
        <v>29.046511627906977</v>
      </c>
      <c r="S993" s="7">
        <f>grand[[#This Row],[ carcass weight]]/grand[[#This Row],[received]]</f>
        <v>413.45813953488374</v>
      </c>
      <c r="T993" s="7">
        <f>grand[[#This Row],[ kidneys fat quantity]]/grand[[#This Row],[received]]</f>
        <v>10</v>
      </c>
      <c r="U993" s="1">
        <v>19.046511627906977</v>
      </c>
      <c r="V993" s="1">
        <v>0</v>
      </c>
      <c r="W993" s="1">
        <v>46.325581395348834</v>
      </c>
      <c r="X993" s="1">
        <v>10</v>
      </c>
      <c r="Y993" s="1">
        <v>8.5</v>
      </c>
      <c r="Z993" s="18">
        <f>grand[[#This Row],[av. Transportation loss]]/grand[[#This Row],[av.total weight]]</f>
        <v>4.259309780384668E-2</v>
      </c>
      <c r="AA993" s="12">
        <f>AVERAGE((grand[[#This Row],[am]]/25),(grand[[#This Row],[pm]]/50))</f>
        <v>0.84418604651162787</v>
      </c>
      <c r="AB993" s="3">
        <f>grand[[#This Row],[ carcass weight]]/grand[[#This Row],[total weight]]</f>
        <v>0.60628495430364204</v>
      </c>
      <c r="AC993" s="18">
        <f>SUM(grand[[#This Row],[am]:[meat transportation]])/100</f>
        <v>0.83872093023255812</v>
      </c>
      <c r="AJ993" s="1">
        <v>34</v>
      </c>
      <c r="AK993" s="1"/>
      <c r="AL993" s="1"/>
    </row>
    <row r="994" spans="1:38" hidden="1" x14ac:dyDescent="0.2">
      <c r="A994" s="11">
        <v>45481</v>
      </c>
      <c r="B994" s="53" t="s">
        <v>2001</v>
      </c>
      <c r="C994" s="52" t="str">
        <f>IF(MID(B994,4,2)="09","Ramadan",IF(AND(MID(B994,4,2)="12",VALUE(LEFT(B994,2))&lt;=9),"Adha Season","Normal"))</f>
        <v>Normal</v>
      </c>
      <c r="D994" s="1" t="s">
        <v>45</v>
      </c>
      <c r="E994" s="1" t="s">
        <v>528</v>
      </c>
      <c r="F994" s="4" t="s">
        <v>462</v>
      </c>
      <c r="G994" s="1">
        <v>39</v>
      </c>
      <c r="H994" s="1">
        <v>39</v>
      </c>
      <c r="I994" s="1">
        <f>grand[[#This Row],[number]]-grand[[#This Row],[received]]</f>
        <v>0</v>
      </c>
      <c r="J994" s="30"/>
      <c r="K994" s="2">
        <v>20647.151898734177</v>
      </c>
      <c r="L994" s="2">
        <v>20647.151898734177</v>
      </c>
      <c r="M994" s="2">
        <f>K994-L994</f>
        <v>0</v>
      </c>
      <c r="N994" s="2">
        <v>13049</v>
      </c>
      <c r="O994" s="2">
        <v>0</v>
      </c>
      <c r="P994" s="7">
        <f>grand[[#This Row],[total weight]]/grand[[#This Row],[received]]</f>
        <v>529.41415124959428</v>
      </c>
      <c r="Q994" s="7">
        <f>grand[[#This Row],[receiving weight]]/grand[[#This Row],[received]]</f>
        <v>529.41415124959428</v>
      </c>
      <c r="R994" s="7">
        <f>grand[[#This Row],[transportation loss ]]/grand[[#This Row],[received]]</f>
        <v>0</v>
      </c>
      <c r="S994" s="7">
        <f>grand[[#This Row],[ carcass weight]]/grand[[#This Row],[received]]</f>
        <v>334.58974358974359</v>
      </c>
      <c r="T994" s="7">
        <f>grand[[#This Row],[ kidneys fat quantity]]/grand[[#This Row],[received]]</f>
        <v>0</v>
      </c>
      <c r="U994" s="1">
        <v>25</v>
      </c>
      <c r="V994" s="1">
        <v>4</v>
      </c>
      <c r="W994" s="1">
        <v>50</v>
      </c>
      <c r="X994" s="1">
        <v>10</v>
      </c>
      <c r="Y994" s="1">
        <v>8.5</v>
      </c>
      <c r="Z994" s="18">
        <f>grand[[#This Row],[av. Transportation loss]]/grand[[#This Row],[av.total weight]]</f>
        <v>0</v>
      </c>
      <c r="AA994" s="12">
        <f>AVERAGE((grand[[#This Row],[am]]/25),(grand[[#This Row],[pm]]/50))</f>
        <v>1</v>
      </c>
      <c r="AB994" s="3">
        <f>grand[[#This Row],[ carcass weight]]/grand[[#This Row],[total weight]]</f>
        <v>0.63200000000000001</v>
      </c>
      <c r="AC994" s="18">
        <f>SUM(grand[[#This Row],[am]:[meat transportation]])/100</f>
        <v>0.97499999999999998</v>
      </c>
      <c r="AK994" s="1"/>
      <c r="AL994" s="1"/>
    </row>
    <row r="995" spans="1:38" hidden="1" x14ac:dyDescent="0.2">
      <c r="A995" s="11">
        <v>45484</v>
      </c>
      <c r="B995" s="53" t="s">
        <v>2002</v>
      </c>
      <c r="C995" s="52" t="str">
        <f>IF(MID(B995,4,2)="09","Ramadan",IF(AND(MID(B995,4,2)="12",VALUE(LEFT(B995,2))&lt;=9),"Adha Season","Normal"))</f>
        <v>Normal</v>
      </c>
      <c r="D995" s="1" t="s">
        <v>45</v>
      </c>
      <c r="E995" s="1" t="s">
        <v>528</v>
      </c>
      <c r="F995" s="4" t="s">
        <v>280</v>
      </c>
      <c r="G995" s="1">
        <v>44</v>
      </c>
      <c r="H995" s="1">
        <v>44</v>
      </c>
      <c r="I995" s="1">
        <f>grand[[#This Row],[number]]-grand[[#This Row],[received]]</f>
        <v>0</v>
      </c>
      <c r="J995" s="30"/>
      <c r="K995" s="2">
        <v>28900</v>
      </c>
      <c r="L995" s="2">
        <v>27400</v>
      </c>
      <c r="M995" s="2">
        <f>K995-L995</f>
        <v>1500</v>
      </c>
      <c r="N995" s="2">
        <v>17376</v>
      </c>
      <c r="O995" s="2">
        <v>410</v>
      </c>
      <c r="P995" s="7">
        <f>grand[[#This Row],[total weight]]/grand[[#This Row],[received]]</f>
        <v>656.81818181818187</v>
      </c>
      <c r="Q995" s="7">
        <f>grand[[#This Row],[receiving weight]]/grand[[#This Row],[received]]</f>
        <v>622.72727272727275</v>
      </c>
      <c r="R995" s="7">
        <f>grand[[#This Row],[transportation loss ]]/grand[[#This Row],[received]]</f>
        <v>34.090909090909093</v>
      </c>
      <c r="S995" s="7">
        <f>grand[[#This Row],[ carcass weight]]/grand[[#This Row],[received]]</f>
        <v>394.90909090909093</v>
      </c>
      <c r="T995" s="7">
        <f>grand[[#This Row],[ kidneys fat quantity]]/grand[[#This Row],[received]]</f>
        <v>9.3181818181818183</v>
      </c>
      <c r="U995" s="1">
        <v>18.454545454545453</v>
      </c>
      <c r="V995" s="1">
        <v>0</v>
      </c>
      <c r="W995" s="1">
        <v>45.818181818181813</v>
      </c>
      <c r="X995" s="1">
        <v>10</v>
      </c>
      <c r="Y995" s="1">
        <v>8.5</v>
      </c>
      <c r="Z995" s="18">
        <f>grand[[#This Row],[av. Transportation loss]]/grand[[#This Row],[av.total weight]]</f>
        <v>5.1903114186851208E-2</v>
      </c>
      <c r="AA995" s="12">
        <f>AVERAGE((grand[[#This Row],[am]]/25),(grand[[#This Row],[pm]]/50))</f>
        <v>0.82727272727272716</v>
      </c>
      <c r="AB995" s="3">
        <f>grand[[#This Row],[ carcass weight]]/grand[[#This Row],[total weight]]</f>
        <v>0.6012456747404844</v>
      </c>
      <c r="AC995" s="18">
        <f>SUM(grand[[#This Row],[am]:[meat transportation]])/100</f>
        <v>0.82772727272727264</v>
      </c>
      <c r="AJ995" s="1">
        <v>40</v>
      </c>
      <c r="AK995" s="1"/>
      <c r="AL995" s="1"/>
    </row>
    <row r="996" spans="1:38" hidden="1" x14ac:dyDescent="0.2">
      <c r="A996" s="11">
        <v>45486</v>
      </c>
      <c r="B996" s="53" t="s">
        <v>2003</v>
      </c>
      <c r="C996" s="52" t="str">
        <f>IF(MID(B996,4,2)="09","Ramadan",IF(AND(MID(B996,4,2)="12",VALUE(LEFT(B996,2))&lt;=9),"Adha Season","Normal"))</f>
        <v>Normal</v>
      </c>
      <c r="D996" s="1" t="s">
        <v>45</v>
      </c>
      <c r="E996" s="1" t="s">
        <v>483</v>
      </c>
      <c r="F996" s="4" t="s">
        <v>43</v>
      </c>
      <c r="G996" s="1">
        <v>16</v>
      </c>
      <c r="H996" s="1">
        <v>16</v>
      </c>
      <c r="I996" s="1">
        <f>grand[[#This Row],[number]]-grand[[#This Row],[received]]</f>
        <v>0</v>
      </c>
      <c r="J996" s="30"/>
      <c r="K996" s="2">
        <v>10608</v>
      </c>
      <c r="L996" s="2">
        <v>10608</v>
      </c>
      <c r="M996" s="2">
        <f>K996-L996</f>
        <v>0</v>
      </c>
      <c r="N996" s="2">
        <v>6365</v>
      </c>
      <c r="O996" s="2">
        <v>111</v>
      </c>
      <c r="P996" s="7">
        <f>grand[[#This Row],[total weight]]/grand[[#This Row],[received]]</f>
        <v>663</v>
      </c>
      <c r="Q996" s="7">
        <f>grand[[#This Row],[receiving weight]]/grand[[#This Row],[received]]</f>
        <v>663</v>
      </c>
      <c r="R996" s="7">
        <f>grand[[#This Row],[transportation loss ]]/grand[[#This Row],[received]]</f>
        <v>0</v>
      </c>
      <c r="S996" s="7">
        <f>grand[[#This Row],[ carcass weight]]/grand[[#This Row],[received]]</f>
        <v>397.8125</v>
      </c>
      <c r="T996" s="7">
        <f>grand[[#This Row],[ kidneys fat quantity]]/grand[[#This Row],[received]]</f>
        <v>6.9375</v>
      </c>
      <c r="U996" s="1">
        <v>22.0625</v>
      </c>
      <c r="V996" s="1">
        <v>0</v>
      </c>
      <c r="W996" s="1">
        <v>46.5625</v>
      </c>
      <c r="X996" s="1">
        <v>10</v>
      </c>
      <c r="Y996" s="1">
        <v>8.5</v>
      </c>
      <c r="Z996" s="18">
        <f>grand[[#This Row],[av. Transportation loss]]/grand[[#This Row],[av.total weight]]</f>
        <v>0</v>
      </c>
      <c r="AA996" s="12">
        <f>AVERAGE((grand[[#This Row],[am]]/25),(grand[[#This Row],[pm]]/50))</f>
        <v>0.90687499999999999</v>
      </c>
      <c r="AB996" s="3">
        <f>grand[[#This Row],[ carcass weight]]/grand[[#This Row],[total weight]]</f>
        <v>0.60001885369532426</v>
      </c>
      <c r="AC996" s="18">
        <f>SUM(grand[[#This Row],[am]:[meat transportation]])/100</f>
        <v>0.87124999999999997</v>
      </c>
      <c r="AJ996" s="1">
        <v>15</v>
      </c>
      <c r="AK996" s="1"/>
      <c r="AL996" s="1"/>
    </row>
    <row r="997" spans="1:38" hidden="1" x14ac:dyDescent="0.2">
      <c r="A997" s="11">
        <v>45486</v>
      </c>
      <c r="B997" s="53" t="s">
        <v>2003</v>
      </c>
      <c r="C997" s="52" t="str">
        <f>IF(MID(B997,4,2)="09","Ramadan",IF(AND(MID(B997,4,2)="12",VALUE(LEFT(B997,2))&lt;=9),"Adha Season","Normal"))</f>
        <v>Normal</v>
      </c>
      <c r="D997" s="1" t="s">
        <v>45</v>
      </c>
      <c r="E997" s="1" t="s">
        <v>528</v>
      </c>
      <c r="F997" s="4" t="s">
        <v>462</v>
      </c>
      <c r="G997" s="1">
        <v>49</v>
      </c>
      <c r="H997" s="1">
        <v>49</v>
      </c>
      <c r="I997" s="1">
        <f>grand[[#This Row],[number]]-grand[[#This Row],[received]]</f>
        <v>0</v>
      </c>
      <c r="J997" s="30"/>
      <c r="K997" s="2">
        <v>22998.734177215189</v>
      </c>
      <c r="L997" s="2">
        <v>22998.734177215189</v>
      </c>
      <c r="M997" s="2">
        <f>K997-L997</f>
        <v>0</v>
      </c>
      <c r="N997" s="2">
        <v>14535.2</v>
      </c>
      <c r="O997" s="2">
        <v>0</v>
      </c>
      <c r="P997" s="7">
        <f>grand[[#This Row],[total weight]]/grand[[#This Row],[received]]</f>
        <v>469.36192198398345</v>
      </c>
      <c r="Q997" s="7">
        <f>grand[[#This Row],[receiving weight]]/grand[[#This Row],[received]]</f>
        <v>469.36192198398345</v>
      </c>
      <c r="R997" s="7">
        <f>grand[[#This Row],[transportation loss ]]/grand[[#This Row],[received]]</f>
        <v>0</v>
      </c>
      <c r="S997" s="7">
        <f>grand[[#This Row],[ carcass weight]]/grand[[#This Row],[received]]</f>
        <v>296.63673469387754</v>
      </c>
      <c r="T997" s="7">
        <f>grand[[#This Row],[ kidneys fat quantity]]/grand[[#This Row],[received]]</f>
        <v>0</v>
      </c>
      <c r="U997" s="1">
        <v>25</v>
      </c>
      <c r="V997" s="1">
        <v>4</v>
      </c>
      <c r="W997" s="1">
        <v>50</v>
      </c>
      <c r="X997" s="1">
        <v>10</v>
      </c>
      <c r="Y997" s="1">
        <v>8.5</v>
      </c>
      <c r="Z997" s="18">
        <f>grand[[#This Row],[av. Transportation loss]]/grand[[#This Row],[av.total weight]]</f>
        <v>0</v>
      </c>
      <c r="AA997" s="12">
        <f>AVERAGE((grand[[#This Row],[am]]/25),(grand[[#This Row],[pm]]/50))</f>
        <v>1</v>
      </c>
      <c r="AB997" s="3">
        <f>grand[[#This Row],[ carcass weight]]/grand[[#This Row],[total weight]]</f>
        <v>0.63200000000000012</v>
      </c>
      <c r="AC997" s="18">
        <f>SUM(grand[[#This Row],[am]:[meat transportation]])/100</f>
        <v>0.97499999999999998</v>
      </c>
      <c r="AK997" s="1"/>
      <c r="AL997" s="1"/>
    </row>
    <row r="998" spans="1:38" hidden="1" x14ac:dyDescent="0.2">
      <c r="A998" s="11">
        <v>45489</v>
      </c>
      <c r="B998" s="53" t="s">
        <v>2004</v>
      </c>
      <c r="C998" s="52" t="str">
        <f>IF(MID(B998,4,2)="09","Ramadan",IF(AND(MID(B998,4,2)="12",VALUE(LEFT(B998,2))&lt;=9),"Adha Season","Normal"))</f>
        <v>Normal</v>
      </c>
      <c r="D998" s="2" t="s">
        <v>294</v>
      </c>
      <c r="F998" s="4" t="s">
        <v>637</v>
      </c>
      <c r="G998" s="1">
        <v>24</v>
      </c>
      <c r="H998" s="1">
        <v>24</v>
      </c>
      <c r="I998" s="1">
        <f>grand[[#This Row],[number]]-grand[[#This Row],[received]]</f>
        <v>0</v>
      </c>
      <c r="J998" s="30"/>
      <c r="K998" s="2">
        <v>1150.9090909090901</v>
      </c>
      <c r="L998" s="2">
        <v>1140</v>
      </c>
      <c r="M998" s="2">
        <f>K998-L998</f>
        <v>10.909090909090082</v>
      </c>
      <c r="N998" s="2">
        <v>623</v>
      </c>
      <c r="O998" s="2">
        <v>0</v>
      </c>
      <c r="P998" s="7">
        <f>grand[[#This Row],[total weight]]/grand[[#This Row],[received]]</f>
        <v>47.954545454545418</v>
      </c>
      <c r="Q998" s="7">
        <f>grand[[#This Row],[receiving weight]]/grand[[#This Row],[received]]</f>
        <v>47.5</v>
      </c>
      <c r="R998" s="7">
        <f>grand[[#This Row],[transportation loss ]]/grand[[#This Row],[received]]</f>
        <v>0.45454545454542011</v>
      </c>
      <c r="S998" s="7">
        <f>grand[[#This Row],[ carcass weight]]/grand[[#This Row],[received]]</f>
        <v>25.958333333333332</v>
      </c>
      <c r="T998" s="7">
        <f>grand[[#This Row],[ kidneys fat quantity]]/grand[[#This Row],[received]]</f>
        <v>0</v>
      </c>
      <c r="U998" s="1">
        <v>25</v>
      </c>
      <c r="V998" s="1">
        <v>0</v>
      </c>
      <c r="W998" s="1">
        <v>46.666666666666657</v>
      </c>
      <c r="X998" s="1">
        <v>10</v>
      </c>
      <c r="Y998" s="1">
        <v>8.5</v>
      </c>
      <c r="Z998" s="18">
        <f>grand[[#This Row],[av. Transportation loss]]/grand[[#This Row],[av.total weight]]</f>
        <v>9.47867298578128E-3</v>
      </c>
      <c r="AA998" s="12">
        <f>AVERAGE((grand[[#This Row],[am]]/25),(grand[[#This Row],[pm]]/50))</f>
        <v>0.96666666666666656</v>
      </c>
      <c r="AB998" s="3">
        <f>grand[[#This Row],[ carcass weight]]/grand[[#This Row],[total weight]]</f>
        <v>0.54131121642970026</v>
      </c>
      <c r="AC998" s="18">
        <f>SUM(grand[[#This Row],[am]:[meat transportation]])/100</f>
        <v>0.90166666666666662</v>
      </c>
      <c r="AK998" s="1"/>
      <c r="AL998" s="1"/>
    </row>
    <row r="999" spans="1:38" hidden="1" x14ac:dyDescent="0.2">
      <c r="A999" s="11">
        <v>45489</v>
      </c>
      <c r="B999" s="53" t="s">
        <v>2004</v>
      </c>
      <c r="C999" s="52" t="str">
        <f>IF(MID(B999,4,2)="09","Ramadan",IF(AND(MID(B999,4,2)="12",VALUE(LEFT(B999,2))&lt;=9),"Adha Season","Normal"))</f>
        <v>Normal</v>
      </c>
      <c r="D999" s="1" t="s">
        <v>45</v>
      </c>
      <c r="E999" s="1" t="s">
        <v>528</v>
      </c>
      <c r="F999" s="4" t="s">
        <v>280</v>
      </c>
      <c r="G999" s="1">
        <v>33</v>
      </c>
      <c r="H999" s="1">
        <v>33</v>
      </c>
      <c r="I999" s="1">
        <f>grand[[#This Row],[number]]-grand[[#This Row],[received]]</f>
        <v>0</v>
      </c>
      <c r="J999" s="30"/>
      <c r="K999" s="2">
        <v>17490</v>
      </c>
      <c r="L999" s="2">
        <v>17490</v>
      </c>
      <c r="M999" s="2">
        <f>K999-L999</f>
        <v>0</v>
      </c>
      <c r="N999" s="2">
        <v>10853.7</v>
      </c>
      <c r="O999" s="2">
        <v>213</v>
      </c>
      <c r="P999" s="7">
        <f>grand[[#This Row],[total weight]]/grand[[#This Row],[received]]</f>
        <v>530</v>
      </c>
      <c r="Q999" s="7">
        <f>grand[[#This Row],[receiving weight]]/grand[[#This Row],[received]]</f>
        <v>530</v>
      </c>
      <c r="R999" s="7">
        <f>grand[[#This Row],[transportation loss ]]/grand[[#This Row],[received]]</f>
        <v>0</v>
      </c>
      <c r="S999" s="7">
        <f>grand[[#This Row],[ carcass weight]]/grand[[#This Row],[received]]</f>
        <v>328.90000000000003</v>
      </c>
      <c r="T999" s="7">
        <f>grand[[#This Row],[ kidneys fat quantity]]/grand[[#This Row],[received]]</f>
        <v>6.4545454545454541</v>
      </c>
      <c r="U999" s="1">
        <v>25</v>
      </c>
      <c r="V999" s="1">
        <v>0</v>
      </c>
      <c r="W999" s="1">
        <v>49.272727272727273</v>
      </c>
      <c r="X999" s="1">
        <v>10</v>
      </c>
      <c r="Y999" s="1">
        <v>8.5</v>
      </c>
      <c r="Z999" s="18">
        <f>grand[[#This Row],[av. Transportation loss]]/grand[[#This Row],[av.total weight]]</f>
        <v>0</v>
      </c>
      <c r="AA999" s="12">
        <f>AVERAGE((grand[[#This Row],[am]]/25),(grand[[#This Row],[pm]]/50))</f>
        <v>0.99272727272727268</v>
      </c>
      <c r="AB999" s="3">
        <f>grand[[#This Row],[ carcass weight]]/grand[[#This Row],[total weight]]</f>
        <v>0.62056603773584906</v>
      </c>
      <c r="AC999" s="18">
        <f>SUM(grand[[#This Row],[am]:[meat transportation]])/100</f>
        <v>0.92772727272727284</v>
      </c>
      <c r="AJ999" s="1">
        <v>7</v>
      </c>
      <c r="AK999" s="1"/>
      <c r="AL999" s="1"/>
    </row>
    <row r="1000" spans="1:38" hidden="1" x14ac:dyDescent="0.2">
      <c r="A1000" s="11">
        <v>45489</v>
      </c>
      <c r="B1000" s="53" t="s">
        <v>2004</v>
      </c>
      <c r="C1000" s="52" t="str">
        <f>IF(MID(B1000,4,2)="09","Ramadan",IF(AND(MID(B1000,4,2)="12",VALUE(LEFT(B1000,2))&lt;=9),"Adha Season","Normal"))</f>
        <v>Normal</v>
      </c>
      <c r="D1000" s="1" t="s">
        <v>45</v>
      </c>
      <c r="E1000" s="1" t="s">
        <v>528</v>
      </c>
      <c r="F1000" s="4" t="s">
        <v>639</v>
      </c>
      <c r="G1000" s="1">
        <v>7</v>
      </c>
      <c r="H1000" s="1">
        <v>7</v>
      </c>
      <c r="I1000" s="1">
        <f>grand[[#This Row],[number]]-grand[[#This Row],[received]]</f>
        <v>0</v>
      </c>
      <c r="J1000" s="30"/>
      <c r="K1000" s="2">
        <v>4404</v>
      </c>
      <c r="L1000" s="2">
        <v>4215</v>
      </c>
      <c r="M1000" s="2">
        <f>K1000-L1000</f>
        <v>189</v>
      </c>
      <c r="N1000" s="2">
        <v>2836.2</v>
      </c>
      <c r="O1000" s="2">
        <v>0</v>
      </c>
      <c r="P1000" s="7">
        <f>grand[[#This Row],[total weight]]/grand[[#This Row],[received]]</f>
        <v>629.14285714285711</v>
      </c>
      <c r="Q1000" s="7">
        <f>grand[[#This Row],[receiving weight]]/grand[[#This Row],[received]]</f>
        <v>602.14285714285711</v>
      </c>
      <c r="R1000" s="7">
        <f>grand[[#This Row],[transportation loss ]]/grand[[#This Row],[received]]</f>
        <v>27</v>
      </c>
      <c r="S1000" s="7">
        <f>grand[[#This Row],[ carcass weight]]/grand[[#This Row],[received]]</f>
        <v>405.17142857142852</v>
      </c>
      <c r="T1000" s="7">
        <f>grand[[#This Row],[ kidneys fat quantity]]/grand[[#This Row],[received]]</f>
        <v>0</v>
      </c>
      <c r="U1000" s="1">
        <v>25</v>
      </c>
      <c r="V1000" s="1">
        <v>0</v>
      </c>
      <c r="W1000" s="1">
        <v>49</v>
      </c>
      <c r="X1000" s="1">
        <v>10</v>
      </c>
      <c r="Y1000" s="1">
        <v>8.5</v>
      </c>
      <c r="Z1000" s="18">
        <f>grand[[#This Row],[av. Transportation loss]]/grand[[#This Row],[av.total weight]]</f>
        <v>4.2915531335149866E-2</v>
      </c>
      <c r="AA1000" s="12">
        <f>AVERAGE((grand[[#This Row],[am]]/25),(grand[[#This Row],[pm]]/50))</f>
        <v>0.99</v>
      </c>
      <c r="AB1000" s="3">
        <f>grand[[#This Row],[ carcass weight]]/grand[[#This Row],[total weight]]</f>
        <v>0.64400544959128059</v>
      </c>
      <c r="AC1000" s="18">
        <f>SUM(grand[[#This Row],[am]:[meat transportation]])/100</f>
        <v>0.92500000000000004</v>
      </c>
      <c r="AK1000" s="1"/>
      <c r="AL1000" s="1"/>
    </row>
    <row r="1001" spans="1:38" hidden="1" x14ac:dyDescent="0.2">
      <c r="A1001" s="11">
        <v>45490</v>
      </c>
      <c r="B1001" s="53" t="s">
        <v>2005</v>
      </c>
      <c r="C1001" s="52" t="str">
        <f>IF(MID(B1001,4,2)="09","Ramadan",IF(AND(MID(B1001,4,2)="12",VALUE(LEFT(B1001,2))&lt;=9),"Adha Season","Normal"))</f>
        <v>Normal</v>
      </c>
      <c r="D1001" s="1" t="s">
        <v>45</v>
      </c>
      <c r="E1001" s="1" t="s">
        <v>528</v>
      </c>
      <c r="F1001" s="4" t="s">
        <v>462</v>
      </c>
      <c r="G1001" s="1">
        <v>30</v>
      </c>
      <c r="H1001" s="1">
        <v>30</v>
      </c>
      <c r="I1001" s="1">
        <f>grand[[#This Row],[number]]-grand[[#This Row],[received]]</f>
        <v>0</v>
      </c>
      <c r="J1001" s="30"/>
      <c r="K1001" s="2">
        <v>13854.746835443</v>
      </c>
      <c r="L1001" s="2">
        <v>13854.746835443</v>
      </c>
      <c r="M1001" s="2">
        <f>K1001-L1001</f>
        <v>0</v>
      </c>
      <c r="N1001" s="2">
        <v>8756.2000000000007</v>
      </c>
      <c r="O1001" s="2"/>
      <c r="P1001" s="7">
        <f>grand[[#This Row],[total weight]]/grand[[#This Row],[received]]</f>
        <v>461.8248945147667</v>
      </c>
      <c r="Q1001" s="7">
        <f>grand[[#This Row],[receiving weight]]/grand[[#This Row],[received]]</f>
        <v>461.8248945147667</v>
      </c>
      <c r="R1001" s="7">
        <f>grand[[#This Row],[transportation loss ]]/grand[[#This Row],[received]]</f>
        <v>0</v>
      </c>
      <c r="S1001" s="7">
        <f>grand[[#This Row],[ carcass weight]]/grand[[#This Row],[received]]</f>
        <v>291.87333333333333</v>
      </c>
      <c r="T1001" s="7">
        <f>grand[[#This Row],[ kidneys fat quantity]]/grand[[#This Row],[received]]</f>
        <v>0</v>
      </c>
      <c r="U1001" s="1">
        <v>25</v>
      </c>
      <c r="V1001" s="1">
        <v>4</v>
      </c>
      <c r="W1001" s="1">
        <v>50</v>
      </c>
      <c r="X1001" s="1">
        <v>10</v>
      </c>
      <c r="Y1001" s="1">
        <v>8.5</v>
      </c>
      <c r="Z1001" s="18">
        <f>grand[[#This Row],[av. Transportation loss]]/grand[[#This Row],[av.total weight]]</f>
        <v>0</v>
      </c>
      <c r="AA1001" s="12">
        <f>AVERAGE((grand[[#This Row],[am]]/25),(grand[[#This Row],[pm]]/50))</f>
        <v>1</v>
      </c>
      <c r="AB1001" s="3">
        <f>grand[[#This Row],[ carcass weight]]/grand[[#This Row],[total weight]]</f>
        <v>0.63200000000000178</v>
      </c>
      <c r="AC1001" s="18">
        <f>SUM(grand[[#This Row],[am]:[meat transportation]])/100</f>
        <v>0.97499999999999998</v>
      </c>
      <c r="AK1001" s="1"/>
      <c r="AL1001" s="1"/>
    </row>
    <row r="1002" spans="1:38" hidden="1" x14ac:dyDescent="0.2">
      <c r="A1002" s="11">
        <v>45491</v>
      </c>
      <c r="B1002" s="53" t="s">
        <v>2006</v>
      </c>
      <c r="C1002" s="52" t="str">
        <f>IF(MID(B1002,4,2)="09","Ramadan",IF(AND(MID(B1002,4,2)="12",VALUE(LEFT(B1002,2))&lt;=9),"Adha Season","Normal"))</f>
        <v>Normal</v>
      </c>
      <c r="D1002" s="2" t="s">
        <v>294</v>
      </c>
      <c r="F1002" s="4" t="s">
        <v>637</v>
      </c>
      <c r="G1002" s="1">
        <v>21</v>
      </c>
      <c r="H1002" s="1">
        <v>21</v>
      </c>
      <c r="I1002" s="1">
        <f>grand[[#This Row],[number]]-grand[[#This Row],[received]]</f>
        <v>0</v>
      </c>
      <c r="J1002" s="30"/>
      <c r="K1002" s="2">
        <v>1090</v>
      </c>
      <c r="L1002" s="2">
        <v>1080</v>
      </c>
      <c r="M1002" s="2">
        <f>K1002-L1002</f>
        <v>10</v>
      </c>
      <c r="N1002" s="2">
        <v>608.4</v>
      </c>
      <c r="O1002" s="2">
        <v>0</v>
      </c>
      <c r="P1002" s="7">
        <f>grand[[#This Row],[total weight]]/grand[[#This Row],[received]]</f>
        <v>51.904761904761905</v>
      </c>
      <c r="Q1002" s="7">
        <f>grand[[#This Row],[receiving weight]]/grand[[#This Row],[received]]</f>
        <v>51.428571428571431</v>
      </c>
      <c r="R1002" s="7">
        <f>grand[[#This Row],[transportation loss ]]/grand[[#This Row],[received]]</f>
        <v>0.47619047619047616</v>
      </c>
      <c r="S1002" s="7">
        <f>grand[[#This Row],[ carcass weight]]/grand[[#This Row],[received]]</f>
        <v>28.971428571428572</v>
      </c>
      <c r="T1002" s="7">
        <f>grand[[#This Row],[ kidneys fat quantity]]/grand[[#This Row],[received]]</f>
        <v>0</v>
      </c>
      <c r="U1002" s="1">
        <v>25</v>
      </c>
      <c r="V1002" s="1">
        <v>0</v>
      </c>
      <c r="W1002" s="1">
        <v>47.238095238095234</v>
      </c>
      <c r="X1002" s="1">
        <v>10</v>
      </c>
      <c r="Y1002" s="1">
        <v>8.5</v>
      </c>
      <c r="Z1002" s="18">
        <f>grand[[#This Row],[av. Transportation loss]]/grand[[#This Row],[av.total weight]]</f>
        <v>9.1743119266055034E-3</v>
      </c>
      <c r="AA1002" s="12">
        <f>AVERAGE((grand[[#This Row],[am]]/25),(grand[[#This Row],[pm]]/50))</f>
        <v>0.97238095238095235</v>
      </c>
      <c r="AB1002" s="3">
        <f>grand[[#This Row],[ carcass weight]]/grand[[#This Row],[total weight]]</f>
        <v>0.5581651376146789</v>
      </c>
      <c r="AC1002" s="18">
        <f>SUM(grand[[#This Row],[am]:[meat transportation]])/100</f>
        <v>0.9073809523809524</v>
      </c>
      <c r="AK1002" s="1"/>
      <c r="AL1002" s="1"/>
    </row>
    <row r="1003" spans="1:38" hidden="1" x14ac:dyDescent="0.2">
      <c r="A1003" s="11">
        <v>45491</v>
      </c>
      <c r="B1003" s="53" t="s">
        <v>2006</v>
      </c>
      <c r="C1003" s="52" t="str">
        <f>IF(MID(B1003,4,2)="09","Ramadan",IF(AND(MID(B1003,4,2)="12",VALUE(LEFT(B1003,2))&lt;=9),"Adha Season","Normal"))</f>
        <v>Normal</v>
      </c>
      <c r="D1003" s="1" t="s">
        <v>45</v>
      </c>
      <c r="E1003" s="1" t="s">
        <v>528</v>
      </c>
      <c r="F1003" s="4" t="s">
        <v>280</v>
      </c>
      <c r="G1003" s="1">
        <v>13</v>
      </c>
      <c r="H1003" s="1">
        <v>13</v>
      </c>
      <c r="I1003" s="1">
        <f>grand[[#This Row],[number]]-grand[[#This Row],[received]]</f>
        <v>0</v>
      </c>
      <c r="J1003" s="30"/>
      <c r="K1003" s="2">
        <v>6890</v>
      </c>
      <c r="L1003" s="2">
        <v>6890</v>
      </c>
      <c r="M1003" s="2">
        <f>K1003-L1003</f>
        <v>0</v>
      </c>
      <c r="N1003" s="2">
        <v>4275.7</v>
      </c>
      <c r="O1003" s="2">
        <v>84</v>
      </c>
      <c r="P1003" s="7">
        <f>grand[[#This Row],[total weight]]/grand[[#This Row],[received]]</f>
        <v>530</v>
      </c>
      <c r="Q1003" s="7">
        <f>grand[[#This Row],[receiving weight]]/grand[[#This Row],[received]]</f>
        <v>530</v>
      </c>
      <c r="R1003" s="7">
        <f>grand[[#This Row],[transportation loss ]]/grand[[#This Row],[received]]</f>
        <v>0</v>
      </c>
      <c r="S1003" s="7">
        <f>grand[[#This Row],[ carcass weight]]/grand[[#This Row],[received]]</f>
        <v>328.9</v>
      </c>
      <c r="T1003" s="7">
        <f>grand[[#This Row],[ kidneys fat quantity]]/grand[[#This Row],[received]]</f>
        <v>6.4615384615384617</v>
      </c>
      <c r="U1003" s="1">
        <v>25</v>
      </c>
      <c r="V1003" s="1">
        <v>0</v>
      </c>
      <c r="W1003" s="1">
        <v>46.692307692307701</v>
      </c>
      <c r="X1003" s="1">
        <v>10</v>
      </c>
      <c r="Y1003" s="1">
        <v>8.5</v>
      </c>
      <c r="Z1003" s="18">
        <f>grand[[#This Row],[av. Transportation loss]]/grand[[#This Row],[av.total weight]]</f>
        <v>0</v>
      </c>
      <c r="AA1003" s="12">
        <f>AVERAGE((grand[[#This Row],[am]]/25),(grand[[#This Row],[pm]]/50))</f>
        <v>0.966923076923077</v>
      </c>
      <c r="AB1003" s="3">
        <f>grand[[#This Row],[ carcass weight]]/grand[[#This Row],[total weight]]</f>
        <v>0.62056603773584906</v>
      </c>
      <c r="AC1003" s="18">
        <f>SUM(grand[[#This Row],[am]:[meat transportation]])/100</f>
        <v>0.90192307692307705</v>
      </c>
      <c r="AJ1003" s="1">
        <v>3</v>
      </c>
      <c r="AK1003" s="1"/>
      <c r="AL1003" s="1"/>
    </row>
    <row r="1004" spans="1:38" hidden="1" x14ac:dyDescent="0.2">
      <c r="A1004" s="11">
        <v>45491</v>
      </c>
      <c r="B1004" s="53" t="s">
        <v>2006</v>
      </c>
      <c r="C1004" s="52" t="str">
        <f>IF(MID(B1004,4,2)="09","Ramadan",IF(AND(MID(B1004,4,2)="12",VALUE(LEFT(B1004,2))&lt;=9),"Adha Season","Normal"))</f>
        <v>Normal</v>
      </c>
      <c r="D1004" s="1" t="s">
        <v>45</v>
      </c>
      <c r="E1004" s="1" t="s">
        <v>528</v>
      </c>
      <c r="F1004" s="4" t="s">
        <v>639</v>
      </c>
      <c r="G1004" s="1">
        <v>7</v>
      </c>
      <c r="H1004" s="1">
        <v>7</v>
      </c>
      <c r="I1004" s="1">
        <f>grand[[#This Row],[number]]-grand[[#This Row],[received]]</f>
        <v>0</v>
      </c>
      <c r="J1004" s="30"/>
      <c r="K1004" s="2">
        <v>4404</v>
      </c>
      <c r="L1004" s="2">
        <v>4215</v>
      </c>
      <c r="M1004" s="2">
        <f>K1004-L1004</f>
        <v>189</v>
      </c>
      <c r="N1004" s="2">
        <v>2836.2</v>
      </c>
      <c r="O1004" s="2">
        <v>0</v>
      </c>
      <c r="P1004" s="7">
        <f>grand[[#This Row],[total weight]]/grand[[#This Row],[received]]</f>
        <v>629.14285714285711</v>
      </c>
      <c r="Q1004" s="7">
        <f>grand[[#This Row],[receiving weight]]/grand[[#This Row],[received]]</f>
        <v>602.14285714285711</v>
      </c>
      <c r="R1004" s="7">
        <f>grand[[#This Row],[transportation loss ]]/grand[[#This Row],[received]]</f>
        <v>27</v>
      </c>
      <c r="S1004" s="7">
        <f>grand[[#This Row],[ carcass weight]]/grand[[#This Row],[received]]</f>
        <v>405.17142857142852</v>
      </c>
      <c r="T1004" s="7">
        <f>grand[[#This Row],[ kidneys fat quantity]]/grand[[#This Row],[received]]</f>
        <v>0</v>
      </c>
      <c r="U1004" s="1">
        <v>25</v>
      </c>
      <c r="V1004" s="1">
        <v>0</v>
      </c>
      <c r="W1004" s="1">
        <v>49</v>
      </c>
      <c r="X1004" s="1">
        <v>10</v>
      </c>
      <c r="Y1004" s="1">
        <v>8.5</v>
      </c>
      <c r="Z1004" s="18">
        <f>grand[[#This Row],[av. Transportation loss]]/grand[[#This Row],[av.total weight]]</f>
        <v>4.2915531335149866E-2</v>
      </c>
      <c r="AA1004" s="12">
        <f>AVERAGE((grand[[#This Row],[am]]/25),(grand[[#This Row],[pm]]/50))</f>
        <v>0.99</v>
      </c>
      <c r="AB1004" s="3">
        <f>grand[[#This Row],[ carcass weight]]/grand[[#This Row],[total weight]]</f>
        <v>0.64400544959128059</v>
      </c>
      <c r="AC1004" s="18">
        <f>SUM(grand[[#This Row],[am]:[meat transportation]])/100</f>
        <v>0.92500000000000004</v>
      </c>
      <c r="AK1004" s="1"/>
      <c r="AL1004" s="1"/>
    </row>
    <row r="1005" spans="1:38" hidden="1" x14ac:dyDescent="0.2">
      <c r="A1005" s="11">
        <v>45492</v>
      </c>
      <c r="B1005" s="53" t="s">
        <v>2007</v>
      </c>
      <c r="C1005" s="52" t="str">
        <f>IF(MID(B1005,4,2)="09","Ramadan",IF(AND(MID(B1005,4,2)="12",VALUE(LEFT(B1005,2))&lt;=9),"Adha Season","Normal"))</f>
        <v>Normal</v>
      </c>
      <c r="D1005" s="1" t="s">
        <v>45</v>
      </c>
      <c r="E1005" s="1" t="s">
        <v>528</v>
      </c>
      <c r="F1005" s="4" t="s">
        <v>462</v>
      </c>
      <c r="G1005" s="1">
        <v>30</v>
      </c>
      <c r="H1005" s="1">
        <v>30</v>
      </c>
      <c r="I1005" s="1">
        <f>grand[[#This Row],[number]]-grand[[#This Row],[received]]</f>
        <v>0</v>
      </c>
      <c r="J1005" s="30"/>
      <c r="K1005" s="2">
        <v>13343.987341772152</v>
      </c>
      <c r="L1005" s="2">
        <v>13343.987341772152</v>
      </c>
      <c r="M1005" s="2">
        <f>K1005-L1005</f>
        <v>0</v>
      </c>
      <c r="N1005" s="2">
        <v>8433.4</v>
      </c>
      <c r="O1005" s="2">
        <v>0</v>
      </c>
      <c r="P1005" s="7">
        <f>grand[[#This Row],[total weight]]/grand[[#This Row],[received]]</f>
        <v>444.79957805907173</v>
      </c>
      <c r="Q1005" s="7">
        <f>grand[[#This Row],[receiving weight]]/grand[[#This Row],[received]]</f>
        <v>444.79957805907173</v>
      </c>
      <c r="R1005" s="7">
        <f>grand[[#This Row],[transportation loss ]]/grand[[#This Row],[received]]</f>
        <v>0</v>
      </c>
      <c r="S1005" s="7">
        <f>grand[[#This Row],[ carcass weight]]/grand[[#This Row],[received]]</f>
        <v>281.11333333333334</v>
      </c>
      <c r="T1005" s="7">
        <f>grand[[#This Row],[ kidneys fat quantity]]/grand[[#This Row],[received]]</f>
        <v>0</v>
      </c>
      <c r="U1005" s="1">
        <v>25</v>
      </c>
      <c r="V1005" s="1">
        <v>4</v>
      </c>
      <c r="W1005" s="1">
        <v>50</v>
      </c>
      <c r="X1005" s="1">
        <v>10</v>
      </c>
      <c r="Y1005" s="1">
        <v>8.5</v>
      </c>
      <c r="Z1005" s="18">
        <f>grand[[#This Row],[av. Transportation loss]]/grand[[#This Row],[av.total weight]]</f>
        <v>0</v>
      </c>
      <c r="AA1005" s="12">
        <f>AVERAGE((grand[[#This Row],[am]]/25),(grand[[#This Row],[pm]]/50))</f>
        <v>1</v>
      </c>
      <c r="AB1005" s="3">
        <f>grand[[#This Row],[ carcass weight]]/grand[[#This Row],[total weight]]</f>
        <v>0.63200000000000001</v>
      </c>
      <c r="AC1005" s="18">
        <f>SUM(grand[[#This Row],[am]:[meat transportation]])/100</f>
        <v>0.97499999999999998</v>
      </c>
      <c r="AK1005" s="1"/>
      <c r="AL1005" s="1"/>
    </row>
    <row r="1006" spans="1:38" hidden="1" x14ac:dyDescent="0.2">
      <c r="A1006" s="11">
        <v>45494</v>
      </c>
      <c r="B1006" s="53" t="s">
        <v>2008</v>
      </c>
      <c r="C1006" s="52" t="str">
        <f>IF(MID(B1006,4,2)="09","Ramadan",IF(AND(MID(B1006,4,2)="12",VALUE(LEFT(B1006,2))&lt;=9),"Adha Season","Normal"))</f>
        <v>Normal</v>
      </c>
      <c r="D1006" s="2" t="s">
        <v>294</v>
      </c>
      <c r="F1006" s="4" t="s">
        <v>637</v>
      </c>
      <c r="G1006" s="1">
        <v>22</v>
      </c>
      <c r="H1006" s="1">
        <v>22</v>
      </c>
      <c r="I1006" s="1">
        <f>grand[[#This Row],[number]]-grand[[#This Row],[received]]</f>
        <v>0</v>
      </c>
      <c r="J1006" s="30"/>
      <c r="K1006" s="2">
        <v>1055</v>
      </c>
      <c r="L1006" s="2">
        <v>1045</v>
      </c>
      <c r="M1006" s="2">
        <f>K1006-L1006</f>
        <v>10</v>
      </c>
      <c r="N1006" s="2">
        <v>571.20000000000005</v>
      </c>
      <c r="O1006" s="2">
        <v>0</v>
      </c>
      <c r="P1006" s="7">
        <f>grand[[#This Row],[total weight]]/grand[[#This Row],[received]]</f>
        <v>47.954545454545453</v>
      </c>
      <c r="Q1006" s="7">
        <f>grand[[#This Row],[receiving weight]]/grand[[#This Row],[received]]</f>
        <v>47.5</v>
      </c>
      <c r="R1006" s="7">
        <f>grand[[#This Row],[transportation loss ]]/grand[[#This Row],[received]]</f>
        <v>0.45454545454545453</v>
      </c>
      <c r="S1006" s="7">
        <f>grand[[#This Row],[ carcass weight]]/grand[[#This Row],[received]]</f>
        <v>25.963636363636365</v>
      </c>
      <c r="T1006" s="7">
        <f>grand[[#This Row],[ kidneys fat quantity]]/grand[[#This Row],[received]]</f>
        <v>0</v>
      </c>
      <c r="U1006" s="1">
        <v>25</v>
      </c>
      <c r="V1006" s="1">
        <v>0</v>
      </c>
      <c r="W1006" s="1">
        <v>46.36363636363636</v>
      </c>
      <c r="X1006" s="1">
        <v>10</v>
      </c>
      <c r="Y1006" s="1">
        <v>8.5</v>
      </c>
      <c r="Z1006" s="18">
        <f>grand[[#This Row],[av. Transportation loss]]/grand[[#This Row],[av.total weight]]</f>
        <v>9.4786729857819912E-3</v>
      </c>
      <c r="AA1006" s="12">
        <f>AVERAGE((grand[[#This Row],[am]]/25),(grand[[#This Row],[pm]]/50))</f>
        <v>0.96363636363636362</v>
      </c>
      <c r="AB1006" s="3">
        <f>grand[[#This Row],[ carcass weight]]/grand[[#This Row],[total weight]]</f>
        <v>0.54142180094786729</v>
      </c>
      <c r="AC1006" s="18">
        <f>SUM(grand[[#This Row],[am]:[meat transportation]])/100</f>
        <v>0.89863636363636357</v>
      </c>
      <c r="AK1006" s="1"/>
      <c r="AL1006" s="1"/>
    </row>
    <row r="1007" spans="1:38" hidden="1" x14ac:dyDescent="0.2">
      <c r="A1007" s="11">
        <v>45494</v>
      </c>
      <c r="B1007" s="53" t="s">
        <v>2008</v>
      </c>
      <c r="C1007" s="52" t="str">
        <f>IF(MID(B1007,4,2)="09","Ramadan",IF(AND(MID(B1007,4,2)="12",VALUE(LEFT(B1007,2))&lt;=9),"Adha Season","Normal"))</f>
        <v>Normal</v>
      </c>
      <c r="D1007" s="1" t="s">
        <v>45</v>
      </c>
      <c r="E1007" s="1" t="s">
        <v>528</v>
      </c>
      <c r="F1007" s="4" t="s">
        <v>280</v>
      </c>
      <c r="G1007" s="1">
        <v>48</v>
      </c>
      <c r="H1007" s="1">
        <v>48</v>
      </c>
      <c r="I1007" s="1">
        <f>grand[[#This Row],[number]]-grand[[#This Row],[received]]</f>
        <v>0</v>
      </c>
      <c r="J1007" s="30"/>
      <c r="K1007" s="2">
        <v>25900</v>
      </c>
      <c r="L1007" s="2">
        <v>24905</v>
      </c>
      <c r="M1007" s="2">
        <f>K1007-L1007</f>
        <v>995</v>
      </c>
      <c r="N1007" s="2">
        <v>16062.9</v>
      </c>
      <c r="O1007" s="2">
        <v>324</v>
      </c>
      <c r="P1007" s="7">
        <f>grand[[#This Row],[total weight]]/grand[[#This Row],[received]]</f>
        <v>539.58333333333337</v>
      </c>
      <c r="Q1007" s="7">
        <f>grand[[#This Row],[receiving weight]]/grand[[#This Row],[received]]</f>
        <v>518.85416666666663</v>
      </c>
      <c r="R1007" s="7">
        <f>grand[[#This Row],[transportation loss ]]/grand[[#This Row],[received]]</f>
        <v>20.729166666666668</v>
      </c>
      <c r="S1007" s="7">
        <f>grand[[#This Row],[ carcass weight]]/grand[[#This Row],[received]]</f>
        <v>334.64375000000001</v>
      </c>
      <c r="T1007" s="7">
        <f>grand[[#This Row],[ kidneys fat quantity]]/grand[[#This Row],[received]]</f>
        <v>6.75</v>
      </c>
      <c r="U1007" s="1">
        <v>24.645833333333332</v>
      </c>
      <c r="V1007" s="1">
        <v>0</v>
      </c>
      <c r="W1007" s="1">
        <v>47.770833333333336</v>
      </c>
      <c r="X1007" s="1">
        <v>10</v>
      </c>
      <c r="Y1007" s="1">
        <v>8.5</v>
      </c>
      <c r="Z1007" s="18">
        <f>grand[[#This Row],[av. Transportation loss]]/grand[[#This Row],[av.total weight]]</f>
        <v>3.8416988416988415E-2</v>
      </c>
      <c r="AA1007" s="12">
        <f>AVERAGE((grand[[#This Row],[am]]/25),(grand[[#This Row],[pm]]/50))</f>
        <v>0.97062500000000007</v>
      </c>
      <c r="AB1007" s="3">
        <f>grand[[#This Row],[ carcass weight]]/grand[[#This Row],[total weight]]</f>
        <v>0.62018918918918919</v>
      </c>
      <c r="AC1007" s="18">
        <f>SUM(grand[[#This Row],[am]:[meat transportation]])/100</f>
        <v>0.90916666666666668</v>
      </c>
      <c r="AJ1007" s="1">
        <v>13</v>
      </c>
      <c r="AK1007" s="1"/>
      <c r="AL1007" s="1"/>
    </row>
    <row r="1008" spans="1:38" hidden="1" x14ac:dyDescent="0.2">
      <c r="A1008" s="11">
        <v>45495</v>
      </c>
      <c r="B1008" s="53" t="s">
        <v>2009</v>
      </c>
      <c r="C1008" s="52" t="str">
        <f>IF(MID(B1008,4,2)="09","Ramadan",IF(AND(MID(B1008,4,2)="12",VALUE(LEFT(B1008,2))&lt;=9),"Adha Season","Normal"))</f>
        <v>Normal</v>
      </c>
      <c r="D1008" s="1" t="s">
        <v>45</v>
      </c>
      <c r="E1008" s="1" t="s">
        <v>528</v>
      </c>
      <c r="F1008" s="4" t="s">
        <v>462</v>
      </c>
      <c r="G1008" s="1">
        <v>47</v>
      </c>
      <c r="H1008" s="1">
        <v>47</v>
      </c>
      <c r="I1008" s="1">
        <f>grand[[#This Row],[number]]-grand[[#This Row],[received]]</f>
        <v>0</v>
      </c>
      <c r="J1008" s="30"/>
      <c r="K1008" s="2">
        <v>21467.721518987342</v>
      </c>
      <c r="L1008" s="2">
        <v>21467.721518987342</v>
      </c>
      <c r="M1008" s="2">
        <f>K1008-L1008</f>
        <v>0</v>
      </c>
      <c r="N1008" s="2">
        <v>13567.6</v>
      </c>
      <c r="O1008" s="2">
        <v>0</v>
      </c>
      <c r="P1008" s="7">
        <f>grand[[#This Row],[total weight]]/grand[[#This Row],[received]]</f>
        <v>456.76003231887961</v>
      </c>
      <c r="Q1008" s="7">
        <f>grand[[#This Row],[receiving weight]]/grand[[#This Row],[received]]</f>
        <v>456.76003231887961</v>
      </c>
      <c r="R1008" s="7">
        <f>grand[[#This Row],[transportation loss ]]/grand[[#This Row],[received]]</f>
        <v>0</v>
      </c>
      <c r="S1008" s="7">
        <f>grand[[#This Row],[ carcass weight]]/grand[[#This Row],[received]]</f>
        <v>288.6723404255319</v>
      </c>
      <c r="T1008" s="7">
        <f>grand[[#This Row],[ kidneys fat quantity]]/grand[[#This Row],[received]]</f>
        <v>0</v>
      </c>
      <c r="U1008" s="1">
        <v>25</v>
      </c>
      <c r="V1008" s="1">
        <v>4</v>
      </c>
      <c r="W1008" s="1">
        <v>50</v>
      </c>
      <c r="X1008" s="1">
        <v>10</v>
      </c>
      <c r="Y1008" s="1">
        <v>8.5</v>
      </c>
      <c r="Z1008" s="18">
        <f>grand[[#This Row],[av. Transportation loss]]/grand[[#This Row],[av.total weight]]</f>
        <v>0</v>
      </c>
      <c r="AA1008" s="12">
        <f>AVERAGE((grand[[#This Row],[am]]/25),(grand[[#This Row],[pm]]/50))</f>
        <v>1</v>
      </c>
      <c r="AB1008" s="3">
        <f>grand[[#This Row],[ carcass weight]]/grand[[#This Row],[total weight]]</f>
        <v>0.63200000000000001</v>
      </c>
      <c r="AC1008" s="18">
        <f>SUM(grand[[#This Row],[am]:[meat transportation]])/100</f>
        <v>0.97499999999999998</v>
      </c>
      <c r="AK1008" s="1"/>
      <c r="AL1008" s="1"/>
    </row>
    <row r="1009" spans="1:38" hidden="1" x14ac:dyDescent="0.2">
      <c r="A1009" s="11">
        <v>45497</v>
      </c>
      <c r="B1009" s="53" t="s">
        <v>2010</v>
      </c>
      <c r="C1009" s="52" t="str">
        <f>IF(MID(B1009,4,2)="09","Ramadan",IF(AND(MID(B1009,4,2)="12",VALUE(LEFT(B1009,2))&lt;=9),"Adha Season","Normal"))</f>
        <v>Normal</v>
      </c>
      <c r="D1009" s="1" t="s">
        <v>45</v>
      </c>
      <c r="E1009" s="1" t="s">
        <v>528</v>
      </c>
      <c r="F1009" s="4" t="s">
        <v>462</v>
      </c>
      <c r="G1009" s="1">
        <v>20</v>
      </c>
      <c r="H1009" s="1">
        <v>20</v>
      </c>
      <c r="I1009" s="1">
        <f>grand[[#This Row],[number]]-grand[[#This Row],[received]]</f>
        <v>0</v>
      </c>
      <c r="J1009" s="30"/>
      <c r="K1009" s="2">
        <v>9062.3417721518981</v>
      </c>
      <c r="L1009" s="2">
        <v>9062.3417721518981</v>
      </c>
      <c r="M1009" s="2">
        <f>K1009-L1009</f>
        <v>0</v>
      </c>
      <c r="N1009" s="2">
        <v>5727.4</v>
      </c>
      <c r="O1009" s="2">
        <v>0</v>
      </c>
      <c r="P1009" s="7">
        <f>grand[[#This Row],[total weight]]/grand[[#This Row],[received]]</f>
        <v>453.11708860759489</v>
      </c>
      <c r="Q1009" s="7">
        <f>grand[[#This Row],[receiving weight]]/grand[[#This Row],[received]]</f>
        <v>453.11708860759489</v>
      </c>
      <c r="R1009" s="7">
        <f>grand[[#This Row],[transportation loss ]]/grand[[#This Row],[received]]</f>
        <v>0</v>
      </c>
      <c r="S1009" s="7">
        <f>grand[[#This Row],[ carcass weight]]/grand[[#This Row],[received]]</f>
        <v>286.37</v>
      </c>
      <c r="T1009" s="7">
        <f>grand[[#This Row],[ kidneys fat quantity]]/grand[[#This Row],[received]]</f>
        <v>0</v>
      </c>
      <c r="U1009" s="1">
        <v>25</v>
      </c>
      <c r="V1009" s="1">
        <v>4</v>
      </c>
      <c r="W1009" s="1">
        <v>50</v>
      </c>
      <c r="X1009" s="1">
        <v>10</v>
      </c>
      <c r="Y1009" s="1">
        <v>8.5</v>
      </c>
      <c r="Z1009" s="18">
        <f>grand[[#This Row],[av. Transportation loss]]/grand[[#This Row],[av.total weight]]</f>
        <v>0</v>
      </c>
      <c r="AA1009" s="12">
        <f>AVERAGE((grand[[#This Row],[am]]/25),(grand[[#This Row],[pm]]/50))</f>
        <v>1</v>
      </c>
      <c r="AB1009" s="3">
        <f>grand[[#This Row],[ carcass weight]]/grand[[#This Row],[total weight]]</f>
        <v>0.63200000000000001</v>
      </c>
      <c r="AC1009" s="18">
        <f>SUM(grand[[#This Row],[am]:[meat transportation]])/100</f>
        <v>0.97499999999999998</v>
      </c>
      <c r="AK1009" s="1"/>
      <c r="AL1009" s="1"/>
    </row>
    <row r="1010" spans="1:38" hidden="1" x14ac:dyDescent="0.2">
      <c r="A1010" s="11">
        <v>45498</v>
      </c>
      <c r="B1010" s="53" t="s">
        <v>2011</v>
      </c>
      <c r="C1010" s="52" t="str">
        <f>IF(MID(B1010,4,2)="09","Ramadan",IF(AND(MID(B1010,4,2)="12",VALUE(LEFT(B1010,2))&lt;=9),"Adha Season","Normal"))</f>
        <v>Normal</v>
      </c>
      <c r="D1010" s="1" t="s">
        <v>45</v>
      </c>
      <c r="E1010" s="1" t="s">
        <v>528</v>
      </c>
      <c r="F1010" s="4" t="s">
        <v>280</v>
      </c>
      <c r="G1010" s="1">
        <v>36</v>
      </c>
      <c r="H1010" s="1">
        <v>36</v>
      </c>
      <c r="I1010" s="1">
        <f>grand[[#This Row],[number]]-grand[[#This Row],[received]]</f>
        <v>0</v>
      </c>
      <c r="J1010" s="30"/>
      <c r="K1010" s="2">
        <v>18500</v>
      </c>
      <c r="L1010" s="2">
        <v>17850</v>
      </c>
      <c r="M1010" s="2">
        <f>K1010-L1010</f>
        <v>650</v>
      </c>
      <c r="N1010" s="2">
        <v>11465.5</v>
      </c>
      <c r="O1010" s="2">
        <v>210</v>
      </c>
      <c r="P1010" s="7">
        <f>grand[[#This Row],[total weight]]/grand[[#This Row],[received]]</f>
        <v>513.88888888888891</v>
      </c>
      <c r="Q1010" s="7">
        <f>grand[[#This Row],[receiving weight]]/grand[[#This Row],[received]]</f>
        <v>495.83333333333331</v>
      </c>
      <c r="R1010" s="7">
        <f>grand[[#This Row],[transportation loss ]]/grand[[#This Row],[received]]</f>
        <v>18.055555555555557</v>
      </c>
      <c r="S1010" s="7">
        <f>grand[[#This Row],[ carcass weight]]/grand[[#This Row],[received]]</f>
        <v>318.48611111111109</v>
      </c>
      <c r="T1010" s="7">
        <f>grand[[#This Row],[ kidneys fat quantity]]/grand[[#This Row],[received]]</f>
        <v>5.833333333333333</v>
      </c>
      <c r="U1010" s="1">
        <v>25</v>
      </c>
      <c r="V1010" s="1">
        <v>0</v>
      </c>
      <c r="W1010" s="1">
        <v>49.138888888888893</v>
      </c>
      <c r="X1010" s="1">
        <v>10</v>
      </c>
      <c r="Y1010" s="1">
        <v>8.5</v>
      </c>
      <c r="Z1010" s="18">
        <f>grand[[#This Row],[av. Transportation loss]]/grand[[#This Row],[av.total weight]]</f>
        <v>3.5135135135135137E-2</v>
      </c>
      <c r="AA1010" s="12">
        <f>AVERAGE((grand[[#This Row],[am]]/25),(grand[[#This Row],[pm]]/50))</f>
        <v>0.99138888888888888</v>
      </c>
      <c r="AB1010" s="3">
        <f>grand[[#This Row],[ carcass weight]]/grand[[#This Row],[total weight]]</f>
        <v>0.61975675675675679</v>
      </c>
      <c r="AC1010" s="18">
        <f>SUM(grand[[#This Row],[am]:[meat transportation]])/100</f>
        <v>0.92638888888888882</v>
      </c>
      <c r="AJ1010" s="1">
        <v>8</v>
      </c>
      <c r="AK1010" s="1"/>
      <c r="AL1010" s="1"/>
    </row>
    <row r="1011" spans="1:38" hidden="1" x14ac:dyDescent="0.2">
      <c r="A1011" s="11">
        <v>45500</v>
      </c>
      <c r="B1011" s="53" t="s">
        <v>2012</v>
      </c>
      <c r="C1011" s="52" t="str">
        <f>IF(MID(B1011,4,2)="09","Ramadan",IF(AND(MID(B1011,4,2)="12",VALUE(LEFT(B1011,2))&lt;=9),"Adha Season","Normal"))</f>
        <v>Normal</v>
      </c>
      <c r="D1011" s="1" t="s">
        <v>45</v>
      </c>
      <c r="E1011" s="1" t="s">
        <v>483</v>
      </c>
      <c r="F1011" s="4" t="s">
        <v>44</v>
      </c>
      <c r="G1011" s="1">
        <v>42</v>
      </c>
      <c r="H1011" s="1">
        <v>42</v>
      </c>
      <c r="I1011" s="1">
        <f>grand[[#This Row],[number]]-grand[[#This Row],[received]]</f>
        <v>0</v>
      </c>
      <c r="J1011" s="30"/>
      <c r="K1011" s="2">
        <v>17923</v>
      </c>
      <c r="L1011" s="2">
        <v>17615</v>
      </c>
      <c r="M1011" s="2">
        <f>K1011-L1011</f>
        <v>308</v>
      </c>
      <c r="N1011" s="2">
        <v>10753.3</v>
      </c>
      <c r="O1011" s="2">
        <v>239</v>
      </c>
      <c r="P1011" s="7">
        <f>grand[[#This Row],[total weight]]/grand[[#This Row],[received]]</f>
        <v>426.73809523809524</v>
      </c>
      <c r="Q1011" s="7">
        <f>grand[[#This Row],[receiving weight]]/grand[[#This Row],[received]]</f>
        <v>419.40476190476193</v>
      </c>
      <c r="R1011" s="7">
        <f>grand[[#This Row],[transportation loss ]]/grand[[#This Row],[received]]</f>
        <v>7.333333333333333</v>
      </c>
      <c r="S1011" s="7">
        <f>grand[[#This Row],[ carcass weight]]/grand[[#This Row],[received]]</f>
        <v>256.03095238095239</v>
      </c>
      <c r="T1011" s="7">
        <f>grand[[#This Row],[ kidneys fat quantity]]/grand[[#This Row],[received]]</f>
        <v>5.6904761904761907</v>
      </c>
      <c r="U1011" s="1">
        <v>25</v>
      </c>
      <c r="V1011" s="1">
        <v>0</v>
      </c>
      <c r="W1011" s="1">
        <v>49.476190476190474</v>
      </c>
      <c r="X1011" s="1">
        <v>10</v>
      </c>
      <c r="Y1011" s="1">
        <v>8.5</v>
      </c>
      <c r="Z1011" s="18">
        <f>grand[[#This Row],[av. Transportation loss]]/grand[[#This Row],[av.total weight]]</f>
        <v>1.7184623109970428E-2</v>
      </c>
      <c r="AA1011" s="12">
        <f>AVERAGE((grand[[#This Row],[am]]/25),(grand[[#This Row],[pm]]/50))</f>
        <v>0.99476190476190474</v>
      </c>
      <c r="AB1011" s="3">
        <f>grand[[#This Row],[ carcass weight]]/grand[[#This Row],[total weight]]</f>
        <v>0.59997210288456171</v>
      </c>
      <c r="AC1011" s="18">
        <f>SUM(grand[[#This Row],[am]:[meat transportation]])/100</f>
        <v>0.92976190476190479</v>
      </c>
      <c r="AJ1011" s="1">
        <v>7</v>
      </c>
      <c r="AK1011" s="1"/>
      <c r="AL1011" s="1"/>
    </row>
    <row r="1012" spans="1:38" hidden="1" x14ac:dyDescent="0.2">
      <c r="A1012" s="11">
        <v>45500</v>
      </c>
      <c r="B1012" s="53" t="s">
        <v>2012</v>
      </c>
      <c r="C1012" s="52" t="str">
        <f>IF(MID(B1012,4,2)="09","Ramadan",IF(AND(MID(B1012,4,2)="12",VALUE(LEFT(B1012,2))&lt;=9),"Adha Season","Normal"))</f>
        <v>Normal</v>
      </c>
      <c r="D1012" s="1" t="s">
        <v>45</v>
      </c>
      <c r="E1012" s="1" t="s">
        <v>528</v>
      </c>
      <c r="F1012" s="4" t="s">
        <v>462</v>
      </c>
      <c r="G1012" s="1">
        <v>51</v>
      </c>
      <c r="H1012" s="1">
        <v>51</v>
      </c>
      <c r="I1012" s="1">
        <f>grand[[#This Row],[number]]-grand[[#This Row],[received]]</f>
        <v>0</v>
      </c>
      <c r="J1012" s="30"/>
      <c r="K1012" s="2">
        <v>23922.784810126581</v>
      </c>
      <c r="L1012" s="2">
        <v>23922.784810126581</v>
      </c>
      <c r="M1012" s="2">
        <f>K1012-L1012</f>
        <v>0</v>
      </c>
      <c r="N1012" s="2">
        <v>15119.2</v>
      </c>
      <c r="O1012" s="2">
        <v>0</v>
      </c>
      <c r="P1012" s="7">
        <f>grand[[#This Row],[total weight]]/grand[[#This Row],[received]]</f>
        <v>469.07421196326629</v>
      </c>
      <c r="Q1012" s="7">
        <f>grand[[#This Row],[receiving weight]]/grand[[#This Row],[received]]</f>
        <v>469.07421196326629</v>
      </c>
      <c r="R1012" s="7">
        <f>grand[[#This Row],[transportation loss ]]/grand[[#This Row],[received]]</f>
        <v>0</v>
      </c>
      <c r="S1012" s="7">
        <f>grand[[#This Row],[ carcass weight]]/grand[[#This Row],[received]]</f>
        <v>296.45490196078435</v>
      </c>
      <c r="T1012" s="7">
        <f>grand[[#This Row],[ kidneys fat quantity]]/grand[[#This Row],[received]]</f>
        <v>0</v>
      </c>
      <c r="U1012" s="1">
        <v>25</v>
      </c>
      <c r="V1012" s="1">
        <v>4</v>
      </c>
      <c r="W1012" s="1">
        <v>50</v>
      </c>
      <c r="X1012" s="1">
        <v>10</v>
      </c>
      <c r="Y1012" s="1">
        <v>8.5</v>
      </c>
      <c r="Z1012" s="18">
        <f>grand[[#This Row],[av. Transportation loss]]/grand[[#This Row],[av.total weight]]</f>
        <v>0</v>
      </c>
      <c r="AA1012" s="12">
        <f>AVERAGE((grand[[#This Row],[am]]/25),(grand[[#This Row],[pm]]/50))</f>
        <v>1</v>
      </c>
      <c r="AB1012" s="3">
        <f>grand[[#This Row],[ carcass weight]]/grand[[#This Row],[total weight]]</f>
        <v>0.63200000000000012</v>
      </c>
      <c r="AC1012" s="18">
        <f>SUM(grand[[#This Row],[am]:[meat transportation]])/100</f>
        <v>0.97499999999999998</v>
      </c>
      <c r="AK1012" s="1"/>
      <c r="AL1012" s="1"/>
    </row>
    <row r="1013" spans="1:38" hidden="1" x14ac:dyDescent="0.2">
      <c r="A1013" s="11">
        <v>45503</v>
      </c>
      <c r="B1013" s="53" t="s">
        <v>2013</v>
      </c>
      <c r="C1013" s="52" t="str">
        <f>IF(MID(B1013,4,2)="09","Ramadan",IF(AND(MID(B1013,4,2)="12",VALUE(LEFT(B1013,2))&lt;=9),"Adha Season","Normal"))</f>
        <v>Normal</v>
      </c>
      <c r="D1013" s="2" t="s">
        <v>294</v>
      </c>
      <c r="F1013" s="4" t="s">
        <v>280</v>
      </c>
      <c r="G1013" s="1">
        <v>25</v>
      </c>
      <c r="H1013" s="1">
        <v>25</v>
      </c>
      <c r="I1013" s="1">
        <f>grand[[#This Row],[number]]-grand[[#This Row],[received]]</f>
        <v>0</v>
      </c>
      <c r="J1013" s="30"/>
      <c r="K1013" s="2">
        <v>1297</v>
      </c>
      <c r="L1013" s="2">
        <v>1297</v>
      </c>
      <c r="M1013" s="2">
        <f>K1013-L1013</f>
        <v>0</v>
      </c>
      <c r="N1013" s="2">
        <v>714.5</v>
      </c>
      <c r="O1013" s="2">
        <v>0</v>
      </c>
      <c r="P1013" s="7">
        <f>grand[[#This Row],[total weight]]/grand[[#This Row],[received]]</f>
        <v>51.88</v>
      </c>
      <c r="Q1013" s="7">
        <f>grand[[#This Row],[receiving weight]]/grand[[#This Row],[received]]</f>
        <v>51.88</v>
      </c>
      <c r="R1013" s="7">
        <f>grand[[#This Row],[transportation loss ]]/grand[[#This Row],[received]]</f>
        <v>0</v>
      </c>
      <c r="S1013" s="7">
        <f>grand[[#This Row],[ carcass weight]]/grand[[#This Row],[received]]</f>
        <v>28.58</v>
      </c>
      <c r="T1013" s="7">
        <f>grand[[#This Row],[ kidneys fat quantity]]/grand[[#This Row],[received]]</f>
        <v>0</v>
      </c>
      <c r="U1013" s="1">
        <v>25</v>
      </c>
      <c r="V1013" s="1">
        <v>0</v>
      </c>
      <c r="W1013" s="1">
        <v>48.48</v>
      </c>
      <c r="X1013" s="1">
        <v>10</v>
      </c>
      <c r="Y1013" s="1">
        <v>8.5</v>
      </c>
      <c r="Z1013" s="18">
        <f>grand[[#This Row],[av. Transportation loss]]/grand[[#This Row],[av.total weight]]</f>
        <v>0</v>
      </c>
      <c r="AA1013" s="12">
        <f>AVERAGE((grand[[#This Row],[am]]/25),(grand[[#This Row],[pm]]/50))</f>
        <v>0.9847999999999999</v>
      </c>
      <c r="AB1013" s="3">
        <f>grand[[#This Row],[ carcass weight]]/grand[[#This Row],[total weight]]</f>
        <v>0.55088666152659982</v>
      </c>
      <c r="AC1013" s="18">
        <f>SUM(grand[[#This Row],[am]:[meat transportation]])/100</f>
        <v>0.91979999999999995</v>
      </c>
      <c r="AK1013" s="1"/>
      <c r="AL1013" s="1"/>
    </row>
    <row r="1014" spans="1:38" hidden="1" x14ac:dyDescent="0.2">
      <c r="A1014" s="11">
        <v>45503</v>
      </c>
      <c r="B1014" s="53" t="s">
        <v>2013</v>
      </c>
      <c r="C1014" s="52" t="str">
        <f>IF(MID(B1014,4,2)="09","Ramadan",IF(AND(MID(B1014,4,2)="12",VALUE(LEFT(B1014,2))&lt;=9),"Adha Season","Normal"))</f>
        <v>Normal</v>
      </c>
      <c r="D1014" s="1" t="s">
        <v>45</v>
      </c>
      <c r="E1014" s="1" t="s">
        <v>528</v>
      </c>
      <c r="F1014" s="4" t="s">
        <v>280</v>
      </c>
      <c r="G1014" s="1">
        <v>30</v>
      </c>
      <c r="H1014" s="1">
        <v>30</v>
      </c>
      <c r="I1014" s="1">
        <f>grand[[#This Row],[number]]-grand[[#This Row],[received]]</f>
        <v>0</v>
      </c>
      <c r="J1014" s="30"/>
      <c r="K1014" s="2">
        <v>16200</v>
      </c>
      <c r="L1014" s="2">
        <v>15270</v>
      </c>
      <c r="M1014" s="2">
        <f>K1014-L1014</f>
        <v>930</v>
      </c>
      <c r="N1014" s="2">
        <v>10119.5</v>
      </c>
      <c r="O1014" s="2">
        <v>191</v>
      </c>
      <c r="P1014" s="7">
        <f>grand[[#This Row],[total weight]]/grand[[#This Row],[received]]</f>
        <v>540</v>
      </c>
      <c r="Q1014" s="7">
        <f>grand[[#This Row],[receiving weight]]/grand[[#This Row],[received]]</f>
        <v>509</v>
      </c>
      <c r="R1014" s="7">
        <f>grand[[#This Row],[transportation loss ]]/grand[[#This Row],[received]]</f>
        <v>31</v>
      </c>
      <c r="S1014" s="7">
        <f>grand[[#This Row],[ carcass weight]]/grand[[#This Row],[received]]</f>
        <v>337.31666666666666</v>
      </c>
      <c r="T1014" s="7">
        <f>grand[[#This Row],[ kidneys fat quantity]]/grand[[#This Row],[received]]</f>
        <v>6.3666666666666663</v>
      </c>
      <c r="U1014" s="1">
        <v>24.833333333333332</v>
      </c>
      <c r="V1014" s="1">
        <v>0</v>
      </c>
      <c r="W1014" s="1">
        <v>48.966666666666676</v>
      </c>
      <c r="X1014" s="1">
        <v>10</v>
      </c>
      <c r="Y1014" s="1">
        <v>8.5</v>
      </c>
      <c r="Z1014" s="18">
        <f>grand[[#This Row],[av. Transportation loss]]/grand[[#This Row],[av.total weight]]</f>
        <v>5.7407407407407407E-2</v>
      </c>
      <c r="AA1014" s="12">
        <f>AVERAGE((grand[[#This Row],[am]]/25),(grand[[#This Row],[pm]]/50))</f>
        <v>0.9863333333333334</v>
      </c>
      <c r="AB1014" s="3">
        <f>grand[[#This Row],[ carcass weight]]/grand[[#This Row],[total weight]]</f>
        <v>0.62466049382716049</v>
      </c>
      <c r="AC1014" s="18">
        <f>SUM(grand[[#This Row],[am]:[meat transportation]])/100</f>
        <v>0.92300000000000015</v>
      </c>
      <c r="AJ1014" s="1">
        <v>11</v>
      </c>
      <c r="AK1014" s="1"/>
      <c r="AL1014" s="1"/>
    </row>
    <row r="1015" spans="1:38" hidden="1" x14ac:dyDescent="0.2">
      <c r="A1015" s="11">
        <v>45504</v>
      </c>
      <c r="B1015" s="53" t="s">
        <v>2014</v>
      </c>
      <c r="C1015" s="52" t="str">
        <f>IF(MID(B1015,4,2)="09","Ramadan",IF(AND(MID(B1015,4,2)="12",VALUE(LEFT(B1015,2))&lt;=9),"Adha Season","Normal"))</f>
        <v>Normal</v>
      </c>
      <c r="D1015" s="1" t="s">
        <v>45</v>
      </c>
      <c r="E1015" s="1" t="s">
        <v>528</v>
      </c>
      <c r="F1015" s="4" t="s">
        <v>639</v>
      </c>
      <c r="G1015" s="1">
        <v>30</v>
      </c>
      <c r="H1015" s="1">
        <v>30</v>
      </c>
      <c r="I1015" s="1">
        <f>grand[[#This Row],[number]]-grand[[#This Row],[received]]</f>
        <v>0</v>
      </c>
      <c r="J1015" s="30"/>
      <c r="K1015" s="2">
        <v>17325.1582278481</v>
      </c>
      <c r="L1015" s="2">
        <v>17325.1582278481</v>
      </c>
      <c r="M1015" s="2">
        <f>K1015-L1015</f>
        <v>0</v>
      </c>
      <c r="N1015" s="2">
        <v>10949.5</v>
      </c>
      <c r="O1015" s="2">
        <v>0</v>
      </c>
      <c r="P1015" s="7">
        <f>grand[[#This Row],[total weight]]/grand[[#This Row],[received]]</f>
        <v>577.50527426160329</v>
      </c>
      <c r="Q1015" s="7">
        <f>grand[[#This Row],[receiving weight]]/grand[[#This Row],[received]]</f>
        <v>577.50527426160329</v>
      </c>
      <c r="R1015" s="7">
        <f>grand[[#This Row],[transportation loss ]]/grand[[#This Row],[received]]</f>
        <v>0</v>
      </c>
      <c r="S1015" s="7">
        <f>grand[[#This Row],[ carcass weight]]/grand[[#This Row],[received]]</f>
        <v>364.98333333333335</v>
      </c>
      <c r="T1015" s="7">
        <f>grand[[#This Row],[ kidneys fat quantity]]/grand[[#This Row],[received]]</f>
        <v>0</v>
      </c>
      <c r="U1015" s="1">
        <v>25</v>
      </c>
      <c r="V1015" s="1">
        <v>0</v>
      </c>
      <c r="W1015" s="1">
        <v>50</v>
      </c>
      <c r="X1015" s="1">
        <v>10</v>
      </c>
      <c r="Y1015" s="1">
        <v>8.5</v>
      </c>
      <c r="Z1015" s="18">
        <f>grand[[#This Row],[av. Transportation loss]]/grand[[#This Row],[av.total weight]]</f>
        <v>0</v>
      </c>
      <c r="AA1015" s="12">
        <f>AVERAGE((grand[[#This Row],[am]]/25),(grand[[#This Row],[pm]]/50))</f>
        <v>1</v>
      </c>
      <c r="AB1015" s="3">
        <f>grand[[#This Row],[ carcass weight]]/grand[[#This Row],[total weight]]</f>
        <v>0.63200000000000001</v>
      </c>
      <c r="AC1015" s="18">
        <f>SUM(grand[[#This Row],[am]:[meat transportation]])/100</f>
        <v>0.93500000000000005</v>
      </c>
      <c r="AJ1015" s="1">
        <v>4</v>
      </c>
      <c r="AK1015" s="1"/>
      <c r="AL1015" s="1"/>
    </row>
    <row r="1016" spans="1:38" hidden="1" x14ac:dyDescent="0.2">
      <c r="A1016" s="11">
        <v>45505</v>
      </c>
      <c r="B1016" s="53" t="s">
        <v>2015</v>
      </c>
      <c r="C1016" s="52" t="str">
        <f>IF(MID(B1016,4,2)="09","Ramadan",IF(AND(MID(B1016,4,2)="12",VALUE(LEFT(B1016,2))&lt;=9),"Adha Season","Normal"))</f>
        <v>Normal</v>
      </c>
      <c r="D1016" s="1" t="s">
        <v>45</v>
      </c>
      <c r="E1016" s="1" t="s">
        <v>483</v>
      </c>
      <c r="F1016" s="4" t="s">
        <v>44</v>
      </c>
      <c r="G1016" s="1">
        <v>55</v>
      </c>
      <c r="H1016" s="1">
        <v>55</v>
      </c>
      <c r="I1016" s="1">
        <f>grand[[#This Row],[number]]-grand[[#This Row],[received]]</f>
        <v>0</v>
      </c>
      <c r="J1016" s="30"/>
      <c r="K1016" s="2">
        <v>24145</v>
      </c>
      <c r="L1016" s="2">
        <v>23300</v>
      </c>
      <c r="M1016" s="2">
        <f>K1016-L1016</f>
        <v>845</v>
      </c>
      <c r="N1016" s="2">
        <v>14487</v>
      </c>
      <c r="O1016" s="2">
        <v>411</v>
      </c>
      <c r="P1016" s="7">
        <f>grand[[#This Row],[total weight]]/grand[[#This Row],[received]]</f>
        <v>439</v>
      </c>
      <c r="Q1016" s="7">
        <f>grand[[#This Row],[receiving weight]]/grand[[#This Row],[received]]</f>
        <v>423.63636363636363</v>
      </c>
      <c r="R1016" s="7">
        <f>grand[[#This Row],[transportation loss ]]/grand[[#This Row],[received]]</f>
        <v>15.363636363636363</v>
      </c>
      <c r="S1016" s="7">
        <f>grand[[#This Row],[ carcass weight]]/grand[[#This Row],[received]]</f>
        <v>263.39999999999998</v>
      </c>
      <c r="T1016" s="7">
        <f>grand[[#This Row],[ kidneys fat quantity]]/grand[[#This Row],[received]]</f>
        <v>7.4727272727272727</v>
      </c>
      <c r="U1016" s="1">
        <v>25</v>
      </c>
      <c r="V1016" s="1">
        <v>0</v>
      </c>
      <c r="W1016" s="1">
        <v>49.672727272727265</v>
      </c>
      <c r="X1016" s="1">
        <v>10</v>
      </c>
      <c r="Y1016" s="1">
        <v>8.5</v>
      </c>
      <c r="Z1016" s="18">
        <f>grand[[#This Row],[av. Transportation loss]]/grand[[#This Row],[av.total weight]]</f>
        <v>3.4996893766825431E-2</v>
      </c>
      <c r="AA1016" s="12">
        <f>AVERAGE((grand[[#This Row],[am]]/25),(grand[[#This Row],[pm]]/50))</f>
        <v>0.99672727272727268</v>
      </c>
      <c r="AB1016" s="3">
        <f>grand[[#This Row],[ carcass weight]]/grand[[#This Row],[total weight]]</f>
        <v>0.6</v>
      </c>
      <c r="AC1016" s="18">
        <f>SUM(grand[[#This Row],[am]:[meat transportation]])/100</f>
        <v>0.93172727272727263</v>
      </c>
      <c r="AJ1016" s="1">
        <v>5</v>
      </c>
      <c r="AK1016" s="1"/>
      <c r="AL1016" s="1"/>
    </row>
    <row r="1017" spans="1:38" hidden="1" x14ac:dyDescent="0.2">
      <c r="A1017" s="11">
        <v>45505</v>
      </c>
      <c r="B1017" s="53" t="s">
        <v>2015</v>
      </c>
      <c r="C1017" s="52" t="str">
        <f>IF(MID(B1017,4,2)="09","Ramadan",IF(AND(MID(B1017,4,2)="12",VALUE(LEFT(B1017,2))&lt;=9),"Adha Season","Normal"))</f>
        <v>Normal</v>
      </c>
      <c r="D1017" s="1" t="s">
        <v>45</v>
      </c>
      <c r="E1017" s="1" t="s">
        <v>528</v>
      </c>
      <c r="F1017" s="4" t="s">
        <v>815</v>
      </c>
      <c r="G1017" s="1">
        <v>6</v>
      </c>
      <c r="H1017" s="1">
        <v>6</v>
      </c>
      <c r="I1017" s="1">
        <f>grand[[#This Row],[number]]-grand[[#This Row],[received]]</f>
        <v>0</v>
      </c>
      <c r="J1017" s="30"/>
      <c r="K1017" s="2">
        <v>4379</v>
      </c>
      <c r="L1017" s="2">
        <v>4240</v>
      </c>
      <c r="M1017" s="2">
        <f>K1017-L1017</f>
        <v>139</v>
      </c>
      <c r="N1017" s="2">
        <v>2853.5</v>
      </c>
      <c r="O1017" s="2">
        <v>17</v>
      </c>
      <c r="P1017" s="7">
        <f>grand[[#This Row],[total weight]]/grand[[#This Row],[received]]</f>
        <v>729.83333333333337</v>
      </c>
      <c r="Q1017" s="7">
        <f>grand[[#This Row],[receiving weight]]/grand[[#This Row],[received]]</f>
        <v>706.66666666666663</v>
      </c>
      <c r="R1017" s="7">
        <f>grand[[#This Row],[transportation loss ]]/grand[[#This Row],[received]]</f>
        <v>23.166666666666668</v>
      </c>
      <c r="S1017" s="7">
        <f>grand[[#This Row],[ carcass weight]]/grand[[#This Row],[received]]</f>
        <v>475.58333333333331</v>
      </c>
      <c r="T1017" s="7">
        <f>grand[[#This Row],[ kidneys fat quantity]]/grand[[#This Row],[received]]</f>
        <v>2.8333333333333335</v>
      </c>
      <c r="U1017" s="1">
        <v>25</v>
      </c>
      <c r="V1017" s="1">
        <v>0</v>
      </c>
      <c r="W1017" s="1">
        <v>46.666666666666671</v>
      </c>
      <c r="X1017" s="1">
        <v>10</v>
      </c>
      <c r="Y1017" s="1">
        <v>8.5</v>
      </c>
      <c r="Z1017" s="18">
        <f>grand[[#This Row],[av. Transportation loss]]/grand[[#This Row],[av.total weight]]</f>
        <v>3.1742406942224251E-2</v>
      </c>
      <c r="AA1017" s="12">
        <f>AVERAGE((grand[[#This Row],[am]]/25),(grand[[#This Row],[pm]]/50))</f>
        <v>0.96666666666666679</v>
      </c>
      <c r="AB1017" s="3">
        <f>grand[[#This Row],[ carcass weight]]/grand[[#This Row],[total weight]]</f>
        <v>0.65163279287508569</v>
      </c>
      <c r="AC1017" s="18">
        <f>SUM(grand[[#This Row],[am]:[meat transportation]])/100</f>
        <v>0.90166666666666673</v>
      </c>
      <c r="AJ1017" s="1">
        <v>2</v>
      </c>
      <c r="AK1017" s="1"/>
      <c r="AL1017" s="1"/>
    </row>
    <row r="1018" spans="1:38" hidden="1" x14ac:dyDescent="0.2">
      <c r="A1018" s="11">
        <v>45507</v>
      </c>
      <c r="B1018" s="53" t="s">
        <v>2016</v>
      </c>
      <c r="C1018" s="52" t="str">
        <f>IF(MID(B1018,4,2)="09","Ramadan",IF(AND(MID(B1018,4,2)="12",VALUE(LEFT(B1018,2))&lt;=9),"Adha Season","Normal"))</f>
        <v>Normal</v>
      </c>
      <c r="D1018" s="2" t="s">
        <v>294</v>
      </c>
      <c r="F1018" s="4" t="s">
        <v>280</v>
      </c>
      <c r="G1018" s="1">
        <v>28</v>
      </c>
      <c r="H1018" s="1">
        <v>28</v>
      </c>
      <c r="I1018" s="1">
        <f>grand[[#This Row],[number]]-grand[[#This Row],[received]]</f>
        <v>0</v>
      </c>
      <c r="J1018" s="30"/>
      <c r="K1018" s="2">
        <v>1416</v>
      </c>
      <c r="L1018" s="2">
        <v>1390</v>
      </c>
      <c r="M1018" s="2">
        <f>K1018-L1018</f>
        <v>26</v>
      </c>
      <c r="N1018" s="2">
        <v>807.5</v>
      </c>
      <c r="O1018" s="2">
        <v>0</v>
      </c>
      <c r="P1018" s="7">
        <f>grand[[#This Row],[total weight]]/grand[[#This Row],[received]]</f>
        <v>50.571428571428569</v>
      </c>
      <c r="Q1018" s="7">
        <f>grand[[#This Row],[receiving weight]]/grand[[#This Row],[received]]</f>
        <v>49.642857142857146</v>
      </c>
      <c r="R1018" s="7">
        <f>grand[[#This Row],[transportation loss ]]/grand[[#This Row],[received]]</f>
        <v>0.9285714285714286</v>
      </c>
      <c r="S1018" s="7">
        <f>grand[[#This Row],[ carcass weight]]/grand[[#This Row],[received]]</f>
        <v>28.839285714285715</v>
      </c>
      <c r="T1018" s="7">
        <f>grand[[#This Row],[ kidneys fat quantity]]/grand[[#This Row],[received]]</f>
        <v>0</v>
      </c>
      <c r="U1018" s="1">
        <v>25</v>
      </c>
      <c r="V1018" s="1">
        <v>0</v>
      </c>
      <c r="W1018" s="1">
        <v>47.892857142857146</v>
      </c>
      <c r="X1018" s="1">
        <v>10</v>
      </c>
      <c r="Y1018" s="1">
        <v>8.5</v>
      </c>
      <c r="Z1018" s="18">
        <f>grand[[#This Row],[av. Transportation loss]]/grand[[#This Row],[av.total weight]]</f>
        <v>1.8361581920903956E-2</v>
      </c>
      <c r="AA1018" s="12">
        <f>AVERAGE((grand[[#This Row],[am]]/25),(grand[[#This Row],[pm]]/50))</f>
        <v>0.97892857142857148</v>
      </c>
      <c r="AB1018" s="3">
        <f>grand[[#This Row],[ carcass weight]]/grand[[#This Row],[total weight]]</f>
        <v>0.57026836158192096</v>
      </c>
      <c r="AC1018" s="18">
        <f>SUM(grand[[#This Row],[am]:[meat transportation]])/100</f>
        <v>0.91392857142857142</v>
      </c>
      <c r="AK1018" s="1"/>
      <c r="AL1018" s="1"/>
    </row>
    <row r="1019" spans="1:38" hidden="1" x14ac:dyDescent="0.2">
      <c r="A1019" s="11">
        <v>45507</v>
      </c>
      <c r="B1019" s="53" t="s">
        <v>2016</v>
      </c>
      <c r="C1019" s="52" t="str">
        <f>IF(MID(B1019,4,2)="09","Ramadan",IF(AND(MID(B1019,4,2)="12",VALUE(LEFT(B1019,2))&lt;=9),"Adha Season","Normal"))</f>
        <v>Normal</v>
      </c>
      <c r="D1019" s="1" t="s">
        <v>45</v>
      </c>
      <c r="E1019" s="1" t="s">
        <v>528</v>
      </c>
      <c r="F1019" s="4" t="s">
        <v>280</v>
      </c>
      <c r="G1019" s="1">
        <v>27</v>
      </c>
      <c r="H1019" s="1">
        <v>27</v>
      </c>
      <c r="I1019" s="1">
        <f>grand[[#This Row],[number]]-grand[[#This Row],[received]]</f>
        <v>0</v>
      </c>
      <c r="J1019" s="30"/>
      <c r="K1019" s="2">
        <v>14230</v>
      </c>
      <c r="L1019" s="2">
        <v>13620</v>
      </c>
      <c r="M1019" s="2">
        <f>K1019-L1019</f>
        <v>610</v>
      </c>
      <c r="N1019" s="2">
        <v>8907</v>
      </c>
      <c r="O1019" s="2">
        <v>181</v>
      </c>
      <c r="P1019" s="7">
        <f>grand[[#This Row],[total weight]]/grand[[#This Row],[received]]</f>
        <v>527.03703703703707</v>
      </c>
      <c r="Q1019" s="7">
        <f>grand[[#This Row],[receiving weight]]/grand[[#This Row],[received]]</f>
        <v>504.44444444444446</v>
      </c>
      <c r="R1019" s="7">
        <f>grand[[#This Row],[transportation loss ]]/grand[[#This Row],[received]]</f>
        <v>22.592592592592592</v>
      </c>
      <c r="S1019" s="7">
        <f>grand[[#This Row],[ carcass weight]]/grand[[#This Row],[received]]</f>
        <v>329.88888888888891</v>
      </c>
      <c r="T1019" s="7">
        <f>grand[[#This Row],[ kidneys fat quantity]]/grand[[#This Row],[received]]</f>
        <v>6.7037037037037033</v>
      </c>
      <c r="U1019" s="1">
        <v>25</v>
      </c>
      <c r="V1019" s="1">
        <v>0</v>
      </c>
      <c r="W1019" s="1">
        <v>47.629629629629633</v>
      </c>
      <c r="X1019" s="1">
        <v>10</v>
      </c>
      <c r="Y1019" s="1">
        <v>8.5</v>
      </c>
      <c r="Z1019" s="18">
        <f>grand[[#This Row],[av. Transportation loss]]/grand[[#This Row],[av.total weight]]</f>
        <v>4.2867182009838363E-2</v>
      </c>
      <c r="AA1019" s="12">
        <f>AVERAGE((grand[[#This Row],[am]]/25),(grand[[#This Row],[pm]]/50))</f>
        <v>0.97629629629629633</v>
      </c>
      <c r="AB1019" s="3">
        <f>grand[[#This Row],[ carcass weight]]/grand[[#This Row],[total weight]]</f>
        <v>0.62593113141250878</v>
      </c>
      <c r="AC1019" s="18">
        <f>SUM(grand[[#This Row],[am]:[meat transportation]])/100</f>
        <v>0.91129629629629638</v>
      </c>
      <c r="AJ1019" s="1">
        <v>6</v>
      </c>
      <c r="AK1019" s="1"/>
      <c r="AL1019" s="1"/>
    </row>
    <row r="1020" spans="1:38" hidden="1" x14ac:dyDescent="0.2">
      <c r="A1020" s="11">
        <v>45507</v>
      </c>
      <c r="B1020" s="53" t="s">
        <v>2016</v>
      </c>
      <c r="C1020" s="52" t="str">
        <f>IF(MID(B1020,4,2)="09","Ramadan",IF(AND(MID(B1020,4,2)="12",VALUE(LEFT(B1020,2))&lt;=9),"Adha Season","Normal"))</f>
        <v>Normal</v>
      </c>
      <c r="D1020" s="1" t="s">
        <v>45</v>
      </c>
      <c r="E1020" s="1" t="s">
        <v>528</v>
      </c>
      <c r="F1020" s="4" t="s">
        <v>462</v>
      </c>
      <c r="G1020" s="1">
        <v>59</v>
      </c>
      <c r="H1020" s="1">
        <v>59</v>
      </c>
      <c r="I1020" s="1">
        <f>grand[[#This Row],[number]]-grand[[#This Row],[received]]</f>
        <v>0</v>
      </c>
      <c r="J1020" s="30"/>
      <c r="K1020" s="2">
        <v>27645.569620253162</v>
      </c>
      <c r="L1020" s="2">
        <v>27645.569620253162</v>
      </c>
      <c r="M1020" s="2">
        <f>K1020-L1020</f>
        <v>0</v>
      </c>
      <c r="N1020" s="2">
        <v>17472</v>
      </c>
      <c r="O1020" s="2">
        <v>0</v>
      </c>
      <c r="P1020" s="7">
        <f>grand[[#This Row],[total weight]]/grand[[#This Row],[received]]</f>
        <v>468.56897661446038</v>
      </c>
      <c r="Q1020" s="7">
        <f>grand[[#This Row],[receiving weight]]/grand[[#This Row],[received]]</f>
        <v>468.56897661446038</v>
      </c>
      <c r="R1020" s="7">
        <f>grand[[#This Row],[transportation loss ]]/grand[[#This Row],[received]]</f>
        <v>0</v>
      </c>
      <c r="S1020" s="7">
        <f>grand[[#This Row],[ carcass weight]]/grand[[#This Row],[received]]</f>
        <v>296.13559322033899</v>
      </c>
      <c r="T1020" s="7">
        <f>grand[[#This Row],[ kidneys fat quantity]]/grand[[#This Row],[received]]</f>
        <v>0</v>
      </c>
      <c r="U1020" s="1">
        <v>25</v>
      </c>
      <c r="V1020" s="1">
        <v>4</v>
      </c>
      <c r="W1020" s="1">
        <v>50</v>
      </c>
      <c r="X1020" s="1">
        <v>10</v>
      </c>
      <c r="Y1020" s="1">
        <v>8.5</v>
      </c>
      <c r="Z1020" s="18">
        <f>grand[[#This Row],[av. Transportation loss]]/grand[[#This Row],[av.total weight]]</f>
        <v>0</v>
      </c>
      <c r="AA1020" s="12">
        <f>AVERAGE((grand[[#This Row],[am]]/25),(grand[[#This Row],[pm]]/50))</f>
        <v>1</v>
      </c>
      <c r="AB1020" s="3">
        <f>grand[[#This Row],[ carcass weight]]/grand[[#This Row],[total weight]]</f>
        <v>0.63200000000000012</v>
      </c>
      <c r="AC1020" s="18">
        <f>SUM(grand[[#This Row],[am]:[meat transportation]])/100</f>
        <v>0.97499999999999998</v>
      </c>
      <c r="AK1020" s="1"/>
      <c r="AL1020" s="1"/>
    </row>
    <row r="1021" spans="1:38" hidden="1" x14ac:dyDescent="0.2">
      <c r="A1021" s="11">
        <v>45512</v>
      </c>
      <c r="B1021" s="53" t="s">
        <v>2018</v>
      </c>
      <c r="C1021" s="52" t="str">
        <f>IF(MID(B1021,4,2)="09","Ramadan",IF(AND(MID(B1021,4,2)="12",VALUE(LEFT(B1021,2))&lt;=9),"Adha Season","Normal"))</f>
        <v>Normal</v>
      </c>
      <c r="D1021" s="1" t="s">
        <v>45</v>
      </c>
      <c r="E1021" s="1" t="s">
        <v>528</v>
      </c>
      <c r="F1021" s="4" t="s">
        <v>280</v>
      </c>
      <c r="G1021" s="1">
        <v>64</v>
      </c>
      <c r="H1021" s="1">
        <v>64</v>
      </c>
      <c r="I1021" s="1">
        <f>grand[[#This Row],[number]]-grand[[#This Row],[received]]</f>
        <v>0</v>
      </c>
      <c r="J1021" s="30"/>
      <c r="K1021" s="2">
        <v>31104</v>
      </c>
      <c r="L1021" s="2">
        <v>29900</v>
      </c>
      <c r="M1021" s="2">
        <f>K1021-L1021</f>
        <v>1204</v>
      </c>
      <c r="N1021" s="2">
        <v>19301</v>
      </c>
      <c r="O1021" s="2">
        <v>361</v>
      </c>
      <c r="P1021" s="7">
        <f>grand[[#This Row],[total weight]]/grand[[#This Row],[received]]</f>
        <v>486</v>
      </c>
      <c r="Q1021" s="7">
        <f>grand[[#This Row],[receiving weight]]/grand[[#This Row],[received]]</f>
        <v>467.1875</v>
      </c>
      <c r="R1021" s="7">
        <f>grand[[#This Row],[transportation loss ]]/grand[[#This Row],[received]]</f>
        <v>18.8125</v>
      </c>
      <c r="S1021" s="7">
        <f>grand[[#This Row],[ carcass weight]]/grand[[#This Row],[received]]</f>
        <v>301.578125</v>
      </c>
      <c r="T1021" s="7">
        <f>grand[[#This Row],[ kidneys fat quantity]]/grand[[#This Row],[received]]</f>
        <v>5.640625</v>
      </c>
      <c r="U1021" s="1">
        <v>25</v>
      </c>
      <c r="V1021" s="1">
        <v>0</v>
      </c>
      <c r="W1021" s="1">
        <v>49.015625</v>
      </c>
      <c r="X1021" s="1">
        <v>10</v>
      </c>
      <c r="Y1021" s="1">
        <v>8.5</v>
      </c>
      <c r="Z1021" s="18">
        <f>grand[[#This Row],[av. Transportation loss]]/grand[[#This Row],[av.total weight]]</f>
        <v>3.8708847736625515E-2</v>
      </c>
      <c r="AA1021" s="12">
        <f>AVERAGE((grand[[#This Row],[am]]/25),(grand[[#This Row],[pm]]/50))</f>
        <v>0.99015625000000007</v>
      </c>
      <c r="AB1021" s="3">
        <f>grand[[#This Row],[ carcass weight]]/grand[[#This Row],[total weight]]</f>
        <v>0.62053112139917699</v>
      </c>
      <c r="AC1021" s="18">
        <f>SUM(grand[[#This Row],[am]:[meat transportation]])/100</f>
        <v>0.92515625000000001</v>
      </c>
      <c r="AJ1021" s="1">
        <v>12</v>
      </c>
      <c r="AK1021" s="1"/>
      <c r="AL1021" s="1"/>
    </row>
    <row r="1022" spans="1:38" hidden="1" x14ac:dyDescent="0.2">
      <c r="A1022" s="11">
        <v>45514</v>
      </c>
      <c r="B1022" s="53" t="s">
        <v>2019</v>
      </c>
      <c r="C1022" s="52" t="str">
        <f>IF(MID(B1022,4,2)="09","Ramadan",IF(AND(MID(B1022,4,2)="12",VALUE(LEFT(B1022,2))&lt;=9),"Adha Season","Normal"))</f>
        <v>Normal</v>
      </c>
      <c r="D1022" s="1" t="s">
        <v>45</v>
      </c>
      <c r="E1022" s="1" t="s">
        <v>483</v>
      </c>
      <c r="F1022" s="4" t="s">
        <v>43</v>
      </c>
      <c r="G1022" s="1">
        <v>45</v>
      </c>
      <c r="H1022" s="1">
        <v>45</v>
      </c>
      <c r="I1022" s="1">
        <f>grand[[#This Row],[number]]-grand[[#This Row],[received]]</f>
        <v>0</v>
      </c>
      <c r="J1022" s="30"/>
      <c r="K1022" s="2">
        <v>21710</v>
      </c>
      <c r="L1022" s="2">
        <v>20730</v>
      </c>
      <c r="M1022" s="2">
        <f>K1022-L1022</f>
        <v>980</v>
      </c>
      <c r="N1022" s="2">
        <v>13026.7</v>
      </c>
      <c r="O1022" s="2">
        <v>466</v>
      </c>
      <c r="P1022" s="7">
        <f>grand[[#This Row],[total weight]]/grand[[#This Row],[received]]</f>
        <v>482.44444444444446</v>
      </c>
      <c r="Q1022" s="7">
        <f>grand[[#This Row],[receiving weight]]/grand[[#This Row],[received]]</f>
        <v>460.66666666666669</v>
      </c>
      <c r="R1022" s="7">
        <f>grand[[#This Row],[transportation loss ]]/grand[[#This Row],[received]]</f>
        <v>21.777777777777779</v>
      </c>
      <c r="S1022" s="7">
        <f>grand[[#This Row],[ carcass weight]]/grand[[#This Row],[received]]</f>
        <v>289.48222222222222</v>
      </c>
      <c r="T1022" s="7">
        <f>grand[[#This Row],[ kidneys fat quantity]]/grand[[#This Row],[received]]</f>
        <v>10.355555555555556</v>
      </c>
      <c r="U1022" s="1">
        <v>24.888888888888889</v>
      </c>
      <c r="V1022" s="1">
        <v>0</v>
      </c>
      <c r="W1022" s="1">
        <v>46.82222222222223</v>
      </c>
      <c r="X1022" s="1">
        <v>10</v>
      </c>
      <c r="Y1022" s="1">
        <v>8.5</v>
      </c>
      <c r="Z1022" s="18">
        <f>grand[[#This Row],[av. Transportation loss]]/grand[[#This Row],[av.total weight]]</f>
        <v>4.5140488254260709E-2</v>
      </c>
      <c r="AA1022" s="12">
        <f>AVERAGE((grand[[#This Row],[am]]/25),(grand[[#This Row],[pm]]/50))</f>
        <v>0.96600000000000008</v>
      </c>
      <c r="AB1022" s="3">
        <f>grand[[#This Row],[ carcass weight]]/grand[[#This Row],[total weight]]</f>
        <v>0.60003224320589599</v>
      </c>
      <c r="AC1022" s="18">
        <f>SUM(grand[[#This Row],[am]:[meat transportation]])/100</f>
        <v>0.9021111111111112</v>
      </c>
      <c r="AJ1022" s="1">
        <v>5</v>
      </c>
      <c r="AK1022" s="1"/>
      <c r="AL1022" s="1"/>
    </row>
    <row r="1023" spans="1:38" hidden="1" x14ac:dyDescent="0.2">
      <c r="A1023" s="11">
        <v>45514</v>
      </c>
      <c r="B1023" s="53" t="s">
        <v>2019</v>
      </c>
      <c r="C1023" s="52" t="str">
        <f>IF(MID(B1023,4,2)="09","Ramadan",IF(AND(MID(B1023,4,2)="12",VALUE(LEFT(B1023,2))&lt;=9),"Adha Season","Normal"))</f>
        <v>Normal</v>
      </c>
      <c r="D1023" s="1" t="s">
        <v>45</v>
      </c>
      <c r="E1023" s="1" t="s">
        <v>528</v>
      </c>
      <c r="F1023" s="4" t="s">
        <v>462</v>
      </c>
      <c r="G1023" s="1">
        <v>48</v>
      </c>
      <c r="H1023" s="1">
        <v>48</v>
      </c>
      <c r="I1023" s="1">
        <f>grand[[#This Row],[number]]-grand[[#This Row],[received]]</f>
        <v>0</v>
      </c>
      <c r="J1023" s="30"/>
      <c r="K1023" s="2">
        <v>21750.949367088608</v>
      </c>
      <c r="L1023" s="2">
        <v>21750.949367088608</v>
      </c>
      <c r="M1023" s="2">
        <f>K1023-L1023</f>
        <v>0</v>
      </c>
      <c r="N1023" s="2">
        <v>13746.6</v>
      </c>
      <c r="O1023" s="2">
        <v>0</v>
      </c>
      <c r="P1023" s="7">
        <f>grand[[#This Row],[total weight]]/grand[[#This Row],[received]]</f>
        <v>453.14477848101268</v>
      </c>
      <c r="Q1023" s="7">
        <f>grand[[#This Row],[receiving weight]]/grand[[#This Row],[received]]</f>
        <v>453.14477848101268</v>
      </c>
      <c r="R1023" s="7">
        <f>grand[[#This Row],[transportation loss ]]/grand[[#This Row],[received]]</f>
        <v>0</v>
      </c>
      <c r="S1023" s="7">
        <f>grand[[#This Row],[ carcass weight]]/grand[[#This Row],[received]]</f>
        <v>286.38749999999999</v>
      </c>
      <c r="T1023" s="7">
        <f>grand[[#This Row],[ kidneys fat quantity]]/grand[[#This Row],[received]]</f>
        <v>0</v>
      </c>
      <c r="U1023" s="1">
        <v>25</v>
      </c>
      <c r="V1023" s="1">
        <v>4</v>
      </c>
      <c r="W1023" s="1">
        <v>50</v>
      </c>
      <c r="X1023" s="1">
        <v>10</v>
      </c>
      <c r="Y1023" s="1">
        <v>8.5</v>
      </c>
      <c r="Z1023" s="18">
        <f>grand[[#This Row],[av. Transportation loss]]/grand[[#This Row],[av.total weight]]</f>
        <v>0</v>
      </c>
      <c r="AA1023" s="12">
        <f>AVERAGE((grand[[#This Row],[am]]/25),(grand[[#This Row],[pm]]/50))</f>
        <v>1</v>
      </c>
      <c r="AB1023" s="3">
        <f>grand[[#This Row],[ carcass weight]]/grand[[#This Row],[total weight]]</f>
        <v>0.63200000000000001</v>
      </c>
      <c r="AC1023" s="18">
        <f>SUM(grand[[#This Row],[am]:[meat transportation]])/100</f>
        <v>0.97499999999999998</v>
      </c>
      <c r="AK1023" s="1"/>
      <c r="AL1023" s="1"/>
    </row>
    <row r="1024" spans="1:38" hidden="1" x14ac:dyDescent="0.2">
      <c r="A1024" s="11">
        <v>45516</v>
      </c>
      <c r="B1024" s="53" t="s">
        <v>2020</v>
      </c>
      <c r="C1024" s="52" t="str">
        <f>IF(MID(B1024,4,2)="09","Ramadan",IF(AND(MID(B1024,4,2)="12",VALUE(LEFT(B1024,2))&lt;=9),"Adha Season","Normal"))</f>
        <v>Normal</v>
      </c>
      <c r="D1024" s="1" t="s">
        <v>45</v>
      </c>
      <c r="E1024" s="1" t="s">
        <v>528</v>
      </c>
      <c r="F1024" s="4" t="s">
        <v>462</v>
      </c>
      <c r="G1024" s="1">
        <v>33</v>
      </c>
      <c r="H1024" s="1">
        <v>33</v>
      </c>
      <c r="I1024" s="1">
        <f>grand[[#This Row],[number]]-grand[[#This Row],[received]]</f>
        <v>0</v>
      </c>
      <c r="J1024" s="30"/>
      <c r="K1024" s="13">
        <v>14953.777689873419</v>
      </c>
      <c r="L1024" s="13">
        <v>14953.777689873419</v>
      </c>
      <c r="M1024" s="2">
        <f>K1024-L1024</f>
        <v>0</v>
      </c>
      <c r="N1024" s="13">
        <v>9450.7875000000004</v>
      </c>
      <c r="O1024" s="13">
        <v>0</v>
      </c>
      <c r="P1024" s="7">
        <f>grand[[#This Row],[total weight]]/grand[[#This Row],[received]]</f>
        <v>453.14477848101268</v>
      </c>
      <c r="Q1024" s="7">
        <f>grand[[#This Row],[receiving weight]]/grand[[#This Row],[received]]</f>
        <v>453.14477848101268</v>
      </c>
      <c r="R1024" s="7">
        <f>grand[[#This Row],[transportation loss ]]/grand[[#This Row],[received]]</f>
        <v>0</v>
      </c>
      <c r="S1024" s="7">
        <f>grand[[#This Row],[ carcass weight]]/grand[[#This Row],[received]]</f>
        <v>286.38749999999999</v>
      </c>
      <c r="T1024" s="7">
        <f>grand[[#This Row],[ kidneys fat quantity]]/grand[[#This Row],[received]]</f>
        <v>0</v>
      </c>
      <c r="U1024" s="1">
        <v>25</v>
      </c>
      <c r="V1024" s="1">
        <v>4</v>
      </c>
      <c r="W1024" s="1">
        <v>50</v>
      </c>
      <c r="X1024" s="1">
        <v>10</v>
      </c>
      <c r="Y1024" s="1">
        <v>8.5</v>
      </c>
      <c r="Z1024" s="18">
        <f>grand[[#This Row],[av. Transportation loss]]/grand[[#This Row],[av.total weight]]</f>
        <v>0</v>
      </c>
      <c r="AA1024" s="12">
        <f>AVERAGE((grand[[#This Row],[am]]/25),(grand[[#This Row],[pm]]/50))</f>
        <v>1</v>
      </c>
      <c r="AB1024" s="3">
        <f>grand[[#This Row],[ carcass weight]]/grand[[#This Row],[total weight]]</f>
        <v>0.63200000000000001</v>
      </c>
      <c r="AC1024" s="18">
        <f>SUM(grand[[#This Row],[am]:[meat transportation]])/100</f>
        <v>0.97499999999999998</v>
      </c>
      <c r="AK1024" s="1"/>
      <c r="AL1024" s="1"/>
    </row>
    <row r="1025" spans="1:38" hidden="1" x14ac:dyDescent="0.2">
      <c r="A1025" s="11">
        <v>45518</v>
      </c>
      <c r="B1025" s="53" t="s">
        <v>2021</v>
      </c>
      <c r="C1025" s="52" t="str">
        <f>IF(MID(B1025,4,2)="09","Ramadan",IF(AND(MID(B1025,4,2)="12",VALUE(LEFT(B1025,2))&lt;=9),"Adha Season","Normal"))</f>
        <v>Normal</v>
      </c>
      <c r="D1025" s="1" t="s">
        <v>45</v>
      </c>
      <c r="E1025" s="1" t="s">
        <v>528</v>
      </c>
      <c r="F1025" s="4" t="s">
        <v>639</v>
      </c>
      <c r="G1025" s="1">
        <v>30</v>
      </c>
      <c r="H1025" s="1">
        <v>30</v>
      </c>
      <c r="I1025" s="1">
        <f>grand[[#This Row],[number]]-grand[[#This Row],[received]]</f>
        <v>0</v>
      </c>
      <c r="J1025" s="30"/>
      <c r="K1025" s="2">
        <v>18250</v>
      </c>
      <c r="L1025" s="2">
        <v>18250</v>
      </c>
      <c r="M1025" s="2">
        <f>K1025-L1025</f>
        <v>0</v>
      </c>
      <c r="N1025" s="2">
        <v>11534</v>
      </c>
      <c r="O1025" s="2">
        <v>0</v>
      </c>
      <c r="P1025" s="7">
        <f>grand[[#This Row],[total weight]]/grand[[#This Row],[received]]</f>
        <v>608.33333333333337</v>
      </c>
      <c r="Q1025" s="7">
        <f>grand[[#This Row],[receiving weight]]/grand[[#This Row],[received]]</f>
        <v>608.33333333333337</v>
      </c>
      <c r="R1025" s="7">
        <f>grand[[#This Row],[transportation loss ]]/grand[[#This Row],[received]]</f>
        <v>0</v>
      </c>
      <c r="S1025" s="7">
        <f>grand[[#This Row],[ carcass weight]]/grand[[#This Row],[received]]</f>
        <v>384.46666666666664</v>
      </c>
      <c r="T1025" s="7">
        <f>grand[[#This Row],[ kidneys fat quantity]]/grand[[#This Row],[received]]</f>
        <v>0</v>
      </c>
      <c r="U1025" s="1">
        <v>25</v>
      </c>
      <c r="V1025" s="1">
        <v>0</v>
      </c>
      <c r="W1025" s="1">
        <v>49.233333333333327</v>
      </c>
      <c r="X1025" s="1">
        <v>10</v>
      </c>
      <c r="Y1025" s="1">
        <v>8.5</v>
      </c>
      <c r="Z1025" s="18">
        <f>grand[[#This Row],[av. Transportation loss]]/grand[[#This Row],[av.total weight]]</f>
        <v>0</v>
      </c>
      <c r="AA1025" s="12">
        <f>AVERAGE((grand[[#This Row],[am]]/25),(grand[[#This Row],[pm]]/50))</f>
        <v>0.99233333333333329</v>
      </c>
      <c r="AB1025" s="3">
        <f>grand[[#This Row],[ carcass weight]]/grand[[#This Row],[total weight]]</f>
        <v>0.63200000000000001</v>
      </c>
      <c r="AC1025" s="18">
        <f>SUM(grand[[#This Row],[am]:[meat transportation]])/100</f>
        <v>0.92733333333333323</v>
      </c>
      <c r="AK1025" s="1"/>
      <c r="AL1025" s="1"/>
    </row>
    <row r="1026" spans="1:38" hidden="1" x14ac:dyDescent="0.2">
      <c r="A1026" s="11">
        <v>45522</v>
      </c>
      <c r="B1026" s="53" t="s">
        <v>2023</v>
      </c>
      <c r="C1026" s="52" t="str">
        <f>IF(MID(B1026,4,2)="09","Ramadan",IF(AND(MID(B1026,4,2)="12",VALUE(LEFT(B1026,2))&lt;=9),"Adha Season","Normal"))</f>
        <v>Normal</v>
      </c>
      <c r="D1026" s="1" t="s">
        <v>45</v>
      </c>
      <c r="E1026" s="1" t="s">
        <v>528</v>
      </c>
      <c r="F1026" s="4" t="s">
        <v>576</v>
      </c>
      <c r="G1026" s="1">
        <v>46</v>
      </c>
      <c r="H1026" s="1">
        <v>46</v>
      </c>
      <c r="I1026" s="1">
        <f>grand[[#This Row],[number]]-grand[[#This Row],[received]]</f>
        <v>0</v>
      </c>
      <c r="J1026" s="30"/>
      <c r="K1026" s="2">
        <v>22485</v>
      </c>
      <c r="L1026" s="2">
        <v>21525</v>
      </c>
      <c r="M1026" s="2">
        <f>K1026-L1026</f>
        <v>960</v>
      </c>
      <c r="N1026" s="2">
        <v>13729.7</v>
      </c>
      <c r="O1026" s="2">
        <v>461</v>
      </c>
      <c r="P1026" s="7">
        <f>grand[[#This Row],[total weight]]/grand[[#This Row],[received]]</f>
        <v>488.80434782608694</v>
      </c>
      <c r="Q1026" s="7">
        <f>grand[[#This Row],[receiving weight]]/grand[[#This Row],[received]]</f>
        <v>467.93478260869563</v>
      </c>
      <c r="R1026" s="7">
        <f>grand[[#This Row],[transportation loss ]]/grand[[#This Row],[received]]</f>
        <v>20.869565217391305</v>
      </c>
      <c r="S1026" s="7">
        <f>grand[[#This Row],[ carcass weight]]/grand[[#This Row],[received]]</f>
        <v>298.4717391304348</v>
      </c>
      <c r="T1026" s="7">
        <f>grand[[#This Row],[ kidneys fat quantity]]/grand[[#This Row],[received]]</f>
        <v>10.021739130434783</v>
      </c>
      <c r="U1026" s="1">
        <v>24.891304347826086</v>
      </c>
      <c r="V1026" s="1">
        <v>0</v>
      </c>
      <c r="W1026" s="1">
        <v>49.456521739130437</v>
      </c>
      <c r="X1026" s="1">
        <v>10</v>
      </c>
      <c r="Y1026" s="1">
        <v>8.5</v>
      </c>
      <c r="Z1026" s="18">
        <f>grand[[#This Row],[av. Transportation loss]]/grand[[#This Row],[av.total weight]]</f>
        <v>4.2695130086724487E-2</v>
      </c>
      <c r="AA1026" s="12">
        <f>AVERAGE((grand[[#This Row],[am]]/25),(grand[[#This Row],[pm]]/50))</f>
        <v>0.99239130434782608</v>
      </c>
      <c r="AB1026" s="3">
        <f>grand[[#This Row],[ carcass weight]]/grand[[#This Row],[total weight]]</f>
        <v>0.61061596619968872</v>
      </c>
      <c r="AC1026" s="18">
        <f>SUM(grand[[#This Row],[am]:[meat transportation]])/100</f>
        <v>0.92847826086956531</v>
      </c>
      <c r="AJ1026" s="1">
        <v>22</v>
      </c>
      <c r="AK1026" s="1"/>
      <c r="AL1026" s="1"/>
    </row>
    <row r="1027" spans="1:38" hidden="1" x14ac:dyDescent="0.2">
      <c r="A1027" s="11">
        <v>45523</v>
      </c>
      <c r="B1027" s="53" t="s">
        <v>2024</v>
      </c>
      <c r="C1027" s="52" t="str">
        <f>IF(MID(B1027,4,2)="09","Ramadan",IF(AND(MID(B1027,4,2)="12",VALUE(LEFT(B1027,2))&lt;=9),"Adha Season","Normal"))</f>
        <v>Normal</v>
      </c>
      <c r="D1027" s="1" t="s">
        <v>45</v>
      </c>
      <c r="E1027" s="1" t="s">
        <v>528</v>
      </c>
      <c r="F1027" s="4" t="s">
        <v>462</v>
      </c>
      <c r="G1027" s="1">
        <v>45</v>
      </c>
      <c r="H1027" s="1">
        <v>45</v>
      </c>
      <c r="I1027" s="1">
        <f>grand[[#This Row],[number]]-grand[[#This Row],[received]]</f>
        <v>0</v>
      </c>
      <c r="J1027" s="30"/>
      <c r="K1027" s="2">
        <v>20832.278481012658</v>
      </c>
      <c r="L1027" s="2">
        <v>20832.278481012658</v>
      </c>
      <c r="M1027" s="2">
        <f>K1027-L1027</f>
        <v>0</v>
      </c>
      <c r="N1027" s="2">
        <v>13166</v>
      </c>
      <c r="O1027" s="2">
        <v>0</v>
      </c>
      <c r="P1027" s="7">
        <f>grand[[#This Row],[total weight]]/grand[[#This Row],[received]]</f>
        <v>462.93952180028128</v>
      </c>
      <c r="Q1027" s="7">
        <f>grand[[#This Row],[receiving weight]]/grand[[#This Row],[received]]</f>
        <v>462.93952180028128</v>
      </c>
      <c r="R1027" s="7">
        <f>grand[[#This Row],[transportation loss ]]/grand[[#This Row],[received]]</f>
        <v>0</v>
      </c>
      <c r="S1027" s="7">
        <f>grand[[#This Row],[ carcass weight]]/grand[[#This Row],[received]]</f>
        <v>292.57777777777778</v>
      </c>
      <c r="T1027" s="7">
        <f>grand[[#This Row],[ kidneys fat quantity]]/grand[[#This Row],[received]]</f>
        <v>0</v>
      </c>
      <c r="U1027" s="1">
        <v>25</v>
      </c>
      <c r="V1027" s="1">
        <v>4</v>
      </c>
      <c r="W1027" s="1">
        <v>50</v>
      </c>
      <c r="X1027" s="1">
        <v>10</v>
      </c>
      <c r="Y1027" s="1">
        <v>8.5</v>
      </c>
      <c r="Z1027" s="18">
        <f>grand[[#This Row],[av. Transportation loss]]/grand[[#This Row],[av.total weight]]</f>
        <v>0</v>
      </c>
      <c r="AA1027" s="12">
        <f>AVERAGE((grand[[#This Row],[am]]/25),(grand[[#This Row],[pm]]/50))</f>
        <v>1</v>
      </c>
      <c r="AB1027" s="3">
        <f>grand[[#This Row],[ carcass weight]]/grand[[#This Row],[total weight]]</f>
        <v>0.63200000000000001</v>
      </c>
      <c r="AC1027" s="18">
        <f>SUM(grand[[#This Row],[am]:[meat transportation]])/100</f>
        <v>0.97499999999999998</v>
      </c>
      <c r="AK1027" s="1"/>
      <c r="AL1027" s="1"/>
    </row>
    <row r="1028" spans="1:38" hidden="1" x14ac:dyDescent="0.2">
      <c r="A1028" s="11">
        <v>45526</v>
      </c>
      <c r="B1028" s="53" t="s">
        <v>2025</v>
      </c>
      <c r="C1028" s="52" t="str">
        <f>IF(MID(B1028,4,2)="09","Ramadan",IF(AND(MID(B1028,4,2)="12",VALUE(LEFT(B1028,2))&lt;=9),"Adha Season","Normal"))</f>
        <v>Normal</v>
      </c>
      <c r="D1028" s="1" t="s">
        <v>45</v>
      </c>
      <c r="E1028" s="1" t="s">
        <v>528</v>
      </c>
      <c r="F1028" s="4" t="s">
        <v>280</v>
      </c>
      <c r="G1028" s="1">
        <v>58</v>
      </c>
      <c r="H1028" s="1">
        <v>58</v>
      </c>
      <c r="I1028" s="1">
        <f>grand[[#This Row],[number]]-grand[[#This Row],[received]]</f>
        <v>0</v>
      </c>
      <c r="J1028" s="30"/>
      <c r="K1028" s="2">
        <v>31610</v>
      </c>
      <c r="L1028" s="2">
        <v>29925</v>
      </c>
      <c r="M1028" s="2">
        <f>K1028-L1028</f>
        <v>1685</v>
      </c>
      <c r="N1028" s="2">
        <v>19826.5</v>
      </c>
      <c r="O1028" s="2">
        <v>424</v>
      </c>
      <c r="P1028" s="7">
        <f>grand[[#This Row],[total weight]]/grand[[#This Row],[received]]</f>
        <v>545</v>
      </c>
      <c r="Q1028" s="7">
        <f>grand[[#This Row],[receiving weight]]/grand[[#This Row],[received]]</f>
        <v>515.94827586206895</v>
      </c>
      <c r="R1028" s="7">
        <f>grand[[#This Row],[transportation loss ]]/grand[[#This Row],[received]]</f>
        <v>29.051724137931036</v>
      </c>
      <c r="S1028" s="7">
        <f>grand[[#This Row],[ carcass weight]]/grand[[#This Row],[received]]</f>
        <v>341.83620689655174</v>
      </c>
      <c r="T1028" s="7">
        <f>grand[[#This Row],[ kidneys fat quantity]]/grand[[#This Row],[received]]</f>
        <v>7.3103448275862073</v>
      </c>
      <c r="U1028" s="1">
        <v>25</v>
      </c>
      <c r="V1028" s="1">
        <v>0</v>
      </c>
      <c r="W1028" s="1">
        <v>49.206896551724135</v>
      </c>
      <c r="X1028" s="1">
        <v>10</v>
      </c>
      <c r="Y1028" s="1">
        <v>8.5</v>
      </c>
      <c r="Z1028" s="18">
        <f>grand[[#This Row],[av. Transportation loss]]/grand[[#This Row],[av.total weight]]</f>
        <v>5.3305915849414742E-2</v>
      </c>
      <c r="AA1028" s="12">
        <f>AVERAGE((grand[[#This Row],[am]]/25),(grand[[#This Row],[pm]]/50))</f>
        <v>0.99206896551724133</v>
      </c>
      <c r="AB1028" s="3">
        <f>grand[[#This Row],[ carcass weight]]/grand[[#This Row],[total weight]]</f>
        <v>0.62722239797532431</v>
      </c>
      <c r="AC1028" s="18">
        <f>SUM(grand[[#This Row],[am]:[meat transportation]])/100</f>
        <v>0.92706896551724127</v>
      </c>
      <c r="AJ1028" s="1">
        <v>19</v>
      </c>
      <c r="AK1028" s="1"/>
      <c r="AL1028" s="1"/>
    </row>
    <row r="1029" spans="1:38" hidden="1" x14ac:dyDescent="0.2">
      <c r="A1029" s="11">
        <v>45528</v>
      </c>
      <c r="B1029" s="53" t="s">
        <v>2026</v>
      </c>
      <c r="C1029" s="52" t="str">
        <f>IF(MID(B1029,4,2)="09","Ramadan",IF(AND(MID(B1029,4,2)="12",VALUE(LEFT(B1029,2))&lt;=9),"Adha Season","Normal"))</f>
        <v>Normal</v>
      </c>
      <c r="D1029" s="2" t="s">
        <v>294</v>
      </c>
      <c r="F1029" s="4" t="s">
        <v>640</v>
      </c>
      <c r="G1029" s="1">
        <v>33</v>
      </c>
      <c r="H1029" s="1">
        <v>33</v>
      </c>
      <c r="I1029" s="1">
        <f>grand[[#This Row],[number]]-grand[[#This Row],[received]]</f>
        <v>0</v>
      </c>
      <c r="J1029" s="30"/>
      <c r="K1029" s="2">
        <v>1590</v>
      </c>
      <c r="L1029" s="2">
        <v>1590</v>
      </c>
      <c r="M1029" s="2">
        <f>K1029-L1029</f>
        <v>0</v>
      </c>
      <c r="N1029" s="2">
        <v>858.5</v>
      </c>
      <c r="O1029" s="2">
        <v>0</v>
      </c>
      <c r="P1029" s="7">
        <f>grand[[#This Row],[total weight]]/grand[[#This Row],[received]]</f>
        <v>48.18181818181818</v>
      </c>
      <c r="Q1029" s="7">
        <f>grand[[#This Row],[receiving weight]]/grand[[#This Row],[received]]</f>
        <v>48.18181818181818</v>
      </c>
      <c r="R1029" s="7">
        <f>grand[[#This Row],[transportation loss ]]/grand[[#This Row],[received]]</f>
        <v>0</v>
      </c>
      <c r="S1029" s="7">
        <f>grand[[#This Row],[ carcass weight]]/grand[[#This Row],[received]]</f>
        <v>26.015151515151516</v>
      </c>
      <c r="T1029" s="7">
        <f>grand[[#This Row],[ kidneys fat quantity]]/grand[[#This Row],[received]]</f>
        <v>0</v>
      </c>
      <c r="U1029" s="1">
        <v>25</v>
      </c>
      <c r="V1029" s="1">
        <v>0</v>
      </c>
      <c r="W1029" s="1">
        <v>47.969696969696962</v>
      </c>
      <c r="X1029" s="1">
        <v>10</v>
      </c>
      <c r="Y1029" s="1">
        <v>8.5</v>
      </c>
      <c r="Z1029" s="18">
        <f>grand[[#This Row],[av. Transportation loss]]/grand[[#This Row],[av.total weight]]</f>
        <v>0</v>
      </c>
      <c r="AA1029" s="12">
        <f>AVERAGE((grand[[#This Row],[am]]/25),(grand[[#This Row],[pm]]/50))</f>
        <v>0.97969696969696962</v>
      </c>
      <c r="AB1029" s="3">
        <f>grand[[#This Row],[ carcass weight]]/grand[[#This Row],[total weight]]</f>
        <v>0.53993710691823904</v>
      </c>
      <c r="AC1029" s="18">
        <f>SUM(grand[[#This Row],[am]:[meat transportation]])/100</f>
        <v>0.91469696969696968</v>
      </c>
      <c r="AK1029" s="1"/>
      <c r="AL1029" s="1"/>
    </row>
    <row r="1030" spans="1:38" hidden="1" x14ac:dyDescent="0.2">
      <c r="A1030" s="11">
        <v>45528</v>
      </c>
      <c r="B1030" s="53" t="s">
        <v>2026</v>
      </c>
      <c r="C1030" s="52" t="str">
        <f>IF(MID(B1030,4,2)="09","Ramadan",IF(AND(MID(B1030,4,2)="12",VALUE(LEFT(B1030,2))&lt;=9),"Adha Season","Normal"))</f>
        <v>Normal</v>
      </c>
      <c r="D1030" s="1" t="s">
        <v>45</v>
      </c>
      <c r="E1030" s="1" t="s">
        <v>483</v>
      </c>
      <c r="F1030" s="4" t="s">
        <v>43</v>
      </c>
      <c r="G1030" s="1">
        <v>35</v>
      </c>
      <c r="H1030" s="1">
        <v>35</v>
      </c>
      <c r="I1030" s="1">
        <f>grand[[#This Row],[number]]-grand[[#This Row],[received]]</f>
        <v>0</v>
      </c>
      <c r="J1030" s="30"/>
      <c r="K1030" s="2">
        <v>16598</v>
      </c>
      <c r="L1030" s="2">
        <v>16080</v>
      </c>
      <c r="M1030" s="2">
        <f>K1030-L1030</f>
        <v>518</v>
      </c>
      <c r="N1030" s="2">
        <v>9959</v>
      </c>
      <c r="O1030" s="2">
        <v>328</v>
      </c>
      <c r="P1030" s="7">
        <f>grand[[#This Row],[total weight]]/grand[[#This Row],[received]]</f>
        <v>474.22857142857146</v>
      </c>
      <c r="Q1030" s="7">
        <f>grand[[#This Row],[receiving weight]]/grand[[#This Row],[received]]</f>
        <v>459.42857142857144</v>
      </c>
      <c r="R1030" s="7">
        <f>grand[[#This Row],[transportation loss ]]/grand[[#This Row],[received]]</f>
        <v>14.8</v>
      </c>
      <c r="S1030" s="7">
        <f>grand[[#This Row],[ carcass weight]]/grand[[#This Row],[received]]</f>
        <v>284.54285714285714</v>
      </c>
      <c r="T1030" s="7">
        <f>grand[[#This Row],[ kidneys fat quantity]]/grand[[#This Row],[received]]</f>
        <v>9.3714285714285719</v>
      </c>
      <c r="U1030" s="1">
        <v>24.285714285714285</v>
      </c>
      <c r="V1030" s="1">
        <v>0</v>
      </c>
      <c r="W1030" s="1">
        <v>48.485714285714288</v>
      </c>
      <c r="X1030" s="1">
        <v>10</v>
      </c>
      <c r="Y1030" s="1">
        <v>8.5</v>
      </c>
      <c r="Z1030" s="18">
        <f>grand[[#This Row],[av. Transportation loss]]/grand[[#This Row],[av.total weight]]</f>
        <v>3.1208579346909265E-2</v>
      </c>
      <c r="AA1030" s="12">
        <f>AVERAGE((grand[[#This Row],[am]]/25),(grand[[#This Row],[pm]]/50))</f>
        <v>0.97057142857142864</v>
      </c>
      <c r="AB1030" s="3">
        <f>grand[[#This Row],[ carcass weight]]/grand[[#This Row],[total weight]]</f>
        <v>0.60001204964453547</v>
      </c>
      <c r="AC1030" s="18">
        <f>SUM(grand[[#This Row],[am]:[meat transportation]])/100</f>
        <v>0.9127142857142857</v>
      </c>
      <c r="AJ1030" s="1">
        <v>20</v>
      </c>
      <c r="AK1030" s="1"/>
      <c r="AL1030" s="1"/>
    </row>
    <row r="1031" spans="1:38" hidden="1" x14ac:dyDescent="0.2">
      <c r="A1031" s="11">
        <v>45529</v>
      </c>
      <c r="B1031" s="53" t="s">
        <v>2027</v>
      </c>
      <c r="C1031" s="52" t="str">
        <f>IF(MID(B1031,4,2)="09","Ramadan",IF(AND(MID(B1031,4,2)="12",VALUE(LEFT(B1031,2))&lt;=9),"Adha Season","Normal"))</f>
        <v>Normal</v>
      </c>
      <c r="D1031" s="1" t="s">
        <v>45</v>
      </c>
      <c r="E1031" s="1" t="s">
        <v>483</v>
      </c>
      <c r="F1031" s="4" t="s">
        <v>640</v>
      </c>
      <c r="G1031" s="1">
        <v>16</v>
      </c>
      <c r="H1031" s="1">
        <v>16</v>
      </c>
      <c r="I1031" s="1">
        <f>grand[[#This Row],[number]]-grand[[#This Row],[received]]</f>
        <v>0</v>
      </c>
      <c r="J1031" s="30"/>
      <c r="K1031" s="2">
        <v>7072</v>
      </c>
      <c r="L1031" s="2">
        <v>6720</v>
      </c>
      <c r="M1031" s="2">
        <f>K1031-L1031</f>
        <v>352</v>
      </c>
      <c r="N1031" s="2">
        <v>4303</v>
      </c>
      <c r="O1031" s="2">
        <v>87</v>
      </c>
      <c r="P1031" s="7">
        <f>grand[[#This Row],[total weight]]/grand[[#This Row],[received]]</f>
        <v>442</v>
      </c>
      <c r="Q1031" s="7">
        <f>grand[[#This Row],[receiving weight]]/grand[[#This Row],[received]]</f>
        <v>420</v>
      </c>
      <c r="R1031" s="7">
        <f>grand[[#This Row],[transportation loss ]]/grand[[#This Row],[received]]</f>
        <v>22</v>
      </c>
      <c r="S1031" s="7">
        <f>grand[[#This Row],[ carcass weight]]/grand[[#This Row],[received]]</f>
        <v>268.9375</v>
      </c>
      <c r="T1031" s="7">
        <f>grand[[#This Row],[ kidneys fat quantity]]/grand[[#This Row],[received]]</f>
        <v>5.4375</v>
      </c>
      <c r="U1031" s="1">
        <v>25</v>
      </c>
      <c r="V1031" s="1">
        <v>0</v>
      </c>
      <c r="W1031" s="1">
        <v>46.5</v>
      </c>
      <c r="X1031" s="1">
        <v>10</v>
      </c>
      <c r="Y1031" s="1">
        <v>8.5</v>
      </c>
      <c r="Z1031" s="18">
        <f>grand[[#This Row],[av. Transportation loss]]/grand[[#This Row],[av.total weight]]</f>
        <v>4.9773755656108594E-2</v>
      </c>
      <c r="AA1031" s="12">
        <f>AVERAGE((grand[[#This Row],[am]]/25),(grand[[#This Row],[pm]]/50))</f>
        <v>0.96500000000000008</v>
      </c>
      <c r="AB1031" s="3">
        <f>grand[[#This Row],[ carcass weight]]/grand[[#This Row],[total weight]]</f>
        <v>0.60845588235294112</v>
      </c>
      <c r="AC1031" s="18">
        <f>SUM(grand[[#This Row],[am]:[meat transportation]])/100</f>
        <v>0.9</v>
      </c>
      <c r="AJ1031" s="1">
        <v>6</v>
      </c>
      <c r="AK1031" s="1"/>
      <c r="AL1031" s="1"/>
    </row>
    <row r="1032" spans="1:38" hidden="1" x14ac:dyDescent="0.2">
      <c r="A1032" s="11">
        <v>45531</v>
      </c>
      <c r="B1032" s="53" t="s">
        <v>2028</v>
      </c>
      <c r="C1032" s="52" t="str">
        <f>IF(MID(B1032,4,2)="09","Ramadan",IF(AND(MID(B1032,4,2)="12",VALUE(LEFT(B1032,2))&lt;=9),"Adha Season","Normal"))</f>
        <v>Normal</v>
      </c>
      <c r="D1032" s="1" t="s">
        <v>45</v>
      </c>
      <c r="E1032" s="1" t="s">
        <v>528</v>
      </c>
      <c r="F1032" s="4" t="s">
        <v>280</v>
      </c>
      <c r="G1032" s="1">
        <v>40</v>
      </c>
      <c r="H1032" s="1">
        <v>40</v>
      </c>
      <c r="I1032" s="1">
        <f>grand[[#This Row],[number]]-grand[[#This Row],[received]]</f>
        <v>0</v>
      </c>
      <c r="J1032" s="30"/>
      <c r="K1032" s="2">
        <v>22005</v>
      </c>
      <c r="L1032" s="2">
        <v>21075</v>
      </c>
      <c r="M1032" s="2">
        <f>K1032-L1032</f>
        <v>930</v>
      </c>
      <c r="N1032" s="2">
        <v>13960</v>
      </c>
      <c r="O1032" s="2">
        <v>242</v>
      </c>
      <c r="P1032" s="7">
        <f>grand[[#This Row],[total weight]]/grand[[#This Row],[received]]</f>
        <v>550.125</v>
      </c>
      <c r="Q1032" s="7">
        <f>grand[[#This Row],[receiving weight]]/grand[[#This Row],[received]]</f>
        <v>526.875</v>
      </c>
      <c r="R1032" s="7">
        <f>grand[[#This Row],[transportation loss ]]/grand[[#This Row],[received]]</f>
        <v>23.25</v>
      </c>
      <c r="S1032" s="7">
        <f>grand[[#This Row],[ carcass weight]]/grand[[#This Row],[received]]</f>
        <v>349</v>
      </c>
      <c r="T1032" s="7">
        <f>grand[[#This Row],[ kidneys fat quantity]]/grand[[#This Row],[received]]</f>
        <v>6.05</v>
      </c>
      <c r="U1032" s="1">
        <v>24.75</v>
      </c>
      <c r="V1032" s="1">
        <v>0</v>
      </c>
      <c r="W1032" s="1">
        <v>47</v>
      </c>
      <c r="X1032" s="1">
        <v>10</v>
      </c>
      <c r="Y1032" s="1">
        <v>8.5</v>
      </c>
      <c r="Z1032" s="18">
        <f>grand[[#This Row],[av. Transportation loss]]/grand[[#This Row],[av.total weight]]</f>
        <v>4.2263122017723247E-2</v>
      </c>
      <c r="AA1032" s="12">
        <f>AVERAGE((grand[[#This Row],[am]]/25),(grand[[#This Row],[pm]]/50))</f>
        <v>0.96499999999999997</v>
      </c>
      <c r="AB1032" s="3">
        <f>grand[[#This Row],[ carcass weight]]/grand[[#This Row],[total weight]]</f>
        <v>0.63440127243808231</v>
      </c>
      <c r="AC1032" s="18">
        <f>SUM(grand[[#This Row],[am]:[meat transportation]])/100</f>
        <v>0.90249999999999997</v>
      </c>
      <c r="AJ1032" s="1">
        <v>19</v>
      </c>
      <c r="AK1032" s="1"/>
      <c r="AL1032" s="1"/>
    </row>
    <row r="1033" spans="1:38" hidden="1" x14ac:dyDescent="0.2">
      <c r="A1033" s="11">
        <v>45532</v>
      </c>
      <c r="B1033" s="53" t="s">
        <v>2029</v>
      </c>
      <c r="C1033" s="52" t="str">
        <f>IF(MID(B1033,4,2)="09","Ramadan",IF(AND(MID(B1033,4,2)="12",VALUE(LEFT(B1033,2))&lt;=9),"Adha Season","Normal"))</f>
        <v>Normal</v>
      </c>
      <c r="D1033" s="1" t="s">
        <v>45</v>
      </c>
      <c r="E1033" s="1" t="s">
        <v>528</v>
      </c>
      <c r="F1033" s="4" t="s">
        <v>280</v>
      </c>
      <c r="G1033" s="1">
        <v>18</v>
      </c>
      <c r="H1033" s="1">
        <v>18</v>
      </c>
      <c r="I1033" s="1">
        <f>grand[[#This Row],[number]]-grand[[#This Row],[received]]</f>
        <v>0</v>
      </c>
      <c r="J1033" s="30"/>
      <c r="K1033" s="2">
        <v>7630</v>
      </c>
      <c r="L1033" s="2">
        <v>7380</v>
      </c>
      <c r="M1033" s="2">
        <f>K1033-L1033</f>
        <v>250</v>
      </c>
      <c r="N1033" s="2">
        <v>4940</v>
      </c>
      <c r="O1033" s="2">
        <v>108</v>
      </c>
      <c r="P1033" s="7">
        <f>grand[[#This Row],[total weight]]/grand[[#This Row],[received]]</f>
        <v>423.88888888888891</v>
      </c>
      <c r="Q1033" s="7">
        <f>grand[[#This Row],[receiving weight]]/grand[[#This Row],[received]]</f>
        <v>410</v>
      </c>
      <c r="R1033" s="7">
        <f>grand[[#This Row],[transportation loss ]]/grand[[#This Row],[received]]</f>
        <v>13.888888888888889</v>
      </c>
      <c r="S1033" s="7">
        <f>grand[[#This Row],[ carcass weight]]/grand[[#This Row],[received]]</f>
        <v>274.44444444444446</v>
      </c>
      <c r="T1033" s="7">
        <f>grand[[#This Row],[ kidneys fat quantity]]/grand[[#This Row],[received]]</f>
        <v>6</v>
      </c>
      <c r="U1033" s="1">
        <v>25</v>
      </c>
      <c r="V1033" s="1">
        <v>0</v>
      </c>
      <c r="W1033" s="1">
        <v>49.333333333333329</v>
      </c>
      <c r="X1033" s="1">
        <v>10</v>
      </c>
      <c r="Y1033" s="1">
        <v>8.5</v>
      </c>
      <c r="Z1033" s="18">
        <f>grand[[#This Row],[av. Transportation loss]]/grand[[#This Row],[av.total weight]]</f>
        <v>3.2765399737876802E-2</v>
      </c>
      <c r="AA1033" s="12">
        <f>AVERAGE((grand[[#This Row],[am]]/25),(grand[[#This Row],[pm]]/50))</f>
        <v>0.99333333333333329</v>
      </c>
      <c r="AB1033" s="3">
        <f>grand[[#This Row],[ carcass weight]]/grand[[#This Row],[total weight]]</f>
        <v>0.64744429882044563</v>
      </c>
      <c r="AC1033" s="18">
        <f>SUM(grand[[#This Row],[am]:[meat transportation]])/100</f>
        <v>0.92833333333333323</v>
      </c>
      <c r="AJ1033" s="1">
        <v>6</v>
      </c>
      <c r="AK1033" s="1"/>
      <c r="AL1033" s="1"/>
    </row>
    <row r="1034" spans="1:38" hidden="1" x14ac:dyDescent="0.2">
      <c r="A1034" s="11">
        <v>45533</v>
      </c>
      <c r="B1034" s="53" t="s">
        <v>2030</v>
      </c>
      <c r="C1034" s="52" t="str">
        <f>IF(MID(B1034,4,2)="09","Ramadan",IF(AND(MID(B1034,4,2)="12",VALUE(LEFT(B1034,2))&lt;=9),"Adha Season","Normal"))</f>
        <v>Normal</v>
      </c>
      <c r="D1034" s="1" t="s">
        <v>45</v>
      </c>
      <c r="E1034" s="1" t="s">
        <v>528</v>
      </c>
      <c r="F1034" s="4" t="s">
        <v>639</v>
      </c>
      <c r="G1034" s="1">
        <v>54</v>
      </c>
      <c r="H1034" s="1">
        <v>54</v>
      </c>
      <c r="I1034" s="1">
        <f>grand[[#This Row],[number]]-grand[[#This Row],[received]]</f>
        <v>0</v>
      </c>
      <c r="J1034" s="30"/>
      <c r="K1034" s="2">
        <v>33522.151898734177</v>
      </c>
      <c r="L1034" s="2">
        <v>33522.151898734177</v>
      </c>
      <c r="M1034" s="2">
        <f>K1034-L1034</f>
        <v>0</v>
      </c>
      <c r="N1034" s="2">
        <v>21186</v>
      </c>
      <c r="O1034" s="2">
        <v>0</v>
      </c>
      <c r="P1034" s="7">
        <f>grand[[#This Row],[total weight]]/grand[[#This Row],[received]]</f>
        <v>620.78059071729956</v>
      </c>
      <c r="Q1034" s="7">
        <f>grand[[#This Row],[receiving weight]]/grand[[#This Row],[received]]</f>
        <v>620.78059071729956</v>
      </c>
      <c r="R1034" s="7">
        <f>grand[[#This Row],[transportation loss ]]/grand[[#This Row],[received]]</f>
        <v>0</v>
      </c>
      <c r="S1034" s="7">
        <f>grand[[#This Row],[ carcass weight]]/grand[[#This Row],[received]]</f>
        <v>392.33333333333331</v>
      </c>
      <c r="T1034" s="7">
        <f>grand[[#This Row],[ kidneys fat quantity]]/grand[[#This Row],[received]]</f>
        <v>0</v>
      </c>
      <c r="U1034" s="1">
        <v>25</v>
      </c>
      <c r="V1034" s="1">
        <v>0</v>
      </c>
      <c r="W1034" s="1">
        <v>49.388888888888893</v>
      </c>
      <c r="X1034" s="1">
        <v>9.9074074074074083</v>
      </c>
      <c r="Y1034" s="1">
        <v>8.5</v>
      </c>
      <c r="Z1034" s="18">
        <f>grand[[#This Row],[av. Transportation loss]]/grand[[#This Row],[av.total weight]]</f>
        <v>0</v>
      </c>
      <c r="AA1034" s="12">
        <f>AVERAGE((grand[[#This Row],[am]]/25),(grand[[#This Row],[pm]]/50))</f>
        <v>0.99388888888888893</v>
      </c>
      <c r="AB1034" s="3">
        <f>grand[[#This Row],[ carcass weight]]/grand[[#This Row],[total weight]]</f>
        <v>0.63200000000000001</v>
      </c>
      <c r="AC1034" s="18">
        <f>SUM(grand[[#This Row],[am]:[meat transportation]])/100</f>
        <v>0.92796296296296288</v>
      </c>
      <c r="AJ1034" s="1">
        <v>4</v>
      </c>
      <c r="AK1034" s="1"/>
      <c r="AL1034" s="1"/>
    </row>
    <row r="1035" spans="1:38" hidden="1" x14ac:dyDescent="0.2">
      <c r="A1035" s="11">
        <v>45535</v>
      </c>
      <c r="B1035" s="53" t="s">
        <v>2031</v>
      </c>
      <c r="C1035" s="52" t="str">
        <f>IF(MID(B1035,4,2)="09","Ramadan",IF(AND(MID(B1035,4,2)="12",VALUE(LEFT(B1035,2))&lt;=9),"Adha Season","Normal"))</f>
        <v>Normal</v>
      </c>
      <c r="D1035" s="1" t="s">
        <v>45</v>
      </c>
      <c r="E1035" s="1" t="s">
        <v>528</v>
      </c>
      <c r="F1035" s="4" t="s">
        <v>280</v>
      </c>
      <c r="G1035" s="1">
        <v>18</v>
      </c>
      <c r="H1035" s="1">
        <v>18</v>
      </c>
      <c r="I1035" s="1">
        <f>grand[[#This Row],[number]]-grand[[#This Row],[received]]</f>
        <v>0</v>
      </c>
      <c r="J1035" s="30"/>
      <c r="K1035" s="2">
        <v>9865</v>
      </c>
      <c r="L1035" s="2">
        <v>9430</v>
      </c>
      <c r="M1035" s="2">
        <f>K1035-L1035</f>
        <v>435</v>
      </c>
      <c r="N1035" s="2">
        <v>6239.5</v>
      </c>
      <c r="O1035" s="2">
        <v>115</v>
      </c>
      <c r="P1035" s="7">
        <f>grand[[#This Row],[total weight]]/grand[[#This Row],[received]]</f>
        <v>548.05555555555554</v>
      </c>
      <c r="Q1035" s="7">
        <f>grand[[#This Row],[receiving weight]]/grand[[#This Row],[received]]</f>
        <v>523.88888888888891</v>
      </c>
      <c r="R1035" s="7">
        <f>grand[[#This Row],[transportation loss ]]/grand[[#This Row],[received]]</f>
        <v>24.166666666666668</v>
      </c>
      <c r="S1035" s="7">
        <f>grand[[#This Row],[ carcass weight]]/grand[[#This Row],[received]]</f>
        <v>346.63888888888891</v>
      </c>
      <c r="T1035" s="7">
        <f>grand[[#This Row],[ kidneys fat quantity]]/grand[[#This Row],[received]]</f>
        <v>6.3888888888888893</v>
      </c>
      <c r="U1035" s="1">
        <v>25</v>
      </c>
      <c r="V1035" s="1">
        <v>0</v>
      </c>
      <c r="W1035" s="1">
        <v>47.666666666666664</v>
      </c>
      <c r="X1035" s="1">
        <v>10</v>
      </c>
      <c r="Y1035" s="1">
        <v>8.5</v>
      </c>
      <c r="Z1035" s="18">
        <f>grand[[#This Row],[av. Transportation loss]]/grand[[#This Row],[av.total weight]]</f>
        <v>4.4095286365940199E-2</v>
      </c>
      <c r="AA1035" s="12">
        <f>AVERAGE((grand[[#This Row],[am]]/25),(grand[[#This Row],[pm]]/50))</f>
        <v>0.97666666666666657</v>
      </c>
      <c r="AB1035" s="3">
        <f>grand[[#This Row],[ carcass weight]]/grand[[#This Row],[total weight]]</f>
        <v>0.63248859604662955</v>
      </c>
      <c r="AC1035" s="18">
        <f>SUM(grand[[#This Row],[am]:[meat transportation]])/100</f>
        <v>0.91166666666666663</v>
      </c>
      <c r="AJ1035" s="1">
        <v>4</v>
      </c>
      <c r="AK1035" s="1"/>
      <c r="AL1035" s="1"/>
    </row>
    <row r="1036" spans="1:38" hidden="1" x14ac:dyDescent="0.2">
      <c r="A1036" s="11">
        <v>45536</v>
      </c>
      <c r="B1036" s="53" t="s">
        <v>2032</v>
      </c>
      <c r="C1036" s="52" t="str">
        <f>IF(MID(B1036,4,2)="09","Ramadan",IF(AND(MID(B1036,4,2)="12",VALUE(LEFT(B1036,2))&lt;=9),"Adha Season","Normal"))</f>
        <v>Normal</v>
      </c>
      <c r="D1036" s="1" t="s">
        <v>45</v>
      </c>
      <c r="E1036" s="1" t="s">
        <v>528</v>
      </c>
      <c r="F1036" s="4" t="s">
        <v>280</v>
      </c>
      <c r="G1036" s="1">
        <v>55</v>
      </c>
      <c r="H1036" s="1">
        <v>55</v>
      </c>
      <c r="I1036" s="1">
        <f>grand[[#This Row],[number]]-grand[[#This Row],[received]]</f>
        <v>0</v>
      </c>
      <c r="J1036" s="30"/>
      <c r="K1036" s="2">
        <v>30050</v>
      </c>
      <c r="L1036" s="2">
        <v>28665</v>
      </c>
      <c r="M1036" s="2">
        <f>K1036-L1036</f>
        <v>1385</v>
      </c>
      <c r="N1036" s="2">
        <v>19016.5</v>
      </c>
      <c r="O1036" s="2">
        <v>348</v>
      </c>
      <c r="P1036" s="7">
        <f>grand[[#This Row],[total weight]]/grand[[#This Row],[received]]</f>
        <v>546.36363636363637</v>
      </c>
      <c r="Q1036" s="7">
        <f>grand[[#This Row],[receiving weight]]/grand[[#This Row],[received]]</f>
        <v>521.18181818181813</v>
      </c>
      <c r="R1036" s="7">
        <f>grand[[#This Row],[transportation loss ]]/grand[[#This Row],[received]]</f>
        <v>25.181818181818183</v>
      </c>
      <c r="S1036" s="7">
        <f>grand[[#This Row],[ carcass weight]]/grand[[#This Row],[received]]</f>
        <v>345.75454545454545</v>
      </c>
      <c r="T1036" s="7">
        <f>grand[[#This Row],[ kidneys fat quantity]]/grand[[#This Row],[received]]</f>
        <v>6.3272727272727272</v>
      </c>
      <c r="U1036" s="1">
        <v>25</v>
      </c>
      <c r="V1036" s="1">
        <v>0</v>
      </c>
      <c r="W1036" s="1">
        <v>48.727272727272727</v>
      </c>
      <c r="X1036" s="1">
        <v>10</v>
      </c>
      <c r="Y1036" s="1">
        <v>8.5</v>
      </c>
      <c r="Z1036" s="18">
        <f>grand[[#This Row],[av. Transportation loss]]/grand[[#This Row],[av.total weight]]</f>
        <v>4.6089850249584029E-2</v>
      </c>
      <c r="AA1036" s="12">
        <f>AVERAGE((grand[[#This Row],[am]]/25),(grand[[#This Row],[pm]]/50))</f>
        <v>0.9872727272727273</v>
      </c>
      <c r="AB1036" s="3">
        <f>grand[[#This Row],[ carcass weight]]/grand[[#This Row],[total weight]]</f>
        <v>0.63282861896838605</v>
      </c>
      <c r="AC1036" s="18">
        <f>SUM(grand[[#This Row],[am]:[meat transportation]])/100</f>
        <v>0.92227272727272724</v>
      </c>
      <c r="AJ1036" s="1">
        <v>26</v>
      </c>
      <c r="AK1036" s="1"/>
      <c r="AL1036" s="1"/>
    </row>
    <row r="1037" spans="1:38" hidden="1" x14ac:dyDescent="0.2">
      <c r="A1037" s="11">
        <v>45538</v>
      </c>
      <c r="B1037" s="53" t="s">
        <v>2033</v>
      </c>
      <c r="C1037" s="52" t="str">
        <f>IF(MID(B1037,4,2)="09","Ramadan",IF(AND(MID(B1037,4,2)="12",VALUE(LEFT(B1037,2))&lt;=9),"Adha Season","Normal"))</f>
        <v>Normal</v>
      </c>
      <c r="D1037" s="1" t="s">
        <v>45</v>
      </c>
      <c r="E1037" s="1" t="s">
        <v>528</v>
      </c>
      <c r="F1037" s="4" t="s">
        <v>639</v>
      </c>
      <c r="G1037" s="1">
        <v>45</v>
      </c>
      <c r="H1037" s="1">
        <v>45</v>
      </c>
      <c r="I1037" s="1">
        <f>grand[[#This Row],[number]]-grand[[#This Row],[received]]</f>
        <v>0</v>
      </c>
      <c r="J1037" s="30"/>
      <c r="K1037" s="2">
        <v>28198.417721518992</v>
      </c>
      <c r="L1037" s="2">
        <v>28198.417721518992</v>
      </c>
      <c r="M1037" s="2">
        <f>K1037-L1037</f>
        <v>0</v>
      </c>
      <c r="N1037" s="2">
        <v>17821.400000000001</v>
      </c>
      <c r="O1037" s="2">
        <v>0</v>
      </c>
      <c r="P1037" s="7">
        <f>grand[[#This Row],[total weight]]/grand[[#This Row],[received]]</f>
        <v>626.63150492264424</v>
      </c>
      <c r="Q1037" s="7">
        <f>grand[[#This Row],[receiving weight]]/grand[[#This Row],[received]]</f>
        <v>626.63150492264424</v>
      </c>
      <c r="R1037" s="7">
        <f>grand[[#This Row],[transportation loss ]]/grand[[#This Row],[received]]</f>
        <v>0</v>
      </c>
      <c r="S1037" s="7">
        <f>grand[[#This Row],[ carcass weight]]/grand[[#This Row],[received]]</f>
        <v>396.03111111111116</v>
      </c>
      <c r="T1037" s="7">
        <f>grand[[#This Row],[ kidneys fat quantity]]/grand[[#This Row],[received]]</f>
        <v>0</v>
      </c>
      <c r="U1037" s="1">
        <v>25</v>
      </c>
      <c r="V1037" s="1">
        <v>0</v>
      </c>
      <c r="W1037" s="1">
        <v>48.555555555555557</v>
      </c>
      <c r="X1037" s="1">
        <v>10</v>
      </c>
      <c r="Y1037" s="1">
        <v>8.5</v>
      </c>
      <c r="Z1037" s="18">
        <f>grand[[#This Row],[av. Transportation loss]]/grand[[#This Row],[av.total weight]]</f>
        <v>0</v>
      </c>
      <c r="AA1037" s="12">
        <f>AVERAGE((grand[[#This Row],[am]]/25),(grand[[#This Row],[pm]]/50))</f>
        <v>0.98555555555555552</v>
      </c>
      <c r="AB1037" s="3">
        <f>grand[[#This Row],[ carcass weight]]/grand[[#This Row],[total weight]]</f>
        <v>0.6319999999999999</v>
      </c>
      <c r="AC1037" s="18">
        <f>SUM(grand[[#This Row],[am]:[meat transportation]])/100</f>
        <v>0.92055555555555557</v>
      </c>
      <c r="AJ1037" s="1">
        <v>4</v>
      </c>
      <c r="AK1037" s="1"/>
      <c r="AL1037" s="1"/>
    </row>
    <row r="1038" spans="1:38" hidden="1" x14ac:dyDescent="0.2">
      <c r="A1038" s="11">
        <v>45540</v>
      </c>
      <c r="B1038" s="53" t="s">
        <v>2034</v>
      </c>
      <c r="C1038" s="52" t="str">
        <f>IF(MID(B1038,4,2)="09","Ramadan",IF(AND(MID(B1038,4,2)="12",VALUE(LEFT(B1038,2))&lt;=9),"Adha Season","Normal"))</f>
        <v>Normal</v>
      </c>
      <c r="D1038" s="1" t="s">
        <v>45</v>
      </c>
      <c r="E1038" s="1" t="s">
        <v>528</v>
      </c>
      <c r="F1038" s="4" t="s">
        <v>280</v>
      </c>
      <c r="G1038" s="1">
        <v>58</v>
      </c>
      <c r="H1038" s="1">
        <v>58</v>
      </c>
      <c r="I1038" s="1">
        <f>grand[[#This Row],[number]]-grand[[#This Row],[received]]</f>
        <v>0</v>
      </c>
      <c r="J1038" s="30"/>
      <c r="K1038" s="2">
        <v>32480</v>
      </c>
      <c r="L1038" s="2">
        <v>31195</v>
      </c>
      <c r="M1038" s="2">
        <f>K1038-L1038</f>
        <v>1285</v>
      </c>
      <c r="N1038" s="2">
        <v>20434</v>
      </c>
      <c r="O1038" s="2">
        <v>423</v>
      </c>
      <c r="P1038" s="7">
        <f>grand[[#This Row],[total weight]]/grand[[#This Row],[received]]</f>
        <v>560</v>
      </c>
      <c r="Q1038" s="7">
        <f>grand[[#This Row],[receiving weight]]/grand[[#This Row],[received]]</f>
        <v>537.84482758620686</v>
      </c>
      <c r="R1038" s="7">
        <f>grand[[#This Row],[transportation loss ]]/grand[[#This Row],[received]]</f>
        <v>22.155172413793103</v>
      </c>
      <c r="S1038" s="7">
        <f>grand[[#This Row],[ carcass weight]]/grand[[#This Row],[received]]</f>
        <v>352.31034482758622</v>
      </c>
      <c r="T1038" s="7">
        <f>grand[[#This Row],[ kidneys fat quantity]]/grand[[#This Row],[received]]</f>
        <v>7.2931034482758621</v>
      </c>
      <c r="U1038" s="1">
        <v>25</v>
      </c>
      <c r="V1038" s="1">
        <v>0</v>
      </c>
      <c r="W1038" s="1">
        <v>48.431034482758619</v>
      </c>
      <c r="X1038" s="1">
        <v>10</v>
      </c>
      <c r="Y1038" s="1">
        <v>8.5</v>
      </c>
      <c r="Z1038" s="18">
        <f>grand[[#This Row],[av. Transportation loss]]/grand[[#This Row],[av.total weight]]</f>
        <v>3.9562807881773396E-2</v>
      </c>
      <c r="AA1038" s="12">
        <f>AVERAGE((grand[[#This Row],[am]]/25),(grand[[#This Row],[pm]]/50))</f>
        <v>0.98431034482758617</v>
      </c>
      <c r="AB1038" s="3">
        <f>grand[[#This Row],[ carcass weight]]/grand[[#This Row],[total weight]]</f>
        <v>0.62912561576354675</v>
      </c>
      <c r="AC1038" s="18">
        <f>SUM(grand[[#This Row],[am]:[meat transportation]])/100</f>
        <v>0.91931034482758622</v>
      </c>
      <c r="AJ1038" s="1">
        <v>18</v>
      </c>
      <c r="AK1038" s="1"/>
      <c r="AL1038" s="1"/>
    </row>
    <row r="1039" spans="1:38" hidden="1" x14ac:dyDescent="0.2">
      <c r="A1039" s="11">
        <v>45542</v>
      </c>
      <c r="B1039" s="53" t="s">
        <v>2035</v>
      </c>
      <c r="C1039" s="52" t="str">
        <f>IF(MID(B1039,4,2)="09","Ramadan",IF(AND(MID(B1039,4,2)="12",VALUE(LEFT(B1039,2))&lt;=9),"Adha Season","Normal"))</f>
        <v>Normal</v>
      </c>
      <c r="D1039" s="1" t="s">
        <v>45</v>
      </c>
      <c r="E1039" s="1" t="s">
        <v>483</v>
      </c>
      <c r="F1039" s="4" t="s">
        <v>640</v>
      </c>
      <c r="G1039" s="1">
        <v>16</v>
      </c>
      <c r="H1039" s="1">
        <v>16</v>
      </c>
      <c r="I1039" s="1">
        <f>grand[[#This Row],[number]]-grand[[#This Row],[received]]</f>
        <v>0</v>
      </c>
      <c r="J1039" s="30"/>
      <c r="K1039" s="2">
        <v>7176</v>
      </c>
      <c r="L1039" s="2">
        <v>7176</v>
      </c>
      <c r="M1039" s="2">
        <f>K1039-L1039</f>
        <v>0</v>
      </c>
      <c r="N1039" s="2">
        <v>4476.1000000000004</v>
      </c>
      <c r="O1039" s="2">
        <v>123</v>
      </c>
      <c r="P1039" s="7">
        <f>grand[[#This Row],[total weight]]/grand[[#This Row],[received]]</f>
        <v>448.5</v>
      </c>
      <c r="Q1039" s="7">
        <f>grand[[#This Row],[receiving weight]]/grand[[#This Row],[received]]</f>
        <v>448.5</v>
      </c>
      <c r="R1039" s="7">
        <f>grand[[#This Row],[transportation loss ]]/grand[[#This Row],[received]]</f>
        <v>0</v>
      </c>
      <c r="S1039" s="7">
        <f>grand[[#This Row],[ carcass weight]]/grand[[#This Row],[received]]</f>
        <v>279.75625000000002</v>
      </c>
      <c r="T1039" s="7">
        <f>grand[[#This Row],[ kidneys fat quantity]]/grand[[#This Row],[received]]</f>
        <v>7.6875</v>
      </c>
      <c r="U1039" s="1">
        <v>25</v>
      </c>
      <c r="V1039" s="1">
        <v>0</v>
      </c>
      <c r="W1039" s="1">
        <v>47.5625</v>
      </c>
      <c r="X1039" s="1">
        <v>10</v>
      </c>
      <c r="Y1039" s="1">
        <v>8.5</v>
      </c>
      <c r="Z1039" s="18">
        <f>grand[[#This Row],[av. Transportation loss]]/grand[[#This Row],[av.total weight]]</f>
        <v>0</v>
      </c>
      <c r="AA1039" s="12">
        <f>AVERAGE((grand[[#This Row],[am]]/25),(grand[[#This Row],[pm]]/50))</f>
        <v>0.97562499999999996</v>
      </c>
      <c r="AB1039" s="3">
        <f>grand[[#This Row],[ carcass weight]]/grand[[#This Row],[total weight]]</f>
        <v>0.6237597547380157</v>
      </c>
      <c r="AC1039" s="18">
        <f>SUM(grand[[#This Row],[am]:[meat transportation]])/100</f>
        <v>0.91062500000000002</v>
      </c>
      <c r="AJ1039" s="1">
        <v>4</v>
      </c>
      <c r="AK1039" s="1"/>
      <c r="AL1039" s="1"/>
    </row>
    <row r="1040" spans="1:38" hidden="1" x14ac:dyDescent="0.2">
      <c r="A1040" s="11">
        <v>45543</v>
      </c>
      <c r="B1040" s="53" t="s">
        <v>2036</v>
      </c>
      <c r="C1040" s="52" t="str">
        <f>IF(MID(B1040,4,2)="09","Ramadan",IF(AND(MID(B1040,4,2)="12",VALUE(LEFT(B1040,2))&lt;=9),"Adha Season","Normal"))</f>
        <v>Normal</v>
      </c>
      <c r="D1040" s="2" t="s">
        <v>294</v>
      </c>
      <c r="F1040" s="4" t="s">
        <v>637</v>
      </c>
      <c r="G1040" s="1">
        <v>25</v>
      </c>
      <c r="H1040" s="1">
        <v>25</v>
      </c>
      <c r="I1040" s="1">
        <f>grand[[#This Row],[number]]-grand[[#This Row],[received]]</f>
        <v>0</v>
      </c>
      <c r="J1040" s="30"/>
      <c r="K1040" s="2">
        <v>1320</v>
      </c>
      <c r="L1040" s="2">
        <v>1300</v>
      </c>
      <c r="M1040" s="2">
        <f>K1040-L1040</f>
        <v>20</v>
      </c>
      <c r="N1040" s="2">
        <v>773.9</v>
      </c>
      <c r="O1040" s="2">
        <v>0</v>
      </c>
      <c r="P1040" s="7">
        <f>grand[[#This Row],[total weight]]/grand[[#This Row],[received]]</f>
        <v>52.8</v>
      </c>
      <c r="Q1040" s="7">
        <f>grand[[#This Row],[receiving weight]]/grand[[#This Row],[received]]</f>
        <v>52</v>
      </c>
      <c r="R1040" s="7">
        <f>grand[[#This Row],[transportation loss ]]/grand[[#This Row],[received]]</f>
        <v>0.8</v>
      </c>
      <c r="S1040" s="7">
        <f>grand[[#This Row],[ carcass weight]]/grand[[#This Row],[received]]</f>
        <v>30.956</v>
      </c>
      <c r="T1040" s="7">
        <f>grand[[#This Row],[ kidneys fat quantity]]/grand[[#This Row],[received]]</f>
        <v>0</v>
      </c>
      <c r="U1040" s="1">
        <v>25</v>
      </c>
      <c r="V1040" s="1">
        <v>0</v>
      </c>
      <c r="W1040" s="1">
        <v>44.96</v>
      </c>
      <c r="X1040" s="1">
        <v>10</v>
      </c>
      <c r="Y1040" s="1">
        <v>8.5</v>
      </c>
      <c r="Z1040" s="18">
        <f>grand[[#This Row],[av. Transportation loss]]/grand[[#This Row],[av.total weight]]</f>
        <v>1.5151515151515154E-2</v>
      </c>
      <c r="AA1040" s="12">
        <f>AVERAGE((grand[[#This Row],[am]]/25),(grand[[#This Row],[pm]]/50))</f>
        <v>0.9496</v>
      </c>
      <c r="AB1040" s="3">
        <f>grand[[#This Row],[ carcass weight]]/grand[[#This Row],[total weight]]</f>
        <v>0.5862878787878788</v>
      </c>
      <c r="AC1040" s="18">
        <f>SUM(grand[[#This Row],[am]:[meat transportation]])/100</f>
        <v>0.88460000000000005</v>
      </c>
      <c r="AJ1040" s="1">
        <v>0</v>
      </c>
      <c r="AK1040" s="1"/>
      <c r="AL1040" s="1"/>
    </row>
    <row r="1041" spans="1:38" hidden="1" x14ac:dyDescent="0.2">
      <c r="A1041" s="11">
        <v>45544</v>
      </c>
      <c r="B1041" s="53" t="s">
        <v>2037</v>
      </c>
      <c r="C1041" s="52" t="str">
        <f>IF(MID(B1041,4,2)="09","Ramadan",IF(AND(MID(B1041,4,2)="12",VALUE(LEFT(B1041,2))&lt;=9),"Adha Season","Normal"))</f>
        <v>Normal</v>
      </c>
      <c r="D1041" s="1" t="s">
        <v>45</v>
      </c>
      <c r="E1041" s="1" t="s">
        <v>528</v>
      </c>
      <c r="F1041" s="4" t="s">
        <v>462</v>
      </c>
      <c r="G1041" s="1">
        <v>32</v>
      </c>
      <c r="H1041" s="1">
        <v>32</v>
      </c>
      <c r="I1041" s="1">
        <f>grand[[#This Row],[number]]-grand[[#This Row],[received]]</f>
        <v>0</v>
      </c>
      <c r="J1041" s="30"/>
      <c r="K1041" s="13">
        <f>K1024/45*32</f>
        <v>10633.797468354431</v>
      </c>
      <c r="L1041" s="13">
        <f>L1024/45*32</f>
        <v>10633.797468354431</v>
      </c>
      <c r="M1041" s="2">
        <f>K1041-L1041</f>
        <v>0</v>
      </c>
      <c r="N1041" s="13">
        <f>N1024/45*32</f>
        <v>6720.56</v>
      </c>
      <c r="O1041" s="2">
        <f>O1024/45*32</f>
        <v>0</v>
      </c>
      <c r="P1041" s="7">
        <f>grand[[#This Row],[total weight]]/grand[[#This Row],[received]]</f>
        <v>332.30617088607596</v>
      </c>
      <c r="Q1041" s="7">
        <f>grand[[#This Row],[receiving weight]]/grand[[#This Row],[received]]</f>
        <v>332.30617088607596</v>
      </c>
      <c r="R1041" s="7">
        <f>grand[[#This Row],[transportation loss ]]/grand[[#This Row],[received]]</f>
        <v>0</v>
      </c>
      <c r="S1041" s="7">
        <f>grand[[#This Row],[ carcass weight]]/grand[[#This Row],[received]]</f>
        <v>210.01750000000001</v>
      </c>
      <c r="T1041" s="7">
        <f>grand[[#This Row],[ kidneys fat quantity]]/grand[[#This Row],[received]]</f>
        <v>0</v>
      </c>
      <c r="U1041" s="1">
        <v>25</v>
      </c>
      <c r="V1041" s="1">
        <v>4</v>
      </c>
      <c r="W1041" s="1">
        <v>50</v>
      </c>
      <c r="X1041" s="1">
        <v>10</v>
      </c>
      <c r="Y1041" s="1">
        <v>8.5</v>
      </c>
      <c r="Z1041" s="18">
        <f>grand[[#This Row],[av. Transportation loss]]/grand[[#This Row],[av.total weight]]</f>
        <v>0</v>
      </c>
      <c r="AA1041" s="12">
        <f>AVERAGE((grand[[#This Row],[am]]/25),(grand[[#This Row],[pm]]/50))</f>
        <v>1</v>
      </c>
      <c r="AB1041" s="3">
        <f>grand[[#This Row],[ carcass weight]]/grand[[#This Row],[total weight]]</f>
        <v>0.63200000000000001</v>
      </c>
      <c r="AC1041" s="18">
        <f>SUM(grand[[#This Row],[am]:[meat transportation]])/100</f>
        <v>0.97499999999999998</v>
      </c>
      <c r="AJ1041" s="1">
        <v>0</v>
      </c>
      <c r="AK1041" s="1"/>
      <c r="AL1041" s="1"/>
    </row>
    <row r="1042" spans="1:38" hidden="1" x14ac:dyDescent="0.2">
      <c r="A1042" s="11">
        <v>45546</v>
      </c>
      <c r="B1042" s="53" t="s">
        <v>2038</v>
      </c>
      <c r="C1042" s="52" t="str">
        <f>IF(MID(B1042,4,2)="09","Ramadan",IF(AND(MID(B1042,4,2)="12",VALUE(LEFT(B1042,2))&lt;=9),"Adha Season","Normal"))</f>
        <v>Normal</v>
      </c>
      <c r="D1042" s="1" t="s">
        <v>45</v>
      </c>
      <c r="E1042" s="1" t="s">
        <v>528</v>
      </c>
      <c r="F1042" s="4" t="s">
        <v>639</v>
      </c>
      <c r="G1042" s="1">
        <v>30</v>
      </c>
      <c r="H1042" s="1">
        <v>30</v>
      </c>
      <c r="I1042" s="1">
        <f>grand[[#This Row],[number]]-grand[[#This Row],[received]]</f>
        <v>0</v>
      </c>
      <c r="J1042" s="30"/>
      <c r="K1042" s="2">
        <v>18962.8164556962</v>
      </c>
      <c r="L1042" s="2">
        <v>18962.8164556962</v>
      </c>
      <c r="M1042" s="2">
        <f>K1042-L1042</f>
        <v>0</v>
      </c>
      <c r="N1042" s="2">
        <v>11984.5</v>
      </c>
      <c r="O1042" s="2">
        <v>0</v>
      </c>
      <c r="P1042" s="7">
        <f>grand[[#This Row],[total weight]]/grand[[#This Row],[received]]</f>
        <v>632.09388185653995</v>
      </c>
      <c r="Q1042" s="7">
        <f>grand[[#This Row],[receiving weight]]/grand[[#This Row],[received]]</f>
        <v>632.09388185653995</v>
      </c>
      <c r="R1042" s="7">
        <f>grand[[#This Row],[transportation loss ]]/grand[[#This Row],[received]]</f>
        <v>0</v>
      </c>
      <c r="S1042" s="7">
        <f>grand[[#This Row],[ carcass weight]]/grand[[#This Row],[received]]</f>
        <v>399.48333333333335</v>
      </c>
      <c r="T1042" s="7">
        <f>grand[[#This Row],[ kidneys fat quantity]]/grand[[#This Row],[received]]</f>
        <v>0</v>
      </c>
      <c r="U1042" s="1">
        <v>25</v>
      </c>
      <c r="V1042" s="1">
        <v>0</v>
      </c>
      <c r="W1042" s="1">
        <v>48.266666666666666</v>
      </c>
      <c r="X1042" s="1">
        <v>10</v>
      </c>
      <c r="Y1042" s="1">
        <v>8.5</v>
      </c>
      <c r="Z1042" s="18">
        <f>grand[[#This Row],[av. Transportation loss]]/grand[[#This Row],[av.total weight]]</f>
        <v>0</v>
      </c>
      <c r="AA1042" s="12">
        <f>AVERAGE((grand[[#This Row],[am]]/25),(grand[[#This Row],[pm]]/50))</f>
        <v>0.98266666666666658</v>
      </c>
      <c r="AB1042" s="3">
        <f>grand[[#This Row],[ carcass weight]]/grand[[#This Row],[total weight]]</f>
        <v>0.63200000000000012</v>
      </c>
      <c r="AC1042" s="18">
        <f>SUM(grand[[#This Row],[am]:[meat transportation]])/100</f>
        <v>0.91766666666666663</v>
      </c>
      <c r="AJ1042" s="1">
        <v>2</v>
      </c>
      <c r="AK1042" s="1"/>
      <c r="AL1042" s="1"/>
    </row>
    <row r="1043" spans="1:38" hidden="1" x14ac:dyDescent="0.2">
      <c r="A1043" s="11">
        <v>45547</v>
      </c>
      <c r="B1043" s="53" t="s">
        <v>2039</v>
      </c>
      <c r="C1043" s="52" t="str">
        <f>IF(MID(B1043,4,2)="09","Ramadan",IF(AND(MID(B1043,4,2)="12",VALUE(LEFT(B1043,2))&lt;=9),"Adha Season","Normal"))</f>
        <v>Normal</v>
      </c>
      <c r="D1043" s="2" t="s">
        <v>294</v>
      </c>
      <c r="F1043" s="4" t="s">
        <v>637</v>
      </c>
      <c r="G1043" s="1">
        <v>33</v>
      </c>
      <c r="H1043" s="1">
        <v>33</v>
      </c>
      <c r="I1043" s="1">
        <f>grand[[#This Row],[number]]-grand[[#This Row],[received]]</f>
        <v>0</v>
      </c>
      <c r="J1043" s="30"/>
      <c r="K1043" s="2">
        <v>1730</v>
      </c>
      <c r="L1043" s="2">
        <v>1710</v>
      </c>
      <c r="M1043" s="2">
        <f>K1043-L1043</f>
        <v>20</v>
      </c>
      <c r="N1043" s="2">
        <v>1010</v>
      </c>
      <c r="O1043" s="2">
        <v>0</v>
      </c>
      <c r="P1043" s="7">
        <f>grand[[#This Row],[total weight]]/grand[[#This Row],[received]]</f>
        <v>52.424242424242422</v>
      </c>
      <c r="Q1043" s="7">
        <f>grand[[#This Row],[receiving weight]]/grand[[#This Row],[received]]</f>
        <v>51.81818181818182</v>
      </c>
      <c r="R1043" s="7">
        <f>grand[[#This Row],[transportation loss ]]/grand[[#This Row],[received]]</f>
        <v>0.60606060606060608</v>
      </c>
      <c r="S1043" s="7">
        <f>grand[[#This Row],[ carcass weight]]/grand[[#This Row],[received]]</f>
        <v>30.606060606060606</v>
      </c>
      <c r="T1043" s="7">
        <f>grand[[#This Row],[ kidneys fat quantity]]/grand[[#This Row],[received]]</f>
        <v>0</v>
      </c>
      <c r="U1043" s="1">
        <v>25</v>
      </c>
      <c r="V1043" s="1">
        <v>0</v>
      </c>
      <c r="W1043" s="1">
        <v>48.393939393939398</v>
      </c>
      <c r="X1043" s="1">
        <v>10</v>
      </c>
      <c r="Y1043" s="1">
        <v>8.5</v>
      </c>
      <c r="Z1043" s="18">
        <f>grand[[#This Row],[av. Transportation loss]]/grand[[#This Row],[av.total weight]]</f>
        <v>1.1560693641618498E-2</v>
      </c>
      <c r="AA1043" s="12">
        <f>AVERAGE((grand[[#This Row],[am]]/25),(grand[[#This Row],[pm]]/50))</f>
        <v>0.983939393939394</v>
      </c>
      <c r="AB1043" s="3">
        <f>grand[[#This Row],[ carcass weight]]/grand[[#This Row],[total weight]]</f>
        <v>0.58381502890173409</v>
      </c>
      <c r="AC1043" s="18">
        <f>SUM(grand[[#This Row],[am]:[meat transportation]])/100</f>
        <v>0.91893939393939406</v>
      </c>
      <c r="AJ1043" s="1">
        <v>0</v>
      </c>
      <c r="AK1043" s="1"/>
      <c r="AL1043" s="1"/>
    </row>
    <row r="1044" spans="1:38" hidden="1" x14ac:dyDescent="0.2">
      <c r="A1044" s="11">
        <v>45547</v>
      </c>
      <c r="B1044" s="53" t="s">
        <v>2039</v>
      </c>
      <c r="C1044" s="52" t="str">
        <f>IF(MID(B1044,4,2)="09","Ramadan",IF(AND(MID(B1044,4,2)="12",VALUE(LEFT(B1044,2))&lt;=9),"Adha Season","Normal"))</f>
        <v>Normal</v>
      </c>
      <c r="D1044" s="1" t="s">
        <v>45</v>
      </c>
      <c r="E1044" s="1" t="s">
        <v>483</v>
      </c>
      <c r="F1044" s="4" t="s">
        <v>576</v>
      </c>
      <c r="G1044" s="1">
        <v>66</v>
      </c>
      <c r="H1044" s="1">
        <v>66</v>
      </c>
      <c r="I1044" s="1">
        <f>grand[[#This Row],[number]]-grand[[#This Row],[received]]</f>
        <v>0</v>
      </c>
      <c r="J1044" s="30"/>
      <c r="K1044" s="2">
        <v>31630</v>
      </c>
      <c r="L1044" s="2">
        <v>30745</v>
      </c>
      <c r="M1044" s="2">
        <f>K1044-L1044</f>
        <v>885</v>
      </c>
      <c r="N1044" s="2">
        <v>19761.900000000001</v>
      </c>
      <c r="O1044" s="2">
        <v>567</v>
      </c>
      <c r="P1044" s="7">
        <f>grand[[#This Row],[total weight]]/grand[[#This Row],[received]]</f>
        <v>479.24242424242425</v>
      </c>
      <c r="Q1044" s="7">
        <f>grand[[#This Row],[receiving weight]]/grand[[#This Row],[received]]</f>
        <v>465.83333333333331</v>
      </c>
      <c r="R1044" s="7">
        <f>grand[[#This Row],[transportation loss ]]/grand[[#This Row],[received]]</f>
        <v>13.409090909090908</v>
      </c>
      <c r="S1044" s="7">
        <f>grand[[#This Row],[ carcass weight]]/grand[[#This Row],[received]]</f>
        <v>299.42272727272729</v>
      </c>
      <c r="T1044" s="7">
        <f>grand[[#This Row],[ kidneys fat quantity]]/grand[[#This Row],[received]]</f>
        <v>8.5909090909090917</v>
      </c>
      <c r="U1044" s="1">
        <v>25</v>
      </c>
      <c r="V1044" s="1">
        <v>0</v>
      </c>
      <c r="W1044" s="1">
        <v>47.666666666666664</v>
      </c>
      <c r="X1044" s="1">
        <v>9.9242424242424239</v>
      </c>
      <c r="Y1044" s="1">
        <v>8.5</v>
      </c>
      <c r="Z1044" s="18">
        <f>grand[[#This Row],[av. Transportation loss]]/grand[[#This Row],[av.total weight]]</f>
        <v>2.7979766044894085E-2</v>
      </c>
      <c r="AA1044" s="12">
        <f>AVERAGE((grand[[#This Row],[am]]/25),(grand[[#This Row],[pm]]/50))</f>
        <v>0.97666666666666657</v>
      </c>
      <c r="AB1044" s="3">
        <f>grand[[#This Row],[ carcass weight]]/grand[[#This Row],[total weight]]</f>
        <v>0.62478343344925713</v>
      </c>
      <c r="AC1044" s="18">
        <f>SUM(grand[[#This Row],[am]:[meat transportation]])/100</f>
        <v>0.91090909090909078</v>
      </c>
      <c r="AJ1044" s="1">
        <v>21</v>
      </c>
      <c r="AK1044" s="1"/>
      <c r="AL1044" s="1"/>
    </row>
    <row r="1045" spans="1:38" hidden="1" x14ac:dyDescent="0.2">
      <c r="A1045" s="11">
        <v>45549</v>
      </c>
      <c r="B1045" s="53" t="s">
        <v>2040</v>
      </c>
      <c r="C1045" s="52" t="str">
        <f>IF(MID(B1045,4,2)="09","Ramadan",IF(AND(MID(B1045,4,2)="12",VALUE(LEFT(B1045,2))&lt;=9),"Adha Season","Normal"))</f>
        <v>Normal</v>
      </c>
      <c r="D1045" s="1" t="s">
        <v>45</v>
      </c>
      <c r="E1045" s="1" t="s">
        <v>483</v>
      </c>
      <c r="F1045" s="4" t="s">
        <v>43</v>
      </c>
      <c r="G1045" s="1">
        <v>18</v>
      </c>
      <c r="H1045" s="1">
        <v>18</v>
      </c>
      <c r="I1045" s="1">
        <f>grand[[#This Row],[number]]-grand[[#This Row],[received]]</f>
        <v>0</v>
      </c>
      <c r="J1045" s="30"/>
      <c r="K1045" s="2">
        <v>8415</v>
      </c>
      <c r="L1045" s="2">
        <v>8295</v>
      </c>
      <c r="M1045" s="2">
        <f>K1045-L1045</f>
        <v>120</v>
      </c>
      <c r="N1045" s="2">
        <v>5049</v>
      </c>
      <c r="O1045" s="2">
        <v>178</v>
      </c>
      <c r="P1045" s="7">
        <f>grand[[#This Row],[total weight]]/grand[[#This Row],[received]]</f>
        <v>467.5</v>
      </c>
      <c r="Q1045" s="7">
        <f>grand[[#This Row],[receiving weight]]/grand[[#This Row],[received]]</f>
        <v>460.83333333333331</v>
      </c>
      <c r="R1045" s="7">
        <f>grand[[#This Row],[transportation loss ]]/grand[[#This Row],[received]]</f>
        <v>6.666666666666667</v>
      </c>
      <c r="S1045" s="7">
        <f>grand[[#This Row],[ carcass weight]]/grand[[#This Row],[received]]</f>
        <v>280.5</v>
      </c>
      <c r="T1045" s="7">
        <f>grand[[#This Row],[ kidneys fat quantity]]/grand[[#This Row],[received]]</f>
        <v>9.8888888888888893</v>
      </c>
      <c r="U1045" s="1">
        <v>25</v>
      </c>
      <c r="V1045" s="1">
        <v>0</v>
      </c>
      <c r="W1045" s="1">
        <v>48.055555555555557</v>
      </c>
      <c r="X1045" s="1">
        <v>10</v>
      </c>
      <c r="Y1045" s="1">
        <v>8.5</v>
      </c>
      <c r="Z1045" s="18">
        <f>grand[[#This Row],[av. Transportation loss]]/grand[[#This Row],[av.total weight]]</f>
        <v>1.4260249554367202E-2</v>
      </c>
      <c r="AA1045" s="12">
        <f>AVERAGE((grand[[#This Row],[am]]/25),(grand[[#This Row],[pm]]/50))</f>
        <v>0.98055555555555562</v>
      </c>
      <c r="AB1045" s="3">
        <f>grand[[#This Row],[ carcass weight]]/grand[[#This Row],[total weight]]</f>
        <v>0.6</v>
      </c>
      <c r="AC1045" s="18">
        <f>SUM(grand[[#This Row],[am]:[meat transportation]])/100</f>
        <v>0.91555555555555557</v>
      </c>
      <c r="AJ1045" s="1">
        <v>6</v>
      </c>
      <c r="AK1045" s="1"/>
      <c r="AL1045" s="1"/>
    </row>
    <row r="1046" spans="1:38" hidden="1" x14ac:dyDescent="0.2">
      <c r="A1046" s="11">
        <v>45550</v>
      </c>
      <c r="B1046" s="53" t="s">
        <v>2041</v>
      </c>
      <c r="C1046" s="52" t="str">
        <f>IF(MID(B1046,4,2)="09","Ramadan",IF(AND(MID(B1046,4,2)="12",VALUE(LEFT(B1046,2))&lt;=9),"Adha Season","Normal"))</f>
        <v>Normal</v>
      </c>
      <c r="D1046" s="2" t="s">
        <v>294</v>
      </c>
      <c r="F1046" s="4" t="s">
        <v>637</v>
      </c>
      <c r="G1046" s="1">
        <v>25</v>
      </c>
      <c r="H1046" s="1">
        <v>25</v>
      </c>
      <c r="I1046" s="1">
        <f>grand[[#This Row],[number]]-grand[[#This Row],[received]]</f>
        <v>0</v>
      </c>
      <c r="J1046" s="30"/>
      <c r="K1046" s="13">
        <v>1310.6060606060605</v>
      </c>
      <c r="L1046" s="13">
        <v>1295.4545454545455</v>
      </c>
      <c r="M1046" s="2">
        <f>K1046-L1046</f>
        <v>15.151515151515014</v>
      </c>
      <c r="N1046" s="13">
        <v>765.15151515151513</v>
      </c>
      <c r="O1046" s="2"/>
      <c r="P1046" s="7">
        <f>grand[[#This Row],[total weight]]/grand[[#This Row],[received]]</f>
        <v>52.424242424242422</v>
      </c>
      <c r="Q1046" s="7">
        <f>grand[[#This Row],[receiving weight]]/grand[[#This Row],[received]]</f>
        <v>51.81818181818182</v>
      </c>
      <c r="R1046" s="7">
        <f>grand[[#This Row],[transportation loss ]]/grand[[#This Row],[received]]</f>
        <v>0.60606060606060053</v>
      </c>
      <c r="S1046" s="7">
        <f>grand[[#This Row],[ carcass weight]]/grand[[#This Row],[received]]</f>
        <v>30.606060606060606</v>
      </c>
      <c r="T1046" s="7">
        <f>grand[[#This Row],[ kidneys fat quantity]]/grand[[#This Row],[received]]</f>
        <v>0</v>
      </c>
      <c r="U1046" s="1">
        <v>25</v>
      </c>
      <c r="V1046" s="1">
        <v>0</v>
      </c>
      <c r="W1046" s="1">
        <v>48.393939393939398</v>
      </c>
      <c r="X1046" s="1">
        <v>10</v>
      </c>
      <c r="Y1046" s="1">
        <v>8.5</v>
      </c>
      <c r="Z1046" s="18">
        <f>grand[[#This Row],[av. Transportation loss]]/grand[[#This Row],[av.total weight]]</f>
        <v>1.1560693641618392E-2</v>
      </c>
      <c r="AA1046" s="12">
        <f>AVERAGE((grand[[#This Row],[am]]/25),(grand[[#This Row],[pm]]/50))</f>
        <v>0.983939393939394</v>
      </c>
      <c r="AB1046" s="3">
        <f>grand[[#This Row],[ carcass weight]]/grand[[#This Row],[total weight]]</f>
        <v>0.58381502890173409</v>
      </c>
      <c r="AC1046" s="18">
        <f>SUM(grand[[#This Row],[am]:[meat transportation]])/100</f>
        <v>0.91893939393939406</v>
      </c>
      <c r="AK1046" s="1"/>
      <c r="AL1046" s="1"/>
    </row>
    <row r="1047" spans="1:38" hidden="1" x14ac:dyDescent="0.2">
      <c r="A1047" s="11">
        <v>45550</v>
      </c>
      <c r="B1047" s="53" t="s">
        <v>2041</v>
      </c>
      <c r="C1047" s="52" t="str">
        <f>IF(MID(B1047,4,2)="09","Ramadan",IF(AND(MID(B1047,4,2)="12",VALUE(LEFT(B1047,2))&lt;=9),"Adha Season","Normal"))</f>
        <v>Normal</v>
      </c>
      <c r="D1047" s="1" t="s">
        <v>45</v>
      </c>
      <c r="E1047" s="1" t="s">
        <v>528</v>
      </c>
      <c r="F1047" s="4" t="s">
        <v>280</v>
      </c>
      <c r="G1047" s="1">
        <v>50</v>
      </c>
      <c r="H1047" s="1">
        <v>50</v>
      </c>
      <c r="I1047" s="1">
        <f>grand[[#This Row],[number]]-grand[[#This Row],[received]]</f>
        <v>0</v>
      </c>
      <c r="J1047" s="30"/>
      <c r="K1047" s="13">
        <v>28000</v>
      </c>
      <c r="L1047" s="13">
        <v>26892.241379310344</v>
      </c>
      <c r="M1047" s="2">
        <f>K1047-L1047</f>
        <v>1107.7586206896558</v>
      </c>
      <c r="N1047" s="13">
        <v>17615.517241379312</v>
      </c>
      <c r="O1047" s="2">
        <f>O1037/58*50</f>
        <v>0</v>
      </c>
      <c r="P1047" s="7">
        <f>grand[[#This Row],[total weight]]/grand[[#This Row],[received]]</f>
        <v>560</v>
      </c>
      <c r="Q1047" s="7">
        <f>grand[[#This Row],[receiving weight]]/grand[[#This Row],[received]]</f>
        <v>537.84482758620686</v>
      </c>
      <c r="R1047" s="7">
        <f>grand[[#This Row],[transportation loss ]]/grand[[#This Row],[received]]</f>
        <v>22.155172413793117</v>
      </c>
      <c r="S1047" s="7">
        <f>grand[[#This Row],[ carcass weight]]/grand[[#This Row],[received]]</f>
        <v>352.31034482758622</v>
      </c>
      <c r="T1047" s="7">
        <f>grand[[#This Row],[ kidneys fat quantity]]/grand[[#This Row],[received]]</f>
        <v>0</v>
      </c>
      <c r="U1047" s="1">
        <v>25</v>
      </c>
      <c r="V1047" s="1">
        <v>0</v>
      </c>
      <c r="W1047" s="1">
        <v>48.431034482758619</v>
      </c>
      <c r="X1047" s="1">
        <v>10</v>
      </c>
      <c r="Y1047" s="1">
        <v>8.5</v>
      </c>
      <c r="Z1047" s="18">
        <f>grand[[#This Row],[av. Transportation loss]]/grand[[#This Row],[av.total weight]]</f>
        <v>3.9562807881773424E-2</v>
      </c>
      <c r="AA1047" s="12">
        <f>AVERAGE((grand[[#This Row],[am]]/25),(grand[[#This Row],[pm]]/50))</f>
        <v>0.98431034482758617</v>
      </c>
      <c r="AB1047" s="3">
        <f>grand[[#This Row],[ carcass weight]]/grand[[#This Row],[total weight]]</f>
        <v>0.62912561576354686</v>
      </c>
      <c r="AC1047" s="18">
        <f>SUM(grand[[#This Row],[am]:[meat transportation]])/100</f>
        <v>0.91931034482758622</v>
      </c>
      <c r="AJ1047" s="1">
        <v>23</v>
      </c>
      <c r="AK1047" s="1"/>
      <c r="AL1047" s="1"/>
    </row>
    <row r="1048" spans="1:38" hidden="1" x14ac:dyDescent="0.2">
      <c r="A1048" s="11">
        <v>45551</v>
      </c>
      <c r="B1048" s="53" t="s">
        <v>2042</v>
      </c>
      <c r="C1048" s="52" t="str">
        <f>IF(MID(B1048,4,2)="09","Ramadan",IF(AND(MID(B1048,4,2)="12",VALUE(LEFT(B1048,2))&lt;=9),"Adha Season","Normal"))</f>
        <v>Normal</v>
      </c>
      <c r="D1048" s="1" t="s">
        <v>45</v>
      </c>
      <c r="E1048" s="1" t="s">
        <v>528</v>
      </c>
      <c r="F1048" s="4" t="s">
        <v>462</v>
      </c>
      <c r="G1048" s="1">
        <v>29</v>
      </c>
      <c r="H1048" s="1">
        <v>29</v>
      </c>
      <c r="I1048" s="1">
        <f>grand[[#This Row],[number]]-grand[[#This Row],[received]]</f>
        <v>0</v>
      </c>
      <c r="J1048" s="30"/>
      <c r="K1048" s="2">
        <v>13093.354430379746</v>
      </c>
      <c r="L1048" s="2">
        <v>13093.354430379746</v>
      </c>
      <c r="M1048" s="2">
        <f>K1048-L1048</f>
        <v>0</v>
      </c>
      <c r="N1048" s="2">
        <v>8275</v>
      </c>
      <c r="O1048" s="2">
        <v>0</v>
      </c>
      <c r="P1048" s="7">
        <f>grand[[#This Row],[total weight]]/grand[[#This Row],[received]]</f>
        <v>451.49498035792226</v>
      </c>
      <c r="Q1048" s="7">
        <f>grand[[#This Row],[receiving weight]]/grand[[#This Row],[received]]</f>
        <v>451.49498035792226</v>
      </c>
      <c r="R1048" s="7">
        <f>grand[[#This Row],[transportation loss ]]/grand[[#This Row],[received]]</f>
        <v>0</v>
      </c>
      <c r="S1048" s="7">
        <f>grand[[#This Row],[ carcass weight]]/grand[[#This Row],[received]]</f>
        <v>285.34482758620692</v>
      </c>
      <c r="T1048" s="7">
        <f>grand[[#This Row],[ kidneys fat quantity]]/grand[[#This Row],[received]]</f>
        <v>0</v>
      </c>
      <c r="U1048" s="1">
        <v>25</v>
      </c>
      <c r="V1048" s="1">
        <v>4</v>
      </c>
      <c r="W1048" s="1">
        <v>50</v>
      </c>
      <c r="X1048" s="1">
        <v>10</v>
      </c>
      <c r="Y1048" s="1">
        <v>8.5</v>
      </c>
      <c r="Z1048" s="18">
        <f>grand[[#This Row],[av. Transportation loss]]/grand[[#This Row],[av.total weight]]</f>
        <v>0</v>
      </c>
      <c r="AA1048" s="12">
        <f>AVERAGE((grand[[#This Row],[am]]/25),(grand[[#This Row],[pm]]/50))</f>
        <v>1</v>
      </c>
      <c r="AB1048" s="3">
        <f>grand[[#This Row],[ carcass weight]]/grand[[#This Row],[total weight]]</f>
        <v>0.63200000000000001</v>
      </c>
      <c r="AC1048" s="18">
        <f>SUM(grand[[#This Row],[am]:[meat transportation]])/100</f>
        <v>0.97499999999999998</v>
      </c>
      <c r="AK1048" s="1"/>
      <c r="AL1048" s="1"/>
    </row>
    <row r="1049" spans="1:38" hidden="1" x14ac:dyDescent="0.2">
      <c r="A1049" s="11">
        <v>45552</v>
      </c>
      <c r="B1049" s="53" t="s">
        <v>2043</v>
      </c>
      <c r="C1049" s="52" t="str">
        <f>IF(MID(B1049,4,2)="09","Ramadan",IF(AND(MID(B1049,4,2)="12",VALUE(LEFT(B1049,2))&lt;=9),"Adha Season","Normal"))</f>
        <v>Normal</v>
      </c>
      <c r="D1049" s="1" t="s">
        <v>45</v>
      </c>
      <c r="E1049" s="1" t="s">
        <v>483</v>
      </c>
      <c r="F1049" s="4" t="s">
        <v>39</v>
      </c>
      <c r="G1049" s="1">
        <v>36</v>
      </c>
      <c r="H1049" s="1">
        <v>36</v>
      </c>
      <c r="I1049" s="1">
        <f>grand[[#This Row],[number]]-grand[[#This Row],[received]]</f>
        <v>0</v>
      </c>
      <c r="J1049" s="30"/>
      <c r="K1049" s="2">
        <v>15537.025316455696</v>
      </c>
      <c r="L1049" s="2">
        <v>15537.025316455696</v>
      </c>
      <c r="M1049" s="2">
        <f>K1049-L1049</f>
        <v>0</v>
      </c>
      <c r="N1049" s="2">
        <v>9819.4</v>
      </c>
      <c r="O1049" s="2">
        <v>0</v>
      </c>
      <c r="P1049" s="7">
        <f>grand[[#This Row],[total weight]]/grand[[#This Row],[received]]</f>
        <v>431.58403656821378</v>
      </c>
      <c r="Q1049" s="7">
        <f>grand[[#This Row],[receiving weight]]/grand[[#This Row],[received]]</f>
        <v>431.58403656821378</v>
      </c>
      <c r="R1049" s="7">
        <f>grand[[#This Row],[transportation loss ]]/grand[[#This Row],[received]]</f>
        <v>0</v>
      </c>
      <c r="S1049" s="7">
        <f>grand[[#This Row],[ carcass weight]]/grand[[#This Row],[received]]</f>
        <v>272.76111111111112</v>
      </c>
      <c r="T1049" s="7">
        <f>grand[[#This Row],[ kidneys fat quantity]]/grand[[#This Row],[received]]</f>
        <v>0</v>
      </c>
      <c r="U1049" s="1">
        <v>25</v>
      </c>
      <c r="V1049" s="1">
        <v>5</v>
      </c>
      <c r="W1049" s="1">
        <v>50</v>
      </c>
      <c r="X1049" s="1">
        <v>10</v>
      </c>
      <c r="Y1049" s="1">
        <v>8.5</v>
      </c>
      <c r="Z1049" s="18">
        <f>grand[[#This Row],[av. Transportation loss]]/grand[[#This Row],[av.total weight]]</f>
        <v>0</v>
      </c>
      <c r="AA1049" s="12">
        <f>AVERAGE((grand[[#This Row],[am]]/25),(grand[[#This Row],[pm]]/50))</f>
        <v>1</v>
      </c>
      <c r="AB1049" s="3">
        <f>grand[[#This Row],[ carcass weight]]/grand[[#This Row],[total weight]]</f>
        <v>0.63200000000000001</v>
      </c>
      <c r="AC1049" s="18">
        <f>SUM(grand[[#This Row],[am]:[meat transportation]])/100</f>
        <v>0.98499999999999999</v>
      </c>
      <c r="AK1049" s="1"/>
      <c r="AL1049" s="1"/>
    </row>
    <row r="1050" spans="1:38" hidden="1" x14ac:dyDescent="0.2">
      <c r="A1050" s="11">
        <v>45553</v>
      </c>
      <c r="B1050" s="53" t="s">
        <v>2044</v>
      </c>
      <c r="C1050" s="52" t="str">
        <f>IF(MID(B1050,4,2)="09","Ramadan",IF(AND(MID(B1050,4,2)="12",VALUE(LEFT(B1050,2))&lt;=9),"Adha Season","Normal"))</f>
        <v>Normal</v>
      </c>
      <c r="D1050" s="1" t="s">
        <v>45</v>
      </c>
      <c r="E1050" s="1" t="s">
        <v>528</v>
      </c>
      <c r="F1050" s="4" t="s">
        <v>462</v>
      </c>
      <c r="G1050" s="1">
        <v>25</v>
      </c>
      <c r="H1050" s="1">
        <v>25</v>
      </c>
      <c r="I1050" s="1">
        <f>grand[[#This Row],[number]]-grand[[#This Row],[received]]</f>
        <v>0</v>
      </c>
      <c r="J1050" s="30"/>
      <c r="K1050" s="2">
        <v>11325.632911392404</v>
      </c>
      <c r="L1050" s="2">
        <v>11325.632911392404</v>
      </c>
      <c r="M1050" s="2">
        <f>K1050-L1050</f>
        <v>0</v>
      </c>
      <c r="N1050" s="2">
        <v>7157.8</v>
      </c>
      <c r="O1050" s="2">
        <v>0</v>
      </c>
      <c r="P1050" s="7">
        <f>grand[[#This Row],[total weight]]/grand[[#This Row],[received]]</f>
        <v>453.02531645569616</v>
      </c>
      <c r="Q1050" s="7">
        <f>grand[[#This Row],[receiving weight]]/grand[[#This Row],[received]]</f>
        <v>453.02531645569616</v>
      </c>
      <c r="R1050" s="7">
        <f>grand[[#This Row],[transportation loss ]]/grand[[#This Row],[received]]</f>
        <v>0</v>
      </c>
      <c r="S1050" s="7">
        <f>grand[[#This Row],[ carcass weight]]/grand[[#This Row],[received]]</f>
        <v>286.31200000000001</v>
      </c>
      <c r="T1050" s="7">
        <f>grand[[#This Row],[ kidneys fat quantity]]/grand[[#This Row],[received]]</f>
        <v>0</v>
      </c>
      <c r="U1050" s="1">
        <v>25</v>
      </c>
      <c r="V1050" s="1">
        <v>4</v>
      </c>
      <c r="W1050" s="1">
        <v>50</v>
      </c>
      <c r="X1050" s="1">
        <v>10</v>
      </c>
      <c r="Y1050" s="1">
        <v>8.5</v>
      </c>
      <c r="Z1050" s="18">
        <f>grand[[#This Row],[av. Transportation loss]]/grand[[#This Row],[av.total weight]]</f>
        <v>0</v>
      </c>
      <c r="AA1050" s="12">
        <f>AVERAGE((grand[[#This Row],[am]]/25),(grand[[#This Row],[pm]]/50))</f>
        <v>1</v>
      </c>
      <c r="AB1050" s="3">
        <f>grand[[#This Row],[ carcass weight]]/grand[[#This Row],[total weight]]</f>
        <v>0.63200000000000012</v>
      </c>
      <c r="AC1050" s="18">
        <f>SUM(grand[[#This Row],[am]:[meat transportation]])/100</f>
        <v>0.97499999999999998</v>
      </c>
      <c r="AK1050" s="1"/>
      <c r="AL1050" s="1"/>
    </row>
    <row r="1051" spans="1:38" hidden="1" x14ac:dyDescent="0.2">
      <c r="A1051" s="11">
        <v>45554</v>
      </c>
      <c r="B1051" s="53" t="s">
        <v>2045</v>
      </c>
      <c r="C1051" s="52" t="str">
        <f>IF(MID(B1051,4,2)="09","Ramadan",IF(AND(MID(B1051,4,2)="12",VALUE(LEFT(B1051,2))&lt;=9),"Adha Season","Normal"))</f>
        <v>Normal</v>
      </c>
      <c r="D1051" s="2" t="s">
        <v>294</v>
      </c>
      <c r="F1051" s="4" t="s">
        <v>637</v>
      </c>
      <c r="G1051" s="1">
        <v>30</v>
      </c>
      <c r="H1051" s="1">
        <v>30</v>
      </c>
      <c r="I1051" s="1">
        <f>grand[[#This Row],[number]]-grand[[#This Row],[received]]</f>
        <v>0</v>
      </c>
      <c r="J1051" s="30"/>
      <c r="K1051" s="2">
        <v>1540</v>
      </c>
      <c r="L1051" s="2">
        <v>1525</v>
      </c>
      <c r="M1051" s="2">
        <f>K1051-L1051</f>
        <v>15</v>
      </c>
      <c r="N1051" s="2">
        <v>899</v>
      </c>
      <c r="O1051" s="2">
        <v>0</v>
      </c>
      <c r="P1051" s="7">
        <f>grand[[#This Row],[total weight]]/grand[[#This Row],[received]]</f>
        <v>51.333333333333336</v>
      </c>
      <c r="Q1051" s="7">
        <f>grand[[#This Row],[receiving weight]]/grand[[#This Row],[received]]</f>
        <v>50.833333333333336</v>
      </c>
      <c r="R1051" s="7">
        <f>grand[[#This Row],[transportation loss ]]/grand[[#This Row],[received]]</f>
        <v>0.5</v>
      </c>
      <c r="S1051" s="7">
        <f>grand[[#This Row],[ carcass weight]]/grand[[#This Row],[received]]</f>
        <v>29.966666666666665</v>
      </c>
      <c r="T1051" s="7">
        <f>grand[[#This Row],[ kidneys fat quantity]]/grand[[#This Row],[received]]</f>
        <v>0</v>
      </c>
      <c r="U1051" s="1">
        <v>25</v>
      </c>
      <c r="V1051" s="1">
        <v>0</v>
      </c>
      <c r="W1051" s="1">
        <v>47.466666666666661</v>
      </c>
      <c r="X1051" s="1">
        <v>10</v>
      </c>
      <c r="Y1051" s="1">
        <v>8.5</v>
      </c>
      <c r="Z1051" s="18">
        <f>grand[[#This Row],[av. Transportation loss]]/grand[[#This Row],[av.total weight]]</f>
        <v>9.74025974025974E-3</v>
      </c>
      <c r="AA1051" s="12">
        <f>AVERAGE((grand[[#This Row],[am]]/25),(grand[[#This Row],[pm]]/50))</f>
        <v>0.97466666666666657</v>
      </c>
      <c r="AB1051" s="3">
        <f>grand[[#This Row],[ carcass weight]]/grand[[#This Row],[total weight]]</f>
        <v>0.58376623376623371</v>
      </c>
      <c r="AC1051" s="18">
        <f>SUM(grand[[#This Row],[am]:[meat transportation]])/100</f>
        <v>0.90966666666666673</v>
      </c>
      <c r="AK1051" s="1"/>
      <c r="AL1051" s="1"/>
    </row>
    <row r="1052" spans="1:38" hidden="1" x14ac:dyDescent="0.2">
      <c r="A1052" s="11">
        <v>45554</v>
      </c>
      <c r="B1052" s="53" t="s">
        <v>2045</v>
      </c>
      <c r="C1052" s="52" t="str">
        <f>IF(MID(B1052,4,2)="09","Ramadan",IF(AND(MID(B1052,4,2)="12",VALUE(LEFT(B1052,2))&lt;=9),"Adha Season","Normal"))</f>
        <v>Normal</v>
      </c>
      <c r="D1052" s="1" t="s">
        <v>45</v>
      </c>
      <c r="E1052" s="1" t="s">
        <v>528</v>
      </c>
      <c r="F1052" s="4" t="s">
        <v>639</v>
      </c>
      <c r="G1052" s="1">
        <v>34</v>
      </c>
      <c r="H1052" s="1">
        <v>34</v>
      </c>
      <c r="I1052" s="1">
        <f>grand[[#This Row],[number]]-grand[[#This Row],[received]]</f>
        <v>0</v>
      </c>
      <c r="J1052" s="30"/>
      <c r="K1052" s="2">
        <v>21271.835443037973</v>
      </c>
      <c r="L1052" s="2">
        <v>21271.835443037973</v>
      </c>
      <c r="M1052" s="2">
        <f>K1052-L1052</f>
        <v>0</v>
      </c>
      <c r="N1052" s="2">
        <v>13443.8</v>
      </c>
      <c r="O1052" s="2">
        <v>0</v>
      </c>
      <c r="P1052" s="7">
        <f>grand[[#This Row],[total weight]]/grand[[#This Row],[received]]</f>
        <v>625.64221891288162</v>
      </c>
      <c r="Q1052" s="7">
        <f>grand[[#This Row],[receiving weight]]/grand[[#This Row],[received]]</f>
        <v>625.64221891288162</v>
      </c>
      <c r="R1052" s="7">
        <f>grand[[#This Row],[transportation loss ]]/grand[[#This Row],[received]]</f>
        <v>0</v>
      </c>
      <c r="S1052" s="7">
        <f>grand[[#This Row],[ carcass weight]]/grand[[#This Row],[received]]</f>
        <v>395.40588235294115</v>
      </c>
      <c r="T1052" s="7">
        <f>grand[[#This Row],[ kidneys fat quantity]]/grand[[#This Row],[received]]</f>
        <v>0</v>
      </c>
      <c r="U1052" s="1">
        <v>25</v>
      </c>
      <c r="V1052" s="1">
        <v>0</v>
      </c>
      <c r="W1052" s="1">
        <v>49.382352941176471</v>
      </c>
      <c r="X1052" s="1">
        <v>10</v>
      </c>
      <c r="Y1052" s="1">
        <v>8.5</v>
      </c>
      <c r="Z1052" s="18">
        <f>grand[[#This Row],[av. Transportation loss]]/grand[[#This Row],[av.total weight]]</f>
        <v>0</v>
      </c>
      <c r="AA1052" s="12">
        <f>AVERAGE((grand[[#This Row],[am]]/25),(grand[[#This Row],[pm]]/50))</f>
        <v>0.99382352941176477</v>
      </c>
      <c r="AB1052" s="3">
        <f>grand[[#This Row],[ carcass weight]]/grand[[#This Row],[total weight]]</f>
        <v>0.63200000000000001</v>
      </c>
      <c r="AC1052" s="18">
        <f>SUM(grand[[#This Row],[am]:[meat transportation]])/100</f>
        <v>0.9288235294117646</v>
      </c>
      <c r="AJ1052" s="1">
        <v>3</v>
      </c>
      <c r="AK1052" s="1"/>
      <c r="AL1052" s="1"/>
    </row>
    <row r="1053" spans="1:38" hidden="1" x14ac:dyDescent="0.2">
      <c r="A1053" s="11">
        <v>45556</v>
      </c>
      <c r="B1053" s="53" t="s">
        <v>2046</v>
      </c>
      <c r="C1053" s="52" t="str">
        <f>IF(MID(B1053,4,2)="09","Ramadan",IF(AND(MID(B1053,4,2)="12",VALUE(LEFT(B1053,2))&lt;=9),"Adha Season","Normal"))</f>
        <v>Normal</v>
      </c>
      <c r="D1053" s="1" t="s">
        <v>45</v>
      </c>
      <c r="E1053" s="1" t="s">
        <v>528</v>
      </c>
      <c r="F1053" s="4" t="s">
        <v>280</v>
      </c>
      <c r="G1053" s="1">
        <v>20</v>
      </c>
      <c r="H1053" s="1">
        <v>20</v>
      </c>
      <c r="I1053" s="1">
        <f>grand[[#This Row],[number]]-grand[[#This Row],[received]]</f>
        <v>0</v>
      </c>
      <c r="J1053" s="30"/>
      <c r="K1053" s="2">
        <v>11536</v>
      </c>
      <c r="L1053" s="2">
        <v>10985</v>
      </c>
      <c r="M1053" s="2">
        <f>K1053-L1053</f>
        <v>551</v>
      </c>
      <c r="N1053" s="2">
        <v>7279.1</v>
      </c>
      <c r="O1053" s="2">
        <v>152</v>
      </c>
      <c r="P1053" s="7">
        <f>grand[[#This Row],[total weight]]/grand[[#This Row],[received]]</f>
        <v>576.79999999999995</v>
      </c>
      <c r="Q1053" s="7">
        <f>grand[[#This Row],[receiving weight]]/grand[[#This Row],[received]]</f>
        <v>549.25</v>
      </c>
      <c r="R1053" s="7">
        <f>grand[[#This Row],[transportation loss ]]/grand[[#This Row],[received]]</f>
        <v>27.55</v>
      </c>
      <c r="S1053" s="7">
        <f>grand[[#This Row],[ carcass weight]]/grand[[#This Row],[received]]</f>
        <v>363.95500000000004</v>
      </c>
      <c r="T1053" s="7">
        <f>grand[[#This Row],[ kidneys fat quantity]]/grand[[#This Row],[received]]</f>
        <v>7.6</v>
      </c>
      <c r="U1053" s="1">
        <v>25</v>
      </c>
      <c r="V1053" s="1">
        <v>0</v>
      </c>
      <c r="W1053" s="1">
        <v>46.8</v>
      </c>
      <c r="X1053" s="1">
        <v>10</v>
      </c>
      <c r="Y1053" s="1">
        <v>8.5</v>
      </c>
      <c r="Z1053" s="18">
        <f>grand[[#This Row],[av. Transportation loss]]/grand[[#This Row],[av.total weight]]</f>
        <v>4.7763522884882115E-2</v>
      </c>
      <c r="AA1053" s="12">
        <f>AVERAGE((grand[[#This Row],[am]]/25),(grand[[#This Row],[pm]]/50))</f>
        <v>0.96799999999999997</v>
      </c>
      <c r="AB1053" s="3">
        <f>grand[[#This Row],[ carcass weight]]/grand[[#This Row],[total weight]]</f>
        <v>0.63098994452149793</v>
      </c>
      <c r="AC1053" s="18">
        <f>SUM(grand[[#This Row],[am]:[meat transportation]])/100</f>
        <v>0.90300000000000002</v>
      </c>
      <c r="AJ1053" s="1">
        <v>7</v>
      </c>
      <c r="AK1053" s="1"/>
      <c r="AL1053" s="1"/>
    </row>
    <row r="1054" spans="1:38" hidden="1" x14ac:dyDescent="0.2">
      <c r="A1054" s="11">
        <v>45557</v>
      </c>
      <c r="B1054" s="53" t="s">
        <v>2047</v>
      </c>
      <c r="C1054" s="52" t="str">
        <f>IF(MID(B1054,4,2)="09","Ramadan",IF(AND(MID(B1054,4,2)="12",VALUE(LEFT(B1054,2))&lt;=9),"Adha Season","Normal"))</f>
        <v>Normal</v>
      </c>
      <c r="D1054" s="2" t="s">
        <v>294</v>
      </c>
      <c r="F1054" s="4" t="s">
        <v>637</v>
      </c>
      <c r="G1054" s="1">
        <v>23</v>
      </c>
      <c r="H1054" s="1">
        <v>23</v>
      </c>
      <c r="I1054" s="1">
        <f>grand[[#This Row],[number]]-grand[[#This Row],[received]]</f>
        <v>0</v>
      </c>
      <c r="J1054" s="30"/>
      <c r="K1054" s="2">
        <v>1180</v>
      </c>
      <c r="L1054" s="2">
        <v>1175</v>
      </c>
      <c r="M1054" s="2">
        <f>K1054-L1054</f>
        <v>5</v>
      </c>
      <c r="N1054" s="2">
        <v>682.2</v>
      </c>
      <c r="O1054" s="2">
        <v>0</v>
      </c>
      <c r="P1054" s="7">
        <f>grand[[#This Row],[total weight]]/grand[[#This Row],[received]]</f>
        <v>51.304347826086953</v>
      </c>
      <c r="Q1054" s="7">
        <f>grand[[#This Row],[receiving weight]]/grand[[#This Row],[received]]</f>
        <v>51.086956521739133</v>
      </c>
      <c r="R1054" s="7">
        <f>grand[[#This Row],[transportation loss ]]/grand[[#This Row],[received]]</f>
        <v>0.21739130434782608</v>
      </c>
      <c r="S1054" s="7">
        <f>grand[[#This Row],[ carcass weight]]/grand[[#This Row],[received]]</f>
        <v>29.660869565217393</v>
      </c>
      <c r="T1054" s="7">
        <f>grand[[#This Row],[ kidneys fat quantity]]/grand[[#This Row],[received]]</f>
        <v>0</v>
      </c>
      <c r="U1054" s="1">
        <v>25</v>
      </c>
      <c r="V1054" s="1">
        <v>0</v>
      </c>
      <c r="W1054" s="1">
        <v>43.434782608695649</v>
      </c>
      <c r="X1054" s="1">
        <v>10</v>
      </c>
      <c r="Y1054" s="1">
        <v>8.5</v>
      </c>
      <c r="Z1054" s="18">
        <f>grand[[#This Row],[av. Transportation loss]]/grand[[#This Row],[av.total weight]]</f>
        <v>4.2372881355932203E-3</v>
      </c>
      <c r="AA1054" s="12">
        <f>AVERAGE((grand[[#This Row],[am]]/25),(grand[[#This Row],[pm]]/50))</f>
        <v>0.93434782608695643</v>
      </c>
      <c r="AB1054" s="3">
        <f>grand[[#This Row],[ carcass weight]]/grand[[#This Row],[total weight]]</f>
        <v>0.57813559322033903</v>
      </c>
      <c r="AC1054" s="18">
        <f>SUM(grand[[#This Row],[am]:[meat transportation]])/100</f>
        <v>0.8693478260869566</v>
      </c>
      <c r="AK1054" s="1"/>
      <c r="AL1054" s="1"/>
    </row>
    <row r="1055" spans="1:38" hidden="1" x14ac:dyDescent="0.2">
      <c r="A1055" s="11">
        <v>45557</v>
      </c>
      <c r="B1055" s="53" t="s">
        <v>2047</v>
      </c>
      <c r="C1055" s="52" t="str">
        <f>IF(MID(B1055,4,2)="09","Ramadan",IF(AND(MID(B1055,4,2)="12",VALUE(LEFT(B1055,2))&lt;=9),"Adha Season","Normal"))</f>
        <v>Normal</v>
      </c>
      <c r="D1055" s="1" t="s">
        <v>45</v>
      </c>
      <c r="E1055" s="1" t="s">
        <v>528</v>
      </c>
      <c r="F1055" s="4" t="s">
        <v>280</v>
      </c>
      <c r="G1055" s="1">
        <v>46</v>
      </c>
      <c r="H1055" s="1">
        <v>46</v>
      </c>
      <c r="I1055" s="1">
        <f>grand[[#This Row],[number]]-grand[[#This Row],[received]]</f>
        <v>0</v>
      </c>
      <c r="J1055" s="30"/>
      <c r="K1055" s="2">
        <v>24840</v>
      </c>
      <c r="L1055" s="2">
        <v>24070</v>
      </c>
      <c r="M1055" s="2">
        <f>K1055-L1055</f>
        <v>770</v>
      </c>
      <c r="N1055" s="2">
        <v>15583.6</v>
      </c>
      <c r="O1055" s="2">
        <v>284</v>
      </c>
      <c r="P1055" s="7">
        <f>grand[[#This Row],[total weight]]/grand[[#This Row],[received]]</f>
        <v>540</v>
      </c>
      <c r="Q1055" s="7">
        <f>grand[[#This Row],[receiving weight]]/grand[[#This Row],[received]]</f>
        <v>523.26086956521738</v>
      </c>
      <c r="R1055" s="7">
        <f>grand[[#This Row],[transportation loss ]]/grand[[#This Row],[received]]</f>
        <v>16.739130434782609</v>
      </c>
      <c r="S1055" s="7">
        <f>grand[[#This Row],[ carcass weight]]/grand[[#This Row],[received]]</f>
        <v>338.77391304347827</v>
      </c>
      <c r="T1055" s="7">
        <f>grand[[#This Row],[ kidneys fat quantity]]/grand[[#This Row],[received]]</f>
        <v>6.1739130434782608</v>
      </c>
      <c r="U1055" s="1">
        <v>25</v>
      </c>
      <c r="V1055" s="1">
        <v>0</v>
      </c>
      <c r="W1055" s="1">
        <v>47.891304347826086</v>
      </c>
      <c r="X1055" s="1">
        <v>10</v>
      </c>
      <c r="Y1055" s="1">
        <v>8.5</v>
      </c>
      <c r="Z1055" s="18">
        <f>grand[[#This Row],[av. Transportation loss]]/grand[[#This Row],[av.total weight]]</f>
        <v>3.099838969404187E-2</v>
      </c>
      <c r="AA1055" s="12">
        <f>AVERAGE((grand[[#This Row],[am]]/25),(grand[[#This Row],[pm]]/50))</f>
        <v>0.97891304347826091</v>
      </c>
      <c r="AB1055" s="3">
        <f>grand[[#This Row],[ carcass weight]]/grand[[#This Row],[total weight]]</f>
        <v>0.62735909822866343</v>
      </c>
      <c r="AC1055" s="18">
        <f>SUM(grand[[#This Row],[am]:[meat transportation]])/100</f>
        <v>0.91391304347826097</v>
      </c>
      <c r="AJ1055" s="1">
        <v>26</v>
      </c>
      <c r="AK1055" s="1"/>
      <c r="AL1055" s="1"/>
    </row>
    <row r="1056" spans="1:38" hidden="1" x14ac:dyDescent="0.2">
      <c r="A1056" s="11">
        <v>45558</v>
      </c>
      <c r="B1056" s="53" t="s">
        <v>2048</v>
      </c>
      <c r="C1056" s="52" t="str">
        <f>IF(MID(B1056,4,2)="09","Ramadan",IF(AND(MID(B1056,4,2)="12",VALUE(LEFT(B1056,2))&lt;=9),"Adha Season","Normal"))</f>
        <v>Normal</v>
      </c>
      <c r="D1056" s="1" t="s">
        <v>45</v>
      </c>
      <c r="E1056" s="1" t="s">
        <v>528</v>
      </c>
      <c r="F1056" s="4" t="s">
        <v>462</v>
      </c>
      <c r="G1056" s="1">
        <v>23</v>
      </c>
      <c r="H1056" s="1">
        <v>23</v>
      </c>
      <c r="I1056" s="1">
        <f>grand[[#This Row],[number]]-grand[[#This Row],[received]]</f>
        <v>0</v>
      </c>
      <c r="J1056" s="30"/>
      <c r="K1056" s="2">
        <v>10806.962025316456</v>
      </c>
      <c r="L1056" s="2">
        <v>10806.962025316456</v>
      </c>
      <c r="M1056" s="2">
        <f>K1056-L1056</f>
        <v>0</v>
      </c>
      <c r="N1056" s="2">
        <v>6830</v>
      </c>
      <c r="O1056" s="2">
        <v>0</v>
      </c>
      <c r="P1056" s="7">
        <f>grand[[#This Row],[total weight]]/grand[[#This Row],[received]]</f>
        <v>469.86791414419372</v>
      </c>
      <c r="Q1056" s="7">
        <f>grand[[#This Row],[receiving weight]]/grand[[#This Row],[received]]</f>
        <v>469.86791414419372</v>
      </c>
      <c r="R1056" s="7">
        <f>grand[[#This Row],[transportation loss ]]/grand[[#This Row],[received]]</f>
        <v>0</v>
      </c>
      <c r="S1056" s="7">
        <f>grand[[#This Row],[ carcass weight]]/grand[[#This Row],[received]]</f>
        <v>296.95652173913044</v>
      </c>
      <c r="T1056" s="7">
        <f>grand[[#This Row],[ kidneys fat quantity]]/grand[[#This Row],[received]]</f>
        <v>0</v>
      </c>
      <c r="U1056" s="1">
        <v>25</v>
      </c>
      <c r="V1056" s="1">
        <v>4</v>
      </c>
      <c r="W1056" s="1">
        <v>50</v>
      </c>
      <c r="X1056" s="1">
        <v>10</v>
      </c>
      <c r="Y1056" s="1">
        <v>8.5</v>
      </c>
      <c r="Z1056" s="18">
        <f>grand[[#This Row],[av. Transportation loss]]/grand[[#This Row],[av.total weight]]</f>
        <v>0</v>
      </c>
      <c r="AA1056" s="12">
        <f>AVERAGE((grand[[#This Row],[am]]/25),(grand[[#This Row],[pm]]/50))</f>
        <v>1</v>
      </c>
      <c r="AB1056" s="3">
        <f>grand[[#This Row],[ carcass weight]]/grand[[#This Row],[total weight]]</f>
        <v>0.63200000000000001</v>
      </c>
      <c r="AC1056" s="18">
        <f>SUM(grand[[#This Row],[am]:[meat transportation]])/100</f>
        <v>0.97499999999999998</v>
      </c>
      <c r="AK1056" s="1"/>
      <c r="AL1056" s="1"/>
    </row>
    <row r="1057" spans="1:38" hidden="1" x14ac:dyDescent="0.2">
      <c r="A1057" s="11">
        <v>45559</v>
      </c>
      <c r="B1057" s="53" t="s">
        <v>2049</v>
      </c>
      <c r="C1057" s="52" t="str">
        <f>IF(MID(B1057,4,2)="09","Ramadan",IF(AND(MID(B1057,4,2)="12",VALUE(LEFT(B1057,2))&lt;=9),"Adha Season","Normal"))</f>
        <v>Normal</v>
      </c>
      <c r="D1057" s="1" t="s">
        <v>45</v>
      </c>
      <c r="E1057" s="1" t="s">
        <v>483</v>
      </c>
      <c r="F1057" s="4" t="s">
        <v>39</v>
      </c>
      <c r="G1057" s="1">
        <v>30</v>
      </c>
      <c r="H1057" s="1">
        <v>30</v>
      </c>
      <c r="I1057" s="1">
        <f>grand[[#This Row],[number]]-grand[[#This Row],[received]]</f>
        <v>0</v>
      </c>
      <c r="J1057" s="30"/>
      <c r="K1057" s="2">
        <v>12767.879746835442</v>
      </c>
      <c r="L1057" s="2">
        <v>12767.879746835442</v>
      </c>
      <c r="M1057" s="2">
        <f>K1057-L1057</f>
        <v>0</v>
      </c>
      <c r="N1057" s="2">
        <v>8069.3</v>
      </c>
      <c r="O1057" s="2">
        <v>0</v>
      </c>
      <c r="P1057" s="7">
        <f>grand[[#This Row],[total weight]]/grand[[#This Row],[received]]</f>
        <v>425.59599156118139</v>
      </c>
      <c r="Q1057" s="7">
        <f>grand[[#This Row],[receiving weight]]/grand[[#This Row],[received]]</f>
        <v>425.59599156118139</v>
      </c>
      <c r="R1057" s="7">
        <f>grand[[#This Row],[transportation loss ]]/grand[[#This Row],[received]]</f>
        <v>0</v>
      </c>
      <c r="S1057" s="7">
        <f>grand[[#This Row],[ carcass weight]]/grand[[#This Row],[received]]</f>
        <v>268.97666666666669</v>
      </c>
      <c r="T1057" s="7">
        <f>grand[[#This Row],[ kidneys fat quantity]]/grand[[#This Row],[received]]</f>
        <v>0</v>
      </c>
      <c r="U1057" s="1">
        <v>25</v>
      </c>
      <c r="V1057" s="1">
        <v>5</v>
      </c>
      <c r="W1057" s="1">
        <v>50</v>
      </c>
      <c r="X1057" s="1">
        <v>10</v>
      </c>
      <c r="Y1057" s="1">
        <v>8.5</v>
      </c>
      <c r="Z1057" s="18">
        <f>grand[[#This Row],[av. Transportation loss]]/grand[[#This Row],[av.total weight]]</f>
        <v>0</v>
      </c>
      <c r="AA1057" s="12">
        <f>AVERAGE((grand[[#This Row],[am]]/25),(grand[[#This Row],[pm]]/50))</f>
        <v>1</v>
      </c>
      <c r="AB1057" s="3">
        <f>grand[[#This Row],[ carcass weight]]/grand[[#This Row],[total weight]]</f>
        <v>0.63200000000000001</v>
      </c>
      <c r="AC1057" s="18">
        <f>SUM(grand[[#This Row],[am]:[meat transportation]])/100</f>
        <v>0.98499999999999999</v>
      </c>
      <c r="AK1057" s="1"/>
      <c r="AL1057" s="1"/>
    </row>
    <row r="1058" spans="1:38" hidden="1" x14ac:dyDescent="0.2">
      <c r="A1058" s="11">
        <v>45561</v>
      </c>
      <c r="B1058" s="53" t="s">
        <v>2050</v>
      </c>
      <c r="C1058" s="52" t="str">
        <f>IF(MID(B1058,4,2)="09","Ramadan",IF(AND(MID(B1058,4,2)="12",VALUE(LEFT(B1058,2))&lt;=9),"Adha Season","Normal"))</f>
        <v>Normal</v>
      </c>
      <c r="D1058" s="2" t="s">
        <v>294</v>
      </c>
      <c r="F1058" s="4" t="s">
        <v>637</v>
      </c>
      <c r="G1058" s="1">
        <v>32</v>
      </c>
      <c r="H1058" s="1">
        <v>32</v>
      </c>
      <c r="I1058" s="1">
        <f>grand[[#This Row],[number]]-grand[[#This Row],[received]]</f>
        <v>0</v>
      </c>
      <c r="J1058" s="30"/>
      <c r="K1058" s="2">
        <v>1605</v>
      </c>
      <c r="L1058" s="2">
        <v>1590</v>
      </c>
      <c r="M1058" s="2">
        <f>K1058-L1058</f>
        <v>15</v>
      </c>
      <c r="N1058" s="2">
        <v>945</v>
      </c>
      <c r="O1058" s="2">
        <v>0</v>
      </c>
      <c r="P1058" s="7">
        <f>grand[[#This Row],[total weight]]/grand[[#This Row],[received]]</f>
        <v>50.15625</v>
      </c>
      <c r="Q1058" s="7">
        <f>grand[[#This Row],[receiving weight]]/grand[[#This Row],[received]]</f>
        <v>49.6875</v>
      </c>
      <c r="R1058" s="7">
        <f>grand[[#This Row],[transportation loss ]]/grand[[#This Row],[received]]</f>
        <v>0.46875</v>
      </c>
      <c r="S1058" s="7">
        <f>grand[[#This Row],[ carcass weight]]/grand[[#This Row],[received]]</f>
        <v>29.53125</v>
      </c>
      <c r="T1058" s="7">
        <f>grand[[#This Row],[ kidneys fat quantity]]/grand[[#This Row],[received]]</f>
        <v>0</v>
      </c>
      <c r="U1058" s="1">
        <v>25</v>
      </c>
      <c r="V1058" s="1">
        <v>0</v>
      </c>
      <c r="W1058" s="1">
        <v>44.0625</v>
      </c>
      <c r="X1058" s="1">
        <v>10</v>
      </c>
      <c r="Y1058" s="1">
        <v>8.5</v>
      </c>
      <c r="Z1058" s="18">
        <f>grand[[#This Row],[av. Transportation loss]]/grand[[#This Row],[av.total weight]]</f>
        <v>9.3457943925233638E-3</v>
      </c>
      <c r="AA1058" s="12">
        <f>AVERAGE((grand[[#This Row],[am]]/25),(grand[[#This Row],[pm]]/50))</f>
        <v>0.94062500000000004</v>
      </c>
      <c r="AB1058" s="3">
        <f>grand[[#This Row],[ carcass weight]]/grand[[#This Row],[total weight]]</f>
        <v>0.58878504672897192</v>
      </c>
      <c r="AC1058" s="18">
        <f>SUM(grand[[#This Row],[am]:[meat transportation]])/100</f>
        <v>0.87562499999999999</v>
      </c>
      <c r="AK1058" s="1"/>
      <c r="AL1058" s="1"/>
    </row>
    <row r="1059" spans="1:38" hidden="1" x14ac:dyDescent="0.2">
      <c r="A1059" s="11">
        <v>45563</v>
      </c>
      <c r="B1059" s="53" t="s">
        <v>2051</v>
      </c>
      <c r="C1059" s="52" t="str">
        <f>IF(MID(B1059,4,2)="09","Ramadan",IF(AND(MID(B1059,4,2)="12",VALUE(LEFT(B1059,2))&lt;=9),"Adha Season","Normal"))</f>
        <v>Normal</v>
      </c>
      <c r="D1059" s="1" t="s">
        <v>45</v>
      </c>
      <c r="E1059" s="1" t="s">
        <v>483</v>
      </c>
      <c r="F1059" s="4" t="s">
        <v>550</v>
      </c>
      <c r="G1059" s="1">
        <v>9</v>
      </c>
      <c r="H1059" s="1">
        <v>9</v>
      </c>
      <c r="I1059" s="1">
        <f>grand[[#This Row],[number]]-grand[[#This Row],[received]]</f>
        <v>0</v>
      </c>
      <c r="J1059" s="30"/>
      <c r="K1059" s="2">
        <v>3652</v>
      </c>
      <c r="L1059" s="2">
        <v>3652</v>
      </c>
      <c r="M1059" s="2">
        <f>K1059-L1059</f>
        <v>0</v>
      </c>
      <c r="N1059" s="2">
        <v>2191.6</v>
      </c>
      <c r="O1059" s="2">
        <v>48</v>
      </c>
      <c r="P1059" s="7">
        <f>grand[[#This Row],[total weight]]/grand[[#This Row],[received]]</f>
        <v>405.77777777777777</v>
      </c>
      <c r="Q1059" s="7">
        <f>grand[[#This Row],[receiving weight]]/grand[[#This Row],[received]]</f>
        <v>405.77777777777777</v>
      </c>
      <c r="R1059" s="7">
        <f>grand[[#This Row],[transportation loss ]]/grand[[#This Row],[received]]</f>
        <v>0</v>
      </c>
      <c r="S1059" s="7">
        <f>grand[[#This Row],[ carcass weight]]/grand[[#This Row],[received]]</f>
        <v>243.51111111111109</v>
      </c>
      <c r="T1059" s="7">
        <f>grand[[#This Row],[ kidneys fat quantity]]/grand[[#This Row],[received]]</f>
        <v>5.333333333333333</v>
      </c>
      <c r="U1059" s="1">
        <v>25</v>
      </c>
      <c r="V1059" s="1">
        <v>0</v>
      </c>
      <c r="W1059" s="1">
        <v>48.44444444444445</v>
      </c>
      <c r="X1059" s="1">
        <v>10</v>
      </c>
      <c r="Y1059" s="1">
        <v>8.5</v>
      </c>
      <c r="Z1059" s="18">
        <f>grand[[#This Row],[av. Transportation loss]]/grand[[#This Row],[av.total weight]]</f>
        <v>0</v>
      </c>
      <c r="AA1059" s="12">
        <f>AVERAGE((grand[[#This Row],[am]]/25),(grand[[#This Row],[pm]]/50))</f>
        <v>0.98444444444444446</v>
      </c>
      <c r="AB1059" s="3">
        <f>grand[[#This Row],[ carcass weight]]/grand[[#This Row],[total weight]]</f>
        <v>0.60010952902519166</v>
      </c>
      <c r="AC1059" s="18">
        <f>SUM(grand[[#This Row],[am]:[meat transportation]])/100</f>
        <v>0.91944444444444462</v>
      </c>
      <c r="AJ1059" s="1">
        <v>2</v>
      </c>
      <c r="AK1059" s="1"/>
      <c r="AL1059" s="1"/>
    </row>
    <row r="1060" spans="1:38" hidden="1" x14ac:dyDescent="0.2">
      <c r="A1060" s="11">
        <v>45564</v>
      </c>
      <c r="B1060" s="53" t="s">
        <v>2052</v>
      </c>
      <c r="C1060" s="52" t="str">
        <f>IF(MID(B1060,4,2)="09","Ramadan",IF(AND(MID(B1060,4,2)="12",VALUE(LEFT(B1060,2))&lt;=9),"Adha Season","Normal"))</f>
        <v>Normal</v>
      </c>
      <c r="D1060" s="2" t="s">
        <v>294</v>
      </c>
      <c r="F1060" s="4" t="s">
        <v>637</v>
      </c>
      <c r="G1060" s="1">
        <v>25</v>
      </c>
      <c r="H1060" s="1">
        <v>25</v>
      </c>
      <c r="I1060" s="1">
        <f>grand[[#This Row],[number]]-grand[[#This Row],[received]]</f>
        <v>0</v>
      </c>
      <c r="J1060" s="30"/>
      <c r="K1060" s="2">
        <v>1240</v>
      </c>
      <c r="L1060" s="2">
        <v>1235</v>
      </c>
      <c r="M1060" s="2">
        <f>K1060-L1060</f>
        <v>5</v>
      </c>
      <c r="N1060" s="2">
        <v>719</v>
      </c>
      <c r="O1060" s="2">
        <v>0</v>
      </c>
      <c r="P1060" s="7">
        <f>grand[[#This Row],[total weight]]/grand[[#This Row],[received]]</f>
        <v>49.6</v>
      </c>
      <c r="Q1060" s="7">
        <f>grand[[#This Row],[receiving weight]]/grand[[#This Row],[received]]</f>
        <v>49.4</v>
      </c>
      <c r="R1060" s="7">
        <f>grand[[#This Row],[transportation loss ]]/grand[[#This Row],[received]]</f>
        <v>0.2</v>
      </c>
      <c r="S1060" s="7">
        <f>grand[[#This Row],[ carcass weight]]/grand[[#This Row],[received]]</f>
        <v>28.76</v>
      </c>
      <c r="T1060" s="7">
        <f>grand[[#This Row],[ kidneys fat quantity]]/grand[[#This Row],[received]]</f>
        <v>0</v>
      </c>
      <c r="U1060" s="1">
        <v>25</v>
      </c>
      <c r="V1060" s="1">
        <v>0</v>
      </c>
      <c r="W1060" s="1">
        <v>41.72</v>
      </c>
      <c r="X1060" s="1">
        <v>10</v>
      </c>
      <c r="Y1060" s="1">
        <v>8.5</v>
      </c>
      <c r="Z1060" s="18">
        <f>grand[[#This Row],[av. Transportation loss]]/grand[[#This Row],[av.total weight]]</f>
        <v>4.0322580645161289E-3</v>
      </c>
      <c r="AA1060" s="12">
        <f>AVERAGE((grand[[#This Row],[am]]/25),(grand[[#This Row],[pm]]/50))</f>
        <v>0.91720000000000002</v>
      </c>
      <c r="AB1060" s="3">
        <f>grand[[#This Row],[ carcass weight]]/grand[[#This Row],[total weight]]</f>
        <v>0.57983870967741935</v>
      </c>
      <c r="AC1060" s="18">
        <f>SUM(grand[[#This Row],[am]:[meat transportation]])/100</f>
        <v>0.85219999999999996</v>
      </c>
      <c r="AK1060" s="1"/>
      <c r="AL1060" s="1"/>
    </row>
    <row r="1061" spans="1:38" hidden="1" x14ac:dyDescent="0.2">
      <c r="A1061" s="11">
        <v>45564</v>
      </c>
      <c r="B1061" s="53" t="s">
        <v>2052</v>
      </c>
      <c r="C1061" s="52" t="str">
        <f>IF(MID(B1061,4,2)="09","Ramadan",IF(AND(MID(B1061,4,2)="12",VALUE(LEFT(B1061,2))&lt;=9),"Adha Season","Normal"))</f>
        <v>Normal</v>
      </c>
      <c r="D1061" s="1" t="s">
        <v>45</v>
      </c>
      <c r="E1061" s="1" t="s">
        <v>528</v>
      </c>
      <c r="F1061" s="4" t="s">
        <v>280</v>
      </c>
      <c r="G1061" s="1">
        <v>56</v>
      </c>
      <c r="H1061" s="1">
        <v>56</v>
      </c>
      <c r="I1061" s="1">
        <f>grand[[#This Row],[number]]-grand[[#This Row],[received]]</f>
        <v>0</v>
      </c>
      <c r="J1061" s="30"/>
      <c r="K1061" s="2">
        <v>33300</v>
      </c>
      <c r="L1061" s="2">
        <v>33300</v>
      </c>
      <c r="M1061" s="2">
        <f>K1061-L1061</f>
        <v>0</v>
      </c>
      <c r="N1061" s="2">
        <v>20934.3</v>
      </c>
      <c r="O1061" s="2">
        <v>419</v>
      </c>
      <c r="P1061" s="7">
        <f>grand[[#This Row],[total weight]]/grand[[#This Row],[received]]</f>
        <v>594.64285714285711</v>
      </c>
      <c r="Q1061" s="7">
        <f>grand[[#This Row],[receiving weight]]/grand[[#This Row],[received]]</f>
        <v>594.64285714285711</v>
      </c>
      <c r="R1061" s="7">
        <f>grand[[#This Row],[transportation loss ]]/grand[[#This Row],[received]]</f>
        <v>0</v>
      </c>
      <c r="S1061" s="7">
        <f>grand[[#This Row],[ carcass weight]]/grand[[#This Row],[received]]</f>
        <v>373.82678571428568</v>
      </c>
      <c r="T1061" s="7">
        <f>grand[[#This Row],[ kidneys fat quantity]]/grand[[#This Row],[received]]</f>
        <v>7.4821428571428568</v>
      </c>
      <c r="U1061" s="1">
        <v>24.732142857142858</v>
      </c>
      <c r="V1061" s="1">
        <v>0</v>
      </c>
      <c r="W1061" s="1">
        <v>46.732142857142854</v>
      </c>
      <c r="X1061" s="1">
        <v>10</v>
      </c>
      <c r="Y1061" s="1">
        <v>8.5</v>
      </c>
      <c r="Z1061" s="18">
        <f>grand[[#This Row],[av. Transportation loss]]/grand[[#This Row],[av.total weight]]</f>
        <v>0</v>
      </c>
      <c r="AA1061" s="12">
        <f>AVERAGE((grand[[#This Row],[am]]/25),(grand[[#This Row],[pm]]/50))</f>
        <v>0.96196428571428572</v>
      </c>
      <c r="AB1061" s="3">
        <f>grand[[#This Row],[ carcass weight]]/grand[[#This Row],[total weight]]</f>
        <v>0.62865765765765769</v>
      </c>
      <c r="AC1061" s="18">
        <f>SUM(grand[[#This Row],[am]:[meat transportation]])/100</f>
        <v>0.89964285714285708</v>
      </c>
      <c r="AJ1061" s="1">
        <v>37</v>
      </c>
      <c r="AK1061" s="1"/>
      <c r="AL1061" s="1"/>
    </row>
    <row r="1062" spans="1:38" hidden="1" x14ac:dyDescent="0.2">
      <c r="A1062" s="11">
        <v>45565</v>
      </c>
      <c r="B1062" s="53" t="s">
        <v>2053</v>
      </c>
      <c r="C1062" s="52" t="str">
        <f>IF(MID(B1062,4,2)="09","Ramadan",IF(AND(MID(B1062,4,2)="12",VALUE(LEFT(B1062,2))&lt;=9),"Adha Season","Normal"))</f>
        <v>Normal</v>
      </c>
      <c r="D1062" s="1" t="s">
        <v>45</v>
      </c>
      <c r="E1062" s="1" t="s">
        <v>528</v>
      </c>
      <c r="F1062" s="4" t="s">
        <v>462</v>
      </c>
      <c r="G1062" s="1">
        <v>58</v>
      </c>
      <c r="H1062" s="1">
        <v>58</v>
      </c>
      <c r="I1062" s="1">
        <f>grand[[#This Row],[number]]-grand[[#This Row],[received]]</f>
        <v>0</v>
      </c>
      <c r="J1062" s="30"/>
      <c r="K1062" s="2">
        <v>26098.101265822785</v>
      </c>
      <c r="L1062" s="2">
        <v>26098.101265822785</v>
      </c>
      <c r="M1062" s="2">
        <f>K1062-L1062</f>
        <v>0</v>
      </c>
      <c r="N1062" s="2">
        <v>16494</v>
      </c>
      <c r="O1062" s="2">
        <v>0</v>
      </c>
      <c r="P1062" s="7">
        <f>grand[[#This Row],[total weight]]/grand[[#This Row],[received]]</f>
        <v>449.96726320384113</v>
      </c>
      <c r="Q1062" s="7">
        <f>grand[[#This Row],[receiving weight]]/grand[[#This Row],[received]]</f>
        <v>449.96726320384113</v>
      </c>
      <c r="R1062" s="7">
        <f>grand[[#This Row],[transportation loss ]]/grand[[#This Row],[received]]</f>
        <v>0</v>
      </c>
      <c r="S1062" s="7">
        <f>grand[[#This Row],[ carcass weight]]/grand[[#This Row],[received]]</f>
        <v>284.37931034482756</v>
      </c>
      <c r="T1062" s="7">
        <f>grand[[#This Row],[ kidneys fat quantity]]/grand[[#This Row],[received]]</f>
        <v>0</v>
      </c>
      <c r="U1062" s="1">
        <v>25</v>
      </c>
      <c r="V1062" s="1">
        <v>4</v>
      </c>
      <c r="W1062" s="1">
        <v>50</v>
      </c>
      <c r="X1062" s="1">
        <v>10</v>
      </c>
      <c r="Y1062" s="1">
        <v>8.5</v>
      </c>
      <c r="Z1062" s="18">
        <f>grand[[#This Row],[av. Transportation loss]]/grand[[#This Row],[av.total weight]]</f>
        <v>0</v>
      </c>
      <c r="AA1062" s="12">
        <f>AVERAGE((grand[[#This Row],[am]]/25),(grand[[#This Row],[pm]]/50))</f>
        <v>1</v>
      </c>
      <c r="AB1062" s="3">
        <f>grand[[#This Row],[ carcass weight]]/grand[[#This Row],[total weight]]</f>
        <v>0.63200000000000001</v>
      </c>
      <c r="AC1062" s="18">
        <f>SUM(grand[[#This Row],[am]:[meat transportation]])/100</f>
        <v>0.97499999999999998</v>
      </c>
      <c r="AK1062" s="1"/>
      <c r="AL1062" s="1"/>
    </row>
    <row r="1063" spans="1:38" hidden="1" x14ac:dyDescent="0.2">
      <c r="A1063" s="11">
        <v>45568</v>
      </c>
      <c r="B1063" s="53" t="s">
        <v>2054</v>
      </c>
      <c r="C1063" s="52" t="str">
        <f>IF(MID(B1063,4,2)="09","Ramadan",IF(AND(MID(B1063,4,2)="12",VALUE(LEFT(B1063,2))&lt;=9),"Adha Season","Normal"))</f>
        <v>Normal</v>
      </c>
      <c r="D1063" s="1" t="s">
        <v>45</v>
      </c>
      <c r="E1063" s="1" t="s">
        <v>483</v>
      </c>
      <c r="F1063" s="4" t="s">
        <v>39</v>
      </c>
      <c r="G1063" s="1">
        <v>80</v>
      </c>
      <c r="H1063" s="1">
        <v>80</v>
      </c>
      <c r="I1063" s="1">
        <f>grand[[#This Row],[number]]-grand[[#This Row],[received]]</f>
        <v>0</v>
      </c>
      <c r="J1063" s="30"/>
      <c r="K1063" s="2">
        <v>34560.284810126577</v>
      </c>
      <c r="L1063" s="2">
        <v>34560.284810126577</v>
      </c>
      <c r="M1063" s="2">
        <f>K1063-L1063</f>
        <v>0</v>
      </c>
      <c r="N1063" s="2">
        <v>21842.1</v>
      </c>
      <c r="O1063" s="2">
        <v>0</v>
      </c>
      <c r="P1063" s="7">
        <f>grand[[#This Row],[total weight]]/grand[[#This Row],[received]]</f>
        <v>432.00356012658222</v>
      </c>
      <c r="Q1063" s="7">
        <f>grand[[#This Row],[receiving weight]]/grand[[#This Row],[received]]</f>
        <v>432.00356012658222</v>
      </c>
      <c r="R1063" s="7">
        <f>grand[[#This Row],[transportation loss ]]/grand[[#This Row],[received]]</f>
        <v>0</v>
      </c>
      <c r="S1063" s="7">
        <f>grand[[#This Row],[ carcass weight]]/grand[[#This Row],[received]]</f>
        <v>273.02625</v>
      </c>
      <c r="T1063" s="7">
        <f>grand[[#This Row],[ kidneys fat quantity]]/grand[[#This Row],[received]]</f>
        <v>0</v>
      </c>
      <c r="U1063" s="1">
        <v>25</v>
      </c>
      <c r="V1063" s="1">
        <v>5</v>
      </c>
      <c r="W1063" s="1">
        <v>49.9375</v>
      </c>
      <c r="X1063" s="1">
        <v>10</v>
      </c>
      <c r="Y1063" s="1">
        <v>8.5</v>
      </c>
      <c r="Z1063" s="18">
        <f>grand[[#This Row],[av. Transportation loss]]/grand[[#This Row],[av.total weight]]</f>
        <v>0</v>
      </c>
      <c r="AA1063" s="12">
        <f>AVERAGE((grand[[#This Row],[am]]/25),(grand[[#This Row],[pm]]/50))</f>
        <v>0.99937500000000001</v>
      </c>
      <c r="AB1063" s="3">
        <f>grand[[#This Row],[ carcass weight]]/grand[[#This Row],[total weight]]</f>
        <v>0.63200000000000001</v>
      </c>
      <c r="AC1063" s="18">
        <f>SUM(grand[[#This Row],[am]:[meat transportation]])/100</f>
        <v>0.984375</v>
      </c>
      <c r="AK1063" s="1"/>
      <c r="AL1063" s="1"/>
    </row>
    <row r="1064" spans="1:38" hidden="1" x14ac:dyDescent="0.2">
      <c r="A1064" s="11">
        <v>45570</v>
      </c>
      <c r="B1064" s="53" t="s">
        <v>2055</v>
      </c>
      <c r="C1064" s="52" t="str">
        <f>IF(MID(B1064,4,2)="09","Ramadan",IF(AND(MID(B1064,4,2)="12",VALUE(LEFT(B1064,2))&lt;=9),"Adha Season","Normal"))</f>
        <v>Normal</v>
      </c>
      <c r="D1064" s="1" t="s">
        <v>45</v>
      </c>
      <c r="E1064" s="1" t="s">
        <v>528</v>
      </c>
      <c r="F1064" s="4" t="s">
        <v>280</v>
      </c>
      <c r="G1064" s="1">
        <v>46</v>
      </c>
      <c r="H1064" s="1">
        <v>46</v>
      </c>
      <c r="I1064" s="1">
        <f>grand[[#This Row],[number]]-grand[[#This Row],[received]]</f>
        <v>0</v>
      </c>
      <c r="J1064" s="30"/>
      <c r="K1064" s="59">
        <v>28474</v>
      </c>
      <c r="L1064" s="61">
        <v>27210</v>
      </c>
      <c r="M1064" s="2">
        <f>K1064-L1064</f>
        <v>1264</v>
      </c>
      <c r="N1064" s="2">
        <v>17983.5</v>
      </c>
      <c r="O1064" s="2">
        <v>425</v>
      </c>
      <c r="P1064" s="7">
        <f>grand[[#This Row],[total weight]]/grand[[#This Row],[received]]</f>
        <v>619</v>
      </c>
      <c r="Q1064" s="7">
        <f>grand[[#This Row],[receiving weight]]/grand[[#This Row],[received]]</f>
        <v>591.52173913043475</v>
      </c>
      <c r="R1064" s="7">
        <f>grand[[#This Row],[transportation loss ]]/grand[[#This Row],[received]]</f>
        <v>27.478260869565219</v>
      </c>
      <c r="S1064" s="7">
        <f>grand[[#This Row],[ carcass weight]]/grand[[#This Row],[received]]</f>
        <v>390.94565217391306</v>
      </c>
      <c r="T1064" s="7">
        <f>grand[[#This Row],[ kidneys fat quantity]]/grand[[#This Row],[received]]</f>
        <v>9.2391304347826093</v>
      </c>
      <c r="U1064" s="1">
        <v>24.782608695652172</v>
      </c>
      <c r="V1064" s="1">
        <v>0</v>
      </c>
      <c r="W1064" s="1">
        <v>48.695652173913039</v>
      </c>
      <c r="X1064" s="1">
        <v>10</v>
      </c>
      <c r="Y1064" s="1">
        <v>8.5</v>
      </c>
      <c r="Z1064" s="18">
        <f>grand[[#This Row],[av. Transportation loss]]/grand[[#This Row],[av.total weight]]</f>
        <v>4.4391374587342838E-2</v>
      </c>
      <c r="AA1064" s="12">
        <f>AVERAGE((grand[[#This Row],[am]]/25),(grand[[#This Row],[pm]]/50))</f>
        <v>0.98260869565217379</v>
      </c>
      <c r="AB1064" s="3">
        <f>grand[[#This Row],[ carcass weight]]/grand[[#This Row],[total weight]]</f>
        <v>0.63157617475591765</v>
      </c>
      <c r="AC1064" s="18">
        <f>SUM(grand[[#This Row],[am]:[meat transportation]])/100</f>
        <v>0.9197826086956522</v>
      </c>
      <c r="AJ1064" s="1">
        <v>29</v>
      </c>
      <c r="AK1064" s="1"/>
      <c r="AL1064" s="1"/>
    </row>
    <row r="1065" spans="1:38" hidden="1" x14ac:dyDescent="0.2">
      <c r="A1065" s="11">
        <v>45571</v>
      </c>
      <c r="B1065" s="53" t="s">
        <v>2056</v>
      </c>
      <c r="C1065" s="52" t="str">
        <f>IF(MID(B1065,4,2)="09","Ramadan",IF(AND(MID(B1065,4,2)="12",VALUE(LEFT(B1065,2))&lt;=9),"Adha Season","Normal"))</f>
        <v>Normal</v>
      </c>
      <c r="D1065" s="2" t="s">
        <v>294</v>
      </c>
      <c r="F1065" s="4" t="s">
        <v>637</v>
      </c>
      <c r="G1065" s="1">
        <v>31</v>
      </c>
      <c r="H1065" s="1">
        <v>31</v>
      </c>
      <c r="I1065" s="1">
        <f>grand[[#This Row],[number]]-grand[[#This Row],[received]]</f>
        <v>0</v>
      </c>
      <c r="J1065" s="30"/>
      <c r="K1065" s="2">
        <v>1580</v>
      </c>
      <c r="L1065" s="2">
        <v>1568</v>
      </c>
      <c r="M1065" s="2">
        <f>K1065-L1065</f>
        <v>12</v>
      </c>
      <c r="N1065" s="2">
        <v>919.4</v>
      </c>
      <c r="O1065" s="2">
        <v>0</v>
      </c>
      <c r="P1065" s="7">
        <f>grand[[#This Row],[total weight]]/grand[[#This Row],[received]]</f>
        <v>50.967741935483872</v>
      </c>
      <c r="Q1065" s="7">
        <f>grand[[#This Row],[receiving weight]]/grand[[#This Row],[received]]</f>
        <v>50.58064516129032</v>
      </c>
      <c r="R1065" s="7">
        <f>grand[[#This Row],[transportation loss ]]/grand[[#This Row],[received]]</f>
        <v>0.38709677419354838</v>
      </c>
      <c r="S1065" s="7">
        <f>grand[[#This Row],[ carcass weight]]/grand[[#This Row],[received]]</f>
        <v>29.658064516129031</v>
      </c>
      <c r="T1065" s="7">
        <f>grand[[#This Row],[ kidneys fat quantity]]/grand[[#This Row],[received]]</f>
        <v>0</v>
      </c>
      <c r="U1065" s="1">
        <v>25</v>
      </c>
      <c r="V1065" s="1">
        <v>0</v>
      </c>
      <c r="W1065" s="1">
        <v>43.225806451612897</v>
      </c>
      <c r="X1065" s="1">
        <v>10</v>
      </c>
      <c r="Y1065" s="1">
        <v>8.5</v>
      </c>
      <c r="Z1065" s="18">
        <f>grand[[#This Row],[av. Transportation loss]]/grand[[#This Row],[av.total weight]]</f>
        <v>7.5949367088607592E-3</v>
      </c>
      <c r="AA1065" s="12">
        <f>AVERAGE((grand[[#This Row],[am]]/25),(grand[[#This Row],[pm]]/50))</f>
        <v>0.93225806451612891</v>
      </c>
      <c r="AB1065" s="3">
        <f>grand[[#This Row],[ carcass weight]]/grand[[#This Row],[total weight]]</f>
        <v>0.58189873417721516</v>
      </c>
      <c r="AC1065" s="18">
        <f>SUM(grand[[#This Row],[am]:[meat transportation]])/100</f>
        <v>0.86725806451612897</v>
      </c>
      <c r="AK1065" s="1"/>
      <c r="AL1065" s="1"/>
    </row>
    <row r="1066" spans="1:38" hidden="1" x14ac:dyDescent="0.2">
      <c r="A1066" s="11">
        <v>45572</v>
      </c>
      <c r="B1066" s="53" t="s">
        <v>2057</v>
      </c>
      <c r="C1066" s="52" t="str">
        <f>IF(MID(B1066,4,2)="09","Ramadan",IF(AND(MID(B1066,4,2)="12",VALUE(LEFT(B1066,2))&lt;=9),"Adha Season","Normal"))</f>
        <v>Normal</v>
      </c>
      <c r="D1066" s="1" t="s">
        <v>45</v>
      </c>
      <c r="E1066" s="1" t="s">
        <v>528</v>
      </c>
      <c r="F1066" s="4" t="s">
        <v>462</v>
      </c>
      <c r="G1066" s="1">
        <v>23</v>
      </c>
      <c r="H1066" s="1">
        <v>23</v>
      </c>
      <c r="I1066" s="1">
        <f>grand[[#This Row],[number]]-grand[[#This Row],[received]]</f>
        <v>0</v>
      </c>
      <c r="J1066" s="30"/>
      <c r="K1066" s="2">
        <v>10179.430379746835</v>
      </c>
      <c r="L1066" s="2">
        <v>10179.430379746835</v>
      </c>
      <c r="M1066" s="2">
        <f>K1066-L1066</f>
        <v>0</v>
      </c>
      <c r="N1066" s="2">
        <v>6433.4</v>
      </c>
      <c r="O1066" s="2">
        <v>0</v>
      </c>
      <c r="P1066" s="7">
        <f>grand[[#This Row],[total weight]]/grand[[#This Row],[received]]</f>
        <v>442.58392955421021</v>
      </c>
      <c r="Q1066" s="7">
        <f>grand[[#This Row],[receiving weight]]/grand[[#This Row],[received]]</f>
        <v>442.58392955421021</v>
      </c>
      <c r="R1066" s="7">
        <f>grand[[#This Row],[transportation loss ]]/grand[[#This Row],[received]]</f>
        <v>0</v>
      </c>
      <c r="S1066" s="7">
        <f>grand[[#This Row],[ carcass weight]]/grand[[#This Row],[received]]</f>
        <v>279.71304347826083</v>
      </c>
      <c r="T1066" s="7">
        <f>grand[[#This Row],[ kidneys fat quantity]]/grand[[#This Row],[received]]</f>
        <v>0</v>
      </c>
      <c r="U1066" s="1">
        <v>25</v>
      </c>
      <c r="V1066" s="1">
        <v>4</v>
      </c>
      <c r="W1066" s="1">
        <v>50</v>
      </c>
      <c r="X1066" s="1">
        <v>10</v>
      </c>
      <c r="Y1066" s="1">
        <v>8.5</v>
      </c>
      <c r="Z1066" s="18">
        <f>grand[[#This Row],[av. Transportation loss]]/grand[[#This Row],[av.total weight]]</f>
        <v>0</v>
      </c>
      <c r="AA1066" s="12">
        <f>AVERAGE((grand[[#This Row],[am]]/25),(grand[[#This Row],[pm]]/50))</f>
        <v>1</v>
      </c>
      <c r="AB1066" s="3">
        <f>grand[[#This Row],[ carcass weight]]/grand[[#This Row],[total weight]]</f>
        <v>0.63200000000000001</v>
      </c>
      <c r="AC1066" s="18">
        <f>SUM(grand[[#This Row],[am]:[meat transportation]])/100</f>
        <v>0.97499999999999998</v>
      </c>
      <c r="AK1066" s="1"/>
      <c r="AL1066" s="1"/>
    </row>
    <row r="1067" spans="1:38" hidden="1" x14ac:dyDescent="0.2">
      <c r="A1067" s="11">
        <v>45574</v>
      </c>
      <c r="B1067" s="53" t="s">
        <v>2058</v>
      </c>
      <c r="C1067" s="52" t="str">
        <f>IF(MID(B1067,4,2)="09","Ramadan",IF(AND(MID(B1067,4,2)="12",VALUE(LEFT(B1067,2))&lt;=9),"Adha Season","Normal"))</f>
        <v>Normal</v>
      </c>
      <c r="D1067" s="2" t="s">
        <v>350</v>
      </c>
      <c r="F1067" s="4" t="s">
        <v>640</v>
      </c>
      <c r="G1067" s="1">
        <v>8</v>
      </c>
      <c r="H1067" s="1">
        <v>8</v>
      </c>
      <c r="I1067" s="1">
        <f>grand[[#This Row],[number]]-grand[[#This Row],[received]]</f>
        <v>0</v>
      </c>
      <c r="J1067" s="30"/>
      <c r="K1067" s="2">
        <v>293</v>
      </c>
      <c r="L1067" s="2">
        <v>285</v>
      </c>
      <c r="M1067" s="2">
        <f>K1067-L1067</f>
        <v>8</v>
      </c>
      <c r="N1067" s="2">
        <v>176.8</v>
      </c>
      <c r="O1067" s="2"/>
      <c r="P1067" s="7">
        <f>grand[[#This Row],[total weight]]/grand[[#This Row],[received]]</f>
        <v>36.625</v>
      </c>
      <c r="Q1067" s="7">
        <f>grand[[#This Row],[receiving weight]]/grand[[#This Row],[received]]</f>
        <v>35.625</v>
      </c>
      <c r="R1067" s="7">
        <f>grand[[#This Row],[transportation loss ]]/grand[[#This Row],[received]]</f>
        <v>1</v>
      </c>
      <c r="S1067" s="7">
        <f>grand[[#This Row],[ carcass weight]]/grand[[#This Row],[received]]</f>
        <v>22.1</v>
      </c>
      <c r="T1067" s="7">
        <f>grand[[#This Row],[ kidneys fat quantity]]/grand[[#This Row],[received]]</f>
        <v>0</v>
      </c>
      <c r="U1067" s="1">
        <v>25</v>
      </c>
      <c r="V1067" s="1">
        <v>0</v>
      </c>
      <c r="W1067" s="1">
        <v>49.125</v>
      </c>
      <c r="X1067" s="1">
        <v>10</v>
      </c>
      <c r="Y1067" s="1">
        <v>8.5</v>
      </c>
      <c r="Z1067" s="18">
        <f>grand[[#This Row],[av. Transportation loss]]/grand[[#This Row],[av.total weight]]</f>
        <v>2.7303754266211604E-2</v>
      </c>
      <c r="AA1067" s="12">
        <f>AVERAGE((grand[[#This Row],[am]]/25),(grand[[#This Row],[pm]]/50))</f>
        <v>0.99124999999999996</v>
      </c>
      <c r="AB1067" s="3">
        <f>grand[[#This Row],[ carcass weight]]/grand[[#This Row],[total weight]]</f>
        <v>0.60341296928327648</v>
      </c>
      <c r="AC1067" s="18">
        <f>SUM(grand[[#This Row],[am]:[meat transportation]])/100</f>
        <v>0.92625000000000002</v>
      </c>
      <c r="AK1067" s="1"/>
      <c r="AL1067" s="1"/>
    </row>
    <row r="1068" spans="1:38" hidden="1" x14ac:dyDescent="0.2">
      <c r="A1068" s="11">
        <v>45575</v>
      </c>
      <c r="B1068" s="53" t="s">
        <v>2059</v>
      </c>
      <c r="C1068" s="52" t="str">
        <f>IF(MID(B1068,4,2)="09","Ramadan",IF(AND(MID(B1068,4,2)="12",VALUE(LEFT(B1068,2))&lt;=9),"Adha Season","Normal"))</f>
        <v>Normal</v>
      </c>
      <c r="D1068" s="2" t="s">
        <v>294</v>
      </c>
      <c r="F1068" s="4" t="s">
        <v>637</v>
      </c>
      <c r="G1068" s="1">
        <v>32</v>
      </c>
      <c r="H1068" s="1">
        <v>32</v>
      </c>
      <c r="I1068" s="1">
        <f>grand[[#This Row],[number]]-grand[[#This Row],[received]]</f>
        <v>0</v>
      </c>
      <c r="J1068" s="30"/>
      <c r="K1068" s="2">
        <v>1620</v>
      </c>
      <c r="L1068" s="2">
        <v>1605</v>
      </c>
      <c r="M1068" s="2">
        <f>K1068-L1068</f>
        <v>15</v>
      </c>
      <c r="N1068" s="2">
        <v>924.2</v>
      </c>
      <c r="O1068" s="2">
        <v>0</v>
      </c>
      <c r="P1068" s="7">
        <f>grand[[#This Row],[total weight]]/grand[[#This Row],[received]]</f>
        <v>50.625</v>
      </c>
      <c r="Q1068" s="7">
        <f>grand[[#This Row],[receiving weight]]/grand[[#This Row],[received]]</f>
        <v>50.15625</v>
      </c>
      <c r="R1068" s="7">
        <f>grand[[#This Row],[transportation loss ]]/grand[[#This Row],[received]]</f>
        <v>0.46875</v>
      </c>
      <c r="S1068" s="7">
        <f>grand[[#This Row],[ carcass weight]]/grand[[#This Row],[received]]</f>
        <v>28.881250000000001</v>
      </c>
      <c r="T1068" s="7">
        <f>grand[[#This Row],[ kidneys fat quantity]]/grand[[#This Row],[received]]</f>
        <v>0</v>
      </c>
      <c r="U1068" s="1">
        <v>25</v>
      </c>
      <c r="V1068" s="1">
        <v>0</v>
      </c>
      <c r="W1068" s="1">
        <v>44.375</v>
      </c>
      <c r="X1068" s="1">
        <v>10</v>
      </c>
      <c r="Y1068" s="1">
        <v>8.5</v>
      </c>
      <c r="Z1068" s="18">
        <f>grand[[#This Row],[av. Transportation loss]]/grand[[#This Row],[av.total weight]]</f>
        <v>9.2592592592592587E-3</v>
      </c>
      <c r="AA1068" s="12">
        <f>AVERAGE((grand[[#This Row],[am]]/25),(grand[[#This Row],[pm]]/50))</f>
        <v>0.94374999999999998</v>
      </c>
      <c r="AB1068" s="3">
        <f>grand[[#This Row],[ carcass weight]]/grand[[#This Row],[total weight]]</f>
        <v>0.5704938271604939</v>
      </c>
      <c r="AC1068" s="18">
        <f>SUM(grand[[#This Row],[am]:[meat transportation]])/100</f>
        <v>0.87875000000000003</v>
      </c>
      <c r="AK1068" s="1"/>
      <c r="AL1068" s="1"/>
    </row>
    <row r="1069" spans="1:38" hidden="1" x14ac:dyDescent="0.2">
      <c r="A1069" s="11">
        <v>45575</v>
      </c>
      <c r="B1069" s="53" t="s">
        <v>2059</v>
      </c>
      <c r="C1069" s="52" t="str">
        <f>IF(MID(B1069,4,2)="09","Ramadan",IF(AND(MID(B1069,4,2)="12",VALUE(LEFT(B1069,2))&lt;=9),"Adha Season","Normal"))</f>
        <v>Normal</v>
      </c>
      <c r="D1069" s="1" t="s">
        <v>45</v>
      </c>
      <c r="E1069" s="1" t="s">
        <v>528</v>
      </c>
      <c r="F1069" s="4" t="s">
        <v>576</v>
      </c>
      <c r="G1069" s="1">
        <v>78</v>
      </c>
      <c r="H1069" s="1">
        <v>78</v>
      </c>
      <c r="I1069" s="1">
        <f>grand[[#This Row],[number]]-grand[[#This Row],[received]]</f>
        <v>0</v>
      </c>
      <c r="J1069" s="30"/>
      <c r="K1069" s="2">
        <v>37319</v>
      </c>
      <c r="L1069" s="2">
        <v>36035</v>
      </c>
      <c r="M1069" s="2">
        <f>K1069-L1069</f>
        <v>1284</v>
      </c>
      <c r="N1069" s="2">
        <v>22953.5</v>
      </c>
      <c r="O1069" s="2">
        <v>584</v>
      </c>
      <c r="P1069" s="7">
        <f>grand[[#This Row],[total weight]]/grand[[#This Row],[received]]</f>
        <v>478.44871794871796</v>
      </c>
      <c r="Q1069" s="7">
        <f>grand[[#This Row],[receiving weight]]/grand[[#This Row],[received]]</f>
        <v>461.9871794871795</v>
      </c>
      <c r="R1069" s="7">
        <f>grand[[#This Row],[transportation loss ]]/grand[[#This Row],[received]]</f>
        <v>16.46153846153846</v>
      </c>
      <c r="S1069" s="7">
        <f>grand[[#This Row],[ carcass weight]]/grand[[#This Row],[received]]</f>
        <v>294.27564102564105</v>
      </c>
      <c r="T1069" s="7">
        <f>grand[[#This Row],[ kidneys fat quantity]]/grand[[#This Row],[received]]</f>
        <v>7.4871794871794872</v>
      </c>
      <c r="U1069" s="1">
        <v>25</v>
      </c>
      <c r="V1069" s="1">
        <v>0</v>
      </c>
      <c r="W1069" s="1">
        <v>47.5</v>
      </c>
      <c r="X1069" s="1">
        <v>10</v>
      </c>
      <c r="Y1069" s="1">
        <v>8.5</v>
      </c>
      <c r="Z1069" s="18">
        <f>grand[[#This Row],[av. Transportation loss]]/grand[[#This Row],[av.total weight]]</f>
        <v>3.4406066614861057E-2</v>
      </c>
      <c r="AA1069" s="12">
        <f>AVERAGE((grand[[#This Row],[am]]/25),(grand[[#This Row],[pm]]/50))</f>
        <v>0.97499999999999998</v>
      </c>
      <c r="AB1069" s="3">
        <f>grand[[#This Row],[ carcass weight]]/grand[[#This Row],[total weight]]</f>
        <v>0.61506203274471449</v>
      </c>
      <c r="AC1069" s="18">
        <f>SUM(grand[[#This Row],[am]:[meat transportation]])/100</f>
        <v>0.91</v>
      </c>
      <c r="AJ1069" s="1">
        <v>49</v>
      </c>
      <c r="AK1069" s="1"/>
      <c r="AL1069" s="1"/>
    </row>
    <row r="1070" spans="1:38" hidden="1" x14ac:dyDescent="0.2">
      <c r="A1070" s="11">
        <v>45577</v>
      </c>
      <c r="B1070" s="53" t="s">
        <v>2060</v>
      </c>
      <c r="C1070" s="52" t="str">
        <f>IF(MID(B1070,4,2)="09","Ramadan",IF(AND(MID(B1070,4,2)="12",VALUE(LEFT(B1070,2))&lt;=9),"Adha Season","Normal"))</f>
        <v>Normal</v>
      </c>
      <c r="D1070" s="1" t="s">
        <v>45</v>
      </c>
      <c r="E1070" s="1" t="s">
        <v>528</v>
      </c>
      <c r="F1070" s="4" t="s">
        <v>43</v>
      </c>
      <c r="G1070" s="1">
        <v>15</v>
      </c>
      <c r="H1070" s="1">
        <v>15</v>
      </c>
      <c r="I1070" s="1">
        <f>grand[[#This Row],[number]]-grand[[#This Row],[received]]</f>
        <v>0</v>
      </c>
      <c r="J1070" s="30"/>
      <c r="K1070" s="2">
        <v>10342</v>
      </c>
      <c r="L1070" s="2">
        <v>9950</v>
      </c>
      <c r="M1070" s="2">
        <f>K1070-L1070</f>
        <v>392</v>
      </c>
      <c r="N1070" s="2">
        <v>6731.6</v>
      </c>
      <c r="O1070" s="2">
        <v>53</v>
      </c>
      <c r="P1070" s="7">
        <f>grand[[#This Row],[total weight]]/grand[[#This Row],[received]]</f>
        <v>689.4666666666667</v>
      </c>
      <c r="Q1070" s="7">
        <f>grand[[#This Row],[receiving weight]]/grand[[#This Row],[received]]</f>
        <v>663.33333333333337</v>
      </c>
      <c r="R1070" s="7">
        <f>grand[[#This Row],[transportation loss ]]/grand[[#This Row],[received]]</f>
        <v>26.133333333333333</v>
      </c>
      <c r="S1070" s="7">
        <f>grand[[#This Row],[ carcass weight]]/grand[[#This Row],[received]]</f>
        <v>448.77333333333337</v>
      </c>
      <c r="T1070" s="7">
        <f>grand[[#This Row],[ kidneys fat quantity]]/grand[[#This Row],[received]]</f>
        <v>3.5333333333333332</v>
      </c>
      <c r="U1070" s="1">
        <v>24.333333333333336</v>
      </c>
      <c r="V1070" s="1">
        <v>0</v>
      </c>
      <c r="W1070" s="1">
        <v>48</v>
      </c>
      <c r="X1070" s="1">
        <v>10</v>
      </c>
      <c r="Y1070" s="1">
        <v>8.5</v>
      </c>
      <c r="Z1070" s="18">
        <f>grand[[#This Row],[av. Transportation loss]]/grand[[#This Row],[av.total weight]]</f>
        <v>3.7903693676271513E-2</v>
      </c>
      <c r="AA1070" s="12">
        <f>AVERAGE((grand[[#This Row],[am]]/25),(grand[[#This Row],[pm]]/50))</f>
        <v>0.96666666666666667</v>
      </c>
      <c r="AB1070" s="3">
        <f>grand[[#This Row],[ carcass weight]]/grand[[#This Row],[total weight]]</f>
        <v>0.65089924579385039</v>
      </c>
      <c r="AC1070" s="18">
        <f>SUM(grand[[#This Row],[am]:[meat transportation]])/100</f>
        <v>0.90833333333333344</v>
      </c>
      <c r="AJ1070" s="1">
        <v>8</v>
      </c>
      <c r="AK1070" s="1"/>
      <c r="AL1070" s="1"/>
    </row>
    <row r="1071" spans="1:38" hidden="1" x14ac:dyDescent="0.2">
      <c r="A1071" s="11">
        <v>45578</v>
      </c>
      <c r="B1071" s="53" t="s">
        <v>2061</v>
      </c>
      <c r="C1071" s="52" t="str">
        <f>IF(MID(B1071,4,2)="09","Ramadan",IF(AND(MID(B1071,4,2)="12",VALUE(LEFT(B1071,2))&lt;=9),"Adha Season","Normal"))</f>
        <v>Normal</v>
      </c>
      <c r="D1071" s="2" t="s">
        <v>294</v>
      </c>
      <c r="F1071" s="4" t="s">
        <v>637</v>
      </c>
      <c r="G1071" s="1">
        <v>18</v>
      </c>
      <c r="H1071" s="1">
        <v>18</v>
      </c>
      <c r="I1071" s="1">
        <f>grand[[#This Row],[number]]-grand[[#This Row],[received]]</f>
        <v>0</v>
      </c>
      <c r="J1071" s="30"/>
      <c r="K1071" s="2">
        <v>890</v>
      </c>
      <c r="L1071" s="2">
        <v>880</v>
      </c>
      <c r="M1071" s="2">
        <f>K1071-L1071</f>
        <v>10</v>
      </c>
      <c r="N1071" s="2">
        <v>513.20000000000005</v>
      </c>
      <c r="O1071" s="2">
        <v>0</v>
      </c>
      <c r="P1071" s="7">
        <f>grand[[#This Row],[total weight]]/grand[[#This Row],[received]]</f>
        <v>49.444444444444443</v>
      </c>
      <c r="Q1071" s="7">
        <f>grand[[#This Row],[receiving weight]]/grand[[#This Row],[received]]</f>
        <v>48.888888888888886</v>
      </c>
      <c r="R1071" s="7">
        <f>grand[[#This Row],[transportation loss ]]/grand[[#This Row],[received]]</f>
        <v>0.55555555555555558</v>
      </c>
      <c r="S1071" s="7">
        <f>grand[[#This Row],[ carcass weight]]/grand[[#This Row],[received]]</f>
        <v>28.511111111111113</v>
      </c>
      <c r="T1071" s="7">
        <f>grand[[#This Row],[ kidneys fat quantity]]/grand[[#This Row],[received]]</f>
        <v>0</v>
      </c>
      <c r="U1071" s="1">
        <v>25</v>
      </c>
      <c r="V1071" s="1">
        <v>0</v>
      </c>
      <c r="W1071" s="1">
        <v>41.333333333333336</v>
      </c>
      <c r="X1071" s="1">
        <v>10</v>
      </c>
      <c r="Y1071" s="1">
        <v>8.5</v>
      </c>
      <c r="Z1071" s="18">
        <f>grand[[#This Row],[av. Transportation loss]]/grand[[#This Row],[av.total weight]]</f>
        <v>1.1235955056179777E-2</v>
      </c>
      <c r="AA1071" s="12">
        <f>AVERAGE((grand[[#This Row],[am]]/25),(grand[[#This Row],[pm]]/50))</f>
        <v>0.91333333333333333</v>
      </c>
      <c r="AB1071" s="3">
        <f>grand[[#This Row],[ carcass weight]]/grand[[#This Row],[total weight]]</f>
        <v>0.57662921348314611</v>
      </c>
      <c r="AC1071" s="18">
        <f>SUM(grand[[#This Row],[am]:[meat transportation]])/100</f>
        <v>0.84833333333333338</v>
      </c>
      <c r="AK1071" s="1"/>
      <c r="AL1071" s="1"/>
    </row>
    <row r="1072" spans="1:38" hidden="1" x14ac:dyDescent="0.2">
      <c r="A1072" s="11">
        <v>45578</v>
      </c>
      <c r="B1072" s="53" t="s">
        <v>2061</v>
      </c>
      <c r="C1072" s="52" t="str">
        <f>IF(MID(B1072,4,2)="09","Ramadan",IF(AND(MID(B1072,4,2)="12",VALUE(LEFT(B1072,2))&lt;=9),"Adha Season","Normal"))</f>
        <v>Normal</v>
      </c>
      <c r="D1072" s="1" t="s">
        <v>45</v>
      </c>
      <c r="E1072" s="1" t="s">
        <v>528</v>
      </c>
      <c r="F1072" s="4" t="s">
        <v>280</v>
      </c>
      <c r="G1072" s="1">
        <v>55</v>
      </c>
      <c r="H1072" s="1">
        <v>55</v>
      </c>
      <c r="I1072" s="1">
        <f>grand[[#This Row],[number]]-grand[[#This Row],[received]]</f>
        <v>0</v>
      </c>
      <c r="J1072" s="30"/>
      <c r="K1072" s="2">
        <v>32670</v>
      </c>
      <c r="L1072" s="2">
        <v>31220</v>
      </c>
      <c r="M1072" s="2">
        <f>K1072-L1072</f>
        <v>1450</v>
      </c>
      <c r="N1072" s="2">
        <v>20437.5</v>
      </c>
      <c r="O1072" s="2">
        <v>411</v>
      </c>
      <c r="P1072" s="7">
        <f>grand[[#This Row],[total weight]]/grand[[#This Row],[received]]</f>
        <v>594</v>
      </c>
      <c r="Q1072" s="7">
        <f>grand[[#This Row],[receiving weight]]/grand[[#This Row],[received]]</f>
        <v>567.63636363636363</v>
      </c>
      <c r="R1072" s="7">
        <f>grand[[#This Row],[transportation loss ]]/grand[[#This Row],[received]]</f>
        <v>26.363636363636363</v>
      </c>
      <c r="S1072" s="7">
        <f>grand[[#This Row],[ carcass weight]]/grand[[#This Row],[received]]</f>
        <v>371.59090909090907</v>
      </c>
      <c r="T1072" s="7">
        <f>grand[[#This Row],[ kidneys fat quantity]]/grand[[#This Row],[received]]</f>
        <v>7.4727272727272727</v>
      </c>
      <c r="U1072" s="1">
        <v>25</v>
      </c>
      <c r="V1072" s="1">
        <v>0</v>
      </c>
      <c r="W1072" s="1">
        <v>45.963636363636368</v>
      </c>
      <c r="X1072" s="1">
        <v>10</v>
      </c>
      <c r="Y1072" s="1">
        <v>8.5</v>
      </c>
      <c r="Z1072" s="18">
        <f>grand[[#This Row],[av. Transportation loss]]/grand[[#This Row],[av.total weight]]</f>
        <v>4.438322620140802E-2</v>
      </c>
      <c r="AA1072" s="12">
        <f>AVERAGE((grand[[#This Row],[am]]/25),(grand[[#This Row],[pm]]/50))</f>
        <v>0.95963636363636362</v>
      </c>
      <c r="AB1072" s="3">
        <f>grand[[#This Row],[ carcass weight]]/grand[[#This Row],[total weight]]</f>
        <v>0.62557392102846643</v>
      </c>
      <c r="AC1072" s="18">
        <f>SUM(grand[[#This Row],[am]:[meat transportation]])/100</f>
        <v>0.89463636363636367</v>
      </c>
      <c r="AJ1072" s="1">
        <v>33</v>
      </c>
      <c r="AK1072" s="1"/>
      <c r="AL1072" s="1"/>
    </row>
    <row r="1073" spans="1:38" hidden="1" x14ac:dyDescent="0.2">
      <c r="A1073" s="11">
        <v>45579</v>
      </c>
      <c r="B1073" s="53" t="s">
        <v>2062</v>
      </c>
      <c r="C1073" s="52" t="str">
        <f>IF(MID(B1073,4,2)="09","Ramadan",IF(AND(MID(B1073,4,2)="12",VALUE(LEFT(B1073,2))&lt;=9),"Adha Season","Normal"))</f>
        <v>Normal</v>
      </c>
      <c r="D1073" s="1" t="s">
        <v>45</v>
      </c>
      <c r="E1073" s="1" t="s">
        <v>483</v>
      </c>
      <c r="F1073" s="4" t="s">
        <v>39</v>
      </c>
      <c r="G1073" s="1">
        <v>55</v>
      </c>
      <c r="H1073" s="1">
        <v>55</v>
      </c>
      <c r="I1073" s="1">
        <f>grand[[#This Row],[number]]-grand[[#This Row],[received]]</f>
        <v>0</v>
      </c>
      <c r="J1073" s="30"/>
      <c r="K1073" s="2">
        <v>24307.753164556962</v>
      </c>
      <c r="L1073" s="2">
        <v>24307.753164556962</v>
      </c>
      <c r="M1073" s="2">
        <f>K1073-L1073</f>
        <v>0</v>
      </c>
      <c r="N1073" s="2">
        <v>15362.5</v>
      </c>
      <c r="O1073" s="2">
        <v>0</v>
      </c>
      <c r="P1073" s="7">
        <f>grand[[#This Row],[total weight]]/grand[[#This Row],[received]]</f>
        <v>441.95914844649019</v>
      </c>
      <c r="Q1073" s="7">
        <f>grand[[#This Row],[receiving weight]]/grand[[#This Row],[received]]</f>
        <v>441.95914844649019</v>
      </c>
      <c r="R1073" s="7">
        <f>grand[[#This Row],[transportation loss ]]/grand[[#This Row],[received]]</f>
        <v>0</v>
      </c>
      <c r="S1073" s="7">
        <f>grand[[#This Row],[ carcass weight]]/grand[[#This Row],[received]]</f>
        <v>279.31818181818181</v>
      </c>
      <c r="T1073" s="7">
        <f>grand[[#This Row],[ kidneys fat quantity]]/grand[[#This Row],[received]]</f>
        <v>0</v>
      </c>
      <c r="U1073" s="1">
        <v>25</v>
      </c>
      <c r="V1073" s="1">
        <v>5</v>
      </c>
      <c r="W1073" s="1">
        <v>50</v>
      </c>
      <c r="X1073" s="1">
        <v>10</v>
      </c>
      <c r="Y1073" s="1">
        <v>8.5</v>
      </c>
      <c r="Z1073" s="18">
        <f>grand[[#This Row],[av. Transportation loss]]/grand[[#This Row],[av.total weight]]</f>
        <v>0</v>
      </c>
      <c r="AA1073" s="12">
        <f>AVERAGE((grand[[#This Row],[am]]/25),(grand[[#This Row],[pm]]/50))</f>
        <v>1</v>
      </c>
      <c r="AB1073" s="3">
        <f>grand[[#This Row],[ carcass weight]]/grand[[#This Row],[total weight]]</f>
        <v>0.63200000000000001</v>
      </c>
      <c r="AC1073" s="18">
        <f>SUM(grand[[#This Row],[am]:[meat transportation]])/100</f>
        <v>0.98499999999999999</v>
      </c>
      <c r="AK1073" s="1"/>
      <c r="AL1073" s="1"/>
    </row>
    <row r="1074" spans="1:38" hidden="1" x14ac:dyDescent="0.2">
      <c r="A1074" s="11">
        <v>45582</v>
      </c>
      <c r="B1074" s="53" t="s">
        <v>2064</v>
      </c>
      <c r="C1074" s="52" t="str">
        <f>IF(MID(B1074,4,2)="09","Ramadan",IF(AND(MID(B1074,4,2)="12",VALUE(LEFT(B1074,2))&lt;=9),"Adha Season","Normal"))</f>
        <v>Normal</v>
      </c>
      <c r="D1074" s="2" t="s">
        <v>294</v>
      </c>
      <c r="F1074" s="4" t="s">
        <v>637</v>
      </c>
      <c r="G1074" s="1">
        <v>28</v>
      </c>
      <c r="H1074" s="1">
        <v>28</v>
      </c>
      <c r="I1074" s="1">
        <f>grand[[#This Row],[number]]-grand[[#This Row],[received]]</f>
        <v>0</v>
      </c>
      <c r="J1074" s="30"/>
      <c r="K1074" s="2">
        <v>1425</v>
      </c>
      <c r="L1074" s="2">
        <v>1420</v>
      </c>
      <c r="M1074" s="2">
        <f>K1074-L1074</f>
        <v>5</v>
      </c>
      <c r="N1074" s="2">
        <v>824.9</v>
      </c>
      <c r="O1074" s="2">
        <v>0</v>
      </c>
      <c r="P1074" s="7">
        <f>grand[[#This Row],[total weight]]/grand[[#This Row],[received]]</f>
        <v>50.892857142857146</v>
      </c>
      <c r="Q1074" s="7">
        <f>grand[[#This Row],[receiving weight]]/grand[[#This Row],[received]]</f>
        <v>50.714285714285715</v>
      </c>
      <c r="R1074" s="7">
        <f>grand[[#This Row],[transportation loss ]]/grand[[#This Row],[received]]</f>
        <v>0.17857142857142858</v>
      </c>
      <c r="S1074" s="7">
        <f>grand[[#This Row],[ carcass weight]]/grand[[#This Row],[received]]</f>
        <v>29.460714285714285</v>
      </c>
      <c r="T1074" s="7">
        <f>grand[[#This Row],[ kidneys fat quantity]]/grand[[#This Row],[received]]</f>
        <v>0</v>
      </c>
      <c r="U1074" s="1">
        <v>25</v>
      </c>
      <c r="V1074" s="1">
        <v>0</v>
      </c>
      <c r="W1074" s="1">
        <v>44.5</v>
      </c>
      <c r="X1074" s="1">
        <v>10</v>
      </c>
      <c r="Y1074" s="1">
        <v>8.5</v>
      </c>
      <c r="Z1074" s="18">
        <f>grand[[#This Row],[av. Transportation loss]]/grand[[#This Row],[av.total weight]]</f>
        <v>3.5087719298245615E-3</v>
      </c>
      <c r="AA1074" s="12">
        <f>AVERAGE((grand[[#This Row],[am]]/25),(grand[[#This Row],[pm]]/50))</f>
        <v>0.94500000000000006</v>
      </c>
      <c r="AB1074" s="3">
        <f>grand[[#This Row],[ carcass weight]]/grand[[#This Row],[total weight]]</f>
        <v>0.5788771929824561</v>
      </c>
      <c r="AC1074" s="18">
        <f>SUM(grand[[#This Row],[am]:[meat transportation]])/100</f>
        <v>0.88</v>
      </c>
      <c r="AK1074" s="1"/>
      <c r="AL1074" s="1"/>
    </row>
    <row r="1075" spans="1:38" hidden="1" x14ac:dyDescent="0.2">
      <c r="A1075" s="11">
        <v>45582</v>
      </c>
      <c r="B1075" s="53" t="s">
        <v>2064</v>
      </c>
      <c r="C1075" s="52" t="str">
        <f>IF(MID(B1075,4,2)="09","Ramadan",IF(AND(MID(B1075,4,2)="12",VALUE(LEFT(B1075,2))&lt;=9),"Adha Season","Normal"))</f>
        <v>Normal</v>
      </c>
      <c r="D1075" s="1" t="s">
        <v>45</v>
      </c>
      <c r="E1075" s="1" t="s">
        <v>528</v>
      </c>
      <c r="F1075" s="4" t="s">
        <v>280</v>
      </c>
      <c r="G1075" s="1">
        <v>25</v>
      </c>
      <c r="H1075" s="1">
        <v>25</v>
      </c>
      <c r="I1075" s="1">
        <f>grand[[#This Row],[number]]-grand[[#This Row],[received]]</f>
        <v>0</v>
      </c>
      <c r="J1075" s="30"/>
      <c r="K1075" s="2">
        <v>14270</v>
      </c>
      <c r="L1075" s="2">
        <v>13740</v>
      </c>
      <c r="M1075" s="2">
        <f>K1075-L1075</f>
        <v>530</v>
      </c>
      <c r="N1075" s="2">
        <v>8833.5</v>
      </c>
      <c r="O1075" s="2">
        <v>173</v>
      </c>
      <c r="P1075" s="7">
        <f>grand[[#This Row],[total weight]]/grand[[#This Row],[received]]</f>
        <v>570.79999999999995</v>
      </c>
      <c r="Q1075" s="7">
        <f>grand[[#This Row],[receiving weight]]/grand[[#This Row],[received]]</f>
        <v>549.6</v>
      </c>
      <c r="R1075" s="7">
        <f>grand[[#This Row],[transportation loss ]]/grand[[#This Row],[received]]</f>
        <v>21.2</v>
      </c>
      <c r="S1075" s="7">
        <f>grand[[#This Row],[ carcass weight]]/grand[[#This Row],[received]]</f>
        <v>353.34</v>
      </c>
      <c r="T1075" s="7">
        <f>grand[[#This Row],[ kidneys fat quantity]]/grand[[#This Row],[received]]</f>
        <v>6.92</v>
      </c>
      <c r="U1075" s="1">
        <v>25</v>
      </c>
      <c r="V1075" s="1">
        <v>0</v>
      </c>
      <c r="W1075" s="1">
        <v>46.239999999999995</v>
      </c>
      <c r="X1075" s="1">
        <v>10</v>
      </c>
      <c r="Y1075" s="1">
        <v>8.5</v>
      </c>
      <c r="Z1075" s="18">
        <f>grand[[#This Row],[av. Transportation loss]]/grand[[#This Row],[av.total weight]]</f>
        <v>3.7140854940434481E-2</v>
      </c>
      <c r="AA1075" s="12">
        <f>AVERAGE((grand[[#This Row],[am]]/25),(grand[[#This Row],[pm]]/50))</f>
        <v>0.96239999999999992</v>
      </c>
      <c r="AB1075" s="3">
        <f>grand[[#This Row],[ carcass weight]]/grand[[#This Row],[total weight]]</f>
        <v>0.6190259285213735</v>
      </c>
      <c r="AC1075" s="18">
        <f>SUM(grand[[#This Row],[am]:[meat transportation]])/100</f>
        <v>0.89739999999999998</v>
      </c>
      <c r="AJ1075" s="1">
        <v>16</v>
      </c>
      <c r="AK1075" s="1"/>
      <c r="AL1075" s="1"/>
    </row>
    <row r="1076" spans="1:38" hidden="1" x14ac:dyDescent="0.2">
      <c r="A1076" s="11">
        <v>45584</v>
      </c>
      <c r="B1076" s="53" t="s">
        <v>2065</v>
      </c>
      <c r="C1076" s="52" t="str">
        <f>IF(MID(B1076,4,2)="09","Ramadan",IF(AND(MID(B1076,4,2)="12",VALUE(LEFT(B1076,2))&lt;=9),"Adha Season","Normal"))</f>
        <v>Normal</v>
      </c>
      <c r="D1076" s="1" t="s">
        <v>45</v>
      </c>
      <c r="E1076" s="1" t="s">
        <v>483</v>
      </c>
      <c r="F1076" s="4" t="s">
        <v>43</v>
      </c>
      <c r="G1076" s="1">
        <v>29</v>
      </c>
      <c r="H1076" s="1">
        <v>29</v>
      </c>
      <c r="I1076" s="1">
        <f>grand[[#This Row],[number]]-grand[[#This Row],[received]]</f>
        <v>0</v>
      </c>
      <c r="J1076" s="30"/>
      <c r="K1076" s="2">
        <v>12894</v>
      </c>
      <c r="L1076" s="2">
        <v>12765</v>
      </c>
      <c r="M1076" s="2">
        <f>K1076-L1076</f>
        <v>129</v>
      </c>
      <c r="N1076" s="2">
        <v>7979.4</v>
      </c>
      <c r="O1076" s="2">
        <v>293</v>
      </c>
      <c r="P1076" s="7">
        <f>grand[[#This Row],[total weight]]/grand[[#This Row],[received]]</f>
        <v>444.62068965517244</v>
      </c>
      <c r="Q1076" s="7">
        <f>grand[[#This Row],[receiving weight]]/grand[[#This Row],[received]]</f>
        <v>440.17241379310343</v>
      </c>
      <c r="R1076" s="7">
        <f>grand[[#This Row],[transportation loss ]]/grand[[#This Row],[received]]</f>
        <v>4.4482758620689653</v>
      </c>
      <c r="S1076" s="7">
        <f>grand[[#This Row],[ carcass weight]]/grand[[#This Row],[received]]</f>
        <v>275.15172413793101</v>
      </c>
      <c r="T1076" s="7">
        <f>grand[[#This Row],[ kidneys fat quantity]]/grand[[#This Row],[received]]</f>
        <v>10.103448275862069</v>
      </c>
      <c r="U1076" s="1">
        <v>23.275862068965516</v>
      </c>
      <c r="V1076" s="1">
        <v>0</v>
      </c>
      <c r="W1076" s="1">
        <v>49.758620689655174</v>
      </c>
      <c r="X1076" s="1">
        <v>10</v>
      </c>
      <c r="Y1076" s="1">
        <v>8.5</v>
      </c>
      <c r="Z1076" s="18">
        <f>grand[[#This Row],[av. Transportation loss]]/grand[[#This Row],[av.total weight]]</f>
        <v>1.0004653327128896E-2</v>
      </c>
      <c r="AA1076" s="12">
        <f>AVERAGE((grand[[#This Row],[am]]/25),(grand[[#This Row],[pm]]/50))</f>
        <v>0.96310344827586203</v>
      </c>
      <c r="AB1076" s="3">
        <f>grand[[#This Row],[ carcass weight]]/grand[[#This Row],[total weight]]</f>
        <v>0.61884597487203352</v>
      </c>
      <c r="AC1076" s="18">
        <f>SUM(grand[[#This Row],[am]:[meat transportation]])/100</f>
        <v>0.91534482758620694</v>
      </c>
      <c r="AJ1076" s="1">
        <v>24</v>
      </c>
      <c r="AK1076" s="1"/>
      <c r="AL1076" s="1"/>
    </row>
    <row r="1077" spans="1:38" hidden="1" x14ac:dyDescent="0.2">
      <c r="A1077" s="11">
        <v>45585</v>
      </c>
      <c r="B1077" s="53" t="s">
        <v>2066</v>
      </c>
      <c r="C1077" s="52" t="str">
        <f>IF(MID(B1077,4,2)="09","Ramadan",IF(AND(MID(B1077,4,2)="12",VALUE(LEFT(B1077,2))&lt;=9),"Adha Season","Normal"))</f>
        <v>Normal</v>
      </c>
      <c r="D1077" s="2" t="s">
        <v>294</v>
      </c>
      <c r="F1077" s="4" t="s">
        <v>637</v>
      </c>
      <c r="G1077" s="1">
        <v>23</v>
      </c>
      <c r="H1077" s="1">
        <v>23</v>
      </c>
      <c r="I1077" s="1">
        <f>grand[[#This Row],[number]]-grand[[#This Row],[received]]</f>
        <v>0</v>
      </c>
      <c r="J1077" s="30"/>
      <c r="K1077" s="2">
        <v>1160</v>
      </c>
      <c r="L1077" s="2">
        <v>1135</v>
      </c>
      <c r="M1077" s="2">
        <f>K1077-L1077</f>
        <v>25</v>
      </c>
      <c r="N1077" s="2">
        <v>661</v>
      </c>
      <c r="O1077" s="2">
        <v>0</v>
      </c>
      <c r="P1077" s="7">
        <f>grand[[#This Row],[total weight]]/grand[[#This Row],[received]]</f>
        <v>50.434782608695649</v>
      </c>
      <c r="Q1077" s="7">
        <f>grand[[#This Row],[receiving weight]]/grand[[#This Row],[received]]</f>
        <v>49.347826086956523</v>
      </c>
      <c r="R1077" s="7">
        <f>grand[[#This Row],[transportation loss ]]/grand[[#This Row],[received]]</f>
        <v>1.0869565217391304</v>
      </c>
      <c r="S1077" s="7">
        <f>grand[[#This Row],[ carcass weight]]/grand[[#This Row],[received]]</f>
        <v>28.739130434782609</v>
      </c>
      <c r="T1077" s="7">
        <f>grand[[#This Row],[ kidneys fat quantity]]/grand[[#This Row],[received]]</f>
        <v>0</v>
      </c>
      <c r="U1077" s="1">
        <v>25</v>
      </c>
      <c r="V1077" s="1">
        <v>0</v>
      </c>
      <c r="W1077" s="1">
        <v>43.956521739130437</v>
      </c>
      <c r="X1077" s="1">
        <v>10</v>
      </c>
      <c r="Y1077" s="1">
        <v>8.5</v>
      </c>
      <c r="Z1077" s="18">
        <f>grand[[#This Row],[av. Transportation loss]]/grand[[#This Row],[av.total weight]]</f>
        <v>2.1551724137931036E-2</v>
      </c>
      <c r="AA1077" s="12">
        <f>AVERAGE((grand[[#This Row],[am]]/25),(grand[[#This Row],[pm]]/50))</f>
        <v>0.93956521739130439</v>
      </c>
      <c r="AB1077" s="3">
        <f>grand[[#This Row],[ carcass weight]]/grand[[#This Row],[total weight]]</f>
        <v>0.56982758620689655</v>
      </c>
      <c r="AC1077" s="18">
        <f>SUM(grand[[#This Row],[am]:[meat transportation]])/100</f>
        <v>0.87456521739130433</v>
      </c>
      <c r="AK1077" s="1"/>
      <c r="AL1077" s="1"/>
    </row>
    <row r="1078" spans="1:38" hidden="1" x14ac:dyDescent="0.2">
      <c r="A1078" s="11">
        <v>45585</v>
      </c>
      <c r="B1078" s="53" t="s">
        <v>2066</v>
      </c>
      <c r="C1078" s="52" t="str">
        <f>IF(MID(B1078,4,2)="09","Ramadan",IF(AND(MID(B1078,4,2)="12",VALUE(LEFT(B1078,2))&lt;=9),"Adha Season","Normal"))</f>
        <v>Normal</v>
      </c>
      <c r="D1078" s="1" t="s">
        <v>45</v>
      </c>
      <c r="E1078" s="1" t="s">
        <v>528</v>
      </c>
      <c r="F1078" s="4" t="s">
        <v>280</v>
      </c>
      <c r="G1078" s="1">
        <v>56</v>
      </c>
      <c r="H1078" s="1">
        <v>56</v>
      </c>
      <c r="I1078" s="1">
        <f>grand[[#This Row],[number]]-grand[[#This Row],[received]]</f>
        <v>0</v>
      </c>
      <c r="J1078" s="30"/>
      <c r="K1078" s="2">
        <v>31920</v>
      </c>
      <c r="L1078" s="2">
        <v>26849</v>
      </c>
      <c r="M1078" s="2">
        <f>K1078-L1078</f>
        <v>5071</v>
      </c>
      <c r="N1078" s="2">
        <v>19587.400000000001</v>
      </c>
      <c r="O1078" s="2">
        <v>368</v>
      </c>
      <c r="P1078" s="7">
        <f>grand[[#This Row],[total weight]]/grand[[#This Row],[received]]</f>
        <v>570</v>
      </c>
      <c r="Q1078" s="7">
        <f>grand[[#This Row],[receiving weight]]/grand[[#This Row],[received]]</f>
        <v>479.44642857142856</v>
      </c>
      <c r="R1078" s="7">
        <f>grand[[#This Row],[transportation loss ]]/grand[[#This Row],[received]]</f>
        <v>90.553571428571431</v>
      </c>
      <c r="S1078" s="7">
        <f>grand[[#This Row],[ carcass weight]]/grand[[#This Row],[received]]</f>
        <v>349.77500000000003</v>
      </c>
      <c r="T1078" s="7">
        <f>grand[[#This Row],[ kidneys fat quantity]]/grand[[#This Row],[received]]</f>
        <v>6.5714285714285712</v>
      </c>
      <c r="U1078" s="1">
        <v>25</v>
      </c>
      <c r="V1078" s="1">
        <v>0</v>
      </c>
      <c r="W1078" s="1">
        <v>47.446428571428569</v>
      </c>
      <c r="X1078" s="1">
        <v>10</v>
      </c>
      <c r="Y1078" s="1">
        <v>8.5</v>
      </c>
      <c r="Z1078" s="18">
        <f>grand[[#This Row],[av. Transportation loss]]/grand[[#This Row],[av.total weight]]</f>
        <v>0.15886591478696743</v>
      </c>
      <c r="AA1078" s="12">
        <f>AVERAGE((grand[[#This Row],[am]]/25),(grand[[#This Row],[pm]]/50))</f>
        <v>0.97446428571428567</v>
      </c>
      <c r="AB1078" s="3">
        <f>grand[[#This Row],[ carcass weight]]/grand[[#This Row],[total weight]]</f>
        <v>0.61364035087719304</v>
      </c>
      <c r="AC1078" s="18">
        <f>SUM(grand[[#This Row],[am]:[meat transportation]])/100</f>
        <v>0.90946428571428573</v>
      </c>
      <c r="AJ1078" s="1">
        <v>37</v>
      </c>
      <c r="AK1078" s="1"/>
      <c r="AL1078" s="1"/>
    </row>
    <row r="1079" spans="1:38" hidden="1" x14ac:dyDescent="0.2">
      <c r="A1079" s="11">
        <v>45589</v>
      </c>
      <c r="B1079" s="53" t="s">
        <v>2069</v>
      </c>
      <c r="C1079" s="52" t="str">
        <f>IF(MID(B1079,4,2)="09","Ramadan",IF(AND(MID(B1079,4,2)="12",VALUE(LEFT(B1079,2))&lt;=9),"Adha Season","Normal"))</f>
        <v>Normal</v>
      </c>
      <c r="D1079" s="2" t="s">
        <v>294</v>
      </c>
      <c r="F1079" s="4" t="s">
        <v>280</v>
      </c>
      <c r="G1079" s="1">
        <v>35</v>
      </c>
      <c r="H1079" s="1">
        <v>35</v>
      </c>
      <c r="I1079" s="1">
        <f>grand[[#This Row],[number]]-grand[[#This Row],[received]]</f>
        <v>0</v>
      </c>
      <c r="J1079" s="30"/>
      <c r="K1079" s="2">
        <v>1732</v>
      </c>
      <c r="L1079" s="2">
        <v>1680</v>
      </c>
      <c r="M1079" s="2">
        <f>K1079-L1079</f>
        <v>52</v>
      </c>
      <c r="N1079" s="2">
        <v>974.7</v>
      </c>
      <c r="O1079" s="2">
        <v>0</v>
      </c>
      <c r="P1079" s="7">
        <f>grand[[#This Row],[total weight]]/grand[[#This Row],[received]]</f>
        <v>49.485714285714288</v>
      </c>
      <c r="Q1079" s="7">
        <f>grand[[#This Row],[receiving weight]]/grand[[#This Row],[received]]</f>
        <v>48</v>
      </c>
      <c r="R1079" s="7">
        <f>grand[[#This Row],[transportation loss ]]/grand[[#This Row],[received]]</f>
        <v>1.4857142857142858</v>
      </c>
      <c r="S1079" s="7">
        <f>grand[[#This Row],[ carcass weight]]/grand[[#This Row],[received]]</f>
        <v>27.848571428571429</v>
      </c>
      <c r="T1079" s="7">
        <f>grand[[#This Row],[ kidneys fat quantity]]/grand[[#This Row],[received]]</f>
        <v>0</v>
      </c>
      <c r="U1079" s="1">
        <v>25</v>
      </c>
      <c r="V1079" s="1">
        <v>0</v>
      </c>
      <c r="W1079" s="1">
        <v>48.6</v>
      </c>
      <c r="X1079" s="1">
        <v>10</v>
      </c>
      <c r="Y1079" s="1">
        <v>8.5</v>
      </c>
      <c r="Z1079" s="18">
        <f>grand[[#This Row],[av. Transportation loss]]/grand[[#This Row],[av.total weight]]</f>
        <v>3.0023094688221709E-2</v>
      </c>
      <c r="AA1079" s="12">
        <f>AVERAGE((grand[[#This Row],[am]]/25),(grand[[#This Row],[pm]]/50))</f>
        <v>0.98599999999999999</v>
      </c>
      <c r="AB1079" s="3">
        <f>grand[[#This Row],[ carcass weight]]/grand[[#This Row],[total weight]]</f>
        <v>0.5627598152424943</v>
      </c>
      <c r="AC1079" s="18">
        <f>SUM(grand[[#This Row],[am]:[meat transportation]])/100</f>
        <v>0.92099999999999993</v>
      </c>
      <c r="AK1079" s="1"/>
      <c r="AL1079" s="1"/>
    </row>
    <row r="1080" spans="1:38" hidden="1" x14ac:dyDescent="0.2">
      <c r="A1080" s="11">
        <v>45589</v>
      </c>
      <c r="B1080" s="53" t="s">
        <v>2069</v>
      </c>
      <c r="C1080" s="52" t="str">
        <f>IF(MID(B1080,4,2)="09","Ramadan",IF(AND(MID(B1080,4,2)="12",VALUE(LEFT(B1080,2))&lt;=9),"Adha Season","Normal"))</f>
        <v>Normal</v>
      </c>
      <c r="D1080" s="1" t="s">
        <v>45</v>
      </c>
      <c r="E1080" s="1" t="s">
        <v>528</v>
      </c>
      <c r="F1080" s="4" t="s">
        <v>280</v>
      </c>
      <c r="G1080" s="1">
        <v>57</v>
      </c>
      <c r="H1080" s="1">
        <v>57</v>
      </c>
      <c r="I1080" s="1">
        <f>grand[[#This Row],[number]]-grand[[#This Row],[received]]</f>
        <v>0</v>
      </c>
      <c r="J1080" s="30"/>
      <c r="K1080" s="2">
        <v>33801</v>
      </c>
      <c r="L1080" s="2">
        <v>32660</v>
      </c>
      <c r="M1080" s="2">
        <f>K1080-L1080</f>
        <v>1141</v>
      </c>
      <c r="N1080" s="2">
        <v>20984.2</v>
      </c>
      <c r="O1080" s="2">
        <v>407</v>
      </c>
      <c r="P1080" s="7">
        <f>grand[[#This Row],[total weight]]/grand[[#This Row],[received]]</f>
        <v>593</v>
      </c>
      <c r="Q1080" s="7">
        <f>grand[[#This Row],[receiving weight]]/grand[[#This Row],[received]]</f>
        <v>572.98245614035091</v>
      </c>
      <c r="R1080" s="7">
        <f>grand[[#This Row],[transportation loss ]]/grand[[#This Row],[received]]</f>
        <v>20.017543859649123</v>
      </c>
      <c r="S1080" s="7">
        <f>grand[[#This Row],[ carcass weight]]/grand[[#This Row],[received]]</f>
        <v>368.14385964912282</v>
      </c>
      <c r="T1080" s="7">
        <f>grand[[#This Row],[ kidneys fat quantity]]/grand[[#This Row],[received]]</f>
        <v>7.1403508771929829</v>
      </c>
      <c r="U1080" s="1">
        <v>25</v>
      </c>
      <c r="V1080" s="1">
        <v>0</v>
      </c>
      <c r="W1080" s="1">
        <v>47.263157894736842</v>
      </c>
      <c r="X1080" s="1">
        <v>9.8245614035087723</v>
      </c>
      <c r="Y1080" s="1">
        <v>8.5</v>
      </c>
      <c r="Z1080" s="18">
        <f>grand[[#This Row],[av. Transportation loss]]/grand[[#This Row],[av.total weight]]</f>
        <v>3.3756397739711841E-2</v>
      </c>
      <c r="AA1080" s="12">
        <f>AVERAGE((grand[[#This Row],[am]]/25),(grand[[#This Row],[pm]]/50))</f>
        <v>0.9726315789473684</v>
      </c>
      <c r="AB1080" s="3">
        <f>grand[[#This Row],[ carcass weight]]/grand[[#This Row],[total weight]]</f>
        <v>0.62081595219076358</v>
      </c>
      <c r="AC1080" s="18">
        <f>SUM(grand[[#This Row],[am]:[meat transportation]])/100</f>
        <v>0.90587719298245617</v>
      </c>
      <c r="AJ1080" s="1">
        <v>41</v>
      </c>
      <c r="AK1080" s="1"/>
      <c r="AL1080" s="1"/>
    </row>
    <row r="1081" spans="1:38" hidden="1" x14ac:dyDescent="0.2">
      <c r="A1081" s="11">
        <v>45591</v>
      </c>
      <c r="B1081" s="53" t="s">
        <v>2070</v>
      </c>
      <c r="C1081" s="52" t="str">
        <f>IF(MID(B1081,4,2)="09","Ramadan",IF(AND(MID(B1081,4,2)="12",VALUE(LEFT(B1081,2))&lt;=9),"Adha Season","Normal"))</f>
        <v>Normal</v>
      </c>
      <c r="D1081" s="1" t="s">
        <v>45</v>
      </c>
      <c r="E1081" s="1" t="s">
        <v>483</v>
      </c>
      <c r="F1081" s="4" t="s">
        <v>43</v>
      </c>
      <c r="G1081" s="1">
        <v>24</v>
      </c>
      <c r="H1081" s="1">
        <v>24</v>
      </c>
      <c r="I1081" s="1">
        <f>grand[[#This Row],[number]]-grand[[#This Row],[received]]</f>
        <v>0</v>
      </c>
      <c r="J1081" s="30"/>
      <c r="K1081" s="2">
        <v>12482</v>
      </c>
      <c r="L1081" s="2">
        <v>12045</v>
      </c>
      <c r="M1081" s="2">
        <f>K1081-L1081</f>
        <v>437</v>
      </c>
      <c r="N1081" s="2">
        <v>7489.8</v>
      </c>
      <c r="O1081" s="2">
        <v>312</v>
      </c>
      <c r="P1081" s="7">
        <f>grand[[#This Row],[total weight]]/grand[[#This Row],[received]]</f>
        <v>520.08333333333337</v>
      </c>
      <c r="Q1081" s="7">
        <f>grand[[#This Row],[receiving weight]]/grand[[#This Row],[received]]</f>
        <v>501.875</v>
      </c>
      <c r="R1081" s="7">
        <f>grand[[#This Row],[transportation loss ]]/grand[[#This Row],[received]]</f>
        <v>18.208333333333332</v>
      </c>
      <c r="S1081" s="7">
        <f>grand[[#This Row],[ carcass weight]]/grand[[#This Row],[received]]</f>
        <v>312.07499999999999</v>
      </c>
      <c r="T1081" s="7">
        <f>grand[[#This Row],[ kidneys fat quantity]]/grand[[#This Row],[received]]</f>
        <v>13</v>
      </c>
      <c r="U1081" s="1">
        <v>25</v>
      </c>
      <c r="V1081" s="1">
        <v>0</v>
      </c>
      <c r="W1081" s="1">
        <v>44.416666666666664</v>
      </c>
      <c r="X1081" s="1">
        <v>10</v>
      </c>
      <c r="Y1081" s="1">
        <v>8.5</v>
      </c>
      <c r="Z1081" s="18">
        <f>grand[[#This Row],[av. Transportation loss]]/grand[[#This Row],[av.total weight]]</f>
        <v>3.5010414997596537E-2</v>
      </c>
      <c r="AA1081" s="12">
        <f>AVERAGE((grand[[#This Row],[am]]/25),(grand[[#This Row],[pm]]/50))</f>
        <v>0.9441666666666666</v>
      </c>
      <c r="AB1081" s="3">
        <f>grand[[#This Row],[ carcass weight]]/grand[[#This Row],[total weight]]</f>
        <v>0.60004806921967635</v>
      </c>
      <c r="AC1081" s="18">
        <f>SUM(grand[[#This Row],[am]:[meat transportation]])/100</f>
        <v>0.87916666666666654</v>
      </c>
      <c r="AJ1081" s="1">
        <v>16</v>
      </c>
      <c r="AK1081" s="1"/>
      <c r="AL1081" s="1"/>
    </row>
    <row r="1082" spans="1:38" hidden="1" x14ac:dyDescent="0.2">
      <c r="A1082" s="11">
        <v>45592</v>
      </c>
      <c r="B1082" s="53" t="s">
        <v>2071</v>
      </c>
      <c r="C1082" s="52" t="str">
        <f>IF(MID(B1082,4,2)="09","Ramadan",IF(AND(MID(B1082,4,2)="12",VALUE(LEFT(B1082,2))&lt;=9),"Adha Season","Normal"))</f>
        <v>Normal</v>
      </c>
      <c r="D1082" s="2" t="s">
        <v>294</v>
      </c>
      <c r="F1082" s="4" t="s">
        <v>280</v>
      </c>
      <c r="G1082" s="1">
        <v>33</v>
      </c>
      <c r="H1082" s="1">
        <v>33</v>
      </c>
      <c r="I1082" s="1">
        <f>grand[[#This Row],[number]]-grand[[#This Row],[received]]</f>
        <v>0</v>
      </c>
      <c r="J1082" s="30"/>
      <c r="K1082" s="2">
        <v>1700</v>
      </c>
      <c r="L1082" s="2">
        <v>1690</v>
      </c>
      <c r="M1082" s="2">
        <f>K1082-L1082</f>
        <v>10</v>
      </c>
      <c r="N1082" s="2">
        <v>1030.2</v>
      </c>
      <c r="O1082" s="2">
        <v>0</v>
      </c>
      <c r="P1082" s="7">
        <f>grand[[#This Row],[total weight]]/grand[[#This Row],[received]]</f>
        <v>51.515151515151516</v>
      </c>
      <c r="Q1082" s="7">
        <f>grand[[#This Row],[receiving weight]]/grand[[#This Row],[received]]</f>
        <v>51.212121212121211</v>
      </c>
      <c r="R1082" s="7">
        <f>grand[[#This Row],[transportation loss ]]/grand[[#This Row],[received]]</f>
        <v>0.30303030303030304</v>
      </c>
      <c r="S1082" s="7">
        <f>grand[[#This Row],[ carcass weight]]/grand[[#This Row],[received]]</f>
        <v>31.218181818181819</v>
      </c>
      <c r="T1082" s="7">
        <f>grand[[#This Row],[ kidneys fat quantity]]/grand[[#This Row],[received]]</f>
        <v>0</v>
      </c>
      <c r="U1082" s="1">
        <v>25</v>
      </c>
      <c r="V1082" s="1">
        <v>0</v>
      </c>
      <c r="W1082" s="1">
        <v>47.060606060606055</v>
      </c>
      <c r="X1082" s="1">
        <v>10</v>
      </c>
      <c r="Y1082" s="1">
        <v>8.5</v>
      </c>
      <c r="Z1082" s="18">
        <f>grand[[#This Row],[av. Transportation loss]]/grand[[#This Row],[av.total weight]]</f>
        <v>5.8823529411764705E-3</v>
      </c>
      <c r="AA1082" s="12">
        <f>AVERAGE((grand[[#This Row],[am]]/25),(grand[[#This Row],[pm]]/50))</f>
        <v>0.97060606060606047</v>
      </c>
      <c r="AB1082" s="3">
        <f>grand[[#This Row],[ carcass weight]]/grand[[#This Row],[total weight]]</f>
        <v>0.60599999999999998</v>
      </c>
      <c r="AC1082" s="18">
        <f>SUM(grand[[#This Row],[am]:[meat transportation]])/100</f>
        <v>0.90560606060606064</v>
      </c>
      <c r="AK1082" s="1"/>
      <c r="AL1082" s="1"/>
    </row>
    <row r="1083" spans="1:38" hidden="1" x14ac:dyDescent="0.2">
      <c r="A1083" s="11">
        <v>45592</v>
      </c>
      <c r="B1083" s="53" t="s">
        <v>2071</v>
      </c>
      <c r="C1083" s="52" t="str">
        <f>IF(MID(B1083,4,2)="09","Ramadan",IF(AND(MID(B1083,4,2)="12",VALUE(LEFT(B1083,2))&lt;=9),"Adha Season","Normal"))</f>
        <v>Normal</v>
      </c>
      <c r="D1083" s="1" t="s">
        <v>45</v>
      </c>
      <c r="E1083" s="1" t="s">
        <v>528</v>
      </c>
      <c r="F1083" s="4" t="s">
        <v>280</v>
      </c>
      <c r="G1083" s="1">
        <v>53</v>
      </c>
      <c r="H1083" s="1">
        <v>53</v>
      </c>
      <c r="I1083" s="1">
        <f>grand[[#This Row],[number]]-grand[[#This Row],[received]]</f>
        <v>0</v>
      </c>
      <c r="J1083" s="30"/>
      <c r="K1083" s="2">
        <v>32012</v>
      </c>
      <c r="L1083" s="2">
        <v>31271</v>
      </c>
      <c r="M1083" s="2">
        <f>K1083-L1083</f>
        <v>741</v>
      </c>
      <c r="N1083" s="2">
        <v>20109.400000000001</v>
      </c>
      <c r="O1083" s="2">
        <v>433</v>
      </c>
      <c r="P1083" s="7">
        <f>grand[[#This Row],[total weight]]/grand[[#This Row],[received]]</f>
        <v>604</v>
      </c>
      <c r="Q1083" s="7">
        <f>grand[[#This Row],[receiving weight]]/grand[[#This Row],[received]]</f>
        <v>590.01886792452831</v>
      </c>
      <c r="R1083" s="7">
        <f>grand[[#This Row],[transportation loss ]]/grand[[#This Row],[received]]</f>
        <v>13.981132075471699</v>
      </c>
      <c r="S1083" s="7">
        <f>grand[[#This Row],[ carcass weight]]/grand[[#This Row],[received]]</f>
        <v>379.42264150943402</v>
      </c>
      <c r="T1083" s="7">
        <f>grand[[#This Row],[ kidneys fat quantity]]/grand[[#This Row],[received]]</f>
        <v>8.1698113207547163</v>
      </c>
      <c r="U1083" s="1">
        <v>24.622641509433961</v>
      </c>
      <c r="V1083" s="1">
        <v>0</v>
      </c>
      <c r="W1083" s="1">
        <v>45.509433962264154</v>
      </c>
      <c r="X1083" s="1">
        <v>10</v>
      </c>
      <c r="Y1083" s="1">
        <v>8.5</v>
      </c>
      <c r="Z1083" s="18">
        <f>grand[[#This Row],[av. Transportation loss]]/grand[[#This Row],[av.total weight]]</f>
        <v>2.3147569661376984E-2</v>
      </c>
      <c r="AA1083" s="12">
        <f>AVERAGE((grand[[#This Row],[am]]/25),(grand[[#This Row],[pm]]/50))</f>
        <v>0.94754716981132081</v>
      </c>
      <c r="AB1083" s="3">
        <f>grand[[#This Row],[ carcass weight]]/grand[[#This Row],[total weight]]</f>
        <v>0.6281831813070099</v>
      </c>
      <c r="AC1083" s="18">
        <f>SUM(grand[[#This Row],[am]:[meat transportation]])/100</f>
        <v>0.88632075471698113</v>
      </c>
      <c r="AJ1083" s="1">
        <v>41</v>
      </c>
      <c r="AK1083" s="1"/>
      <c r="AL1083" s="1"/>
    </row>
    <row r="1084" spans="1:38" hidden="1" x14ac:dyDescent="0.2">
      <c r="A1084" s="11">
        <v>45593</v>
      </c>
      <c r="B1084" s="53" t="s">
        <v>2072</v>
      </c>
      <c r="C1084" s="52" t="str">
        <f>IF(MID(B1084,4,2)="09","Ramadan",IF(AND(MID(B1084,4,2)="12",VALUE(LEFT(B1084,2))&lt;=9),"Adha Season","Normal"))</f>
        <v>Normal</v>
      </c>
      <c r="D1084" s="1" t="s">
        <v>45</v>
      </c>
      <c r="E1084" s="1" t="s">
        <v>483</v>
      </c>
      <c r="F1084" s="4" t="s">
        <v>39</v>
      </c>
      <c r="G1084" s="1">
        <v>35</v>
      </c>
      <c r="H1084" s="1">
        <v>35</v>
      </c>
      <c r="I1084" s="1">
        <f>grand[[#This Row],[number]]-grand[[#This Row],[received]]</f>
        <v>0</v>
      </c>
      <c r="J1084" s="30"/>
      <c r="K1084" s="2">
        <v>15560.443037974685</v>
      </c>
      <c r="L1084" s="2">
        <v>15560.443037974685</v>
      </c>
      <c r="M1084" s="2">
        <f>K1084-L1084</f>
        <v>0</v>
      </c>
      <c r="N1084" s="2">
        <v>9834.2000000000007</v>
      </c>
      <c r="O1084" s="2">
        <v>0</v>
      </c>
      <c r="P1084" s="7">
        <f>grand[[#This Row],[total weight]]/grand[[#This Row],[received]]</f>
        <v>444.58408679927669</v>
      </c>
      <c r="Q1084" s="7">
        <f>grand[[#This Row],[receiving weight]]/grand[[#This Row],[received]]</f>
        <v>444.58408679927669</v>
      </c>
      <c r="R1084" s="7">
        <f>grand[[#This Row],[transportation loss ]]/grand[[#This Row],[received]]</f>
        <v>0</v>
      </c>
      <c r="S1084" s="7">
        <f>grand[[#This Row],[ carcass weight]]/grand[[#This Row],[received]]</f>
        <v>280.97714285714289</v>
      </c>
      <c r="T1084" s="7">
        <f>grand[[#This Row],[ kidneys fat quantity]]/grand[[#This Row],[received]]</f>
        <v>0</v>
      </c>
      <c r="U1084" s="1">
        <v>25</v>
      </c>
      <c r="V1084" s="1">
        <v>5</v>
      </c>
      <c r="W1084" s="1">
        <v>50</v>
      </c>
      <c r="X1084" s="1">
        <v>10</v>
      </c>
      <c r="Y1084" s="1">
        <v>8.5</v>
      </c>
      <c r="Z1084" s="18">
        <f>grand[[#This Row],[av. Transportation loss]]/grand[[#This Row],[av.total weight]]</f>
        <v>0</v>
      </c>
      <c r="AA1084" s="12">
        <f>AVERAGE((grand[[#This Row],[am]]/25),(grand[[#This Row],[pm]]/50))</f>
        <v>1</v>
      </c>
      <c r="AB1084" s="3">
        <f>grand[[#This Row],[ carcass weight]]/grand[[#This Row],[total weight]]</f>
        <v>0.63200000000000001</v>
      </c>
      <c r="AC1084" s="18">
        <f>SUM(grand[[#This Row],[am]:[meat transportation]])/100</f>
        <v>0.98499999999999999</v>
      </c>
      <c r="AK1084" s="1"/>
      <c r="AL1084" s="1"/>
    </row>
    <row r="1085" spans="1:38" hidden="1" x14ac:dyDescent="0.2">
      <c r="A1085" s="11">
        <v>45594</v>
      </c>
      <c r="B1085" s="53" t="s">
        <v>2073</v>
      </c>
      <c r="C1085" s="52" t="str">
        <f>IF(MID(B1085,4,2)="09","Ramadan",IF(AND(MID(B1085,4,2)="12",VALUE(LEFT(B1085,2))&lt;=9),"Adha Season","Normal"))</f>
        <v>Normal</v>
      </c>
      <c r="D1085" s="1" t="s">
        <v>45</v>
      </c>
      <c r="E1085" s="1" t="s">
        <v>528</v>
      </c>
      <c r="F1085" s="4" t="s">
        <v>462</v>
      </c>
      <c r="G1085" s="1">
        <v>28</v>
      </c>
      <c r="H1085" s="1">
        <v>28</v>
      </c>
      <c r="I1085" s="1">
        <f>grand[[#This Row],[number]]-grand[[#This Row],[received]]</f>
        <v>0</v>
      </c>
      <c r="J1085" s="30"/>
      <c r="K1085" s="2">
        <v>13664.240506329112</v>
      </c>
      <c r="L1085" s="2">
        <v>13664.240506329112</v>
      </c>
      <c r="M1085" s="2">
        <f>K1085-L1085</f>
        <v>0</v>
      </c>
      <c r="N1085" s="2">
        <v>8635.7999999999993</v>
      </c>
      <c r="O1085" s="2">
        <v>0</v>
      </c>
      <c r="P1085" s="7">
        <f>grand[[#This Row],[total weight]]/grand[[#This Row],[received]]</f>
        <v>488.008589511754</v>
      </c>
      <c r="Q1085" s="7">
        <f>grand[[#This Row],[receiving weight]]/grand[[#This Row],[received]]</f>
        <v>488.008589511754</v>
      </c>
      <c r="R1085" s="7">
        <f>grand[[#This Row],[transportation loss ]]/grand[[#This Row],[received]]</f>
        <v>0</v>
      </c>
      <c r="S1085" s="7">
        <f>grand[[#This Row],[ carcass weight]]/grand[[#This Row],[received]]</f>
        <v>308.42142857142852</v>
      </c>
      <c r="T1085" s="7">
        <f>grand[[#This Row],[ kidneys fat quantity]]/grand[[#This Row],[received]]</f>
        <v>0</v>
      </c>
      <c r="U1085" s="1">
        <v>25</v>
      </c>
      <c r="V1085" s="1">
        <v>4</v>
      </c>
      <c r="W1085" s="1">
        <v>50</v>
      </c>
      <c r="X1085" s="1">
        <v>9.8214285714285712</v>
      </c>
      <c r="Y1085" s="1">
        <v>8.5</v>
      </c>
      <c r="Z1085" s="18">
        <f>grand[[#This Row],[av. Transportation loss]]/grand[[#This Row],[av.total weight]]</f>
        <v>0</v>
      </c>
      <c r="AA1085" s="12">
        <f>AVERAGE((grand[[#This Row],[am]]/25),(grand[[#This Row],[pm]]/50))</f>
        <v>1</v>
      </c>
      <c r="AB1085" s="3">
        <f>grand[[#This Row],[ carcass weight]]/grand[[#This Row],[total weight]]</f>
        <v>0.63200000000000001</v>
      </c>
      <c r="AC1085" s="18">
        <f>SUM(grand[[#This Row],[am]:[meat transportation]])/100</f>
        <v>0.9732142857142857</v>
      </c>
      <c r="AK1085" s="1"/>
      <c r="AL1085" s="1"/>
    </row>
    <row r="1086" spans="1:38" hidden="1" x14ac:dyDescent="0.2">
      <c r="A1086" s="11">
        <v>45596</v>
      </c>
      <c r="B1086" s="53" t="s">
        <v>2074</v>
      </c>
      <c r="C1086" s="52" t="str">
        <f>IF(MID(B1086,4,2)="09","Ramadan",IF(AND(MID(B1086,4,2)="12",VALUE(LEFT(B1086,2))&lt;=9),"Adha Season","Normal"))</f>
        <v>Normal</v>
      </c>
      <c r="D1086" s="2" t="s">
        <v>294</v>
      </c>
      <c r="F1086" s="4" t="s">
        <v>637</v>
      </c>
      <c r="G1086" s="1">
        <v>28</v>
      </c>
      <c r="H1086" s="1">
        <v>28</v>
      </c>
      <c r="I1086" s="1">
        <f>grand[[#This Row],[number]]-grand[[#This Row],[received]]</f>
        <v>0</v>
      </c>
      <c r="J1086" s="30"/>
      <c r="K1086" s="2">
        <v>1435</v>
      </c>
      <c r="L1086" s="2">
        <v>1430</v>
      </c>
      <c r="M1086" s="2">
        <f>K1086-L1086</f>
        <v>5</v>
      </c>
      <c r="N1086" s="2">
        <v>829.7</v>
      </c>
      <c r="O1086" s="2">
        <v>0</v>
      </c>
      <c r="P1086" s="7">
        <f>grand[[#This Row],[total weight]]/grand[[#This Row],[received]]</f>
        <v>51.25</v>
      </c>
      <c r="Q1086" s="7">
        <f>grand[[#This Row],[receiving weight]]/grand[[#This Row],[received]]</f>
        <v>51.071428571428569</v>
      </c>
      <c r="R1086" s="7">
        <f>grand[[#This Row],[transportation loss ]]/grand[[#This Row],[received]]</f>
        <v>0.17857142857142858</v>
      </c>
      <c r="S1086" s="7">
        <f>grand[[#This Row],[ carcass weight]]/grand[[#This Row],[received]]</f>
        <v>29.63214285714286</v>
      </c>
      <c r="T1086" s="7">
        <f>grand[[#This Row],[ kidneys fat quantity]]/grand[[#This Row],[received]]</f>
        <v>0</v>
      </c>
      <c r="U1086" s="1">
        <v>25</v>
      </c>
      <c r="V1086" s="1">
        <v>0</v>
      </c>
      <c r="W1086" s="1">
        <v>44.25</v>
      </c>
      <c r="X1086" s="1">
        <v>10</v>
      </c>
      <c r="Y1086" s="1">
        <v>8.5</v>
      </c>
      <c r="Z1086" s="18">
        <f>grand[[#This Row],[av. Transportation loss]]/grand[[#This Row],[av.total weight]]</f>
        <v>3.4843205574912892E-3</v>
      </c>
      <c r="AA1086" s="12">
        <f>AVERAGE((grand[[#This Row],[am]]/25),(grand[[#This Row],[pm]]/50))</f>
        <v>0.9425</v>
      </c>
      <c r="AB1086" s="3">
        <f>grand[[#This Row],[ carcass weight]]/grand[[#This Row],[total weight]]</f>
        <v>0.57818815331010454</v>
      </c>
      <c r="AC1086" s="18">
        <f>SUM(grand[[#This Row],[am]:[meat transportation]])/100</f>
        <v>0.87749999999999995</v>
      </c>
      <c r="AK1086" s="1"/>
      <c r="AL1086" s="1"/>
    </row>
    <row r="1087" spans="1:38" hidden="1" x14ac:dyDescent="0.2">
      <c r="A1087" s="11">
        <v>45596</v>
      </c>
      <c r="B1087" s="53" t="s">
        <v>2074</v>
      </c>
      <c r="C1087" s="52" t="str">
        <f>IF(MID(B1087,4,2)="09","Ramadan",IF(AND(MID(B1087,4,2)="12",VALUE(LEFT(B1087,2))&lt;=9),"Adha Season","Normal"))</f>
        <v>Normal</v>
      </c>
      <c r="D1087" s="1" t="s">
        <v>45</v>
      </c>
      <c r="E1087" s="1" t="s">
        <v>528</v>
      </c>
      <c r="F1087" s="4" t="s">
        <v>280</v>
      </c>
      <c r="G1087" s="1">
        <v>54</v>
      </c>
      <c r="H1087" s="1">
        <v>54</v>
      </c>
      <c r="I1087" s="1">
        <f>grand[[#This Row],[number]]-grand[[#This Row],[received]]</f>
        <v>0</v>
      </c>
      <c r="J1087" s="30"/>
      <c r="K1087" s="2">
        <v>31482</v>
      </c>
      <c r="L1087" s="2">
        <v>30107</v>
      </c>
      <c r="M1087" s="2">
        <f>K1087-L1087</f>
        <v>1375</v>
      </c>
      <c r="N1087" s="2">
        <v>19549.3</v>
      </c>
      <c r="O1087" s="2">
        <v>360</v>
      </c>
      <c r="P1087" s="7">
        <f>grand[[#This Row],[total weight]]/grand[[#This Row],[received]]</f>
        <v>583</v>
      </c>
      <c r="Q1087" s="7">
        <f>grand[[#This Row],[receiving weight]]/grand[[#This Row],[received]]</f>
        <v>557.53703703703707</v>
      </c>
      <c r="R1087" s="7">
        <f>grand[[#This Row],[transportation loss ]]/grand[[#This Row],[received]]</f>
        <v>25.462962962962962</v>
      </c>
      <c r="S1087" s="7">
        <f>grand[[#This Row],[ carcass weight]]/grand[[#This Row],[received]]</f>
        <v>362.02407407407406</v>
      </c>
      <c r="T1087" s="7">
        <f>grand[[#This Row],[ kidneys fat quantity]]/grand[[#This Row],[received]]</f>
        <v>6.666666666666667</v>
      </c>
      <c r="U1087" s="1">
        <v>24.814814814814817</v>
      </c>
      <c r="V1087" s="1">
        <v>0</v>
      </c>
      <c r="W1087" s="1">
        <v>46.722222222222221</v>
      </c>
      <c r="X1087" s="1">
        <v>10</v>
      </c>
      <c r="Y1087" s="1">
        <v>8.5</v>
      </c>
      <c r="Z1087" s="18">
        <f>grand[[#This Row],[av. Transportation loss]]/grand[[#This Row],[av.total weight]]</f>
        <v>4.3675751222921035E-2</v>
      </c>
      <c r="AA1087" s="12">
        <f>AVERAGE((grand[[#This Row],[am]]/25),(grand[[#This Row],[pm]]/50))</f>
        <v>0.96351851851851855</v>
      </c>
      <c r="AB1087" s="3">
        <f>grand[[#This Row],[ carcass weight]]/grand[[#This Row],[total weight]]</f>
        <v>0.62096753700527285</v>
      </c>
      <c r="AC1087" s="18">
        <f>SUM(grand[[#This Row],[am]:[meat transportation]])/100</f>
        <v>0.90037037037037038</v>
      </c>
      <c r="AJ1087" s="1">
        <v>31</v>
      </c>
      <c r="AK1087" s="1"/>
      <c r="AL1087" s="1"/>
    </row>
    <row r="1088" spans="1:38" hidden="1" x14ac:dyDescent="0.2">
      <c r="A1088" s="11">
        <v>45598</v>
      </c>
      <c r="B1088" s="53" t="s">
        <v>2075</v>
      </c>
      <c r="C1088" s="52" t="str">
        <f>IF(MID(B1088,4,2)="09","Ramadan",IF(AND(MID(B1088,4,2)="12",VALUE(LEFT(B1088,2))&lt;=9),"Adha Season","Normal"))</f>
        <v>Normal</v>
      </c>
      <c r="D1088" s="1" t="s">
        <v>45</v>
      </c>
      <c r="E1088" s="1" t="s">
        <v>483</v>
      </c>
      <c r="F1088" s="4" t="s">
        <v>43</v>
      </c>
      <c r="G1088" s="1">
        <v>35</v>
      </c>
      <c r="H1088" s="1">
        <v>35</v>
      </c>
      <c r="I1088" s="1">
        <f>grand[[#This Row],[number]]-grand[[#This Row],[received]]</f>
        <v>0</v>
      </c>
      <c r="J1088" s="30"/>
      <c r="K1088" s="2">
        <v>18568</v>
      </c>
      <c r="L1088" s="2">
        <v>17710</v>
      </c>
      <c r="M1088" s="2">
        <f>K1088-L1088</f>
        <v>858</v>
      </c>
      <c r="N1088" s="2">
        <v>11140.2</v>
      </c>
      <c r="O1088" s="2">
        <v>405</v>
      </c>
      <c r="P1088" s="7">
        <f>grand[[#This Row],[total weight]]/grand[[#This Row],[received]]</f>
        <v>530.51428571428573</v>
      </c>
      <c r="Q1088" s="7">
        <f>grand[[#This Row],[receiving weight]]/grand[[#This Row],[received]]</f>
        <v>506</v>
      </c>
      <c r="R1088" s="7">
        <f>grand[[#This Row],[transportation loss ]]/grand[[#This Row],[received]]</f>
        <v>24.514285714285716</v>
      </c>
      <c r="S1088" s="7">
        <f>grand[[#This Row],[ carcass weight]]/grand[[#This Row],[received]]</f>
        <v>318.29142857142858</v>
      </c>
      <c r="T1088" s="7">
        <f>grand[[#This Row],[ kidneys fat quantity]]/grand[[#This Row],[received]]</f>
        <v>11.571428571428571</v>
      </c>
      <c r="U1088" s="1">
        <v>25</v>
      </c>
      <c r="V1088" s="1">
        <v>0</v>
      </c>
      <c r="W1088" s="1">
        <v>46.3</v>
      </c>
      <c r="X1088" s="1">
        <v>10</v>
      </c>
      <c r="Y1088" s="1">
        <v>8.5</v>
      </c>
      <c r="Z1088" s="18">
        <f>grand[[#This Row],[av. Transportation loss]]/grand[[#This Row],[av.total weight]]</f>
        <v>4.6208530805687202E-2</v>
      </c>
      <c r="AA1088" s="12">
        <f>AVERAGE((grand[[#This Row],[am]]/25),(grand[[#This Row],[pm]]/50))</f>
        <v>0.96299999999999997</v>
      </c>
      <c r="AB1088" s="3">
        <f>grand[[#This Row],[ carcass weight]]/grand[[#This Row],[total weight]]</f>
        <v>0.59996768634209396</v>
      </c>
      <c r="AC1088" s="18">
        <f>SUM(grand[[#This Row],[am]:[meat transportation]])/100</f>
        <v>0.89800000000000002</v>
      </c>
      <c r="AJ1088" s="1">
        <v>18</v>
      </c>
      <c r="AK1088" s="1"/>
      <c r="AL1088" s="1"/>
    </row>
    <row r="1089" spans="1:38" hidden="1" x14ac:dyDescent="0.2">
      <c r="A1089" s="11">
        <v>45599</v>
      </c>
      <c r="B1089" s="53" t="s">
        <v>2076</v>
      </c>
      <c r="C1089" s="52" t="str">
        <f>IF(MID(B1089,4,2)="09","Ramadan",IF(AND(MID(B1089,4,2)="12",VALUE(LEFT(B1089,2))&lt;=9),"Adha Season","Normal"))</f>
        <v>Normal</v>
      </c>
      <c r="D1089" s="2" t="s">
        <v>294</v>
      </c>
      <c r="F1089" s="4" t="s">
        <v>280</v>
      </c>
      <c r="G1089" s="1">
        <v>30</v>
      </c>
      <c r="H1089" s="1">
        <v>30</v>
      </c>
      <c r="I1089" s="1">
        <f>grand[[#This Row],[number]]-grand[[#This Row],[received]]</f>
        <v>0</v>
      </c>
      <c r="J1089" s="30"/>
      <c r="K1089" s="2">
        <v>1408</v>
      </c>
      <c r="L1089" s="2">
        <v>1384.5</v>
      </c>
      <c r="M1089" s="2">
        <f>K1089-L1089</f>
        <v>23.5</v>
      </c>
      <c r="N1089" s="2">
        <v>800.6</v>
      </c>
      <c r="O1089" s="2">
        <v>0</v>
      </c>
      <c r="P1089" s="7">
        <f>grand[[#This Row],[total weight]]/grand[[#This Row],[received]]</f>
        <v>46.93333333333333</v>
      </c>
      <c r="Q1089" s="7">
        <f>grand[[#This Row],[receiving weight]]/grand[[#This Row],[received]]</f>
        <v>46.15</v>
      </c>
      <c r="R1089" s="7">
        <f>grand[[#This Row],[transportation loss ]]/grand[[#This Row],[received]]</f>
        <v>0.78333333333333333</v>
      </c>
      <c r="S1089" s="7">
        <f>grand[[#This Row],[ carcass weight]]/grand[[#This Row],[received]]</f>
        <v>26.686666666666667</v>
      </c>
      <c r="T1089" s="7">
        <f>grand[[#This Row],[ kidneys fat quantity]]/grand[[#This Row],[received]]</f>
        <v>0</v>
      </c>
      <c r="U1089" s="1">
        <v>25</v>
      </c>
      <c r="V1089" s="1">
        <v>0</v>
      </c>
      <c r="W1089" s="1">
        <v>48.466666666666669</v>
      </c>
      <c r="X1089" s="1">
        <v>10</v>
      </c>
      <c r="Y1089" s="1">
        <v>8.5</v>
      </c>
      <c r="Z1089" s="18">
        <f>grand[[#This Row],[av. Transportation loss]]/grand[[#This Row],[av.total weight]]</f>
        <v>1.6690340909090912E-2</v>
      </c>
      <c r="AA1089" s="12">
        <f>AVERAGE((grand[[#This Row],[am]]/25),(grand[[#This Row],[pm]]/50))</f>
        <v>0.98466666666666669</v>
      </c>
      <c r="AB1089" s="3">
        <f>grand[[#This Row],[ carcass weight]]/grand[[#This Row],[total weight]]</f>
        <v>0.56860795454545454</v>
      </c>
      <c r="AC1089" s="18">
        <f>SUM(grand[[#This Row],[am]:[meat transportation]])/100</f>
        <v>0.91966666666666663</v>
      </c>
      <c r="AK1089" s="1"/>
      <c r="AL1089" s="1"/>
    </row>
    <row r="1090" spans="1:38" hidden="1" x14ac:dyDescent="0.2">
      <c r="A1090" s="11">
        <v>45599</v>
      </c>
      <c r="B1090" s="53" t="s">
        <v>2076</v>
      </c>
      <c r="C1090" s="52" t="str">
        <f>IF(MID(B1090,4,2)="09","Ramadan",IF(AND(MID(B1090,4,2)="12",VALUE(LEFT(B1090,2))&lt;=9),"Adha Season","Normal"))</f>
        <v>Normal</v>
      </c>
      <c r="D1090" s="1" t="s">
        <v>45</v>
      </c>
      <c r="E1090" s="1" t="s">
        <v>483</v>
      </c>
      <c r="F1090" s="4" t="s">
        <v>280</v>
      </c>
      <c r="G1090" s="1">
        <v>28</v>
      </c>
      <c r="H1090" s="1">
        <v>28</v>
      </c>
      <c r="I1090" s="1">
        <f>grand[[#This Row],[number]]-grand[[#This Row],[received]]</f>
        <v>0</v>
      </c>
      <c r="J1090" s="30"/>
      <c r="K1090" s="2">
        <v>13895</v>
      </c>
      <c r="L1090" s="2">
        <v>13560</v>
      </c>
      <c r="M1090" s="2">
        <f>K1090-L1090</f>
        <v>335</v>
      </c>
      <c r="N1090" s="2">
        <v>8389.6</v>
      </c>
      <c r="O1090" s="2">
        <v>312</v>
      </c>
      <c r="P1090" s="7">
        <f>grand[[#This Row],[total weight]]/grand[[#This Row],[received]]</f>
        <v>496.25</v>
      </c>
      <c r="Q1090" s="7">
        <f>grand[[#This Row],[receiving weight]]/grand[[#This Row],[received]]</f>
        <v>484.28571428571428</v>
      </c>
      <c r="R1090" s="7">
        <f>grand[[#This Row],[transportation loss ]]/grand[[#This Row],[received]]</f>
        <v>11.964285714285714</v>
      </c>
      <c r="S1090" s="7">
        <f>grand[[#This Row],[ carcass weight]]/grand[[#This Row],[received]]</f>
        <v>299.62857142857143</v>
      </c>
      <c r="T1090" s="7">
        <f>grand[[#This Row],[ kidneys fat quantity]]/grand[[#This Row],[received]]</f>
        <v>11.142857142857142</v>
      </c>
      <c r="U1090" s="1">
        <v>25</v>
      </c>
      <c r="V1090" s="1">
        <v>0</v>
      </c>
      <c r="W1090" s="1">
        <v>43.821428571428569</v>
      </c>
      <c r="X1090" s="1">
        <v>10</v>
      </c>
      <c r="Y1090" s="1">
        <v>8.5</v>
      </c>
      <c r="Z1090" s="18">
        <f>grand[[#This Row],[av. Transportation loss]]/grand[[#This Row],[av.total weight]]</f>
        <v>2.4109391867578264E-2</v>
      </c>
      <c r="AA1090" s="12">
        <f>AVERAGE((grand[[#This Row],[am]]/25),(grand[[#This Row],[pm]]/50))</f>
        <v>0.93821428571428567</v>
      </c>
      <c r="AB1090" s="3">
        <f>grand[[#This Row],[ carcass weight]]/grand[[#This Row],[total weight]]</f>
        <v>0.60378553436487947</v>
      </c>
      <c r="AC1090" s="18">
        <f>SUM(grand[[#This Row],[am]:[meat transportation]])/100</f>
        <v>0.87321428571428572</v>
      </c>
      <c r="AJ1090" s="1">
        <v>13</v>
      </c>
      <c r="AK1090" s="1"/>
      <c r="AL1090" s="1"/>
    </row>
    <row r="1091" spans="1:38" hidden="1" x14ac:dyDescent="0.2">
      <c r="A1091" s="11">
        <v>45599</v>
      </c>
      <c r="B1091" s="53" t="s">
        <v>2076</v>
      </c>
      <c r="C1091" s="52" t="str">
        <f>IF(MID(B1091,4,2)="09","Ramadan",IF(AND(MID(B1091,4,2)="12",VALUE(LEFT(B1091,2))&lt;=9),"Adha Season","Normal"))</f>
        <v>Normal</v>
      </c>
      <c r="D1091" s="1" t="s">
        <v>45</v>
      </c>
      <c r="E1091" s="1" t="s">
        <v>528</v>
      </c>
      <c r="F1091" s="4" t="s">
        <v>280</v>
      </c>
      <c r="G1091" s="1">
        <v>32</v>
      </c>
      <c r="H1091" s="1">
        <v>32</v>
      </c>
      <c r="I1091" s="1">
        <f>grand[[#This Row],[number]]-grand[[#This Row],[received]]</f>
        <v>0</v>
      </c>
      <c r="J1091" s="30"/>
      <c r="K1091" s="2">
        <v>18560</v>
      </c>
      <c r="L1091" s="2">
        <v>17900</v>
      </c>
      <c r="M1091" s="2">
        <f>K1091-L1091</f>
        <v>660</v>
      </c>
      <c r="N1091" s="2">
        <v>11548.8</v>
      </c>
      <c r="O1091" s="2">
        <v>176</v>
      </c>
      <c r="P1091" s="7">
        <f>grand[[#This Row],[total weight]]/grand[[#This Row],[received]]</f>
        <v>580</v>
      </c>
      <c r="Q1091" s="7">
        <f>grand[[#This Row],[receiving weight]]/grand[[#This Row],[received]]</f>
        <v>559.375</v>
      </c>
      <c r="R1091" s="7">
        <f>grand[[#This Row],[transportation loss ]]/grand[[#This Row],[received]]</f>
        <v>20.625</v>
      </c>
      <c r="S1091" s="7">
        <f>grand[[#This Row],[ carcass weight]]/grand[[#This Row],[received]]</f>
        <v>360.9</v>
      </c>
      <c r="T1091" s="7">
        <f>grand[[#This Row],[ kidneys fat quantity]]/grand[[#This Row],[received]]</f>
        <v>5.5</v>
      </c>
      <c r="U1091" s="1">
        <v>24.84375</v>
      </c>
      <c r="V1091" s="1">
        <v>0</v>
      </c>
      <c r="W1091" s="1">
        <v>44.75</v>
      </c>
      <c r="X1091" s="1">
        <v>10</v>
      </c>
      <c r="Y1091" s="1">
        <v>8.5</v>
      </c>
      <c r="Z1091" s="18">
        <f>grand[[#This Row],[av. Transportation loss]]/grand[[#This Row],[av.total weight]]</f>
        <v>3.5560344827586209E-2</v>
      </c>
      <c r="AA1091" s="12">
        <f>AVERAGE((grand[[#This Row],[am]]/25),(grand[[#This Row],[pm]]/50))</f>
        <v>0.94437499999999996</v>
      </c>
      <c r="AB1091" s="3">
        <f>grand[[#This Row],[ carcass weight]]/grand[[#This Row],[total weight]]</f>
        <v>0.62224137931034473</v>
      </c>
      <c r="AC1091" s="18">
        <f>SUM(grand[[#This Row],[am]:[meat transportation]])/100</f>
        <v>0.88093750000000004</v>
      </c>
      <c r="AJ1091" s="1">
        <v>18</v>
      </c>
      <c r="AK1091" s="1"/>
      <c r="AL1091" s="1"/>
    </row>
    <row r="1092" spans="1:38" hidden="1" x14ac:dyDescent="0.2">
      <c r="A1092" s="11">
        <v>45600</v>
      </c>
      <c r="B1092" s="53" t="s">
        <v>2077</v>
      </c>
      <c r="C1092" s="52" t="str">
        <f>IF(MID(B1092,4,2)="09","Ramadan",IF(AND(MID(B1092,4,2)="12",VALUE(LEFT(B1092,2))&lt;=9),"Adha Season","Normal"))</f>
        <v>Normal</v>
      </c>
      <c r="D1092" s="1" t="s">
        <v>45</v>
      </c>
      <c r="E1092" s="1" t="s">
        <v>483</v>
      </c>
      <c r="F1092" s="4" t="s">
        <v>39</v>
      </c>
      <c r="G1092" s="1">
        <v>40</v>
      </c>
      <c r="H1092" s="1">
        <v>40</v>
      </c>
      <c r="I1092" s="1">
        <f>grand[[#This Row],[number]]-grand[[#This Row],[received]]</f>
        <v>0</v>
      </c>
      <c r="J1092" s="30"/>
      <c r="K1092" s="2">
        <v>18004.746835443038</v>
      </c>
      <c r="L1092" s="2">
        <v>18004.746835443038</v>
      </c>
      <c r="M1092" s="2">
        <f>K1092-L1092</f>
        <v>0</v>
      </c>
      <c r="N1092" s="2">
        <v>11379</v>
      </c>
      <c r="O1092" s="2">
        <v>0</v>
      </c>
      <c r="P1092" s="7">
        <f>grand[[#This Row],[total weight]]/grand[[#This Row],[received]]</f>
        <v>450.11867088607596</v>
      </c>
      <c r="Q1092" s="7">
        <f>grand[[#This Row],[receiving weight]]/grand[[#This Row],[received]]</f>
        <v>450.11867088607596</v>
      </c>
      <c r="R1092" s="7">
        <f>grand[[#This Row],[transportation loss ]]/grand[[#This Row],[received]]</f>
        <v>0</v>
      </c>
      <c r="S1092" s="7">
        <f>grand[[#This Row],[ carcass weight]]/grand[[#This Row],[received]]</f>
        <v>284.47500000000002</v>
      </c>
      <c r="T1092" s="7">
        <f>grand[[#This Row],[ kidneys fat quantity]]/grand[[#This Row],[received]]</f>
        <v>0</v>
      </c>
      <c r="U1092" s="1">
        <v>25</v>
      </c>
      <c r="V1092" s="1">
        <v>5</v>
      </c>
      <c r="W1092" s="1">
        <v>50</v>
      </c>
      <c r="X1092" s="1">
        <v>10</v>
      </c>
      <c r="Y1092" s="1">
        <v>8.5</v>
      </c>
      <c r="Z1092" s="18">
        <f>grand[[#This Row],[av. Transportation loss]]/grand[[#This Row],[av.total weight]]</f>
        <v>0</v>
      </c>
      <c r="AA1092" s="12">
        <f>AVERAGE((grand[[#This Row],[am]]/25),(grand[[#This Row],[pm]]/50))</f>
        <v>1</v>
      </c>
      <c r="AB1092" s="3">
        <f>grand[[#This Row],[ carcass weight]]/grand[[#This Row],[total weight]]</f>
        <v>0.63200000000000001</v>
      </c>
      <c r="AC1092" s="18">
        <f>SUM(grand[[#This Row],[am]:[meat transportation]])/100</f>
        <v>0.98499999999999999</v>
      </c>
      <c r="AK1092" s="1"/>
      <c r="AL1092" s="1"/>
    </row>
    <row r="1093" spans="1:38" hidden="1" x14ac:dyDescent="0.2">
      <c r="A1093" s="11">
        <v>45601</v>
      </c>
      <c r="B1093" s="53" t="s">
        <v>2078</v>
      </c>
      <c r="C1093" s="52" t="str">
        <f>IF(MID(B1093,4,2)="09","Ramadan",IF(AND(MID(B1093,4,2)="12",VALUE(LEFT(B1093,2))&lt;=9),"Adha Season","Normal"))</f>
        <v>Normal</v>
      </c>
      <c r="D1093" s="1" t="s">
        <v>45</v>
      </c>
      <c r="E1093" s="1" t="s">
        <v>528</v>
      </c>
      <c r="F1093" s="4" t="s">
        <v>462</v>
      </c>
      <c r="G1093" s="1">
        <v>34</v>
      </c>
      <c r="H1093" s="1">
        <v>34</v>
      </c>
      <c r="I1093" s="1">
        <f>grand[[#This Row],[number]]-grand[[#This Row],[received]]</f>
        <v>0</v>
      </c>
      <c r="J1093" s="30"/>
      <c r="K1093" s="2">
        <v>17247.784810126581</v>
      </c>
      <c r="L1093" s="2">
        <v>17247.784810126581</v>
      </c>
      <c r="M1093" s="2">
        <f>K1093-L1093</f>
        <v>0</v>
      </c>
      <c r="N1093" s="2">
        <v>10900.6</v>
      </c>
      <c r="O1093" s="2">
        <v>0</v>
      </c>
      <c r="P1093" s="7">
        <f>grand[[#This Row],[total weight]]/grand[[#This Row],[received]]</f>
        <v>507.28778853313474</v>
      </c>
      <c r="Q1093" s="7">
        <f>grand[[#This Row],[receiving weight]]/grand[[#This Row],[received]]</f>
        <v>507.28778853313474</v>
      </c>
      <c r="R1093" s="7">
        <f>grand[[#This Row],[transportation loss ]]/grand[[#This Row],[received]]</f>
        <v>0</v>
      </c>
      <c r="S1093" s="7">
        <f>grand[[#This Row],[ carcass weight]]/grand[[#This Row],[received]]</f>
        <v>320.60588235294119</v>
      </c>
      <c r="T1093" s="7">
        <f>grand[[#This Row],[ kidneys fat quantity]]/grand[[#This Row],[received]]</f>
        <v>0</v>
      </c>
      <c r="U1093" s="1">
        <v>25</v>
      </c>
      <c r="V1093" s="1">
        <v>4</v>
      </c>
      <c r="W1093" s="1">
        <v>50</v>
      </c>
      <c r="X1093" s="1">
        <v>10</v>
      </c>
      <c r="Y1093" s="1">
        <v>8.5</v>
      </c>
      <c r="Z1093" s="18">
        <f>grand[[#This Row],[av. Transportation loss]]/grand[[#This Row],[av.total weight]]</f>
        <v>0</v>
      </c>
      <c r="AA1093" s="12">
        <f>AVERAGE((grand[[#This Row],[am]]/25),(grand[[#This Row],[pm]]/50))</f>
        <v>1</v>
      </c>
      <c r="AB1093" s="3">
        <f>grand[[#This Row],[ carcass weight]]/grand[[#This Row],[total weight]]</f>
        <v>0.63200000000000012</v>
      </c>
      <c r="AC1093" s="18">
        <f>SUM(grand[[#This Row],[am]:[meat transportation]])/100</f>
        <v>0.97499999999999998</v>
      </c>
      <c r="AK1093" s="1"/>
      <c r="AL1093" s="1"/>
    </row>
    <row r="1094" spans="1:38" hidden="1" x14ac:dyDescent="0.2">
      <c r="A1094" s="11">
        <v>45603</v>
      </c>
      <c r="B1094" s="53" t="s">
        <v>2079</v>
      </c>
      <c r="C1094" s="52" t="str">
        <f>IF(MID(B1094,4,2)="09","Ramadan",IF(AND(MID(B1094,4,2)="12",VALUE(LEFT(B1094,2))&lt;=9),"Adha Season","Normal"))</f>
        <v>Normal</v>
      </c>
      <c r="D1094" s="2" t="s">
        <v>294</v>
      </c>
      <c r="F1094" s="4" t="s">
        <v>637</v>
      </c>
      <c r="G1094" s="1">
        <v>37</v>
      </c>
      <c r="H1094" s="1">
        <v>37</v>
      </c>
      <c r="I1094" s="1">
        <f>grand[[#This Row],[number]]-grand[[#This Row],[received]]</f>
        <v>0</v>
      </c>
      <c r="J1094" s="30"/>
      <c r="K1094" s="2">
        <v>1950</v>
      </c>
      <c r="L1094" s="2">
        <v>1940</v>
      </c>
      <c r="M1094" s="2">
        <f>K1094-L1094</f>
        <v>10</v>
      </c>
      <c r="N1094" s="2">
        <v>1153.4000000000001</v>
      </c>
      <c r="O1094" s="2">
        <v>0</v>
      </c>
      <c r="P1094" s="7">
        <f>grand[[#This Row],[total weight]]/grand[[#This Row],[received]]</f>
        <v>52.702702702702702</v>
      </c>
      <c r="Q1094" s="7">
        <f>grand[[#This Row],[receiving weight]]/grand[[#This Row],[received]]</f>
        <v>52.432432432432435</v>
      </c>
      <c r="R1094" s="7">
        <f>grand[[#This Row],[transportation loss ]]/grand[[#This Row],[received]]</f>
        <v>0.27027027027027029</v>
      </c>
      <c r="S1094" s="7">
        <f>grand[[#This Row],[ carcass weight]]/grand[[#This Row],[received]]</f>
        <v>31.172972972972975</v>
      </c>
      <c r="T1094" s="7">
        <f>grand[[#This Row],[ kidneys fat quantity]]/grand[[#This Row],[received]]</f>
        <v>0</v>
      </c>
      <c r="U1094" s="1">
        <v>25</v>
      </c>
      <c r="V1094" s="1">
        <v>0</v>
      </c>
      <c r="W1094" s="1">
        <v>43.405405405405411</v>
      </c>
      <c r="X1094" s="1">
        <v>10</v>
      </c>
      <c r="Y1094" s="1">
        <v>8.5</v>
      </c>
      <c r="Z1094" s="18">
        <f>grand[[#This Row],[av. Transportation loss]]/grand[[#This Row],[av.total weight]]</f>
        <v>5.1282051282051282E-3</v>
      </c>
      <c r="AA1094" s="12">
        <f>AVERAGE((grand[[#This Row],[am]]/25),(grand[[#This Row],[pm]]/50))</f>
        <v>0.93405405405405406</v>
      </c>
      <c r="AB1094" s="3">
        <f>grand[[#This Row],[ carcass weight]]/grand[[#This Row],[total weight]]</f>
        <v>0.59148717948717955</v>
      </c>
      <c r="AC1094" s="18">
        <f>SUM(grand[[#This Row],[am]:[meat transportation]])/100</f>
        <v>0.86905405405405423</v>
      </c>
      <c r="AK1094" s="1"/>
      <c r="AL1094" s="1"/>
    </row>
    <row r="1095" spans="1:38" hidden="1" x14ac:dyDescent="0.2">
      <c r="A1095" s="11">
        <v>45606</v>
      </c>
      <c r="B1095" s="53" t="s">
        <v>2081</v>
      </c>
      <c r="C1095" s="52" t="str">
        <f>IF(MID(B1095,4,2)="09","Ramadan",IF(AND(MID(B1095,4,2)="12",VALUE(LEFT(B1095,2))&lt;=9),"Adha Season","Normal"))</f>
        <v>Normal</v>
      </c>
      <c r="D1095" s="2" t="s">
        <v>294</v>
      </c>
      <c r="F1095" s="4" t="s">
        <v>280</v>
      </c>
      <c r="G1095" s="1">
        <v>22</v>
      </c>
      <c r="H1095" s="1">
        <v>22</v>
      </c>
      <c r="I1095" s="1">
        <f>grand[[#This Row],[number]]-grand[[#This Row],[received]]</f>
        <v>0</v>
      </c>
      <c r="J1095" s="30"/>
      <c r="K1095" s="2">
        <v>1035</v>
      </c>
      <c r="L1095" s="2">
        <v>1030</v>
      </c>
      <c r="M1095" s="2">
        <f>K1095-L1095</f>
        <v>5</v>
      </c>
      <c r="N1095" s="2">
        <v>598.29999999999995</v>
      </c>
      <c r="O1095" s="2">
        <v>0</v>
      </c>
      <c r="P1095" s="7">
        <f>grand[[#This Row],[total weight]]/grand[[#This Row],[received]]</f>
        <v>47.045454545454547</v>
      </c>
      <c r="Q1095" s="7">
        <f>grand[[#This Row],[receiving weight]]/grand[[#This Row],[received]]</f>
        <v>46.81818181818182</v>
      </c>
      <c r="R1095" s="7">
        <f>grand[[#This Row],[transportation loss ]]/grand[[#This Row],[received]]</f>
        <v>0.22727272727272727</v>
      </c>
      <c r="S1095" s="7">
        <f>grand[[#This Row],[ carcass weight]]/grand[[#This Row],[received]]</f>
        <v>27.195454545454542</v>
      </c>
      <c r="T1095" s="7">
        <f>grand[[#This Row],[ kidneys fat quantity]]/grand[[#This Row],[received]]</f>
        <v>0</v>
      </c>
      <c r="U1095" s="1">
        <v>25</v>
      </c>
      <c r="V1095" s="1">
        <v>0</v>
      </c>
      <c r="W1095" s="1">
        <v>48.772727272727273</v>
      </c>
      <c r="X1095" s="1">
        <v>10</v>
      </c>
      <c r="Y1095" s="1">
        <v>8.5</v>
      </c>
      <c r="Z1095" s="18">
        <f>grand[[#This Row],[av. Transportation loss]]/grand[[#This Row],[av.total weight]]</f>
        <v>4.830917874396135E-3</v>
      </c>
      <c r="AA1095" s="12">
        <f>AVERAGE((grand[[#This Row],[am]]/25),(grand[[#This Row],[pm]]/50))</f>
        <v>0.98772727272727279</v>
      </c>
      <c r="AB1095" s="3">
        <f>grand[[#This Row],[ carcass weight]]/grand[[#This Row],[total weight]]</f>
        <v>0.57806763285024154</v>
      </c>
      <c r="AC1095" s="18">
        <f>SUM(grand[[#This Row],[am]:[meat transportation]])/100</f>
        <v>0.92272727272727284</v>
      </c>
      <c r="AK1095" s="1"/>
      <c r="AL1095" s="1"/>
    </row>
    <row r="1096" spans="1:38" hidden="1" x14ac:dyDescent="0.2">
      <c r="A1096" s="11">
        <v>45606</v>
      </c>
      <c r="B1096" s="53" t="s">
        <v>2081</v>
      </c>
      <c r="C1096" s="52" t="str">
        <f>IF(MID(B1096,4,2)="09","Ramadan",IF(AND(MID(B1096,4,2)="12",VALUE(LEFT(B1096,2))&lt;=9),"Adha Season","Normal"))</f>
        <v>Normal</v>
      </c>
      <c r="D1096" s="1" t="s">
        <v>45</v>
      </c>
      <c r="E1096" s="1" t="s">
        <v>528</v>
      </c>
      <c r="F1096" s="4" t="s">
        <v>280</v>
      </c>
      <c r="G1096" s="1">
        <v>55</v>
      </c>
      <c r="H1096" s="1">
        <v>55</v>
      </c>
      <c r="I1096" s="1">
        <f>grand[[#This Row],[number]]-grand[[#This Row],[received]]</f>
        <v>0</v>
      </c>
      <c r="J1096" s="30"/>
      <c r="K1096" s="2">
        <v>32230</v>
      </c>
      <c r="L1096" s="2">
        <v>30673</v>
      </c>
      <c r="M1096" s="2">
        <f>K1096-L1096</f>
        <v>1557</v>
      </c>
      <c r="N1096" s="2">
        <v>20049.400000000001</v>
      </c>
      <c r="O1096" s="2">
        <v>393</v>
      </c>
      <c r="P1096" s="7">
        <f>grand[[#This Row],[total weight]]/grand[[#This Row],[received]]</f>
        <v>586</v>
      </c>
      <c r="Q1096" s="7">
        <f>grand[[#This Row],[receiving weight]]/grand[[#This Row],[received]]</f>
        <v>557.69090909090914</v>
      </c>
      <c r="R1096" s="7">
        <f>grand[[#This Row],[transportation loss ]]/grand[[#This Row],[received]]</f>
        <v>28.309090909090909</v>
      </c>
      <c r="S1096" s="7">
        <f>grand[[#This Row],[ carcass weight]]/grand[[#This Row],[received]]</f>
        <v>364.53454545454548</v>
      </c>
      <c r="T1096" s="7">
        <f>grand[[#This Row],[ kidneys fat quantity]]/grand[[#This Row],[received]]</f>
        <v>7.1454545454545455</v>
      </c>
      <c r="U1096" s="1">
        <v>24.90909090909091</v>
      </c>
      <c r="V1096" s="1">
        <v>0</v>
      </c>
      <c r="W1096" s="1">
        <v>44.545454545454547</v>
      </c>
      <c r="X1096" s="1">
        <v>10</v>
      </c>
      <c r="Y1096" s="1">
        <v>8.5</v>
      </c>
      <c r="Z1096" s="18">
        <f>grand[[#This Row],[av. Transportation loss]]/grand[[#This Row],[av.total weight]]</f>
        <v>4.8309028855103943E-2</v>
      </c>
      <c r="AA1096" s="12">
        <f>AVERAGE((grand[[#This Row],[am]]/25),(grand[[#This Row],[pm]]/50))</f>
        <v>0.94363636363636372</v>
      </c>
      <c r="AB1096" s="3">
        <f>grand[[#This Row],[ carcass weight]]/grand[[#This Row],[total weight]]</f>
        <v>0.62207260316475343</v>
      </c>
      <c r="AC1096" s="18">
        <f>SUM(grand[[#This Row],[am]:[meat transportation]])/100</f>
        <v>0.87954545454545452</v>
      </c>
      <c r="AJ1096" s="1">
        <v>47</v>
      </c>
      <c r="AK1096" s="1"/>
      <c r="AL1096" s="1"/>
    </row>
    <row r="1097" spans="1:38" hidden="1" x14ac:dyDescent="0.2">
      <c r="A1097" s="11">
        <v>45607</v>
      </c>
      <c r="B1097" s="53" t="s">
        <v>2082</v>
      </c>
      <c r="C1097" s="52" t="str">
        <f>IF(MID(B1097,4,2)="09","Ramadan",IF(AND(MID(B1097,4,2)="12",VALUE(LEFT(B1097,2))&lt;=9),"Adha Season","Normal"))</f>
        <v>Normal</v>
      </c>
      <c r="D1097" s="1" t="s">
        <v>45</v>
      </c>
      <c r="E1097" s="1" t="s">
        <v>483</v>
      </c>
      <c r="F1097" s="4" t="s">
        <v>39</v>
      </c>
      <c r="G1097" s="1">
        <v>45</v>
      </c>
      <c r="H1097" s="1">
        <v>45</v>
      </c>
      <c r="I1097" s="1">
        <f>grand[[#This Row],[number]]-grand[[#This Row],[received]]</f>
        <v>0</v>
      </c>
      <c r="J1097" s="30"/>
      <c r="K1097" s="2">
        <v>19514.715189873416</v>
      </c>
      <c r="L1097" s="2">
        <v>19514.715189873416</v>
      </c>
      <c r="M1097" s="2">
        <f>K1097-L1097</f>
        <v>0</v>
      </c>
      <c r="N1097" s="2">
        <v>12333.3</v>
      </c>
      <c r="O1097" s="2">
        <v>0</v>
      </c>
      <c r="P1097" s="7">
        <f>grand[[#This Row],[total weight]]/grand[[#This Row],[received]]</f>
        <v>433.66033755274259</v>
      </c>
      <c r="Q1097" s="7">
        <f>grand[[#This Row],[receiving weight]]/grand[[#This Row],[received]]</f>
        <v>433.66033755274259</v>
      </c>
      <c r="R1097" s="7">
        <f>grand[[#This Row],[transportation loss ]]/grand[[#This Row],[received]]</f>
        <v>0</v>
      </c>
      <c r="S1097" s="7">
        <f>grand[[#This Row],[ carcass weight]]/grand[[#This Row],[received]]</f>
        <v>274.07333333333332</v>
      </c>
      <c r="T1097" s="7">
        <f>grand[[#This Row],[ kidneys fat quantity]]/grand[[#This Row],[received]]</f>
        <v>0</v>
      </c>
      <c r="U1097" s="1">
        <v>25</v>
      </c>
      <c r="V1097" s="1">
        <v>5</v>
      </c>
      <c r="W1097" s="1">
        <v>50</v>
      </c>
      <c r="X1097" s="1">
        <v>10</v>
      </c>
      <c r="Y1097" s="1">
        <v>8.5</v>
      </c>
      <c r="Z1097" s="18">
        <f>grand[[#This Row],[av. Transportation loss]]/grand[[#This Row],[av.total weight]]</f>
        <v>0</v>
      </c>
      <c r="AA1097" s="12">
        <f>AVERAGE((grand[[#This Row],[am]]/25),(grand[[#This Row],[pm]]/50))</f>
        <v>1</v>
      </c>
      <c r="AB1097" s="3">
        <f>grand[[#This Row],[ carcass weight]]/grand[[#This Row],[total weight]]</f>
        <v>0.63200000000000001</v>
      </c>
      <c r="AC1097" s="18">
        <f>SUM(grand[[#This Row],[am]:[meat transportation]])/100</f>
        <v>0.98499999999999999</v>
      </c>
      <c r="AK1097" s="1"/>
      <c r="AL1097" s="1"/>
    </row>
    <row r="1098" spans="1:38" hidden="1" x14ac:dyDescent="0.2">
      <c r="A1098" s="11">
        <v>45610</v>
      </c>
      <c r="B1098" s="53" t="s">
        <v>2083</v>
      </c>
      <c r="C1098" s="52" t="str">
        <f>IF(MID(B1098,4,2)="09","Ramadan",IF(AND(MID(B1098,4,2)="12",VALUE(LEFT(B1098,2))&lt;=9),"Adha Season","Normal"))</f>
        <v>Normal</v>
      </c>
      <c r="D1098" s="2" t="s">
        <v>294</v>
      </c>
      <c r="F1098" s="4" t="s">
        <v>280</v>
      </c>
      <c r="G1098" s="1">
        <v>35</v>
      </c>
      <c r="H1098" s="1">
        <v>35</v>
      </c>
      <c r="I1098" s="1">
        <f>grand[[#This Row],[number]]-grand[[#This Row],[received]]</f>
        <v>0</v>
      </c>
      <c r="J1098" s="30"/>
      <c r="K1098" s="2">
        <v>1861</v>
      </c>
      <c r="L1098" s="2">
        <v>1795</v>
      </c>
      <c r="M1098" s="2">
        <f>K1098-L1098</f>
        <v>66</v>
      </c>
      <c r="N1098" s="2">
        <v>1011</v>
      </c>
      <c r="O1098" s="2">
        <v>0</v>
      </c>
      <c r="P1098" s="7">
        <f>grand[[#This Row],[total weight]]/grand[[#This Row],[received]]</f>
        <v>53.171428571428571</v>
      </c>
      <c r="Q1098" s="7">
        <f>grand[[#This Row],[receiving weight]]/grand[[#This Row],[received]]</f>
        <v>51.285714285714285</v>
      </c>
      <c r="R1098" s="7">
        <f>grand[[#This Row],[transportation loss ]]/grand[[#This Row],[received]]</f>
        <v>1.8857142857142857</v>
      </c>
      <c r="S1098" s="7">
        <f>grand[[#This Row],[ carcass weight]]/grand[[#This Row],[received]]</f>
        <v>28.885714285714286</v>
      </c>
      <c r="T1098" s="7">
        <f>grand[[#This Row],[ kidneys fat quantity]]/grand[[#This Row],[received]]</f>
        <v>0</v>
      </c>
      <c r="U1098" s="1">
        <v>25</v>
      </c>
      <c r="V1098" s="1">
        <v>0</v>
      </c>
      <c r="W1098" s="1">
        <v>49.685714285714283</v>
      </c>
      <c r="X1098" s="1">
        <v>10</v>
      </c>
      <c r="Y1098" s="1">
        <v>8.5</v>
      </c>
      <c r="Z1098" s="18">
        <f>grand[[#This Row],[av. Transportation loss]]/grand[[#This Row],[av.total weight]]</f>
        <v>3.5464803868887694E-2</v>
      </c>
      <c r="AA1098" s="12">
        <f>AVERAGE((grand[[#This Row],[am]]/25),(grand[[#This Row],[pm]]/50))</f>
        <v>0.99685714285714289</v>
      </c>
      <c r="AB1098" s="3">
        <f>grand[[#This Row],[ carcass weight]]/grand[[#This Row],[total weight]]</f>
        <v>0.54325631380977968</v>
      </c>
      <c r="AC1098" s="18">
        <f>SUM(grand[[#This Row],[am]:[meat transportation]])/100</f>
        <v>0.93185714285714283</v>
      </c>
      <c r="AK1098" s="1"/>
      <c r="AL1098" s="1"/>
    </row>
    <row r="1099" spans="1:38" hidden="1" x14ac:dyDescent="0.2">
      <c r="A1099" s="11">
        <v>45612</v>
      </c>
      <c r="B1099" s="53" t="s">
        <v>2084</v>
      </c>
      <c r="C1099" s="52" t="str">
        <f>IF(MID(B1099,4,2)="09","Ramadan",IF(AND(MID(B1099,4,2)="12",VALUE(LEFT(B1099,2))&lt;=9),"Adha Season","Normal"))</f>
        <v>Normal</v>
      </c>
      <c r="D1099" s="1" t="s">
        <v>45</v>
      </c>
      <c r="E1099" s="1" t="s">
        <v>483</v>
      </c>
      <c r="F1099" s="4" t="s">
        <v>43</v>
      </c>
      <c r="G1099" s="1">
        <v>40</v>
      </c>
      <c r="H1099" s="1">
        <v>40</v>
      </c>
      <c r="I1099" s="1">
        <f>grand[[#This Row],[number]]-grand[[#This Row],[received]]</f>
        <v>0</v>
      </c>
      <c r="J1099" s="30"/>
      <c r="K1099" s="2">
        <v>21330</v>
      </c>
      <c r="L1099" s="2">
        <v>20730</v>
      </c>
      <c r="M1099" s="2">
        <f>K1099-L1099</f>
        <v>600</v>
      </c>
      <c r="N1099" s="2">
        <v>12798.2</v>
      </c>
      <c r="O1099" s="2">
        <v>547</v>
      </c>
      <c r="P1099" s="7">
        <f>grand[[#This Row],[total weight]]/grand[[#This Row],[received]]</f>
        <v>533.25</v>
      </c>
      <c r="Q1099" s="7">
        <f>grand[[#This Row],[receiving weight]]/grand[[#This Row],[received]]</f>
        <v>518.25</v>
      </c>
      <c r="R1099" s="7">
        <f>grand[[#This Row],[transportation loss ]]/grand[[#This Row],[received]]</f>
        <v>15</v>
      </c>
      <c r="S1099" s="7">
        <f>grand[[#This Row],[ carcass weight]]/grand[[#This Row],[received]]</f>
        <v>319.95500000000004</v>
      </c>
      <c r="T1099" s="7">
        <f>grand[[#This Row],[ kidneys fat quantity]]/grand[[#This Row],[received]]</f>
        <v>13.675000000000001</v>
      </c>
      <c r="U1099" s="1">
        <v>25</v>
      </c>
      <c r="V1099" s="1">
        <v>0</v>
      </c>
      <c r="W1099" s="1">
        <v>43.149999999999991</v>
      </c>
      <c r="X1099" s="1">
        <v>10</v>
      </c>
      <c r="Y1099" s="1">
        <v>8.5</v>
      </c>
      <c r="Z1099" s="18">
        <f>grand[[#This Row],[av. Transportation loss]]/grand[[#This Row],[av.total weight]]</f>
        <v>2.8129395218002812E-2</v>
      </c>
      <c r="AA1099" s="12">
        <f>AVERAGE((grand[[#This Row],[am]]/25),(grand[[#This Row],[pm]]/50))</f>
        <v>0.93149999999999999</v>
      </c>
      <c r="AB1099" s="3">
        <f>grand[[#This Row],[ carcass weight]]/grand[[#This Row],[total weight]]</f>
        <v>0.60000937646507269</v>
      </c>
      <c r="AC1099" s="18">
        <f>SUM(grand[[#This Row],[am]:[meat transportation]])/100</f>
        <v>0.86649999999999994</v>
      </c>
      <c r="AJ1099" s="1">
        <v>27</v>
      </c>
      <c r="AK1099" s="1"/>
      <c r="AL1099" s="1"/>
    </row>
    <row r="1100" spans="1:38" hidden="1" x14ac:dyDescent="0.2">
      <c r="A1100" s="11">
        <v>45613</v>
      </c>
      <c r="B1100" s="53" t="s">
        <v>2085</v>
      </c>
      <c r="C1100" s="52" t="str">
        <f>IF(MID(B1100,4,2)="09","Ramadan",IF(AND(MID(B1100,4,2)="12",VALUE(LEFT(B1100,2))&lt;=9),"Adha Season","Normal"))</f>
        <v>Normal</v>
      </c>
      <c r="D1100" s="2" t="s">
        <v>294</v>
      </c>
      <c r="F1100" s="4" t="s">
        <v>280</v>
      </c>
      <c r="G1100" s="1">
        <v>21</v>
      </c>
      <c r="H1100" s="1">
        <v>21</v>
      </c>
      <c r="I1100" s="1">
        <f>grand[[#This Row],[number]]-grand[[#This Row],[received]]</f>
        <v>0</v>
      </c>
      <c r="J1100" s="30"/>
      <c r="K1100" s="2">
        <v>1017</v>
      </c>
      <c r="L1100" s="2">
        <v>1017</v>
      </c>
      <c r="M1100" s="2">
        <f>K1100-L1100</f>
        <v>0</v>
      </c>
      <c r="N1100" s="2">
        <v>581.70000000000005</v>
      </c>
      <c r="O1100" s="2">
        <v>0</v>
      </c>
      <c r="P1100" s="7">
        <f>grand[[#This Row],[total weight]]/grand[[#This Row],[received]]</f>
        <v>48.428571428571431</v>
      </c>
      <c r="Q1100" s="7">
        <f>grand[[#This Row],[receiving weight]]/grand[[#This Row],[received]]</f>
        <v>48.428571428571431</v>
      </c>
      <c r="R1100" s="7">
        <f>grand[[#This Row],[transportation loss ]]/grand[[#This Row],[received]]</f>
        <v>0</v>
      </c>
      <c r="S1100" s="7">
        <f>grand[[#This Row],[ carcass weight]]/grand[[#This Row],[received]]</f>
        <v>27.700000000000003</v>
      </c>
      <c r="T1100" s="7">
        <f>grand[[#This Row],[ kidneys fat quantity]]/grand[[#This Row],[received]]</f>
        <v>0</v>
      </c>
      <c r="U1100" s="1">
        <v>25</v>
      </c>
      <c r="V1100" s="1">
        <v>0</v>
      </c>
      <c r="W1100" s="1">
        <v>49.449999999999996</v>
      </c>
      <c r="X1100" s="1">
        <v>10</v>
      </c>
      <c r="Y1100" s="1">
        <v>8.5</v>
      </c>
      <c r="Z1100" s="18">
        <f>grand[[#This Row],[av. Transportation loss]]/grand[[#This Row],[av.total weight]]</f>
        <v>0</v>
      </c>
      <c r="AA1100" s="12">
        <f>AVERAGE((grand[[#This Row],[am]]/25),(grand[[#This Row],[pm]]/50))</f>
        <v>0.99449999999999994</v>
      </c>
      <c r="AB1100" s="3">
        <f>grand[[#This Row],[ carcass weight]]/grand[[#This Row],[total weight]]</f>
        <v>0.57197640117994109</v>
      </c>
      <c r="AC1100" s="18">
        <f>SUM(grand[[#This Row],[am]:[meat transportation]])/100</f>
        <v>0.92949999999999988</v>
      </c>
      <c r="AK1100" s="1"/>
      <c r="AL1100" s="1"/>
    </row>
    <row r="1101" spans="1:38" hidden="1" x14ac:dyDescent="0.2">
      <c r="A1101" s="11">
        <v>45613</v>
      </c>
      <c r="B1101" s="53" t="s">
        <v>2085</v>
      </c>
      <c r="C1101" s="52" t="str">
        <f>IF(MID(B1101,4,2)="09","Ramadan",IF(AND(MID(B1101,4,2)="12",VALUE(LEFT(B1101,2))&lt;=9),"Adha Season","Normal"))</f>
        <v>Normal</v>
      </c>
      <c r="D1101" s="1" t="s">
        <v>45</v>
      </c>
      <c r="E1101" s="1" t="s">
        <v>528</v>
      </c>
      <c r="F1101" s="4" t="s">
        <v>280</v>
      </c>
      <c r="G1101" s="1">
        <v>53</v>
      </c>
      <c r="H1101" s="1">
        <v>53</v>
      </c>
      <c r="I1101" s="1">
        <f>grand[[#This Row],[number]]-grand[[#This Row],[received]]</f>
        <v>0</v>
      </c>
      <c r="J1101" s="30"/>
      <c r="K1101" s="2">
        <v>31025</v>
      </c>
      <c r="L1101" s="2">
        <v>29798</v>
      </c>
      <c r="M1101" s="2">
        <f>K1101-L1101</f>
        <v>1227</v>
      </c>
      <c r="N1101" s="2">
        <v>18959.599999999999</v>
      </c>
      <c r="O1101" s="2">
        <v>353</v>
      </c>
      <c r="P1101" s="7">
        <f>grand[[#This Row],[total weight]]/grand[[#This Row],[received]]</f>
        <v>585.37735849056605</v>
      </c>
      <c r="Q1101" s="7">
        <f>grand[[#This Row],[receiving weight]]/grand[[#This Row],[received]]</f>
        <v>562.22641509433959</v>
      </c>
      <c r="R1101" s="7">
        <f>grand[[#This Row],[transportation loss ]]/grand[[#This Row],[received]]</f>
        <v>23.150943396226417</v>
      </c>
      <c r="S1101" s="7">
        <f>grand[[#This Row],[ carcass weight]]/grand[[#This Row],[received]]</f>
        <v>357.72830188679245</v>
      </c>
      <c r="T1101" s="7">
        <f>grand[[#This Row],[ kidneys fat quantity]]/grand[[#This Row],[received]]</f>
        <v>6.6603773584905657</v>
      </c>
      <c r="U1101" s="1">
        <v>25</v>
      </c>
      <c r="V1101" s="1">
        <v>0</v>
      </c>
      <c r="W1101" s="1">
        <v>46.018867924528308</v>
      </c>
      <c r="X1101" s="1">
        <v>10</v>
      </c>
      <c r="Y1101" s="1">
        <v>8.5</v>
      </c>
      <c r="Z1101" s="18">
        <f>grand[[#This Row],[av. Transportation loss]]/grand[[#This Row],[av.total weight]]</f>
        <v>3.954875100725222E-2</v>
      </c>
      <c r="AA1101" s="12">
        <f>AVERAGE((grand[[#This Row],[am]]/25),(grand[[#This Row],[pm]]/50))</f>
        <v>0.96018867924528306</v>
      </c>
      <c r="AB1101" s="3">
        <f>grand[[#This Row],[ carcass weight]]/grand[[#This Row],[total weight]]</f>
        <v>0.61110717163577755</v>
      </c>
      <c r="AC1101" s="18">
        <f>SUM(grand[[#This Row],[am]:[meat transportation]])/100</f>
        <v>0.89518867924528311</v>
      </c>
      <c r="AJ1101" s="1">
        <v>34</v>
      </c>
      <c r="AK1101" s="1"/>
      <c r="AL1101" s="1"/>
    </row>
    <row r="1102" spans="1:38" hidden="1" x14ac:dyDescent="0.2">
      <c r="A1102" s="11">
        <v>45614</v>
      </c>
      <c r="B1102" s="53" t="s">
        <v>2086</v>
      </c>
      <c r="C1102" s="52" t="str">
        <f>IF(MID(B1102,4,2)="09","Ramadan",IF(AND(MID(B1102,4,2)="12",VALUE(LEFT(B1102,2))&lt;=9),"Adha Season","Normal"))</f>
        <v>Normal</v>
      </c>
      <c r="D1102" s="1" t="s">
        <v>45</v>
      </c>
      <c r="E1102" s="1" t="s">
        <v>483</v>
      </c>
      <c r="F1102" s="4" t="s">
        <v>39</v>
      </c>
      <c r="G1102" s="1">
        <v>30</v>
      </c>
      <c r="H1102" s="1">
        <v>30</v>
      </c>
      <c r="I1102" s="1">
        <f>grand[[#This Row],[number]]-grand[[#This Row],[received]]</f>
        <v>0</v>
      </c>
      <c r="J1102" s="30"/>
      <c r="K1102" s="2">
        <v>12679.113924050633</v>
      </c>
      <c r="L1102" s="2">
        <v>12679.113924050633</v>
      </c>
      <c r="M1102" s="2">
        <f>K1102-L1102</f>
        <v>0</v>
      </c>
      <c r="N1102" s="2">
        <v>8013.2</v>
      </c>
      <c r="O1102" s="2">
        <v>0</v>
      </c>
      <c r="P1102" s="7">
        <f>grand[[#This Row],[total weight]]/grand[[#This Row],[received]]</f>
        <v>422.63713080168776</v>
      </c>
      <c r="Q1102" s="7">
        <f>grand[[#This Row],[receiving weight]]/grand[[#This Row],[received]]</f>
        <v>422.63713080168776</v>
      </c>
      <c r="R1102" s="7">
        <f>grand[[#This Row],[transportation loss ]]/grand[[#This Row],[received]]</f>
        <v>0</v>
      </c>
      <c r="S1102" s="7">
        <f>grand[[#This Row],[ carcass weight]]/grand[[#This Row],[received]]</f>
        <v>267.10666666666668</v>
      </c>
      <c r="T1102" s="7">
        <f>grand[[#This Row],[ kidneys fat quantity]]/grand[[#This Row],[received]]</f>
        <v>0</v>
      </c>
      <c r="U1102" s="1">
        <v>25</v>
      </c>
      <c r="V1102" s="1">
        <v>5</v>
      </c>
      <c r="W1102" s="1">
        <v>50</v>
      </c>
      <c r="X1102" s="1">
        <v>10</v>
      </c>
      <c r="Y1102" s="1">
        <v>8.5</v>
      </c>
      <c r="Z1102" s="18">
        <f>grand[[#This Row],[av. Transportation loss]]/grand[[#This Row],[av.total weight]]</f>
        <v>0</v>
      </c>
      <c r="AA1102" s="12">
        <f>AVERAGE((grand[[#This Row],[am]]/25),(grand[[#This Row],[pm]]/50))</f>
        <v>1</v>
      </c>
      <c r="AB1102" s="3">
        <f>grand[[#This Row],[ carcass weight]]/grand[[#This Row],[total weight]]</f>
        <v>0.63200000000000001</v>
      </c>
      <c r="AC1102" s="18">
        <f>SUM(grand[[#This Row],[am]:[meat transportation]])/100</f>
        <v>0.98499999999999999</v>
      </c>
      <c r="AK1102" s="1"/>
      <c r="AL1102" s="1"/>
    </row>
    <row r="1103" spans="1:38" hidden="1" x14ac:dyDescent="0.2">
      <c r="A1103" s="11">
        <v>45616</v>
      </c>
      <c r="B1103" s="53" t="s">
        <v>2087</v>
      </c>
      <c r="C1103" s="52" t="str">
        <f>IF(MID(B1103,4,2)="09","Ramadan",IF(AND(MID(B1103,4,2)="12",VALUE(LEFT(B1103,2))&lt;=9),"Adha Season","Normal"))</f>
        <v>Normal</v>
      </c>
      <c r="D1103" s="1" t="s">
        <v>45</v>
      </c>
      <c r="E1103" s="1" t="s">
        <v>483</v>
      </c>
      <c r="F1103" s="4" t="s">
        <v>640</v>
      </c>
      <c r="G1103" s="1">
        <v>20</v>
      </c>
      <c r="H1103" s="1">
        <v>20</v>
      </c>
      <c r="I1103" s="1">
        <f>grand[[#This Row],[number]]-grand[[#This Row],[received]]</f>
        <v>0</v>
      </c>
      <c r="J1103" s="30"/>
      <c r="K1103" s="2">
        <v>9244</v>
      </c>
      <c r="L1103" s="2">
        <v>9244</v>
      </c>
      <c r="M1103" s="2">
        <f>K1103-L1103</f>
        <v>0</v>
      </c>
      <c r="N1103" s="2">
        <v>5636.3</v>
      </c>
      <c r="O1103" s="2">
        <v>126.5</v>
      </c>
      <c r="P1103" s="7">
        <f>grand[[#This Row],[total weight]]/grand[[#This Row],[received]]</f>
        <v>462.2</v>
      </c>
      <c r="Q1103" s="7">
        <f>grand[[#This Row],[receiving weight]]/grand[[#This Row],[received]]</f>
        <v>462.2</v>
      </c>
      <c r="R1103" s="7">
        <f>grand[[#This Row],[transportation loss ]]/grand[[#This Row],[received]]</f>
        <v>0</v>
      </c>
      <c r="S1103" s="7">
        <f>grand[[#This Row],[ carcass weight]]/grand[[#This Row],[received]]</f>
        <v>281.815</v>
      </c>
      <c r="T1103" s="7">
        <f>grand[[#This Row],[ kidneys fat quantity]]/grand[[#This Row],[received]]</f>
        <v>6.3250000000000002</v>
      </c>
      <c r="U1103" s="1">
        <v>25</v>
      </c>
      <c r="V1103" s="1">
        <v>0</v>
      </c>
      <c r="W1103" s="1">
        <v>46.65</v>
      </c>
      <c r="X1103" s="1">
        <v>10</v>
      </c>
      <c r="Y1103" s="1">
        <v>8.5</v>
      </c>
      <c r="Z1103" s="18">
        <f>grand[[#This Row],[av. Transportation loss]]/grand[[#This Row],[av.total weight]]</f>
        <v>0</v>
      </c>
      <c r="AA1103" s="12">
        <f>AVERAGE((grand[[#This Row],[am]]/25),(grand[[#This Row],[pm]]/50))</f>
        <v>0.96649999999999991</v>
      </c>
      <c r="AB1103" s="3">
        <f>grand[[#This Row],[ carcass weight]]/grand[[#This Row],[total weight]]</f>
        <v>0.60972522717438338</v>
      </c>
      <c r="AC1103" s="18">
        <f>SUM(grand[[#This Row],[am]:[meat transportation]])/100</f>
        <v>0.90150000000000008</v>
      </c>
      <c r="AJ1103" s="1">
        <v>8</v>
      </c>
      <c r="AK1103" s="1"/>
      <c r="AL1103" s="1"/>
    </row>
    <row r="1104" spans="1:38" hidden="1" x14ac:dyDescent="0.2">
      <c r="A1104" s="11">
        <v>45617</v>
      </c>
      <c r="B1104" s="53" t="s">
        <v>2088</v>
      </c>
      <c r="C1104" s="52" t="str">
        <f>IF(MID(B1104,4,2)="09","Ramadan",IF(AND(MID(B1104,4,2)="12",VALUE(LEFT(B1104,2))&lt;=9),"Adha Season","Normal"))</f>
        <v>Normal</v>
      </c>
      <c r="D1104" s="2" t="s">
        <v>294</v>
      </c>
      <c r="F1104" s="4" t="s">
        <v>280</v>
      </c>
      <c r="G1104" s="1">
        <v>32</v>
      </c>
      <c r="H1104" s="1">
        <v>32</v>
      </c>
      <c r="I1104" s="1">
        <f>grand[[#This Row],[number]]-grand[[#This Row],[received]]</f>
        <v>0</v>
      </c>
      <c r="J1104" s="30"/>
      <c r="K1104" s="2">
        <v>1545</v>
      </c>
      <c r="L1104" s="2">
        <v>1520</v>
      </c>
      <c r="M1104" s="2">
        <f>K1104-L1104</f>
        <v>25</v>
      </c>
      <c r="N1104" s="2">
        <v>870.1</v>
      </c>
      <c r="O1104" s="2">
        <v>0</v>
      </c>
      <c r="P1104" s="7">
        <f>grand[[#This Row],[total weight]]/grand[[#This Row],[received]]</f>
        <v>48.28125</v>
      </c>
      <c r="Q1104" s="7">
        <f>grand[[#This Row],[receiving weight]]/grand[[#This Row],[received]]</f>
        <v>47.5</v>
      </c>
      <c r="R1104" s="7">
        <f>grand[[#This Row],[transportation loss ]]/grand[[#This Row],[received]]</f>
        <v>0.78125</v>
      </c>
      <c r="S1104" s="7">
        <f>grand[[#This Row],[ carcass weight]]/grand[[#This Row],[received]]</f>
        <v>27.190625000000001</v>
      </c>
      <c r="T1104" s="7">
        <f>grand[[#This Row],[ kidneys fat quantity]]/grand[[#This Row],[received]]</f>
        <v>0</v>
      </c>
      <c r="U1104" s="1">
        <v>25</v>
      </c>
      <c r="V1104" s="1">
        <v>0</v>
      </c>
      <c r="W1104" s="1">
        <v>49.28125</v>
      </c>
      <c r="X1104" s="1">
        <v>10</v>
      </c>
      <c r="Y1104" s="1">
        <v>8.5</v>
      </c>
      <c r="Z1104" s="18">
        <f>grand[[#This Row],[av. Transportation loss]]/grand[[#This Row],[av.total weight]]</f>
        <v>1.6181229773462782E-2</v>
      </c>
      <c r="AA1104" s="12">
        <f>AVERAGE((grand[[#This Row],[am]]/25),(grand[[#This Row],[pm]]/50))</f>
        <v>0.99281249999999999</v>
      </c>
      <c r="AB1104" s="3">
        <f>grand[[#This Row],[ carcass weight]]/grand[[#This Row],[total weight]]</f>
        <v>0.56317152103559875</v>
      </c>
      <c r="AC1104" s="18">
        <f>SUM(grand[[#This Row],[am]:[meat transportation]])/100</f>
        <v>0.92781250000000004</v>
      </c>
      <c r="AK1104" s="1"/>
      <c r="AL1104" s="1"/>
    </row>
    <row r="1105" spans="1:38" hidden="1" x14ac:dyDescent="0.2">
      <c r="A1105" s="11">
        <v>45617</v>
      </c>
      <c r="B1105" s="53" t="s">
        <v>2088</v>
      </c>
      <c r="C1105" s="52" t="str">
        <f>IF(MID(B1105,4,2)="09","Ramadan",IF(AND(MID(B1105,4,2)="12",VALUE(LEFT(B1105,2))&lt;=9),"Adha Season","Normal"))</f>
        <v>Normal</v>
      </c>
      <c r="D1105" s="1" t="s">
        <v>45</v>
      </c>
      <c r="E1105" s="1" t="s">
        <v>483</v>
      </c>
      <c r="F1105" s="4" t="s">
        <v>43</v>
      </c>
      <c r="G1105" s="1">
        <v>56</v>
      </c>
      <c r="H1105" s="1">
        <v>56</v>
      </c>
      <c r="I1105" s="1">
        <f>grand[[#This Row],[number]]-grand[[#This Row],[received]]</f>
        <v>0</v>
      </c>
      <c r="J1105" s="30"/>
      <c r="K1105" s="2">
        <v>27530</v>
      </c>
      <c r="L1105" s="2">
        <v>27110</v>
      </c>
      <c r="M1105" s="2">
        <f>K1105-L1105</f>
        <v>420</v>
      </c>
      <c r="N1105" s="2">
        <v>16517.599999999999</v>
      </c>
      <c r="O1105" s="2">
        <v>583</v>
      </c>
      <c r="P1105" s="7">
        <f>grand[[#This Row],[total weight]]/grand[[#This Row],[received]]</f>
        <v>491.60714285714283</v>
      </c>
      <c r="Q1105" s="7">
        <f>grand[[#This Row],[receiving weight]]/grand[[#This Row],[received]]</f>
        <v>484.10714285714283</v>
      </c>
      <c r="R1105" s="7">
        <f>grand[[#This Row],[transportation loss ]]/grand[[#This Row],[received]]</f>
        <v>7.5</v>
      </c>
      <c r="S1105" s="7">
        <f>grand[[#This Row],[ carcass weight]]/grand[[#This Row],[received]]</f>
        <v>294.95714285714286</v>
      </c>
      <c r="T1105" s="7">
        <f>grand[[#This Row],[ kidneys fat quantity]]/grand[[#This Row],[received]]</f>
        <v>10.410714285714286</v>
      </c>
      <c r="U1105" s="1">
        <v>25</v>
      </c>
      <c r="V1105" s="1">
        <v>0</v>
      </c>
      <c r="W1105" s="1">
        <v>44.053571428571431</v>
      </c>
      <c r="X1105" s="1">
        <v>10</v>
      </c>
      <c r="Y1105" s="1">
        <v>8.5</v>
      </c>
      <c r="Z1105" s="18">
        <f>grand[[#This Row],[av. Transportation loss]]/grand[[#This Row],[av.total weight]]</f>
        <v>1.5256084271703597E-2</v>
      </c>
      <c r="AA1105" s="12">
        <f>AVERAGE((grand[[#This Row],[am]]/25),(grand[[#This Row],[pm]]/50))</f>
        <v>0.94053571428571425</v>
      </c>
      <c r="AB1105" s="3">
        <f>grand[[#This Row],[ carcass weight]]/grand[[#This Row],[total weight]]</f>
        <v>0.59998547039593164</v>
      </c>
      <c r="AC1105" s="18">
        <f>SUM(grand[[#This Row],[am]:[meat transportation]])/100</f>
        <v>0.87553571428571431</v>
      </c>
      <c r="AJ1105" s="1">
        <v>49</v>
      </c>
      <c r="AK1105" s="1"/>
      <c r="AL1105" s="1"/>
    </row>
    <row r="1106" spans="1:38" hidden="1" x14ac:dyDescent="0.2">
      <c r="A1106" s="11">
        <v>45620</v>
      </c>
      <c r="B1106" s="53" t="s">
        <v>2090</v>
      </c>
      <c r="C1106" s="52" t="str">
        <f>IF(MID(B1106,4,2)="09","Ramadan",IF(AND(MID(B1106,4,2)="12",VALUE(LEFT(B1106,2))&lt;=9),"Adha Season","Normal"))</f>
        <v>Normal</v>
      </c>
      <c r="D1106" s="2" t="s">
        <v>294</v>
      </c>
      <c r="F1106" s="4" t="s">
        <v>280</v>
      </c>
      <c r="G1106" s="1">
        <v>33</v>
      </c>
      <c r="H1106" s="1">
        <v>33</v>
      </c>
      <c r="I1106" s="1">
        <f>grand[[#This Row],[number]]-grand[[#This Row],[received]]</f>
        <v>0</v>
      </c>
      <c r="J1106" s="30"/>
      <c r="K1106" s="2">
        <v>1660</v>
      </c>
      <c r="L1106" s="2">
        <v>1620</v>
      </c>
      <c r="M1106" s="2">
        <f>K1106-L1106</f>
        <v>40</v>
      </c>
      <c r="N1106" s="2">
        <v>978.01</v>
      </c>
      <c r="O1106" s="2">
        <v>0</v>
      </c>
      <c r="P1106" s="7">
        <f>grand[[#This Row],[total weight]]/grand[[#This Row],[received]]</f>
        <v>50.303030303030305</v>
      </c>
      <c r="Q1106" s="7">
        <f>grand[[#This Row],[receiving weight]]/grand[[#This Row],[received]]</f>
        <v>49.090909090909093</v>
      </c>
      <c r="R1106" s="7">
        <f>grand[[#This Row],[transportation loss ]]/grand[[#This Row],[received]]</f>
        <v>1.2121212121212122</v>
      </c>
      <c r="S1106" s="7">
        <f>grand[[#This Row],[ carcass weight]]/grand[[#This Row],[received]]</f>
        <v>29.636666666666667</v>
      </c>
      <c r="T1106" s="7">
        <f>grand[[#This Row],[ kidneys fat quantity]]/grand[[#This Row],[received]]</f>
        <v>0</v>
      </c>
      <c r="U1106" s="1">
        <v>25</v>
      </c>
      <c r="V1106" s="1">
        <v>0</v>
      </c>
      <c r="W1106" s="1">
        <v>49.484848484848484</v>
      </c>
      <c r="X1106" s="1">
        <v>10</v>
      </c>
      <c r="Y1106" s="1">
        <v>8.5</v>
      </c>
      <c r="Z1106" s="18">
        <f>grand[[#This Row],[av. Transportation loss]]/grand[[#This Row],[av.total weight]]</f>
        <v>2.4096385542168676E-2</v>
      </c>
      <c r="AA1106" s="12">
        <f>AVERAGE((grand[[#This Row],[am]]/25),(grand[[#This Row],[pm]]/50))</f>
        <v>0.99484848484848487</v>
      </c>
      <c r="AB1106" s="3">
        <f>grand[[#This Row],[ carcass weight]]/grand[[#This Row],[total weight]]</f>
        <v>0.58916265060240969</v>
      </c>
      <c r="AC1106" s="18">
        <f>SUM(grand[[#This Row],[am]:[meat transportation]])/100</f>
        <v>0.92984848484848481</v>
      </c>
      <c r="AK1106" s="1"/>
      <c r="AL1106" s="1"/>
    </row>
    <row r="1107" spans="1:38" hidden="1" x14ac:dyDescent="0.2">
      <c r="A1107" s="11">
        <v>45623</v>
      </c>
      <c r="B1107" s="53" t="s">
        <v>2092</v>
      </c>
      <c r="C1107" s="52" t="str">
        <f>IF(MID(B1107,4,2)="09","Ramadan",IF(AND(MID(B1107,4,2)="12",VALUE(LEFT(B1107,2))&lt;=9),"Adha Season","Normal"))</f>
        <v>Normal</v>
      </c>
      <c r="D1107" s="1" t="s">
        <v>45</v>
      </c>
      <c r="E1107" s="1" t="s">
        <v>483</v>
      </c>
      <c r="F1107" s="4" t="s">
        <v>280</v>
      </c>
      <c r="G1107" s="1">
        <v>38</v>
      </c>
      <c r="H1107" s="1">
        <v>38</v>
      </c>
      <c r="I1107" s="1">
        <f>grand[[#This Row],[number]]-grand[[#This Row],[received]]</f>
        <v>0</v>
      </c>
      <c r="J1107" s="30"/>
      <c r="K1107" s="2">
        <v>18400</v>
      </c>
      <c r="L1107" s="2">
        <v>18400</v>
      </c>
      <c r="M1107" s="2">
        <f>K1107-L1107</f>
        <v>0</v>
      </c>
      <c r="N1107" s="2">
        <v>11117.4</v>
      </c>
      <c r="O1107" s="2">
        <v>348</v>
      </c>
      <c r="P1107" s="7">
        <f>grand[[#This Row],[total weight]]/grand[[#This Row],[received]]</f>
        <v>484.21052631578948</v>
      </c>
      <c r="Q1107" s="7">
        <f>grand[[#This Row],[receiving weight]]/grand[[#This Row],[received]]</f>
        <v>484.21052631578948</v>
      </c>
      <c r="R1107" s="7">
        <f>grand[[#This Row],[transportation loss ]]/grand[[#This Row],[received]]</f>
        <v>0</v>
      </c>
      <c r="S1107" s="7">
        <f>grand[[#This Row],[ carcass weight]]/grand[[#This Row],[received]]</f>
        <v>292.56315789473683</v>
      </c>
      <c r="T1107" s="7">
        <f>grand[[#This Row],[ kidneys fat quantity]]/grand[[#This Row],[received]]</f>
        <v>9.1578947368421044</v>
      </c>
      <c r="U1107" s="1">
        <v>25</v>
      </c>
      <c r="V1107" s="1">
        <v>0</v>
      </c>
      <c r="W1107" s="1">
        <v>47.868421052631575</v>
      </c>
      <c r="X1107" s="1">
        <v>10</v>
      </c>
      <c r="Y1107" s="1">
        <v>8.5</v>
      </c>
      <c r="Z1107" s="18">
        <f>grand[[#This Row],[av. Transportation loss]]/grand[[#This Row],[av.total weight]]</f>
        <v>0</v>
      </c>
      <c r="AA1107" s="12">
        <f>AVERAGE((grand[[#This Row],[am]]/25),(grand[[#This Row],[pm]]/50))</f>
        <v>0.97868421052631582</v>
      </c>
      <c r="AB1107" s="3">
        <f>grand[[#This Row],[ carcass weight]]/grand[[#This Row],[total weight]]</f>
        <v>0.60420652173913036</v>
      </c>
      <c r="AC1107" s="18">
        <f>SUM(grand[[#This Row],[am]:[meat transportation]])/100</f>
        <v>0.91368421052631577</v>
      </c>
      <c r="AJ1107" s="1">
        <v>24</v>
      </c>
      <c r="AK1107" s="1"/>
      <c r="AL1107" s="1"/>
    </row>
    <row r="1108" spans="1:38" hidden="1" x14ac:dyDescent="0.2">
      <c r="A1108" s="11">
        <v>45624</v>
      </c>
      <c r="B1108" s="53" t="s">
        <v>2093</v>
      </c>
      <c r="C1108" s="52" t="str">
        <f>IF(MID(B1108,4,2)="09","Ramadan",IF(AND(MID(B1108,4,2)="12",VALUE(LEFT(B1108,2))&lt;=9),"Adha Season","Normal"))</f>
        <v>Normal</v>
      </c>
      <c r="D1108" s="2" t="s">
        <v>294</v>
      </c>
      <c r="F1108" s="4" t="s">
        <v>280</v>
      </c>
      <c r="G1108" s="1">
        <v>33</v>
      </c>
      <c r="H1108" s="1">
        <v>33</v>
      </c>
      <c r="I1108" s="1">
        <f>grand[[#This Row],[number]]-grand[[#This Row],[received]]</f>
        <v>0</v>
      </c>
      <c r="J1108" s="30"/>
      <c r="K1108" s="2">
        <v>1710</v>
      </c>
      <c r="L1108" s="2">
        <v>1710</v>
      </c>
      <c r="M1108" s="2">
        <f>K1108-L1108</f>
        <v>0</v>
      </c>
      <c r="N1108" s="2">
        <v>1068.9000000000001</v>
      </c>
      <c r="O1108" s="2">
        <v>0</v>
      </c>
      <c r="P1108" s="7">
        <f>grand[[#This Row],[total weight]]/grand[[#This Row],[received]]</f>
        <v>51.81818181818182</v>
      </c>
      <c r="Q1108" s="7">
        <f>grand[[#This Row],[receiving weight]]/grand[[#This Row],[received]]</f>
        <v>51.81818181818182</v>
      </c>
      <c r="R1108" s="7">
        <f>grand[[#This Row],[transportation loss ]]/grand[[#This Row],[received]]</f>
        <v>0</v>
      </c>
      <c r="S1108" s="7">
        <f>grand[[#This Row],[ carcass weight]]/grand[[#This Row],[received]]</f>
        <v>32.390909090909091</v>
      </c>
      <c r="T1108" s="7">
        <f>grand[[#This Row],[ kidneys fat quantity]]/grand[[#This Row],[received]]</f>
        <v>0</v>
      </c>
      <c r="U1108" s="1">
        <v>25</v>
      </c>
      <c r="V1108" s="1">
        <v>0</v>
      </c>
      <c r="W1108" s="1">
        <v>49.303030303030305</v>
      </c>
      <c r="X1108" s="1">
        <v>10</v>
      </c>
      <c r="Y1108" s="1">
        <v>8.5</v>
      </c>
      <c r="Z1108" s="18">
        <f>grand[[#This Row],[av. Transportation loss]]/grand[[#This Row],[av.total weight]]</f>
        <v>0</v>
      </c>
      <c r="AA1108" s="12">
        <f>AVERAGE((grand[[#This Row],[am]]/25),(grand[[#This Row],[pm]]/50))</f>
        <v>0.99303030303030304</v>
      </c>
      <c r="AB1108" s="3">
        <f>grand[[#This Row],[ carcass weight]]/grand[[#This Row],[total weight]]</f>
        <v>0.62508771929824569</v>
      </c>
      <c r="AC1108" s="18">
        <f>SUM(grand[[#This Row],[am]:[meat transportation]])/100</f>
        <v>0.92803030303030309</v>
      </c>
      <c r="AK1108" s="1"/>
      <c r="AL1108" s="1"/>
    </row>
    <row r="1109" spans="1:38" hidden="1" x14ac:dyDescent="0.2">
      <c r="A1109" s="11">
        <v>45626</v>
      </c>
      <c r="B1109" s="53" t="s">
        <v>2094</v>
      </c>
      <c r="C1109" s="52" t="str">
        <f>IF(MID(B1109,4,2)="09","Ramadan",IF(AND(MID(B1109,4,2)="12",VALUE(LEFT(B1109,2))&lt;=9),"Adha Season","Normal"))</f>
        <v>Normal</v>
      </c>
      <c r="D1109" s="1" t="s">
        <v>45</v>
      </c>
      <c r="E1109" s="1" t="s">
        <v>483</v>
      </c>
      <c r="F1109" s="4" t="s">
        <v>959</v>
      </c>
      <c r="G1109" s="1">
        <v>36</v>
      </c>
      <c r="H1109" s="1">
        <v>36</v>
      </c>
      <c r="I1109" s="1">
        <f>grand[[#This Row],[number]]-grand[[#This Row],[received]]</f>
        <v>0</v>
      </c>
      <c r="J1109" s="30"/>
      <c r="K1109" s="2">
        <v>16156</v>
      </c>
      <c r="L1109" s="2">
        <v>15490</v>
      </c>
      <c r="M1109" s="2">
        <f>K1109-L1109</f>
        <v>666</v>
      </c>
      <c r="N1109" s="2">
        <v>9693.2999999999993</v>
      </c>
      <c r="O1109" s="2">
        <v>288</v>
      </c>
      <c r="P1109" s="7">
        <f>grand[[#This Row],[total weight]]/grand[[#This Row],[received]]</f>
        <v>448.77777777777777</v>
      </c>
      <c r="Q1109" s="7">
        <f>grand[[#This Row],[receiving weight]]/grand[[#This Row],[received]]</f>
        <v>430.27777777777777</v>
      </c>
      <c r="R1109" s="7">
        <f>grand[[#This Row],[transportation loss ]]/grand[[#This Row],[received]]</f>
        <v>18.5</v>
      </c>
      <c r="S1109" s="7">
        <f>grand[[#This Row],[ carcass weight]]/grand[[#This Row],[received]]</f>
        <v>269.25833333333333</v>
      </c>
      <c r="T1109" s="7">
        <f>grand[[#This Row],[ kidneys fat quantity]]/grand[[#This Row],[received]]</f>
        <v>8</v>
      </c>
      <c r="U1109" s="1">
        <v>25</v>
      </c>
      <c r="V1109" s="1">
        <v>0</v>
      </c>
      <c r="W1109" s="1">
        <v>47.416666666666664</v>
      </c>
      <c r="X1109" s="1">
        <v>10</v>
      </c>
      <c r="Y1109" s="1">
        <v>8.5</v>
      </c>
      <c r="Z1109" s="18">
        <f>grand[[#This Row],[av. Transportation loss]]/grand[[#This Row],[av.total weight]]</f>
        <v>4.122307501856895E-2</v>
      </c>
      <c r="AA1109" s="12">
        <f>AVERAGE((grand[[#This Row],[am]]/25),(grand[[#This Row],[pm]]/50))</f>
        <v>0.97416666666666663</v>
      </c>
      <c r="AB1109" s="3">
        <f>grand[[#This Row],[ carcass weight]]/grand[[#This Row],[total weight]]</f>
        <v>0.59998143104728885</v>
      </c>
      <c r="AC1109" s="18">
        <f>SUM(grand[[#This Row],[am]:[meat transportation]])/100</f>
        <v>0.90916666666666657</v>
      </c>
      <c r="AK1109" s="1"/>
      <c r="AL1109" s="1"/>
    </row>
    <row r="1110" spans="1:38" hidden="1" x14ac:dyDescent="0.2">
      <c r="A1110" s="11">
        <v>45627</v>
      </c>
      <c r="B1110" s="53" t="s">
        <v>2095</v>
      </c>
      <c r="C1110" s="52" t="str">
        <f>IF(MID(B1110,4,2)="09","Ramadan",IF(AND(MID(B1110,4,2)="12",VALUE(LEFT(B1110,2))&lt;=9),"Adha Season","Normal"))</f>
        <v>Normal</v>
      </c>
      <c r="D1110" s="1" t="s">
        <v>45</v>
      </c>
      <c r="E1110" s="1" t="s">
        <v>528</v>
      </c>
      <c r="F1110" s="4" t="s">
        <v>280</v>
      </c>
      <c r="G1110" s="1">
        <v>37</v>
      </c>
      <c r="H1110" s="1">
        <v>37</v>
      </c>
      <c r="I1110" s="1">
        <f>grand[[#This Row],[number]]-grand[[#This Row],[received]]</f>
        <v>0</v>
      </c>
      <c r="J1110" s="30"/>
      <c r="K1110" s="2">
        <v>16095</v>
      </c>
      <c r="L1110" s="2">
        <v>16095</v>
      </c>
      <c r="M1110" s="2">
        <f>K1110-L1110</f>
        <v>0</v>
      </c>
      <c r="N1110" s="2">
        <v>9697.2000000000007</v>
      </c>
      <c r="O1110" s="2">
        <v>339</v>
      </c>
      <c r="P1110" s="7">
        <f>grand[[#This Row],[total weight]]/grand[[#This Row],[received]]</f>
        <v>435</v>
      </c>
      <c r="Q1110" s="7">
        <f>grand[[#This Row],[receiving weight]]/grand[[#This Row],[received]]</f>
        <v>435</v>
      </c>
      <c r="R1110" s="7">
        <f>grand[[#This Row],[transportation loss ]]/grand[[#This Row],[received]]</f>
        <v>0</v>
      </c>
      <c r="S1110" s="7">
        <f>grand[[#This Row],[ carcass weight]]/grand[[#This Row],[received]]</f>
        <v>262.08648648648648</v>
      </c>
      <c r="T1110" s="7">
        <f>grand[[#This Row],[ kidneys fat quantity]]/grand[[#This Row],[received]]</f>
        <v>9.1621621621621614</v>
      </c>
      <c r="U1110" s="1">
        <v>25</v>
      </c>
      <c r="V1110" s="1">
        <v>0</v>
      </c>
      <c r="W1110" s="1">
        <v>48.513513513513509</v>
      </c>
      <c r="X1110" s="1">
        <v>10</v>
      </c>
      <c r="Y1110" s="1">
        <v>8.5</v>
      </c>
      <c r="Z1110" s="18">
        <f>grand[[#This Row],[av. Transportation loss]]/grand[[#This Row],[av.total weight]]</f>
        <v>0</v>
      </c>
      <c r="AA1110" s="12">
        <f>AVERAGE((grand[[#This Row],[am]]/25),(grand[[#This Row],[pm]]/50))</f>
        <v>0.98513513513513506</v>
      </c>
      <c r="AB1110" s="3">
        <f>grand[[#This Row],[ carcass weight]]/grand[[#This Row],[total weight]]</f>
        <v>0.602497670083877</v>
      </c>
      <c r="AC1110" s="18">
        <f>SUM(grand[[#This Row],[am]:[meat transportation]])/100</f>
        <v>0.92013513513513512</v>
      </c>
      <c r="AJ1110" s="1">
        <v>9</v>
      </c>
      <c r="AK1110" s="1"/>
      <c r="AL1110" s="1"/>
    </row>
    <row r="1111" spans="1:38" hidden="1" x14ac:dyDescent="0.2">
      <c r="A1111" s="11">
        <v>45627</v>
      </c>
      <c r="B1111" s="53" t="s">
        <v>2095</v>
      </c>
      <c r="C1111" s="52" t="str">
        <f>IF(MID(B1111,4,2)="09","Ramadan",IF(AND(MID(B1111,4,2)="12",VALUE(LEFT(B1111,2))&lt;=9),"Adha Season","Normal"))</f>
        <v>Normal</v>
      </c>
      <c r="D1111" s="1" t="s">
        <v>45</v>
      </c>
      <c r="E1111" s="1" t="s">
        <v>528</v>
      </c>
      <c r="F1111" s="4" t="s">
        <v>462</v>
      </c>
      <c r="G1111" s="1">
        <v>26</v>
      </c>
      <c r="H1111" s="1">
        <v>26</v>
      </c>
      <c r="I1111" s="1">
        <f>grand[[#This Row],[number]]-grand[[#This Row],[received]]</f>
        <v>0</v>
      </c>
      <c r="J1111" s="30"/>
      <c r="K1111" s="2">
        <v>14088.924050632913</v>
      </c>
      <c r="L1111" s="2">
        <v>14088.924050632913</v>
      </c>
      <c r="M1111" s="2">
        <f>K1111-L1111</f>
        <v>0</v>
      </c>
      <c r="N1111" s="2">
        <v>8904.2000000000007</v>
      </c>
      <c r="O1111" s="2">
        <v>0</v>
      </c>
      <c r="P1111" s="7">
        <f>grand[[#This Row],[total weight]]/grand[[#This Row],[received]]</f>
        <v>541.88169425511205</v>
      </c>
      <c r="Q1111" s="7">
        <f>grand[[#This Row],[receiving weight]]/grand[[#This Row],[received]]</f>
        <v>541.88169425511205</v>
      </c>
      <c r="R1111" s="7">
        <f>grand[[#This Row],[transportation loss ]]/grand[[#This Row],[received]]</f>
        <v>0</v>
      </c>
      <c r="S1111" s="7">
        <f>grand[[#This Row],[ carcass weight]]/grand[[#This Row],[received]]</f>
        <v>342.46923076923082</v>
      </c>
      <c r="T1111" s="7">
        <f>grand[[#This Row],[ kidneys fat quantity]]/grand[[#This Row],[received]]</f>
        <v>0</v>
      </c>
      <c r="U1111" s="1">
        <v>25</v>
      </c>
      <c r="V1111" s="1">
        <v>4</v>
      </c>
      <c r="W1111" s="1">
        <v>50</v>
      </c>
      <c r="X1111" s="1">
        <v>10</v>
      </c>
      <c r="Y1111" s="1">
        <v>8.5</v>
      </c>
      <c r="Z1111" s="18">
        <f>grand[[#This Row],[av. Transportation loss]]/grand[[#This Row],[av.total weight]]</f>
        <v>0</v>
      </c>
      <c r="AA1111" s="12">
        <f>AVERAGE((grand[[#This Row],[am]]/25),(grand[[#This Row],[pm]]/50))</f>
        <v>1</v>
      </c>
      <c r="AB1111" s="3">
        <f>grand[[#This Row],[ carcass weight]]/grand[[#This Row],[total weight]]</f>
        <v>0.63200000000000001</v>
      </c>
      <c r="AC1111" s="18">
        <f>SUM(grand[[#This Row],[am]:[meat transportation]])/100</f>
        <v>0.97499999999999998</v>
      </c>
      <c r="AK1111" s="1"/>
      <c r="AL1111" s="1"/>
    </row>
    <row r="1112" spans="1:38" hidden="1" x14ac:dyDescent="0.2">
      <c r="A1112" s="11">
        <v>45631</v>
      </c>
      <c r="B1112" s="53" t="s">
        <v>2098</v>
      </c>
      <c r="C1112" s="52" t="str">
        <f>IF(MID(B1112,4,2)="09","Ramadan",IF(AND(MID(B1112,4,2)="12",VALUE(LEFT(B1112,2))&lt;=9),"Adha Season","Normal"))</f>
        <v>Normal</v>
      </c>
      <c r="D1112" s="2" t="s">
        <v>294</v>
      </c>
      <c r="F1112" s="4" t="s">
        <v>280</v>
      </c>
      <c r="G1112" s="1">
        <v>37</v>
      </c>
      <c r="H1112" s="1">
        <v>37</v>
      </c>
      <c r="I1112" s="1">
        <f>grand[[#This Row],[number]]-grand[[#This Row],[received]]</f>
        <v>0</v>
      </c>
      <c r="J1112" s="30"/>
      <c r="K1112" s="2">
        <v>1871</v>
      </c>
      <c r="L1112" s="2">
        <v>1871</v>
      </c>
      <c r="M1112" s="2">
        <f>K1112-L1112</f>
        <v>0</v>
      </c>
      <c r="N1112" s="2">
        <v>1055.0999999999999</v>
      </c>
      <c r="O1112" s="2">
        <v>0</v>
      </c>
      <c r="P1112" s="7">
        <f>grand[[#This Row],[total weight]]/grand[[#This Row],[received]]</f>
        <v>50.567567567567565</v>
      </c>
      <c r="Q1112" s="7">
        <f>grand[[#This Row],[receiving weight]]/grand[[#This Row],[received]]</f>
        <v>50.567567567567565</v>
      </c>
      <c r="R1112" s="7">
        <f>grand[[#This Row],[transportation loss ]]/grand[[#This Row],[received]]</f>
        <v>0</v>
      </c>
      <c r="S1112" s="7">
        <f>grand[[#This Row],[ carcass weight]]/grand[[#This Row],[received]]</f>
        <v>28.516216216216215</v>
      </c>
      <c r="T1112" s="7">
        <f>grand[[#This Row],[ kidneys fat quantity]]/grand[[#This Row],[received]]</f>
        <v>0</v>
      </c>
      <c r="U1112" s="1">
        <v>25</v>
      </c>
      <c r="V1112" s="1">
        <v>0</v>
      </c>
      <c r="W1112" s="1">
        <v>48.891891891891888</v>
      </c>
      <c r="X1112" s="1">
        <v>10</v>
      </c>
      <c r="Y1112" s="1">
        <v>8.5</v>
      </c>
      <c r="Z1112" s="18">
        <f>grand[[#This Row],[av. Transportation loss]]/grand[[#This Row],[av.total weight]]</f>
        <v>0</v>
      </c>
      <c r="AA1112" s="12">
        <f>AVERAGE((grand[[#This Row],[am]]/25),(grand[[#This Row],[pm]]/50))</f>
        <v>0.98891891891891892</v>
      </c>
      <c r="AB1112" s="3">
        <f>grand[[#This Row],[ carcass weight]]/grand[[#This Row],[total weight]]</f>
        <v>0.56392303580972736</v>
      </c>
      <c r="AC1112" s="18">
        <f>SUM(grand[[#This Row],[am]:[meat transportation]])/100</f>
        <v>0.92391891891891886</v>
      </c>
      <c r="AK1112" s="1"/>
      <c r="AL1112" s="1"/>
    </row>
    <row r="1113" spans="1:38" hidden="1" x14ac:dyDescent="0.2">
      <c r="A1113" s="11">
        <v>45634</v>
      </c>
      <c r="B1113" s="53" t="s">
        <v>2100</v>
      </c>
      <c r="C1113" s="52" t="str">
        <f>IF(MID(B1113,4,2)="09","Ramadan",IF(AND(MID(B1113,4,2)="12",VALUE(LEFT(B1113,2))&lt;=9),"Adha Season","Normal"))</f>
        <v>Normal</v>
      </c>
      <c r="D1113" s="2" t="s">
        <v>294</v>
      </c>
      <c r="F1113" s="4" t="s">
        <v>280</v>
      </c>
      <c r="G1113" s="1">
        <v>27</v>
      </c>
      <c r="H1113" s="1">
        <v>27</v>
      </c>
      <c r="I1113" s="1">
        <f>grand[[#This Row],[number]]-grand[[#This Row],[received]]</f>
        <v>0</v>
      </c>
      <c r="J1113" s="30"/>
      <c r="K1113" s="2">
        <v>1376</v>
      </c>
      <c r="L1113" s="2">
        <v>1352</v>
      </c>
      <c r="M1113" s="2">
        <f>K1113-L1113</f>
        <v>24</v>
      </c>
      <c r="N1113" s="2">
        <v>801</v>
      </c>
      <c r="O1113" s="2">
        <v>0.58209999999999995</v>
      </c>
      <c r="P1113" s="7">
        <f>grand[[#This Row],[total weight]]/grand[[#This Row],[received]]</f>
        <v>50.962962962962962</v>
      </c>
      <c r="Q1113" s="7">
        <f>grand[[#This Row],[receiving weight]]/grand[[#This Row],[received]]</f>
        <v>50.074074074074076</v>
      </c>
      <c r="R1113" s="7">
        <f>grand[[#This Row],[transportation loss ]]/grand[[#This Row],[received]]</f>
        <v>0.88888888888888884</v>
      </c>
      <c r="S1113" s="7">
        <f>grand[[#This Row],[ carcass weight]]/grand[[#This Row],[received]]</f>
        <v>29.666666666666668</v>
      </c>
      <c r="T1113" s="7">
        <f>grand[[#This Row],[ kidneys fat quantity]]/grand[[#This Row],[received]]</f>
        <v>2.1559259259259257E-2</v>
      </c>
      <c r="U1113" s="1">
        <v>25</v>
      </c>
      <c r="V1113" s="1">
        <v>0</v>
      </c>
      <c r="W1113" s="1">
        <v>48.777777777777779</v>
      </c>
      <c r="X1113" s="1">
        <v>10</v>
      </c>
      <c r="Y1113" s="1">
        <v>8.5</v>
      </c>
      <c r="Z1113" s="18">
        <f>grand[[#This Row],[av. Transportation loss]]/grand[[#This Row],[av.total weight]]</f>
        <v>1.7441860465116279E-2</v>
      </c>
      <c r="AA1113" s="12">
        <f>AVERAGE((grand[[#This Row],[am]]/25),(grand[[#This Row],[pm]]/50))</f>
        <v>0.98777777777777787</v>
      </c>
      <c r="AB1113" s="3">
        <f>grand[[#This Row],[ carcass weight]]/grand[[#This Row],[total weight]]</f>
        <v>0.58212209302325579</v>
      </c>
      <c r="AC1113" s="18">
        <f>SUM(grand[[#This Row],[am]:[meat transportation]])/100</f>
        <v>0.9227777777777777</v>
      </c>
      <c r="AK1113" s="1"/>
      <c r="AL1113" s="1"/>
    </row>
    <row r="1114" spans="1:38" hidden="1" x14ac:dyDescent="0.2">
      <c r="A1114" s="11">
        <v>45634</v>
      </c>
      <c r="B1114" s="53" t="s">
        <v>2100</v>
      </c>
      <c r="C1114" s="52" t="str">
        <f>IF(MID(B1114,4,2)="09","Ramadan",IF(AND(MID(B1114,4,2)="12",VALUE(LEFT(B1114,2))&lt;=9),"Adha Season","Normal"))</f>
        <v>Normal</v>
      </c>
      <c r="D1114" s="1" t="s">
        <v>45</v>
      </c>
      <c r="E1114" s="1" t="s">
        <v>483</v>
      </c>
      <c r="F1114" s="4" t="s">
        <v>280</v>
      </c>
      <c r="G1114" s="1">
        <v>35</v>
      </c>
      <c r="H1114" s="1">
        <v>35</v>
      </c>
      <c r="I1114" s="1">
        <f>grand[[#This Row],[number]]-grand[[#This Row],[received]]</f>
        <v>0</v>
      </c>
      <c r="J1114" s="30"/>
      <c r="K1114" s="2">
        <v>15774</v>
      </c>
      <c r="L1114" s="2">
        <v>15774</v>
      </c>
      <c r="M1114" s="2">
        <f>K1114-L1114</f>
        <v>0</v>
      </c>
      <c r="N1114" s="2">
        <v>9527.7999999999993</v>
      </c>
      <c r="O1114" s="2">
        <v>352</v>
      </c>
      <c r="P1114" s="7">
        <f>grand[[#This Row],[total weight]]/grand[[#This Row],[received]]</f>
        <v>450.68571428571431</v>
      </c>
      <c r="Q1114" s="7">
        <f>grand[[#This Row],[receiving weight]]/grand[[#This Row],[received]]</f>
        <v>450.68571428571431</v>
      </c>
      <c r="R1114" s="7">
        <f>grand[[#This Row],[transportation loss ]]/grand[[#This Row],[received]]</f>
        <v>0</v>
      </c>
      <c r="S1114" s="7">
        <f>grand[[#This Row],[ carcass weight]]/grand[[#This Row],[received]]</f>
        <v>272.22285714285709</v>
      </c>
      <c r="T1114" s="7">
        <f>grand[[#This Row],[ kidneys fat quantity]]/grand[[#This Row],[received]]</f>
        <v>10.057142857142857</v>
      </c>
      <c r="U1114" s="1">
        <v>25</v>
      </c>
      <c r="V1114" s="1">
        <v>0</v>
      </c>
      <c r="W1114" s="1">
        <v>49.071428571428569</v>
      </c>
      <c r="X1114" s="1">
        <v>10</v>
      </c>
      <c r="Y1114" s="1">
        <v>8.5</v>
      </c>
      <c r="Z1114" s="18">
        <f>grand[[#This Row],[av. Transportation loss]]/grand[[#This Row],[av.total weight]]</f>
        <v>0</v>
      </c>
      <c r="AA1114" s="12">
        <f>AVERAGE((grand[[#This Row],[am]]/25),(grand[[#This Row],[pm]]/50))</f>
        <v>0.99071428571428566</v>
      </c>
      <c r="AB1114" s="3">
        <f>grand[[#This Row],[ carcass weight]]/grand[[#This Row],[total weight]]</f>
        <v>0.60401927222010898</v>
      </c>
      <c r="AC1114" s="18">
        <f>SUM(grand[[#This Row],[am]:[meat transportation]])/100</f>
        <v>0.92571428571428571</v>
      </c>
      <c r="AJ1114" s="1">
        <v>13</v>
      </c>
      <c r="AK1114" s="1"/>
      <c r="AL1114" s="1"/>
    </row>
    <row r="1115" spans="1:38" hidden="1" x14ac:dyDescent="0.2">
      <c r="A1115" s="11">
        <v>45634</v>
      </c>
      <c r="B1115" s="53" t="s">
        <v>2100</v>
      </c>
      <c r="C1115" s="52" t="str">
        <f>IF(MID(B1115,4,2)="09","Ramadan",IF(AND(MID(B1115,4,2)="12",VALUE(LEFT(B1115,2))&lt;=9),"Adha Season","Normal"))</f>
        <v>Normal</v>
      </c>
      <c r="D1115" s="1" t="s">
        <v>45</v>
      </c>
      <c r="E1115" s="1" t="s">
        <v>483</v>
      </c>
      <c r="F1115" s="4" t="s">
        <v>576</v>
      </c>
      <c r="G1115" s="1">
        <v>31</v>
      </c>
      <c r="H1115" s="1">
        <v>31</v>
      </c>
      <c r="I1115" s="1">
        <f>grand[[#This Row],[number]]-grand[[#This Row],[received]]</f>
        <v>0</v>
      </c>
      <c r="J1115" s="30"/>
      <c r="K1115" s="2">
        <v>15375</v>
      </c>
      <c r="L1115" s="2">
        <v>15375</v>
      </c>
      <c r="M1115" s="2">
        <f>K1115-L1115</f>
        <v>0</v>
      </c>
      <c r="N1115" s="2">
        <v>9565.9</v>
      </c>
      <c r="O1115" s="2">
        <v>268</v>
      </c>
      <c r="P1115" s="7">
        <f>grand[[#This Row],[total weight]]/grand[[#This Row],[received]]</f>
        <v>495.96774193548384</v>
      </c>
      <c r="Q1115" s="7">
        <f>grand[[#This Row],[receiving weight]]/grand[[#This Row],[received]]</f>
        <v>495.96774193548384</v>
      </c>
      <c r="R1115" s="7">
        <f>grand[[#This Row],[transportation loss ]]/grand[[#This Row],[received]]</f>
        <v>0</v>
      </c>
      <c r="S1115" s="7">
        <f>grand[[#This Row],[ carcass weight]]/grand[[#This Row],[received]]</f>
        <v>308.5774193548387</v>
      </c>
      <c r="T1115" s="7">
        <f>grand[[#This Row],[ kidneys fat quantity]]/grand[[#This Row],[received]]</f>
        <v>8.6451612903225801</v>
      </c>
      <c r="U1115" s="1">
        <v>25</v>
      </c>
      <c r="V1115" s="1">
        <v>0</v>
      </c>
      <c r="W1115" s="1">
        <v>49.435483870967737</v>
      </c>
      <c r="X1115" s="1">
        <v>10</v>
      </c>
      <c r="Y1115" s="1">
        <v>8.5</v>
      </c>
      <c r="Z1115" s="18">
        <f>grand[[#This Row],[av. Transportation loss]]/grand[[#This Row],[av.total weight]]</f>
        <v>0</v>
      </c>
      <c r="AA1115" s="12">
        <f>AVERAGE((grand[[#This Row],[am]]/25),(grand[[#This Row],[pm]]/50))</f>
        <v>0.99435483870967745</v>
      </c>
      <c r="AB1115" s="3">
        <f>grand[[#This Row],[ carcass weight]]/grand[[#This Row],[total weight]]</f>
        <v>0.62217235772357726</v>
      </c>
      <c r="AC1115" s="18">
        <f>SUM(grand[[#This Row],[am]:[meat transportation]])/100</f>
        <v>0.92935483870967739</v>
      </c>
      <c r="AJ1115" s="1">
        <v>6</v>
      </c>
      <c r="AK1115" s="1"/>
      <c r="AL1115" s="1"/>
    </row>
    <row r="1116" spans="1:38" hidden="1" x14ac:dyDescent="0.2">
      <c r="A1116" s="11">
        <v>45636</v>
      </c>
      <c r="B1116" s="53" t="s">
        <v>2102</v>
      </c>
      <c r="C1116" s="52" t="str">
        <f>IF(MID(B1116,4,2)="09","Ramadan",IF(AND(MID(B1116,4,2)="12",VALUE(LEFT(B1116,2))&lt;=9),"Adha Season","Normal"))</f>
        <v>Normal</v>
      </c>
      <c r="D1116" s="1" t="s">
        <v>45</v>
      </c>
      <c r="E1116" s="1" t="s">
        <v>483</v>
      </c>
      <c r="F1116" s="4" t="s">
        <v>280</v>
      </c>
      <c r="G1116" s="1">
        <v>36</v>
      </c>
      <c r="H1116" s="1">
        <v>36</v>
      </c>
      <c r="I1116" s="1">
        <f>grand[[#This Row],[number]]-grand[[#This Row],[received]]</f>
        <v>0</v>
      </c>
      <c r="J1116" s="30"/>
      <c r="K1116" s="2">
        <v>17435</v>
      </c>
      <c r="L1116" s="2">
        <v>17435</v>
      </c>
      <c r="M1116" s="2">
        <f>K1116-L1116</f>
        <v>0</v>
      </c>
      <c r="N1116" s="2">
        <v>10532</v>
      </c>
      <c r="O1116" s="2">
        <v>330</v>
      </c>
      <c r="P1116" s="7">
        <f>grand[[#This Row],[total weight]]/grand[[#This Row],[received]]</f>
        <v>484.30555555555554</v>
      </c>
      <c r="Q1116" s="7">
        <f>grand[[#This Row],[receiving weight]]/grand[[#This Row],[received]]</f>
        <v>484.30555555555554</v>
      </c>
      <c r="R1116" s="7">
        <f>grand[[#This Row],[transportation loss ]]/grand[[#This Row],[received]]</f>
        <v>0</v>
      </c>
      <c r="S1116" s="7">
        <f>grand[[#This Row],[ carcass weight]]/grand[[#This Row],[received]]</f>
        <v>292.55555555555554</v>
      </c>
      <c r="T1116" s="7">
        <f>grand[[#This Row],[ kidneys fat quantity]]/grand[[#This Row],[received]]</f>
        <v>9.1666666666666661</v>
      </c>
      <c r="U1116" s="1">
        <v>25</v>
      </c>
      <c r="V1116" s="1">
        <v>0</v>
      </c>
      <c r="W1116" s="1">
        <v>48.666666666666664</v>
      </c>
      <c r="X1116" s="1">
        <v>10</v>
      </c>
      <c r="Y1116" s="1">
        <v>8.5</v>
      </c>
      <c r="Z1116" s="18">
        <f>grand[[#This Row],[av. Transportation loss]]/grand[[#This Row],[av.total weight]]</f>
        <v>0</v>
      </c>
      <c r="AA1116" s="12">
        <f>AVERAGE((grand[[#This Row],[am]]/25),(grand[[#This Row],[pm]]/50))</f>
        <v>0.98666666666666658</v>
      </c>
      <c r="AB1116" s="3">
        <f>grand[[#This Row],[ carcass weight]]/grand[[#This Row],[total weight]]</f>
        <v>0.60407226842558071</v>
      </c>
      <c r="AC1116" s="18">
        <f>SUM(grand[[#This Row],[am]:[meat transportation]])/100</f>
        <v>0.92166666666666652</v>
      </c>
      <c r="AJ1116" s="1">
        <v>2</v>
      </c>
      <c r="AK1116" s="1"/>
      <c r="AL1116" s="1"/>
    </row>
    <row r="1117" spans="1:38" hidden="1" x14ac:dyDescent="0.2">
      <c r="A1117" s="11">
        <v>45638</v>
      </c>
      <c r="B1117" s="53" t="s">
        <v>2103</v>
      </c>
      <c r="C1117" s="52" t="str">
        <f>IF(MID(B1117,4,2)="09","Ramadan",IF(AND(MID(B1117,4,2)="12",VALUE(LEFT(B1117,2))&lt;=9),"Adha Season","Normal"))</f>
        <v>Normal</v>
      </c>
      <c r="D1117" s="2" t="s">
        <v>294</v>
      </c>
      <c r="F1117" s="4" t="s">
        <v>280</v>
      </c>
      <c r="G1117" s="1">
        <v>37</v>
      </c>
      <c r="H1117" s="1">
        <v>37</v>
      </c>
      <c r="I1117" s="1">
        <f>grand[[#This Row],[number]]-grand[[#This Row],[received]]</f>
        <v>0</v>
      </c>
      <c r="J1117" s="30"/>
      <c r="K1117" s="2">
        <v>1947</v>
      </c>
      <c r="L1117" s="2">
        <v>1940</v>
      </c>
      <c r="M1117" s="2">
        <f>K1117-L1117</f>
        <v>7</v>
      </c>
      <c r="N1117" s="2">
        <v>1079.0999999999999</v>
      </c>
      <c r="O1117" s="2">
        <v>0</v>
      </c>
      <c r="P1117" s="7">
        <f>grand[[#This Row],[total weight]]/grand[[#This Row],[received]]</f>
        <v>52.621621621621621</v>
      </c>
      <c r="Q1117" s="7">
        <f>grand[[#This Row],[receiving weight]]/grand[[#This Row],[received]]</f>
        <v>52.432432432432435</v>
      </c>
      <c r="R1117" s="7">
        <f>grand[[#This Row],[transportation loss ]]/grand[[#This Row],[received]]</f>
        <v>0.1891891891891892</v>
      </c>
      <c r="S1117" s="7">
        <f>grand[[#This Row],[ carcass weight]]/grand[[#This Row],[received]]</f>
        <v>29.164864864864864</v>
      </c>
      <c r="T1117" s="7">
        <f>grand[[#This Row],[ kidneys fat quantity]]/grand[[#This Row],[received]]</f>
        <v>0</v>
      </c>
      <c r="U1117" s="1">
        <v>25</v>
      </c>
      <c r="V1117" s="1">
        <v>0</v>
      </c>
      <c r="W1117" s="1">
        <v>48.891891891891895</v>
      </c>
      <c r="X1117" s="1">
        <v>10</v>
      </c>
      <c r="Y1117" s="1">
        <v>8.5</v>
      </c>
      <c r="Z1117" s="18">
        <f>grand[[#This Row],[av. Transportation loss]]/grand[[#This Row],[av.total weight]]</f>
        <v>3.59527478171546E-3</v>
      </c>
      <c r="AA1117" s="12">
        <f>AVERAGE((grand[[#This Row],[am]]/25),(grand[[#This Row],[pm]]/50))</f>
        <v>0.98891891891891892</v>
      </c>
      <c r="AB1117" s="3">
        <f>grand[[#This Row],[ carcass weight]]/grand[[#This Row],[total weight]]</f>
        <v>0.55423728813559314</v>
      </c>
      <c r="AC1117" s="18">
        <f>SUM(grand[[#This Row],[am]:[meat transportation]])/100</f>
        <v>0.92391891891891897</v>
      </c>
      <c r="AK1117" s="1"/>
      <c r="AL1117" s="1"/>
    </row>
    <row r="1118" spans="1:38" hidden="1" x14ac:dyDescent="0.2">
      <c r="A1118" s="11">
        <v>45638</v>
      </c>
      <c r="B1118" s="53" t="s">
        <v>2103</v>
      </c>
      <c r="C1118" s="52" t="str">
        <f>IF(MID(B1118,4,2)="09","Ramadan",IF(AND(MID(B1118,4,2)="12",VALUE(LEFT(B1118,2))&lt;=9),"Adha Season","Normal"))</f>
        <v>Normal</v>
      </c>
      <c r="D1118" s="1" t="s">
        <v>45</v>
      </c>
      <c r="E1118" s="1" t="s">
        <v>483</v>
      </c>
      <c r="F1118" s="4" t="s">
        <v>43</v>
      </c>
      <c r="G1118" s="1">
        <v>46</v>
      </c>
      <c r="H1118" s="1">
        <v>46</v>
      </c>
      <c r="I1118" s="1">
        <f>grand[[#This Row],[number]]-grand[[#This Row],[received]]</f>
        <v>0</v>
      </c>
      <c r="J1118" s="30"/>
      <c r="K1118" s="2">
        <v>21758</v>
      </c>
      <c r="L1118" s="2">
        <v>21758</v>
      </c>
      <c r="M1118" s="2">
        <f>K1118-L1118</f>
        <v>0</v>
      </c>
      <c r="N1118" s="2">
        <v>13065.107407407408</v>
      </c>
      <c r="O1118" s="2">
        <v>408.88888888888891</v>
      </c>
      <c r="P1118" s="7">
        <f>grand[[#This Row],[total weight]]/grand[[#This Row],[received]]</f>
        <v>473</v>
      </c>
      <c r="Q1118" s="7">
        <f>grand[[#This Row],[receiving weight]]/grand[[#This Row],[received]]</f>
        <v>473</v>
      </c>
      <c r="R1118" s="7">
        <f>grand[[#This Row],[transportation loss ]]/grand[[#This Row],[received]]</f>
        <v>0</v>
      </c>
      <c r="S1118" s="7">
        <f>grand[[#This Row],[ carcass weight]]/grand[[#This Row],[received]]</f>
        <v>284.02407407407406</v>
      </c>
      <c r="T1118" s="7">
        <f>grand[[#This Row],[ kidneys fat quantity]]/grand[[#This Row],[received]]</f>
        <v>8.8888888888888893</v>
      </c>
      <c r="U1118" s="1">
        <v>25</v>
      </c>
      <c r="V1118" s="1">
        <v>0</v>
      </c>
      <c r="W1118" s="1">
        <v>48.5</v>
      </c>
      <c r="X1118" s="1">
        <v>10</v>
      </c>
      <c r="Y1118" s="1">
        <v>8.5</v>
      </c>
      <c r="Z1118" s="18">
        <f>grand[[#This Row],[av. Transportation loss]]/grand[[#This Row],[av.total weight]]</f>
        <v>0</v>
      </c>
      <c r="AA1118" s="12">
        <f>AVERAGE((grand[[#This Row],[am]]/25),(grand[[#This Row],[pm]]/50))</f>
        <v>0.98499999999999999</v>
      </c>
      <c r="AB1118" s="3">
        <f>grand[[#This Row],[ carcass weight]]/grand[[#This Row],[total weight]]</f>
        <v>0.60047372954349698</v>
      </c>
      <c r="AC1118" s="18">
        <f>SUM(grand[[#This Row],[am]:[meat transportation]])/100</f>
        <v>0.92</v>
      </c>
      <c r="AK1118" s="1"/>
      <c r="AL1118" s="1"/>
    </row>
    <row r="1119" spans="1:38" hidden="1" x14ac:dyDescent="0.2">
      <c r="A1119" s="11">
        <v>45640</v>
      </c>
      <c r="B1119" s="53" t="s">
        <v>2104</v>
      </c>
      <c r="C1119" s="52" t="str">
        <f>IF(MID(B1119,4,2)="09","Ramadan",IF(AND(MID(B1119,4,2)="12",VALUE(LEFT(B1119,2))&lt;=9),"Adha Season","Normal"))</f>
        <v>Normal</v>
      </c>
      <c r="D1119" s="1" t="s">
        <v>45</v>
      </c>
      <c r="E1119" s="1" t="s">
        <v>483</v>
      </c>
      <c r="F1119" s="4" t="s">
        <v>959</v>
      </c>
      <c r="G1119" s="1">
        <v>36</v>
      </c>
      <c r="H1119" s="1">
        <v>36</v>
      </c>
      <c r="I1119" s="1">
        <f>grand[[#This Row],[number]]-grand[[#This Row],[received]]</f>
        <v>0</v>
      </c>
      <c r="J1119" s="30"/>
      <c r="K1119" s="2">
        <v>15127</v>
      </c>
      <c r="L1119" s="2">
        <v>14450</v>
      </c>
      <c r="M1119" s="2">
        <f>K1119-L1119</f>
        <v>677</v>
      </c>
      <c r="N1119" s="2">
        <v>9076.4</v>
      </c>
      <c r="O1119" s="2">
        <v>272</v>
      </c>
      <c r="P1119" s="7">
        <f>grand[[#This Row],[total weight]]/grand[[#This Row],[received]]</f>
        <v>420.19444444444446</v>
      </c>
      <c r="Q1119" s="7">
        <f>grand[[#This Row],[receiving weight]]/grand[[#This Row],[received]]</f>
        <v>401.38888888888891</v>
      </c>
      <c r="R1119" s="7">
        <f>grand[[#This Row],[transportation loss ]]/grand[[#This Row],[received]]</f>
        <v>18.805555555555557</v>
      </c>
      <c r="S1119" s="7">
        <f>grand[[#This Row],[ carcass weight]]/grand[[#This Row],[received]]</f>
        <v>252.12222222222221</v>
      </c>
      <c r="T1119" s="7">
        <f>grand[[#This Row],[ kidneys fat quantity]]/grand[[#This Row],[received]]</f>
        <v>7.5555555555555554</v>
      </c>
      <c r="U1119" s="1">
        <v>22.222222222222221</v>
      </c>
      <c r="V1119" s="1">
        <v>0</v>
      </c>
      <c r="W1119" s="1">
        <v>45.027777777777771</v>
      </c>
      <c r="X1119" s="1">
        <v>10</v>
      </c>
      <c r="Y1119" s="1">
        <v>8.5</v>
      </c>
      <c r="Z1119" s="18">
        <f>grand[[#This Row],[av. Transportation loss]]/grand[[#This Row],[av.total weight]]</f>
        <v>4.4754412639650958E-2</v>
      </c>
      <c r="AA1119" s="12">
        <f>AVERAGE((grand[[#This Row],[am]]/25),(grand[[#This Row],[pm]]/50))</f>
        <v>0.8947222222222222</v>
      </c>
      <c r="AB1119" s="3">
        <f>grand[[#This Row],[ carcass weight]]/grand[[#This Row],[total weight]]</f>
        <v>0.60001322139221258</v>
      </c>
      <c r="AC1119" s="18">
        <f>SUM(grand[[#This Row],[am]:[meat transportation]])/100</f>
        <v>0.85750000000000004</v>
      </c>
      <c r="AK1119" s="1"/>
      <c r="AL1119" s="1"/>
    </row>
    <row r="1120" spans="1:38" hidden="1" x14ac:dyDescent="0.2">
      <c r="A1120" s="11">
        <v>45641</v>
      </c>
      <c r="B1120" s="53" t="s">
        <v>2105</v>
      </c>
      <c r="C1120" s="52" t="str">
        <f>IF(MID(B1120,4,2)="09","Ramadan",IF(AND(MID(B1120,4,2)="12",VALUE(LEFT(B1120,2))&lt;=9),"Adha Season","Normal"))</f>
        <v>Normal</v>
      </c>
      <c r="D1120" s="2" t="s">
        <v>294</v>
      </c>
      <c r="F1120" s="4" t="s">
        <v>280</v>
      </c>
      <c r="G1120" s="1">
        <v>29</v>
      </c>
      <c r="H1120" s="1">
        <v>29</v>
      </c>
      <c r="I1120" s="1">
        <f>grand[[#This Row],[number]]-grand[[#This Row],[received]]</f>
        <v>0</v>
      </c>
      <c r="J1120" s="30"/>
      <c r="K1120" s="2">
        <v>1459</v>
      </c>
      <c r="L1120" s="2">
        <v>1440</v>
      </c>
      <c r="M1120" s="2">
        <f>K1120-L1120</f>
        <v>19</v>
      </c>
      <c r="N1120" s="2">
        <v>850.8</v>
      </c>
      <c r="O1120" s="2">
        <v>0</v>
      </c>
      <c r="P1120" s="7">
        <f>grand[[#This Row],[total weight]]/grand[[#This Row],[received]]</f>
        <v>50.310344827586206</v>
      </c>
      <c r="Q1120" s="7">
        <f>grand[[#This Row],[receiving weight]]/grand[[#This Row],[received]]</f>
        <v>49.655172413793103</v>
      </c>
      <c r="R1120" s="7">
        <f>grand[[#This Row],[transportation loss ]]/grand[[#This Row],[received]]</f>
        <v>0.65517241379310343</v>
      </c>
      <c r="S1120" s="7">
        <f>grand[[#This Row],[ carcass weight]]/grand[[#This Row],[received]]</f>
        <v>29.337931034482757</v>
      </c>
      <c r="T1120" s="7">
        <f>grand[[#This Row],[ kidneys fat quantity]]/grand[[#This Row],[received]]</f>
        <v>0</v>
      </c>
      <c r="U1120" s="1">
        <v>25</v>
      </c>
      <c r="V1120" s="1">
        <v>0</v>
      </c>
      <c r="W1120" s="1">
        <v>47.241379310344826</v>
      </c>
      <c r="X1120" s="1">
        <v>10</v>
      </c>
      <c r="Y1120" s="1">
        <v>8.5</v>
      </c>
      <c r="Z1120" s="18">
        <f>grand[[#This Row],[av. Transportation loss]]/grand[[#This Row],[av.total weight]]</f>
        <v>1.3022618231665523E-2</v>
      </c>
      <c r="AA1120" s="12">
        <f>AVERAGE((grand[[#This Row],[am]]/25),(grand[[#This Row],[pm]]/50))</f>
        <v>0.97241379310344822</v>
      </c>
      <c r="AB1120" s="3">
        <f>grand[[#This Row],[ carcass weight]]/grand[[#This Row],[total weight]]</f>
        <v>0.58313913639479087</v>
      </c>
      <c r="AC1120" s="18">
        <f>SUM(grand[[#This Row],[am]:[meat transportation]])/100</f>
        <v>0.90741379310344827</v>
      </c>
      <c r="AK1120" s="1"/>
      <c r="AL1120" s="1"/>
    </row>
    <row r="1121" spans="1:38" hidden="1" x14ac:dyDescent="0.2">
      <c r="A1121" s="11">
        <v>45641</v>
      </c>
      <c r="B1121" s="53" t="s">
        <v>2105</v>
      </c>
      <c r="C1121" s="52" t="str">
        <f>IF(MID(B1121,4,2)="09","Ramadan",IF(AND(MID(B1121,4,2)="12",VALUE(LEFT(B1121,2))&lt;=9),"Adha Season","Normal"))</f>
        <v>Normal</v>
      </c>
      <c r="D1121" s="1" t="s">
        <v>45</v>
      </c>
      <c r="E1121" s="1" t="s">
        <v>483</v>
      </c>
      <c r="F1121" s="4" t="s">
        <v>280</v>
      </c>
      <c r="G1121" s="1">
        <v>50</v>
      </c>
      <c r="H1121" s="1">
        <v>50</v>
      </c>
      <c r="I1121" s="1">
        <f>grand[[#This Row],[number]]-grand[[#This Row],[received]]</f>
        <v>0</v>
      </c>
      <c r="J1121" s="30"/>
      <c r="K1121" s="2">
        <v>21900</v>
      </c>
      <c r="L1121" s="2">
        <v>20820</v>
      </c>
      <c r="M1121" s="2">
        <f>K1121-L1121</f>
        <v>1080</v>
      </c>
      <c r="N1121" s="2">
        <v>13161.4</v>
      </c>
      <c r="O1121" s="2">
        <v>409</v>
      </c>
      <c r="P1121" s="7">
        <f>grand[[#This Row],[total weight]]/grand[[#This Row],[received]]</f>
        <v>438</v>
      </c>
      <c r="Q1121" s="7">
        <f>grand[[#This Row],[receiving weight]]/grand[[#This Row],[received]]</f>
        <v>416.4</v>
      </c>
      <c r="R1121" s="7">
        <f>grand[[#This Row],[transportation loss ]]/grand[[#This Row],[received]]</f>
        <v>21.6</v>
      </c>
      <c r="S1121" s="7">
        <f>grand[[#This Row],[ carcass weight]]/grand[[#This Row],[received]]</f>
        <v>263.22800000000001</v>
      </c>
      <c r="T1121" s="7">
        <f>grand[[#This Row],[ kidneys fat quantity]]/grand[[#This Row],[received]]</f>
        <v>8.18</v>
      </c>
      <c r="U1121" s="1">
        <v>25</v>
      </c>
      <c r="V1121" s="1">
        <v>0</v>
      </c>
      <c r="W1121" s="1">
        <v>48.34</v>
      </c>
      <c r="X1121" s="1">
        <v>10</v>
      </c>
      <c r="Y1121" s="1">
        <v>8.5</v>
      </c>
      <c r="Z1121" s="18">
        <f>grand[[#This Row],[av. Transportation loss]]/grand[[#This Row],[av.total weight]]</f>
        <v>4.9315068493150691E-2</v>
      </c>
      <c r="AA1121" s="12">
        <f>AVERAGE((grand[[#This Row],[am]]/25),(grand[[#This Row],[pm]]/50))</f>
        <v>0.98340000000000005</v>
      </c>
      <c r="AB1121" s="3">
        <f>grand[[#This Row],[ carcass weight]]/grand[[#This Row],[total weight]]</f>
        <v>0.60097716894977171</v>
      </c>
      <c r="AC1121" s="18">
        <f>SUM(grand[[#This Row],[am]:[meat transportation]])/100</f>
        <v>0.91839999999999999</v>
      </c>
      <c r="AJ1121" s="1">
        <v>3</v>
      </c>
      <c r="AK1121" s="1"/>
      <c r="AL1121" s="1"/>
    </row>
    <row r="1122" spans="1:38" hidden="1" x14ac:dyDescent="0.2">
      <c r="A1122" s="11">
        <v>45642</v>
      </c>
      <c r="B1122" s="53" t="s">
        <v>2106</v>
      </c>
      <c r="C1122" s="52" t="str">
        <f>IF(MID(B1122,4,2)="09","Ramadan",IF(AND(MID(B1122,4,2)="12",VALUE(LEFT(B1122,2))&lt;=9),"Adha Season","Normal"))</f>
        <v>Normal</v>
      </c>
      <c r="D1122" s="1" t="s">
        <v>45</v>
      </c>
      <c r="E1122" s="1" t="s">
        <v>483</v>
      </c>
      <c r="F1122" s="4" t="s">
        <v>44</v>
      </c>
      <c r="G1122" s="1">
        <v>36</v>
      </c>
      <c r="H1122" s="1">
        <v>36</v>
      </c>
      <c r="I1122" s="1">
        <f>grand[[#This Row],[number]]-grand[[#This Row],[received]]</f>
        <v>0</v>
      </c>
      <c r="J1122" s="30"/>
      <c r="K1122" s="2">
        <v>17073</v>
      </c>
      <c r="L1122" s="2">
        <v>16330</v>
      </c>
      <c r="M1122" s="2">
        <f>K1122-L1122</f>
        <v>743</v>
      </c>
      <c r="N1122" s="2">
        <v>10279.9</v>
      </c>
      <c r="O1122" s="2">
        <v>294</v>
      </c>
      <c r="P1122" s="7">
        <f>grand[[#This Row],[total weight]]/grand[[#This Row],[received]]</f>
        <v>474.25</v>
      </c>
      <c r="Q1122" s="7">
        <f>grand[[#This Row],[receiving weight]]/grand[[#This Row],[received]]</f>
        <v>453.61111111111109</v>
      </c>
      <c r="R1122" s="7">
        <f>grand[[#This Row],[transportation loss ]]/grand[[#This Row],[received]]</f>
        <v>20.638888888888889</v>
      </c>
      <c r="S1122" s="7">
        <f>grand[[#This Row],[ carcass weight]]/grand[[#This Row],[received]]</f>
        <v>285.55277777777775</v>
      </c>
      <c r="T1122" s="7">
        <f>grand[[#This Row],[ kidneys fat quantity]]/grand[[#This Row],[received]]</f>
        <v>8.1666666666666661</v>
      </c>
      <c r="U1122" s="1">
        <v>25</v>
      </c>
      <c r="V1122" s="1">
        <v>0</v>
      </c>
      <c r="W1122" s="1">
        <v>48.277777777777779</v>
      </c>
      <c r="X1122" s="1">
        <v>10</v>
      </c>
      <c r="Y1122" s="1">
        <v>8.5</v>
      </c>
      <c r="Z1122" s="18">
        <f>grand[[#This Row],[av. Transportation loss]]/grand[[#This Row],[av.total weight]]</f>
        <v>4.3519006618637612E-2</v>
      </c>
      <c r="AA1122" s="12">
        <f>AVERAGE((grand[[#This Row],[am]]/25),(grand[[#This Row],[pm]]/50))</f>
        <v>0.98277777777777775</v>
      </c>
      <c r="AB1122" s="3">
        <f>grand[[#This Row],[ carcass weight]]/grand[[#This Row],[total weight]]</f>
        <v>0.60211444971592576</v>
      </c>
      <c r="AC1122" s="18">
        <f>SUM(grand[[#This Row],[am]:[meat transportation]])/100</f>
        <v>0.91777777777777769</v>
      </c>
      <c r="AJ1122" s="1">
        <v>4</v>
      </c>
      <c r="AK1122" s="1"/>
      <c r="AL1122" s="1"/>
    </row>
    <row r="1123" spans="1:38" hidden="1" x14ac:dyDescent="0.2">
      <c r="A1123" s="11">
        <v>45643</v>
      </c>
      <c r="B1123" s="53" t="s">
        <v>2107</v>
      </c>
      <c r="C1123" s="52" t="str">
        <f>IF(MID(B1123,4,2)="09","Ramadan",IF(AND(MID(B1123,4,2)="12",VALUE(LEFT(B1123,2))&lt;=9),"Adha Season","Normal"))</f>
        <v>Normal</v>
      </c>
      <c r="D1123" s="1" t="s">
        <v>45</v>
      </c>
      <c r="E1123" s="1" t="s">
        <v>483</v>
      </c>
      <c r="F1123" s="4" t="s">
        <v>43</v>
      </c>
      <c r="G1123" s="1">
        <v>20</v>
      </c>
      <c r="H1123" s="1">
        <v>20</v>
      </c>
      <c r="I1123" s="1">
        <f>grand[[#This Row],[number]]-grand[[#This Row],[received]]</f>
        <v>0</v>
      </c>
      <c r="J1123" s="30"/>
      <c r="K1123" s="2">
        <v>8281.3333333333339</v>
      </c>
      <c r="L1123" s="2">
        <v>7817.333333333333</v>
      </c>
      <c r="M1123" s="2">
        <f>K1123-L1123</f>
        <v>464.00000000000091</v>
      </c>
      <c r="N1123" s="2">
        <v>5014.3666666666668</v>
      </c>
      <c r="O1123" s="2">
        <v>148</v>
      </c>
      <c r="P1123" s="7">
        <f>grand[[#This Row],[total weight]]/grand[[#This Row],[received]]</f>
        <v>414.06666666666672</v>
      </c>
      <c r="Q1123" s="7">
        <f>grand[[#This Row],[receiving weight]]/grand[[#This Row],[received]]</f>
        <v>390.86666666666667</v>
      </c>
      <c r="R1123" s="7">
        <f>grand[[#This Row],[transportation loss ]]/grand[[#This Row],[received]]</f>
        <v>23.200000000000045</v>
      </c>
      <c r="S1123" s="7">
        <f>grand[[#This Row],[ carcass weight]]/grand[[#This Row],[received]]</f>
        <v>250.71833333333333</v>
      </c>
      <c r="T1123" s="7">
        <f>grand[[#This Row],[ kidneys fat quantity]]/grand[[#This Row],[received]]</f>
        <v>7.4</v>
      </c>
      <c r="U1123" s="1">
        <v>25</v>
      </c>
      <c r="V1123" s="1">
        <v>0</v>
      </c>
      <c r="W1123" s="1">
        <v>49.84210526315789</v>
      </c>
      <c r="X1123" s="1">
        <v>10</v>
      </c>
      <c r="Y1123" s="1">
        <v>8.5</v>
      </c>
      <c r="Z1123" s="18">
        <f>grand[[#This Row],[av. Transportation loss]]/grand[[#This Row],[av.total weight]]</f>
        <v>5.6029624859121017E-2</v>
      </c>
      <c r="AA1123" s="12">
        <f>AVERAGE((grand[[#This Row],[am]]/25),(grand[[#This Row],[pm]]/50))</f>
        <v>0.99842105263157888</v>
      </c>
      <c r="AB1123" s="3">
        <f>grand[[#This Row],[ carcass weight]]/grand[[#This Row],[total weight]]</f>
        <v>0.60550233456770242</v>
      </c>
      <c r="AC1123" s="18">
        <f>SUM(grand[[#This Row],[am]:[meat transportation]])/100</f>
        <v>0.93342105263157893</v>
      </c>
      <c r="AK1123" s="1"/>
      <c r="AL1123" s="1"/>
    </row>
    <row r="1124" spans="1:38" hidden="1" x14ac:dyDescent="0.2">
      <c r="A1124" s="11">
        <v>45643</v>
      </c>
      <c r="B1124" s="53" t="s">
        <v>2107</v>
      </c>
      <c r="C1124" s="52" t="str">
        <f>IF(MID(B1124,4,2)="09","Ramadan",IF(AND(MID(B1124,4,2)="12",VALUE(LEFT(B1124,2))&lt;=9),"Adha Season","Normal"))</f>
        <v>Normal</v>
      </c>
      <c r="D1124" s="1" t="s">
        <v>45</v>
      </c>
      <c r="E1124" s="1" t="s">
        <v>483</v>
      </c>
      <c r="F1124" s="4" t="s">
        <v>39</v>
      </c>
      <c r="G1124" s="1">
        <v>35</v>
      </c>
      <c r="H1124" s="1">
        <v>35</v>
      </c>
      <c r="I1124" s="1">
        <f>grand[[#This Row],[number]]-grand[[#This Row],[received]]</f>
        <v>0</v>
      </c>
      <c r="J1124" s="30"/>
      <c r="K1124" s="2">
        <f>8914*100/63.2</f>
        <v>14104.430379746835</v>
      </c>
      <c r="L1124" s="2">
        <f>8914*100/63.2</f>
        <v>14104.430379746835</v>
      </c>
      <c r="M1124" s="2">
        <f>K1124-L1124</f>
        <v>0</v>
      </c>
      <c r="N1124" s="2">
        <v>8914</v>
      </c>
      <c r="O1124" s="2"/>
      <c r="P1124" s="7">
        <f>grand[[#This Row],[total weight]]/grand[[#This Row],[received]]</f>
        <v>402.98372513562384</v>
      </c>
      <c r="Q1124" s="7">
        <f>grand[[#This Row],[receiving weight]]/grand[[#This Row],[received]]</f>
        <v>402.98372513562384</v>
      </c>
      <c r="R1124" s="7">
        <f>grand[[#This Row],[transportation loss ]]/grand[[#This Row],[received]]</f>
        <v>0</v>
      </c>
      <c r="S1124" s="7">
        <f>grand[[#This Row],[ carcass weight]]/grand[[#This Row],[received]]</f>
        <v>254.68571428571428</v>
      </c>
      <c r="T1124" s="7">
        <f>grand[[#This Row],[ kidneys fat quantity]]/grand[[#This Row],[received]]</f>
        <v>0</v>
      </c>
      <c r="U1124" s="1">
        <v>25</v>
      </c>
      <c r="V1124" s="1">
        <v>5</v>
      </c>
      <c r="W1124" s="1">
        <v>50</v>
      </c>
      <c r="X1124" s="1">
        <v>10</v>
      </c>
      <c r="Y1124" s="1">
        <v>8.5</v>
      </c>
      <c r="Z1124" s="18">
        <f>grand[[#This Row],[av. Transportation loss]]/grand[[#This Row],[av.total weight]]</f>
        <v>0</v>
      </c>
      <c r="AA1124" s="12">
        <f>AVERAGE((grand[[#This Row],[am]]/25),(grand[[#This Row],[pm]]/50))</f>
        <v>1</v>
      </c>
      <c r="AB1124" s="3">
        <f>grand[[#This Row],[ carcass weight]]/grand[[#This Row],[total weight]]</f>
        <v>0.63200000000000001</v>
      </c>
      <c r="AC1124" s="18">
        <f>SUM(grand[[#This Row],[am]:[meat transportation]])/100</f>
        <v>0.98499999999999999</v>
      </c>
      <c r="AK1124" s="1"/>
      <c r="AL1124" s="1"/>
    </row>
    <row r="1125" spans="1:38" hidden="1" x14ac:dyDescent="0.2">
      <c r="A1125" s="11">
        <v>45645</v>
      </c>
      <c r="B1125" s="53" t="s">
        <v>2108</v>
      </c>
      <c r="C1125" s="52" t="str">
        <f>IF(MID(B1125,4,2)="09","Ramadan",IF(AND(MID(B1125,4,2)="12",VALUE(LEFT(B1125,2))&lt;=9),"Adha Season","Normal"))</f>
        <v>Normal</v>
      </c>
      <c r="D1125" s="2" t="s">
        <v>294</v>
      </c>
      <c r="F1125" s="4" t="s">
        <v>280</v>
      </c>
      <c r="G1125" s="1">
        <v>38</v>
      </c>
      <c r="H1125" s="1">
        <v>38</v>
      </c>
      <c r="I1125" s="1">
        <f>grand[[#This Row],[number]]-grand[[#This Row],[received]]</f>
        <v>0</v>
      </c>
      <c r="J1125" s="30"/>
      <c r="K1125" s="2">
        <v>1871</v>
      </c>
      <c r="L1125" s="2">
        <v>1871</v>
      </c>
      <c r="M1125" s="2">
        <f>K1125-L1125</f>
        <v>0</v>
      </c>
      <c r="N1125" s="2">
        <v>1055.0999999999999</v>
      </c>
      <c r="O1125" s="2">
        <v>0</v>
      </c>
      <c r="P1125" s="7">
        <f>grand[[#This Row],[total weight]]/grand[[#This Row],[received]]</f>
        <v>49.236842105263158</v>
      </c>
      <c r="Q1125" s="7">
        <f>grand[[#This Row],[receiving weight]]/grand[[#This Row],[received]]</f>
        <v>49.236842105263158</v>
      </c>
      <c r="R1125" s="7">
        <f>grand[[#This Row],[transportation loss ]]/grand[[#This Row],[received]]</f>
        <v>0</v>
      </c>
      <c r="S1125" s="7">
        <f>grand[[#This Row],[ carcass weight]]/grand[[#This Row],[received]]</f>
        <v>27.765789473684208</v>
      </c>
      <c r="T1125" s="7">
        <f>grand[[#This Row],[ kidneys fat quantity]]/grand[[#This Row],[received]]</f>
        <v>0</v>
      </c>
      <c r="U1125" s="1">
        <v>25</v>
      </c>
      <c r="V1125" s="1">
        <v>0</v>
      </c>
      <c r="W1125" s="1">
        <v>48.891891891891888</v>
      </c>
      <c r="X1125" s="1">
        <v>10</v>
      </c>
      <c r="Y1125" s="1">
        <v>8.5</v>
      </c>
      <c r="Z1125" s="18">
        <f>grand[[#This Row],[av. Transportation loss]]/grand[[#This Row],[av.total weight]]</f>
        <v>0</v>
      </c>
      <c r="AA1125" s="12">
        <f>AVERAGE((grand[[#This Row],[am]]/25),(grand[[#This Row],[pm]]/50))</f>
        <v>0.98891891891891892</v>
      </c>
      <c r="AB1125" s="3">
        <f>grand[[#This Row],[ carcass weight]]/grand[[#This Row],[total weight]]</f>
        <v>0.56392303580972736</v>
      </c>
      <c r="AC1125" s="18">
        <f>SUM(grand[[#This Row],[am]:[meat transportation]])/100</f>
        <v>0.92391891891891886</v>
      </c>
      <c r="AK1125" s="1"/>
      <c r="AL1125" s="1"/>
    </row>
    <row r="1126" spans="1:38" hidden="1" x14ac:dyDescent="0.2">
      <c r="A1126" s="11">
        <v>45645</v>
      </c>
      <c r="B1126" s="53" t="s">
        <v>2108</v>
      </c>
      <c r="C1126" s="52" t="str">
        <f>IF(MID(B1126,4,2)="09","Ramadan",IF(AND(MID(B1126,4,2)="12",VALUE(LEFT(B1126,2))&lt;=9),"Adha Season","Normal"))</f>
        <v>Normal</v>
      </c>
      <c r="D1126" s="1" t="s">
        <v>45</v>
      </c>
      <c r="E1126" s="1" t="s">
        <v>528</v>
      </c>
      <c r="F1126" s="4" t="s">
        <v>280</v>
      </c>
      <c r="G1126" s="1">
        <v>54</v>
      </c>
      <c r="H1126" s="1">
        <v>54</v>
      </c>
      <c r="I1126" s="1">
        <f>grand[[#This Row],[number]]-grand[[#This Row],[received]]</f>
        <v>0</v>
      </c>
      <c r="J1126" s="30"/>
      <c r="K1126" s="1">
        <v>20563</v>
      </c>
      <c r="L1126" s="1">
        <v>20563</v>
      </c>
      <c r="M1126" s="2">
        <f>K1126-L1126</f>
        <v>0</v>
      </c>
      <c r="N1126" s="1">
        <v>12996</v>
      </c>
      <c r="O1126" s="2">
        <f>434.4+30.8</f>
        <v>465.2</v>
      </c>
      <c r="P1126" s="7">
        <f>grand[[#This Row],[total weight]]/grand[[#This Row],[received]]</f>
        <v>380.7962962962963</v>
      </c>
      <c r="Q1126" s="7">
        <f>grand[[#This Row],[receiving weight]]/grand[[#This Row],[received]]</f>
        <v>380.7962962962963</v>
      </c>
      <c r="R1126" s="7">
        <f>grand[[#This Row],[transportation loss ]]/grand[[#This Row],[received]]</f>
        <v>0</v>
      </c>
      <c r="S1126" s="7">
        <f>grand[[#This Row],[ carcass weight]]/grand[[#This Row],[received]]</f>
        <v>240.66666666666666</v>
      </c>
      <c r="T1126" s="7">
        <f>grand[[#This Row],[ kidneys fat quantity]]/grand[[#This Row],[received]]</f>
        <v>8.6148148148148138</v>
      </c>
      <c r="U1126" s="1">
        <v>24.907407407407408</v>
      </c>
      <c r="V1126" s="1">
        <v>0</v>
      </c>
      <c r="W1126" s="1">
        <v>48.425925925925924</v>
      </c>
      <c r="X1126" s="1">
        <v>10</v>
      </c>
      <c r="Y1126" s="1">
        <v>8.5</v>
      </c>
      <c r="Z1126" s="18">
        <f>grand[[#This Row],[av. Transportation loss]]/grand[[#This Row],[av.total weight]]</f>
        <v>0</v>
      </c>
      <c r="AA1126" s="12">
        <f>AVERAGE((grand[[#This Row],[am]]/25),(grand[[#This Row],[pm]]/50))</f>
        <v>0.9824074074074074</v>
      </c>
      <c r="AB1126" s="3">
        <f>grand[[#This Row],[ carcass weight]]/grand[[#This Row],[total weight]]</f>
        <v>0.6320089481106842</v>
      </c>
      <c r="AC1126" s="18">
        <f>SUM(grand[[#This Row],[am]:[meat transportation]])/100</f>
        <v>0.91833333333333333</v>
      </c>
      <c r="AJ1126" s="1">
        <v>40</v>
      </c>
      <c r="AK1126" s="1"/>
      <c r="AL1126" s="1"/>
    </row>
    <row r="1127" spans="1:38" hidden="1" x14ac:dyDescent="0.2">
      <c r="A1127" s="11">
        <v>45648</v>
      </c>
      <c r="B1127" s="53" t="s">
        <v>2110</v>
      </c>
      <c r="C1127" s="52" t="str">
        <f>IF(MID(B1127,4,2)="09","Ramadan",IF(AND(MID(B1127,4,2)="12",VALUE(LEFT(B1127,2))&lt;=9),"Adha Season","Normal"))</f>
        <v>Normal</v>
      </c>
      <c r="D1127" s="2" t="s">
        <v>294</v>
      </c>
      <c r="F1127" s="4" t="s">
        <v>550</v>
      </c>
      <c r="G1127" s="1">
        <v>34</v>
      </c>
      <c r="H1127" s="1">
        <v>34</v>
      </c>
      <c r="I1127" s="1">
        <f>grand[[#This Row],[number]]-grand[[#This Row],[received]]</f>
        <v>0</v>
      </c>
      <c r="J1127" s="30"/>
      <c r="K1127" s="2">
        <v>1660</v>
      </c>
      <c r="L1127" s="2">
        <v>1615</v>
      </c>
      <c r="M1127" s="2">
        <f>K1127-L1127</f>
        <v>45</v>
      </c>
      <c r="N1127" s="2">
        <v>911.6</v>
      </c>
      <c r="O1127" s="2">
        <v>0</v>
      </c>
      <c r="P1127" s="7">
        <f>grand[[#This Row],[total weight]]/grand[[#This Row],[received]]</f>
        <v>48.823529411764703</v>
      </c>
      <c r="Q1127" s="7">
        <f>grand[[#This Row],[receiving weight]]/grand[[#This Row],[received]]</f>
        <v>47.5</v>
      </c>
      <c r="R1127" s="7">
        <f>grand[[#This Row],[transportation loss ]]/grand[[#This Row],[received]]</f>
        <v>1.3235294117647058</v>
      </c>
      <c r="S1127" s="7">
        <f>grand[[#This Row],[ carcass weight]]/grand[[#This Row],[received]]</f>
        <v>26.811764705882354</v>
      </c>
      <c r="T1127" s="7">
        <f>grand[[#This Row],[ kidneys fat quantity]]/grand[[#This Row],[received]]</f>
        <v>0</v>
      </c>
      <c r="U1127" s="1">
        <v>25</v>
      </c>
      <c r="V1127" s="1">
        <v>0</v>
      </c>
      <c r="W1127" s="1">
        <v>45.294117647058826</v>
      </c>
      <c r="X1127" s="1">
        <v>10</v>
      </c>
      <c r="Y1127" s="1">
        <v>8.5</v>
      </c>
      <c r="Z1127" s="18">
        <f>grand[[#This Row],[av. Transportation loss]]/grand[[#This Row],[av.total weight]]</f>
        <v>2.710843373493976E-2</v>
      </c>
      <c r="AA1127" s="12">
        <f>AVERAGE((grand[[#This Row],[am]]/25),(grand[[#This Row],[pm]]/50))</f>
        <v>0.95294117647058818</v>
      </c>
      <c r="AB1127" s="3">
        <f>grand[[#This Row],[ carcass weight]]/grand[[#This Row],[total weight]]</f>
        <v>0.54915662650602415</v>
      </c>
      <c r="AC1127" s="18">
        <f>SUM(grand[[#This Row],[am]:[meat transportation]])/100</f>
        <v>0.88794117647058823</v>
      </c>
      <c r="AK1127" s="1"/>
      <c r="AL1127" s="1"/>
    </row>
    <row r="1128" spans="1:38" hidden="1" x14ac:dyDescent="0.2">
      <c r="A1128" s="11">
        <v>45651</v>
      </c>
      <c r="B1128" s="53" t="s">
        <v>2112</v>
      </c>
      <c r="C1128" s="52" t="str">
        <f>IF(MID(B1128,4,2)="09","Ramadan",IF(AND(MID(B1128,4,2)="12",VALUE(LEFT(B1128,2))&lt;=9),"Adha Season","Normal"))</f>
        <v>Normal</v>
      </c>
      <c r="D1128" s="1" t="s">
        <v>45</v>
      </c>
      <c r="E1128" s="1" t="s">
        <v>483</v>
      </c>
      <c r="F1128" s="4" t="s">
        <v>959</v>
      </c>
      <c r="G1128" s="1">
        <v>26</v>
      </c>
      <c r="H1128" s="1">
        <v>26</v>
      </c>
      <c r="I1128" s="1">
        <f>grand[[#This Row],[number]]-grand[[#This Row],[received]]</f>
        <v>0</v>
      </c>
      <c r="J1128" s="30"/>
      <c r="K1128" s="2">
        <v>11557</v>
      </c>
      <c r="L1128" s="2">
        <v>11557</v>
      </c>
      <c r="M1128" s="2">
        <f>K1128-L1128</f>
        <v>0</v>
      </c>
      <c r="N1128" s="2">
        <v>6965.9</v>
      </c>
      <c r="O1128" s="2">
        <v>200</v>
      </c>
      <c r="P1128" s="7">
        <f>grand[[#This Row],[total weight]]/grand[[#This Row],[received]]</f>
        <v>444.5</v>
      </c>
      <c r="Q1128" s="7">
        <f>grand[[#This Row],[receiving weight]]/grand[[#This Row],[received]]</f>
        <v>444.5</v>
      </c>
      <c r="R1128" s="7">
        <f>grand[[#This Row],[transportation loss ]]/grand[[#This Row],[received]]</f>
        <v>0</v>
      </c>
      <c r="S1128" s="7">
        <f>grand[[#This Row],[ carcass weight]]/grand[[#This Row],[received]]</f>
        <v>267.91923076923075</v>
      </c>
      <c r="T1128" s="7">
        <f>grand[[#This Row],[ kidneys fat quantity]]/grand[[#This Row],[received]]</f>
        <v>7.6923076923076925</v>
      </c>
      <c r="U1128" s="1">
        <v>25</v>
      </c>
      <c r="V1128" s="1">
        <v>0</v>
      </c>
      <c r="W1128" s="1">
        <v>48.46153846153846</v>
      </c>
      <c r="X1128" s="1">
        <v>9.8076923076923066</v>
      </c>
      <c r="Y1128" s="1">
        <v>8.5</v>
      </c>
      <c r="Z1128" s="18">
        <f>grand[[#This Row],[av. Transportation loss]]/grand[[#This Row],[av.total weight]]</f>
        <v>0</v>
      </c>
      <c r="AA1128" s="12">
        <f>AVERAGE((grand[[#This Row],[am]]/25),(grand[[#This Row],[pm]]/50))</f>
        <v>0.98461538461538467</v>
      </c>
      <c r="AB1128" s="3">
        <f>grand[[#This Row],[ carcass weight]]/grand[[#This Row],[total weight]]</f>
        <v>0.60274292636497362</v>
      </c>
      <c r="AC1128" s="18">
        <f>SUM(grand[[#This Row],[am]:[meat transportation]])/100</f>
        <v>0.91769230769230759</v>
      </c>
      <c r="AK1128" s="1"/>
      <c r="AL1128" s="1"/>
    </row>
    <row r="1129" spans="1:38" hidden="1" x14ac:dyDescent="0.2">
      <c r="A1129" s="11">
        <v>45652</v>
      </c>
      <c r="B1129" s="53" t="s">
        <v>2113</v>
      </c>
      <c r="C1129" s="52" t="str">
        <f>IF(MID(B1129,4,2)="09","Ramadan",IF(AND(MID(B1129,4,2)="12",VALUE(LEFT(B1129,2))&lt;=9),"Adha Season","Normal"))</f>
        <v>Normal</v>
      </c>
      <c r="D1129" s="2" t="s">
        <v>294</v>
      </c>
      <c r="F1129" s="4" t="s">
        <v>280</v>
      </c>
      <c r="G1129" s="1">
        <v>37</v>
      </c>
      <c r="H1129" s="1">
        <v>37</v>
      </c>
      <c r="I1129" s="1">
        <f>grand[[#This Row],[number]]-grand[[#This Row],[received]]</f>
        <v>0</v>
      </c>
      <c r="J1129" s="30"/>
      <c r="K1129" s="2">
        <v>1947</v>
      </c>
      <c r="L1129" s="2">
        <v>1940</v>
      </c>
      <c r="M1129" s="2">
        <f>K1129-L1129</f>
        <v>7</v>
      </c>
      <c r="N1129" s="2">
        <v>1079.0999999999999</v>
      </c>
      <c r="O1129" s="2">
        <v>0</v>
      </c>
      <c r="P1129" s="7">
        <f>grand[[#This Row],[total weight]]/grand[[#This Row],[received]]</f>
        <v>52.621621621621621</v>
      </c>
      <c r="Q1129" s="7">
        <f>grand[[#This Row],[receiving weight]]/grand[[#This Row],[received]]</f>
        <v>52.432432432432435</v>
      </c>
      <c r="R1129" s="7">
        <f>grand[[#This Row],[transportation loss ]]/grand[[#This Row],[received]]</f>
        <v>0.1891891891891892</v>
      </c>
      <c r="S1129" s="7">
        <f>grand[[#This Row],[ carcass weight]]/grand[[#This Row],[received]]</f>
        <v>29.164864864864864</v>
      </c>
      <c r="T1129" s="7">
        <f>grand[[#This Row],[ kidneys fat quantity]]/grand[[#This Row],[received]]</f>
        <v>0</v>
      </c>
      <c r="U1129" s="1">
        <v>25</v>
      </c>
      <c r="V1129" s="1">
        <v>0</v>
      </c>
      <c r="W1129" s="1">
        <v>48.702702702702709</v>
      </c>
      <c r="X1129" s="1">
        <v>10</v>
      </c>
      <c r="Y1129" s="1">
        <v>8.5</v>
      </c>
      <c r="Z1129" s="18">
        <f>grand[[#This Row],[av. Transportation loss]]/grand[[#This Row],[av.total weight]]</f>
        <v>3.59527478171546E-3</v>
      </c>
      <c r="AA1129" s="12">
        <f>AVERAGE((grand[[#This Row],[am]]/25),(grand[[#This Row],[pm]]/50))</f>
        <v>0.98702702702702716</v>
      </c>
      <c r="AB1129" s="3">
        <f>grand[[#This Row],[ carcass weight]]/grand[[#This Row],[total weight]]</f>
        <v>0.55423728813559314</v>
      </c>
      <c r="AC1129" s="18">
        <f>SUM(grand[[#This Row],[am]:[meat transportation]])/100</f>
        <v>0.9220270270270271</v>
      </c>
      <c r="AK1129" s="1"/>
      <c r="AL1129" s="1"/>
    </row>
    <row r="1130" spans="1:38" hidden="1" x14ac:dyDescent="0.2">
      <c r="A1130" s="11">
        <v>45652</v>
      </c>
      <c r="B1130" s="53" t="s">
        <v>2113</v>
      </c>
      <c r="C1130" s="52" t="str">
        <f>IF(MID(B1130,4,2)="09","Ramadan",IF(AND(MID(B1130,4,2)="12",VALUE(LEFT(B1130,2))&lt;=9),"Adha Season","Normal"))</f>
        <v>Normal</v>
      </c>
      <c r="D1130" s="1" t="s">
        <v>45</v>
      </c>
      <c r="E1130" s="1" t="s">
        <v>528</v>
      </c>
      <c r="F1130" s="4" t="s">
        <v>280</v>
      </c>
      <c r="G1130" s="1">
        <v>67</v>
      </c>
      <c r="H1130" s="1">
        <v>67</v>
      </c>
      <c r="I1130" s="1">
        <f>grand[[#This Row],[number]]-grand[[#This Row],[received]]</f>
        <v>0</v>
      </c>
      <c r="J1130" s="30"/>
      <c r="K1130" s="2">
        <v>41316</v>
      </c>
      <c r="L1130" s="2">
        <v>39576</v>
      </c>
      <c r="M1130" s="2">
        <f>K1130-L1130</f>
        <v>1740</v>
      </c>
      <c r="N1130" s="2">
        <v>25875.4</v>
      </c>
      <c r="O1130" s="2">
        <v>479</v>
      </c>
      <c r="P1130" s="7">
        <f>grand[[#This Row],[total weight]]/grand[[#This Row],[received]]</f>
        <v>616.6567164179105</v>
      </c>
      <c r="Q1130" s="7">
        <f>grand[[#This Row],[receiving weight]]/grand[[#This Row],[received]]</f>
        <v>590.68656716417911</v>
      </c>
      <c r="R1130" s="7">
        <f>grand[[#This Row],[transportation loss ]]/grand[[#This Row],[received]]</f>
        <v>25.970149253731343</v>
      </c>
      <c r="S1130" s="7">
        <f>grand[[#This Row],[ carcass weight]]/grand[[#This Row],[received]]</f>
        <v>386.20000000000005</v>
      </c>
      <c r="T1130" s="7">
        <f>grand[[#This Row],[ kidneys fat quantity]]/grand[[#This Row],[received]]</f>
        <v>7.1492537313432836</v>
      </c>
      <c r="U1130" s="1">
        <v>24.701492537313435</v>
      </c>
      <c r="V1130" s="1">
        <v>0</v>
      </c>
      <c r="W1130" s="1">
        <v>49.089552238805972</v>
      </c>
      <c r="X1130" s="1">
        <v>9.9253731343283569</v>
      </c>
      <c r="Y1130" s="1">
        <v>8.5</v>
      </c>
      <c r="Z1130" s="18">
        <f>grand[[#This Row],[av. Transportation loss]]/grand[[#This Row],[av.total weight]]</f>
        <v>4.2114435085681086E-2</v>
      </c>
      <c r="AA1130" s="12">
        <f>AVERAGE((grand[[#This Row],[am]]/25),(grand[[#This Row],[pm]]/50))</f>
        <v>0.98492537313432837</v>
      </c>
      <c r="AB1130" s="3">
        <f>grand[[#This Row],[ carcass weight]]/grand[[#This Row],[total weight]]</f>
        <v>0.62628037564139805</v>
      </c>
      <c r="AC1130" s="18">
        <f>SUM(grand[[#This Row],[am]:[meat transportation]])/100</f>
        <v>0.92216417910447757</v>
      </c>
      <c r="AJ1130" s="1">
        <v>46</v>
      </c>
      <c r="AK1130" s="1"/>
      <c r="AL1130" s="1"/>
    </row>
    <row r="1131" spans="1:38" hidden="1" x14ac:dyDescent="0.2">
      <c r="A1131" s="11">
        <v>45654</v>
      </c>
      <c r="B1131" s="53" t="s">
        <v>2114</v>
      </c>
      <c r="C1131" s="52" t="str">
        <f>IF(MID(B1131,4,2)="09","Ramadan",IF(AND(MID(B1131,4,2)="12",VALUE(LEFT(B1131,2))&lt;=9),"Adha Season","Normal"))</f>
        <v>Normal</v>
      </c>
      <c r="D1131" s="1" t="s">
        <v>45</v>
      </c>
      <c r="E1131" s="1" t="s">
        <v>483</v>
      </c>
      <c r="F1131" s="4" t="s">
        <v>959</v>
      </c>
      <c r="G1131" s="1">
        <v>32</v>
      </c>
      <c r="H1131" s="1">
        <v>32</v>
      </c>
      <c r="I1131" s="1">
        <f>grand[[#This Row],[number]]-grand[[#This Row],[received]]</f>
        <v>0</v>
      </c>
      <c r="J1131" s="30"/>
      <c r="K1131" s="2">
        <v>13911</v>
      </c>
      <c r="L1131" s="2">
        <v>13375</v>
      </c>
      <c r="M1131" s="2">
        <f>K1131-L1131</f>
        <v>536</v>
      </c>
      <c r="N1131" s="2">
        <v>8418.4</v>
      </c>
      <c r="O1131" s="2">
        <v>245</v>
      </c>
      <c r="P1131" s="7">
        <f>grand[[#This Row],[total weight]]/grand[[#This Row],[received]]</f>
        <v>434.71875</v>
      </c>
      <c r="Q1131" s="7">
        <f>grand[[#This Row],[receiving weight]]/grand[[#This Row],[received]]</f>
        <v>417.96875</v>
      </c>
      <c r="R1131" s="7">
        <f>grand[[#This Row],[transportation loss ]]/grand[[#This Row],[received]]</f>
        <v>16.75</v>
      </c>
      <c r="S1131" s="7">
        <f>grand[[#This Row],[ carcass weight]]/grand[[#This Row],[received]]</f>
        <v>263.07499999999999</v>
      </c>
      <c r="T1131" s="7">
        <f>grand[[#This Row],[ kidneys fat quantity]]/grand[[#This Row],[received]]</f>
        <v>7.65625</v>
      </c>
      <c r="U1131" s="1">
        <v>25</v>
      </c>
      <c r="V1131" s="1">
        <v>0</v>
      </c>
      <c r="W1131" s="1">
        <v>49.3125</v>
      </c>
      <c r="X1131" s="1">
        <v>10</v>
      </c>
      <c r="Y1131" s="1">
        <v>8.5</v>
      </c>
      <c r="Z1131" s="18">
        <f>grand[[#This Row],[av. Transportation loss]]/grand[[#This Row],[av.total weight]]</f>
        <v>3.8530659190568611E-2</v>
      </c>
      <c r="AA1131" s="12">
        <f>AVERAGE((grand[[#This Row],[am]]/25),(grand[[#This Row],[pm]]/50))</f>
        <v>0.99312500000000004</v>
      </c>
      <c r="AB1131" s="3">
        <f>grand[[#This Row],[ carcass weight]]/grand[[#This Row],[total weight]]</f>
        <v>0.6051613830781396</v>
      </c>
      <c r="AC1131" s="18">
        <f>SUM(grand[[#This Row],[am]:[meat transportation]])/100</f>
        <v>0.92812499999999998</v>
      </c>
      <c r="AK1131" s="1"/>
      <c r="AL1131" s="1"/>
    </row>
    <row r="1132" spans="1:38" hidden="1" x14ac:dyDescent="0.2">
      <c r="A1132" s="11">
        <v>45655</v>
      </c>
      <c r="B1132" s="53" t="s">
        <v>2115</v>
      </c>
      <c r="C1132" s="52" t="str">
        <f>IF(MID(B1132,4,2)="09","Ramadan",IF(AND(MID(B1132,4,2)="12",VALUE(LEFT(B1132,2))&lt;=9),"Adha Season","Normal"))</f>
        <v>Normal</v>
      </c>
      <c r="D1132" s="2" t="s">
        <v>294</v>
      </c>
      <c r="F1132" s="4" t="s">
        <v>640</v>
      </c>
      <c r="G1132" s="1">
        <v>42</v>
      </c>
      <c r="H1132" s="1">
        <v>42</v>
      </c>
      <c r="I1132" s="1">
        <f>grand[[#This Row],[number]]-grand[[#This Row],[received]]</f>
        <v>0</v>
      </c>
      <c r="J1132" s="30"/>
      <c r="K1132" s="2">
        <v>2067</v>
      </c>
      <c r="L1132" s="2">
        <v>1950</v>
      </c>
      <c r="M1132" s="2">
        <f>K1132-L1132</f>
        <v>117</v>
      </c>
      <c r="N1132" s="2">
        <v>1130.8</v>
      </c>
      <c r="O1132" s="2">
        <v>0</v>
      </c>
      <c r="P1132" s="7">
        <f>grand[[#This Row],[total weight]]/grand[[#This Row],[received]]</f>
        <v>49.214285714285715</v>
      </c>
      <c r="Q1132" s="7">
        <f>grand[[#This Row],[receiving weight]]/grand[[#This Row],[received]]</f>
        <v>46.428571428571431</v>
      </c>
      <c r="R1132" s="7">
        <f>grand[[#This Row],[transportation loss ]]/grand[[#This Row],[received]]</f>
        <v>2.7857142857142856</v>
      </c>
      <c r="S1132" s="7">
        <f>grand[[#This Row],[ carcass weight]]/grand[[#This Row],[received]]</f>
        <v>26.923809523809524</v>
      </c>
      <c r="T1132" s="7">
        <f>grand[[#This Row],[ kidneys fat quantity]]/grand[[#This Row],[received]]</f>
        <v>0</v>
      </c>
      <c r="U1132" s="1">
        <v>25</v>
      </c>
      <c r="V1132" s="1">
        <v>0</v>
      </c>
      <c r="W1132" s="1">
        <v>47.666666666666664</v>
      </c>
      <c r="X1132" s="1">
        <v>10</v>
      </c>
      <c r="Y1132" s="1">
        <v>8.5</v>
      </c>
      <c r="Z1132" s="18">
        <f>grand[[#This Row],[av. Transportation loss]]/grand[[#This Row],[av.total weight]]</f>
        <v>5.6603773584905655E-2</v>
      </c>
      <c r="AA1132" s="12">
        <f>AVERAGE((grand[[#This Row],[am]]/25),(grand[[#This Row],[pm]]/50))</f>
        <v>0.97666666666666657</v>
      </c>
      <c r="AB1132" s="3">
        <f>grand[[#This Row],[ carcass weight]]/grand[[#This Row],[total weight]]</f>
        <v>0.5470730527334301</v>
      </c>
      <c r="AC1132" s="18">
        <f>SUM(grand[[#This Row],[am]:[meat transportation]])/100</f>
        <v>0.91166666666666663</v>
      </c>
      <c r="AK1132" s="1"/>
      <c r="AL1132" s="1"/>
    </row>
    <row r="1133" spans="1:38" hidden="1" x14ac:dyDescent="0.2">
      <c r="A1133" s="11">
        <v>45657</v>
      </c>
      <c r="B1133" s="53" t="s">
        <v>2117</v>
      </c>
      <c r="C1133" s="52" t="str">
        <f>IF(MID(B1133,4,2)="09","Ramadan",IF(AND(MID(B1133,4,2)="12",VALUE(LEFT(B1133,2))&lt;=9),"Adha Season","Normal"))</f>
        <v>Normal</v>
      </c>
      <c r="D1133" s="1" t="s">
        <v>45</v>
      </c>
      <c r="E1133" s="1" t="s">
        <v>483</v>
      </c>
      <c r="F1133" s="4" t="s">
        <v>959</v>
      </c>
      <c r="G1133" s="1">
        <v>40</v>
      </c>
      <c r="H1133" s="1">
        <v>40</v>
      </c>
      <c r="I1133" s="1">
        <f>grand[[#This Row],[number]]-grand[[#This Row],[received]]</f>
        <v>0</v>
      </c>
      <c r="J1133" s="30"/>
      <c r="K1133" s="2">
        <v>16859</v>
      </c>
      <c r="L1133" s="2">
        <v>16185</v>
      </c>
      <c r="M1133" s="2">
        <f>K1133-L1133</f>
        <v>674</v>
      </c>
      <c r="N1133" s="2">
        <v>10139.200000000001</v>
      </c>
      <c r="O1133" s="2">
        <v>301</v>
      </c>
      <c r="P1133" s="7">
        <f>grand[[#This Row],[total weight]]/grand[[#This Row],[received]]</f>
        <v>421.47500000000002</v>
      </c>
      <c r="Q1133" s="7">
        <f>grand[[#This Row],[receiving weight]]/grand[[#This Row],[received]]</f>
        <v>404.625</v>
      </c>
      <c r="R1133" s="7">
        <f>grand[[#This Row],[transportation loss ]]/grand[[#This Row],[received]]</f>
        <v>16.850000000000001</v>
      </c>
      <c r="S1133" s="7">
        <f>grand[[#This Row],[ carcass weight]]/grand[[#This Row],[received]]</f>
        <v>253.48000000000002</v>
      </c>
      <c r="T1133" s="7">
        <f>grand[[#This Row],[ kidneys fat quantity]]/grand[[#This Row],[received]]</f>
        <v>7.5250000000000004</v>
      </c>
      <c r="U1133" s="1">
        <v>25</v>
      </c>
      <c r="V1133" s="1">
        <v>0</v>
      </c>
      <c r="W1133" s="1">
        <v>48.475000000000001</v>
      </c>
      <c r="X1133" s="1">
        <v>9.875</v>
      </c>
      <c r="Y1133" s="1">
        <v>8.5</v>
      </c>
      <c r="Z1133" s="18">
        <f>grand[[#This Row],[av. Transportation loss]]/grand[[#This Row],[av.total weight]]</f>
        <v>3.9978646420309627E-2</v>
      </c>
      <c r="AA1133" s="12">
        <f>AVERAGE((grand[[#This Row],[am]]/25),(grand[[#This Row],[pm]]/50))</f>
        <v>0.98475000000000001</v>
      </c>
      <c r="AB1133" s="3">
        <f>grand[[#This Row],[ carcass weight]]/grand[[#This Row],[total weight]]</f>
        <v>0.60141170887953022</v>
      </c>
      <c r="AC1133" s="18">
        <f>SUM(grand[[#This Row],[am]:[meat transportation]])/100</f>
        <v>0.91849999999999998</v>
      </c>
      <c r="AK1133" s="1"/>
      <c r="AL1133" s="1"/>
    </row>
    <row r="1134" spans="1:38" hidden="1" x14ac:dyDescent="0.2">
      <c r="A1134" s="11">
        <v>45658</v>
      </c>
      <c r="B1134" s="53" t="s">
        <v>2118</v>
      </c>
      <c r="C1134" s="52" t="str">
        <f>IF(MID(B1134,4,2)="09","Ramadan",IF(AND(MID(B1134,4,2)="12",VALUE(LEFT(B1134,2))&lt;=9),"Adha Season","Normal"))</f>
        <v>Normal</v>
      </c>
      <c r="D1134" s="1" t="s">
        <v>45</v>
      </c>
      <c r="E1134" s="1" t="s">
        <v>483</v>
      </c>
      <c r="F1134" s="4" t="s">
        <v>280</v>
      </c>
      <c r="G1134" s="1">
        <v>32</v>
      </c>
      <c r="H1134" s="1">
        <v>32</v>
      </c>
      <c r="I1134" s="1">
        <f>grand[[#This Row],[number]]-grand[[#This Row],[received]]</f>
        <v>0</v>
      </c>
      <c r="J1134" s="30"/>
      <c r="K1134" s="2">
        <v>14927</v>
      </c>
      <c r="L1134" s="2">
        <v>14385</v>
      </c>
      <c r="M1134" s="2">
        <f>K1134-L1134</f>
        <v>542</v>
      </c>
      <c r="N1134" s="2">
        <v>8974.5</v>
      </c>
      <c r="O1134" s="2">
        <v>281</v>
      </c>
      <c r="P1134" s="7">
        <f>grand[[#This Row],[total weight]]/grand[[#This Row],[received]]</f>
        <v>466.46875</v>
      </c>
      <c r="Q1134" s="7">
        <f>grand[[#This Row],[receiving weight]]/grand[[#This Row],[received]]</f>
        <v>449.53125</v>
      </c>
      <c r="R1134" s="7">
        <f>grand[[#This Row],[transportation loss ]]/grand[[#This Row],[received]]</f>
        <v>16.9375</v>
      </c>
      <c r="S1134" s="7">
        <f>grand[[#This Row],[ carcass weight]]/grand[[#This Row],[received]]</f>
        <v>280.453125</v>
      </c>
      <c r="T1134" s="7">
        <f>grand[[#This Row],[ kidneys fat quantity]]/grand[[#This Row],[received]]</f>
        <v>8.78125</v>
      </c>
      <c r="U1134" s="1">
        <v>25</v>
      </c>
      <c r="V1134" s="1">
        <v>0</v>
      </c>
      <c r="W1134" s="1">
        <v>48.71875</v>
      </c>
      <c r="X1134" s="1">
        <v>10</v>
      </c>
      <c r="Y1134" s="1">
        <v>8.5</v>
      </c>
      <c r="Z1134" s="18">
        <f>grand[[#This Row],[av. Transportation loss]]/grand[[#This Row],[av.total weight]]</f>
        <v>3.6310042205399615E-2</v>
      </c>
      <c r="AA1134" s="12">
        <f>AVERAGE((grand[[#This Row],[am]]/25),(grand[[#This Row],[pm]]/50))</f>
        <v>0.9871875</v>
      </c>
      <c r="AB1134" s="3">
        <f>grand[[#This Row],[ carcass weight]]/grand[[#This Row],[total weight]]</f>
        <v>0.60122596636966574</v>
      </c>
      <c r="AC1134" s="18">
        <f>SUM(grand[[#This Row],[am]:[meat transportation]])/100</f>
        <v>0.92218750000000005</v>
      </c>
      <c r="AJ1134" s="1">
        <v>10</v>
      </c>
      <c r="AK1134" s="1"/>
      <c r="AL1134" s="1"/>
    </row>
    <row r="1135" spans="1:38" hidden="1" x14ac:dyDescent="0.2">
      <c r="A1135" s="11">
        <v>45659</v>
      </c>
      <c r="B1135" s="53" t="s">
        <v>2119</v>
      </c>
      <c r="C1135" s="52" t="str">
        <f>IF(MID(B1135,4,2)="09","Ramadan",IF(AND(MID(B1135,4,2)="12",VALUE(LEFT(B1135,2))&lt;=9),"Adha Season","Normal"))</f>
        <v>Normal</v>
      </c>
      <c r="D1135" s="2" t="s">
        <v>294</v>
      </c>
      <c r="F1135" s="4" t="s">
        <v>280</v>
      </c>
      <c r="G1135" s="1">
        <v>41</v>
      </c>
      <c r="H1135" s="1">
        <v>41</v>
      </c>
      <c r="I1135" s="1">
        <f>grand[[#This Row],[number]]-grand[[#This Row],[received]]</f>
        <v>0</v>
      </c>
      <c r="J1135" s="30"/>
      <c r="K1135" s="2">
        <v>2159</v>
      </c>
      <c r="L1135" s="2">
        <v>2135</v>
      </c>
      <c r="M1135" s="2">
        <f>K1135-L1135</f>
        <v>24</v>
      </c>
      <c r="N1135" s="2">
        <v>1230.3</v>
      </c>
      <c r="O1135" s="2">
        <v>0</v>
      </c>
      <c r="P1135" s="7">
        <f>grand[[#This Row],[total weight]]/grand[[#This Row],[received]]</f>
        <v>52.658536585365852</v>
      </c>
      <c r="Q1135" s="7">
        <f>grand[[#This Row],[receiving weight]]/grand[[#This Row],[received]]</f>
        <v>52.073170731707314</v>
      </c>
      <c r="R1135" s="7">
        <f>grand[[#This Row],[transportation loss ]]/grand[[#This Row],[received]]</f>
        <v>0.58536585365853655</v>
      </c>
      <c r="S1135" s="7">
        <f>grand[[#This Row],[ carcass weight]]/grand[[#This Row],[received]]</f>
        <v>30.007317073170732</v>
      </c>
      <c r="T1135" s="7">
        <f>grand[[#This Row],[ kidneys fat quantity]]/grand[[#This Row],[received]]</f>
        <v>0</v>
      </c>
      <c r="U1135" s="1">
        <v>25</v>
      </c>
      <c r="V1135" s="1">
        <v>0</v>
      </c>
      <c r="W1135" s="1">
        <v>47.975609756097569</v>
      </c>
      <c r="X1135" s="1">
        <v>10</v>
      </c>
      <c r="Y1135" s="1">
        <v>8.5</v>
      </c>
      <c r="Z1135" s="18">
        <f>grand[[#This Row],[av. Transportation loss]]/grand[[#This Row],[av.total weight]]</f>
        <v>1.11162575266327E-2</v>
      </c>
      <c r="AA1135" s="12">
        <f>AVERAGE((grand[[#This Row],[am]]/25),(grand[[#This Row],[pm]]/50))</f>
        <v>0.9797560975609757</v>
      </c>
      <c r="AB1135" s="3">
        <f>grand[[#This Row],[ carcass weight]]/grand[[#This Row],[total weight]]</f>
        <v>0.56984715145900877</v>
      </c>
      <c r="AC1135" s="18">
        <f>SUM(grand[[#This Row],[am]:[meat transportation]])/100</f>
        <v>0.91475609756097565</v>
      </c>
      <c r="AK1135" s="1"/>
      <c r="AL1135" s="1"/>
    </row>
    <row r="1136" spans="1:38" hidden="1" x14ac:dyDescent="0.2">
      <c r="A1136" s="11">
        <v>45659</v>
      </c>
      <c r="B1136" s="53" t="s">
        <v>2119</v>
      </c>
      <c r="C1136" s="52" t="str">
        <f>IF(MID(B1136,4,2)="09","Ramadan",IF(AND(MID(B1136,4,2)="12",VALUE(LEFT(B1136,2))&lt;=9),"Adha Season","Normal"))</f>
        <v>Normal</v>
      </c>
      <c r="D1136" s="1" t="s">
        <v>45</v>
      </c>
      <c r="E1136" s="1" t="s">
        <v>528</v>
      </c>
      <c r="F1136" s="4" t="s">
        <v>280</v>
      </c>
      <c r="G1136" s="1">
        <v>58</v>
      </c>
      <c r="H1136" s="1">
        <v>57</v>
      </c>
      <c r="I1136" s="1">
        <f>grand[[#This Row],[number]]-grand[[#This Row],[received]]</f>
        <v>1</v>
      </c>
      <c r="J1136" s="64" t="s">
        <v>643</v>
      </c>
      <c r="K1136" s="2">
        <v>35623</v>
      </c>
      <c r="L1136" s="2">
        <v>34271</v>
      </c>
      <c r="M1136" s="2">
        <f>K1136-L1136</f>
        <v>1352</v>
      </c>
      <c r="N1136" s="2">
        <v>22259.599999999999</v>
      </c>
      <c r="O1136" s="2">
        <v>401</v>
      </c>
      <c r="P1136" s="7">
        <f>grand[[#This Row],[total weight]]/grand[[#This Row],[received]]</f>
        <v>624.96491228070181</v>
      </c>
      <c r="Q1136" s="7">
        <f>grand[[#This Row],[receiving weight]]/grand[[#This Row],[received]]</f>
        <v>601.24561403508767</v>
      </c>
      <c r="R1136" s="7">
        <f>grand[[#This Row],[transportation loss ]]/grand[[#This Row],[received]]</f>
        <v>23.719298245614034</v>
      </c>
      <c r="S1136" s="7">
        <f>grand[[#This Row],[ carcass weight]]/grand[[#This Row],[received]]</f>
        <v>390.51929824561398</v>
      </c>
      <c r="T1136" s="7">
        <f>grand[[#This Row],[ kidneys fat quantity]]/grand[[#This Row],[received]]</f>
        <v>7.0350877192982457</v>
      </c>
      <c r="U1136" s="1">
        <v>24.649122807017545</v>
      </c>
      <c r="V1136" s="1">
        <v>0</v>
      </c>
      <c r="W1136" s="1">
        <v>48.614035087719294</v>
      </c>
      <c r="X1136" s="1">
        <v>10</v>
      </c>
      <c r="Y1136" s="1">
        <v>8.5</v>
      </c>
      <c r="Z1136" s="18">
        <f>grand[[#This Row],[av. Transportation loss]]/grand[[#This Row],[av.total weight]]</f>
        <v>3.7953007888162138E-2</v>
      </c>
      <c r="AA1136" s="12">
        <f>AVERAGE((grand[[#This Row],[am]]/25),(grand[[#This Row],[pm]]/50))</f>
        <v>0.97912280701754384</v>
      </c>
      <c r="AB1136" s="3">
        <f>grand[[#This Row],[ carcass weight]]/grand[[#This Row],[total weight]]</f>
        <v>0.62486595738708139</v>
      </c>
      <c r="AC1136" s="18">
        <f>SUM(grand[[#This Row],[am]:[meat transportation]])/100</f>
        <v>0.91763157894736835</v>
      </c>
      <c r="AJ1136" s="1">
        <v>42</v>
      </c>
      <c r="AK1136" s="1"/>
      <c r="AL1136" s="1"/>
    </row>
    <row r="1137" spans="1:38" hidden="1" x14ac:dyDescent="0.2">
      <c r="A1137" s="11">
        <v>45661</v>
      </c>
      <c r="B1137" s="53" t="s">
        <v>2120</v>
      </c>
      <c r="C1137" s="52" t="str">
        <f>IF(MID(B1137,4,2)="09","Ramadan",IF(AND(MID(B1137,4,2)="12",VALUE(LEFT(B1137,2))&lt;=9),"Adha Season","Normal"))</f>
        <v>Normal</v>
      </c>
      <c r="D1137" s="1" t="s">
        <v>45</v>
      </c>
      <c r="E1137" s="1" t="s">
        <v>483</v>
      </c>
      <c r="F1137" s="4" t="s">
        <v>43</v>
      </c>
      <c r="G1137" s="1">
        <v>52</v>
      </c>
      <c r="H1137" s="1">
        <v>52</v>
      </c>
      <c r="I1137" s="1">
        <f>grand[[#This Row],[number]]-grand[[#This Row],[received]]</f>
        <v>0</v>
      </c>
      <c r="J1137" s="30"/>
      <c r="K1137" s="2">
        <v>27665</v>
      </c>
      <c r="L1137" s="2">
        <v>26785</v>
      </c>
      <c r="M1137" s="2">
        <f>K1137-L1137</f>
        <v>880</v>
      </c>
      <c r="N1137" s="2">
        <v>16598.2</v>
      </c>
      <c r="O1137" s="2">
        <v>609</v>
      </c>
      <c r="P1137" s="7">
        <f>grand[[#This Row],[total weight]]/grand[[#This Row],[received]]</f>
        <v>532.01923076923072</v>
      </c>
      <c r="Q1137" s="7">
        <f>grand[[#This Row],[receiving weight]]/grand[[#This Row],[received]]</f>
        <v>515.09615384615381</v>
      </c>
      <c r="R1137" s="7">
        <f>grand[[#This Row],[transportation loss ]]/grand[[#This Row],[received]]</f>
        <v>16.923076923076923</v>
      </c>
      <c r="S1137" s="7">
        <f>grand[[#This Row],[ carcass weight]]/grand[[#This Row],[received]]</f>
        <v>319.19615384615383</v>
      </c>
      <c r="T1137" s="7">
        <f>grand[[#This Row],[ kidneys fat quantity]]/grand[[#This Row],[received]]</f>
        <v>11.711538461538462</v>
      </c>
      <c r="U1137" s="1">
        <v>25</v>
      </c>
      <c r="V1137" s="1">
        <v>0</v>
      </c>
      <c r="W1137" s="1">
        <v>46.59615384615384</v>
      </c>
      <c r="X1137" s="1">
        <v>10</v>
      </c>
      <c r="Y1137" s="1">
        <v>8.5</v>
      </c>
      <c r="Z1137" s="18">
        <f>grand[[#This Row],[av. Transportation loss]]/grand[[#This Row],[av.total weight]]</f>
        <v>3.1809145129224656E-2</v>
      </c>
      <c r="AA1137" s="12">
        <f>AVERAGE((grand[[#This Row],[am]]/25),(grand[[#This Row],[pm]]/50))</f>
        <v>0.96596153846153832</v>
      </c>
      <c r="AB1137" s="3">
        <f>grand[[#This Row],[ carcass weight]]/grand[[#This Row],[total weight]]</f>
        <v>0.59997108259533705</v>
      </c>
      <c r="AC1137" s="18">
        <f>SUM(grand[[#This Row],[am]:[meat transportation]])/100</f>
        <v>0.90096153846153837</v>
      </c>
      <c r="AJ1137" s="1">
        <v>26</v>
      </c>
      <c r="AK1137" s="1"/>
      <c r="AL1137" s="1"/>
    </row>
    <row r="1138" spans="1:38" hidden="1" x14ac:dyDescent="0.2">
      <c r="A1138" s="11">
        <v>45662</v>
      </c>
      <c r="B1138" s="53" t="s">
        <v>2121</v>
      </c>
      <c r="C1138" s="52" t="str">
        <f>IF(MID(B1138,4,2)="09","Ramadan",IF(AND(MID(B1138,4,2)="12",VALUE(LEFT(B1138,2))&lt;=9),"Adha Season","Normal"))</f>
        <v>Normal</v>
      </c>
      <c r="D1138" s="2" t="s">
        <v>294</v>
      </c>
      <c r="F1138" s="4" t="s">
        <v>640</v>
      </c>
      <c r="G1138" s="1">
        <v>44</v>
      </c>
      <c r="H1138" s="1">
        <v>44</v>
      </c>
      <c r="I1138" s="1">
        <f>grand[[#This Row],[number]]-grand[[#This Row],[received]]</f>
        <v>0</v>
      </c>
      <c r="J1138" s="30"/>
      <c r="K1138" s="2">
        <v>1968</v>
      </c>
      <c r="L1138" s="2">
        <v>1935</v>
      </c>
      <c r="M1138" s="2">
        <f>K1138-L1138</f>
        <v>33</v>
      </c>
      <c r="N1138" s="2">
        <v>1097.4000000000001</v>
      </c>
      <c r="O1138" s="2">
        <v>0</v>
      </c>
      <c r="P1138" s="7">
        <f>grand[[#This Row],[total weight]]/grand[[#This Row],[received]]</f>
        <v>44.727272727272727</v>
      </c>
      <c r="Q1138" s="7">
        <f>grand[[#This Row],[receiving weight]]/grand[[#This Row],[received]]</f>
        <v>43.977272727272727</v>
      </c>
      <c r="R1138" s="7">
        <f>grand[[#This Row],[transportation loss ]]/grand[[#This Row],[received]]</f>
        <v>0.75</v>
      </c>
      <c r="S1138" s="7">
        <f>grand[[#This Row],[ carcass weight]]/grand[[#This Row],[received]]</f>
        <v>24.940909090909091</v>
      </c>
      <c r="T1138" s="7">
        <f>grand[[#This Row],[ kidneys fat quantity]]/grand[[#This Row],[received]]</f>
        <v>0</v>
      </c>
      <c r="U1138" s="1">
        <v>25</v>
      </c>
      <c r="V1138" s="1">
        <v>0</v>
      </c>
      <c r="W1138" s="1">
        <v>47.318181818181813</v>
      </c>
      <c r="X1138" s="1">
        <v>10</v>
      </c>
      <c r="Y1138" s="1">
        <v>8.5</v>
      </c>
      <c r="Z1138" s="18">
        <f>grand[[#This Row],[av. Transportation loss]]/grand[[#This Row],[av.total weight]]</f>
        <v>1.676829268292683E-2</v>
      </c>
      <c r="AA1138" s="12">
        <f>AVERAGE((grand[[#This Row],[am]]/25),(grand[[#This Row],[pm]]/50))</f>
        <v>0.97318181818181815</v>
      </c>
      <c r="AB1138" s="3">
        <f>grand[[#This Row],[ carcass weight]]/grand[[#This Row],[total weight]]</f>
        <v>0.55762195121951219</v>
      </c>
      <c r="AC1138" s="18">
        <f>SUM(grand[[#This Row],[am]:[meat transportation]])/100</f>
        <v>0.90818181818181809</v>
      </c>
      <c r="AK1138" s="1"/>
      <c r="AL1138" s="1"/>
    </row>
    <row r="1139" spans="1:38" hidden="1" x14ac:dyDescent="0.2">
      <c r="A1139" s="11">
        <v>45662</v>
      </c>
      <c r="B1139" s="53" t="s">
        <v>2121</v>
      </c>
      <c r="C1139" s="52" t="str">
        <f>IF(MID(B1139,4,2)="09","Ramadan",IF(AND(MID(B1139,4,2)="12",VALUE(LEFT(B1139,2))&lt;=9),"Adha Season","Normal"))</f>
        <v>Normal</v>
      </c>
      <c r="D1139" s="1" t="s">
        <v>45</v>
      </c>
      <c r="E1139" s="1" t="s">
        <v>483</v>
      </c>
      <c r="F1139" s="4" t="s">
        <v>959</v>
      </c>
      <c r="G1139" s="1">
        <v>60</v>
      </c>
      <c r="H1139" s="1">
        <v>60</v>
      </c>
      <c r="I1139" s="1">
        <f>grand[[#This Row],[number]]-grand[[#This Row],[received]]</f>
        <v>0</v>
      </c>
      <c r="J1139" s="30"/>
      <c r="K1139" s="2">
        <v>27167</v>
      </c>
      <c r="L1139" s="2">
        <v>25920</v>
      </c>
      <c r="M1139" s="2">
        <f>K1139-L1139</f>
        <v>1247</v>
      </c>
      <c r="N1139" s="2">
        <v>16299.7</v>
      </c>
      <c r="O1139" s="2">
        <v>467</v>
      </c>
      <c r="P1139" s="7">
        <f>grand[[#This Row],[total weight]]/grand[[#This Row],[received]]</f>
        <v>452.78333333333336</v>
      </c>
      <c r="Q1139" s="7">
        <f>grand[[#This Row],[receiving weight]]/grand[[#This Row],[received]]</f>
        <v>432</v>
      </c>
      <c r="R1139" s="7">
        <f>grand[[#This Row],[transportation loss ]]/grand[[#This Row],[received]]</f>
        <v>20.783333333333335</v>
      </c>
      <c r="S1139" s="7">
        <f>grand[[#This Row],[ carcass weight]]/grand[[#This Row],[received]]</f>
        <v>271.66166666666669</v>
      </c>
      <c r="T1139" s="7">
        <f>grand[[#This Row],[ kidneys fat quantity]]/grand[[#This Row],[received]]</f>
        <v>7.7833333333333332</v>
      </c>
      <c r="U1139" s="1">
        <v>25</v>
      </c>
      <c r="V1139" s="1">
        <v>0</v>
      </c>
      <c r="W1139" s="1">
        <v>49.349999999999994</v>
      </c>
      <c r="X1139" s="1">
        <v>10</v>
      </c>
      <c r="Y1139" s="1">
        <v>8.5</v>
      </c>
      <c r="Z1139" s="18">
        <f>grand[[#This Row],[av. Transportation loss]]/grand[[#This Row],[av.total weight]]</f>
        <v>4.590127728494129E-2</v>
      </c>
      <c r="AA1139" s="12">
        <f>AVERAGE((grand[[#This Row],[am]]/25),(grand[[#This Row],[pm]]/50))</f>
        <v>0.99349999999999994</v>
      </c>
      <c r="AB1139" s="3">
        <f>grand[[#This Row],[ carcass weight]]/grand[[#This Row],[total weight]]</f>
        <v>0.59998159531784889</v>
      </c>
      <c r="AC1139" s="18">
        <f>SUM(grand[[#This Row],[am]:[meat transportation]])/100</f>
        <v>0.92849999999999999</v>
      </c>
      <c r="AK1139" s="1"/>
      <c r="AL1139" s="1"/>
    </row>
    <row r="1140" spans="1:38" hidden="1" x14ac:dyDescent="0.2">
      <c r="A1140" s="11">
        <v>45663</v>
      </c>
      <c r="B1140" s="53" t="s">
        <v>2122</v>
      </c>
      <c r="C1140" s="52" t="str">
        <f>IF(MID(B1140,4,2)="09","Ramadan",IF(AND(MID(B1140,4,2)="12",VALUE(LEFT(B1140,2))&lt;=9),"Adha Season","Normal"))</f>
        <v>Normal</v>
      </c>
      <c r="D1140" s="1" t="s">
        <v>45</v>
      </c>
      <c r="E1140" s="1" t="s">
        <v>483</v>
      </c>
      <c r="F1140" s="4" t="s">
        <v>959</v>
      </c>
      <c r="G1140" s="1">
        <v>32</v>
      </c>
      <c r="H1140" s="1">
        <v>32</v>
      </c>
      <c r="I1140" s="1">
        <f>grand[[#This Row],[number]]-grand[[#This Row],[received]]</f>
        <v>0</v>
      </c>
      <c r="J1140" s="30"/>
      <c r="K1140" s="2">
        <v>14510</v>
      </c>
      <c r="L1140" s="2">
        <v>13875</v>
      </c>
      <c r="M1140" s="2">
        <f>K1140-L1140</f>
        <v>635</v>
      </c>
      <c r="N1140" s="2">
        <v>8721.9</v>
      </c>
      <c r="O1140" s="2">
        <v>248</v>
      </c>
      <c r="P1140" s="7">
        <f>grand[[#This Row],[total weight]]/grand[[#This Row],[received]]</f>
        <v>453.4375</v>
      </c>
      <c r="Q1140" s="7">
        <f>grand[[#This Row],[receiving weight]]/grand[[#This Row],[received]]</f>
        <v>433.59375</v>
      </c>
      <c r="R1140" s="7">
        <f>grand[[#This Row],[transportation loss ]]/grand[[#This Row],[received]]</f>
        <v>19.84375</v>
      </c>
      <c r="S1140" s="7">
        <f>grand[[#This Row],[ carcass weight]]/grand[[#This Row],[received]]</f>
        <v>272.55937499999999</v>
      </c>
      <c r="T1140" s="7">
        <f>grand[[#This Row],[ kidneys fat quantity]]/grand[[#This Row],[received]]</f>
        <v>7.75</v>
      </c>
      <c r="U1140" s="1">
        <v>25</v>
      </c>
      <c r="V1140" s="1">
        <v>0</v>
      </c>
      <c r="W1140" s="1">
        <v>49.349999999999994</v>
      </c>
      <c r="X1140" s="1">
        <v>10</v>
      </c>
      <c r="Y1140" s="1">
        <v>8.5</v>
      </c>
      <c r="Z1140" s="18">
        <f>grand[[#This Row],[av. Transportation loss]]/grand[[#This Row],[av.total weight]]</f>
        <v>4.3762922122674019E-2</v>
      </c>
      <c r="AA1140" s="12">
        <f>AVERAGE((grand[[#This Row],[am]]/25),(grand[[#This Row],[pm]]/50))</f>
        <v>0.99349999999999994</v>
      </c>
      <c r="AB1140" s="3">
        <f>grand[[#This Row],[ carcass weight]]/grand[[#This Row],[total weight]]</f>
        <v>0.60109579600275664</v>
      </c>
      <c r="AC1140" s="18">
        <f>SUM(grand[[#This Row],[am]:[meat transportation]])/100</f>
        <v>0.92849999999999999</v>
      </c>
      <c r="AK1140" s="1"/>
      <c r="AL1140" s="1"/>
    </row>
    <row r="1141" spans="1:38" hidden="1" x14ac:dyDescent="0.2">
      <c r="A1141" s="11">
        <v>45663</v>
      </c>
      <c r="B1141" s="53" t="s">
        <v>2122</v>
      </c>
      <c r="C1141" s="52" t="str">
        <f>IF(MID(B1141,4,2)="09","Ramadan",IF(AND(MID(B1141,4,2)="12",VALUE(LEFT(B1141,2))&lt;=9),"Adha Season","Normal"))</f>
        <v>Normal</v>
      </c>
      <c r="D1141" s="1" t="s">
        <v>45</v>
      </c>
      <c r="E1141" s="1" t="s">
        <v>483</v>
      </c>
      <c r="F1141" s="4" t="s">
        <v>39</v>
      </c>
      <c r="G1141" s="1">
        <v>45</v>
      </c>
      <c r="H1141" s="1">
        <v>45</v>
      </c>
      <c r="I1141" s="1">
        <f>grand[[#This Row],[number]]-grand[[#This Row],[received]]</f>
        <v>0</v>
      </c>
      <c r="J1141" s="30"/>
      <c r="K1141" s="2">
        <v>20156.661316211877</v>
      </c>
      <c r="L1141" s="2">
        <v>20156.661316211877</v>
      </c>
      <c r="M1141" s="2">
        <f>K1141-L1141</f>
        <v>0</v>
      </c>
      <c r="N1141" s="2">
        <v>12557.6</v>
      </c>
      <c r="O1141" s="2">
        <v>0</v>
      </c>
      <c r="P1141" s="7">
        <f>grand[[#This Row],[total weight]]/grand[[#This Row],[received]]</f>
        <v>447.92580702693061</v>
      </c>
      <c r="Q1141" s="7">
        <f>grand[[#This Row],[receiving weight]]/grand[[#This Row],[received]]</f>
        <v>447.92580702693061</v>
      </c>
      <c r="R1141" s="7">
        <f>grand[[#This Row],[transportation loss ]]/grand[[#This Row],[received]]</f>
        <v>0</v>
      </c>
      <c r="S1141" s="7">
        <f>grand[[#This Row],[ carcass weight]]/grand[[#This Row],[received]]</f>
        <v>279.0577777777778</v>
      </c>
      <c r="T1141" s="7">
        <f>grand[[#This Row],[ kidneys fat quantity]]/grand[[#This Row],[received]]</f>
        <v>0</v>
      </c>
      <c r="U1141" s="1">
        <v>25</v>
      </c>
      <c r="V1141" s="1">
        <v>5</v>
      </c>
      <c r="W1141" s="1">
        <v>49.888888888888886</v>
      </c>
      <c r="X1141" s="1">
        <v>10</v>
      </c>
      <c r="Y1141" s="1">
        <v>8.5</v>
      </c>
      <c r="Z1141" s="18">
        <f>grand[[#This Row],[av. Transportation loss]]/grand[[#This Row],[av.total weight]]</f>
        <v>0</v>
      </c>
      <c r="AA1141" s="12">
        <f>AVERAGE((grand[[#This Row],[am]]/25),(grand[[#This Row],[pm]]/50))</f>
        <v>0.99888888888888894</v>
      </c>
      <c r="AB1141" s="3">
        <f>grand[[#This Row],[ carcass weight]]/grand[[#This Row],[total weight]]</f>
        <v>0.623</v>
      </c>
      <c r="AC1141" s="18">
        <f>SUM(grand[[#This Row],[am]:[meat transportation]])/100</f>
        <v>0.98388888888888881</v>
      </c>
      <c r="AK1141" s="1"/>
      <c r="AL1141" s="1"/>
    </row>
    <row r="1142" spans="1:38" hidden="1" x14ac:dyDescent="0.2">
      <c r="A1142" s="11">
        <v>45665</v>
      </c>
      <c r="B1142" s="53" t="s">
        <v>2123</v>
      </c>
      <c r="C1142" s="52" t="str">
        <f>IF(MID(B1142,4,2)="09","Ramadan",IF(AND(MID(B1142,4,2)="12",VALUE(LEFT(B1142,2))&lt;=9),"Adha Season","Normal"))</f>
        <v>Normal</v>
      </c>
      <c r="D1142" s="1" t="s">
        <v>45</v>
      </c>
      <c r="E1142" s="1" t="s">
        <v>528</v>
      </c>
      <c r="F1142" s="4" t="s">
        <v>280</v>
      </c>
      <c r="G1142" s="1">
        <v>28</v>
      </c>
      <c r="H1142" s="1">
        <v>28</v>
      </c>
      <c r="I1142" s="1">
        <f>grand[[#This Row],[number]]-grand[[#This Row],[received]]</f>
        <v>0</v>
      </c>
      <c r="J1142" s="30"/>
      <c r="K1142" s="2">
        <v>17500</v>
      </c>
      <c r="L1142" s="2">
        <v>17500</v>
      </c>
      <c r="M1142" s="2">
        <f>K1142-L1142</f>
        <v>0</v>
      </c>
      <c r="N1142" s="2">
        <v>11258.3</v>
      </c>
      <c r="O1142" s="2">
        <v>227</v>
      </c>
      <c r="P1142" s="7">
        <f>grand[[#This Row],[total weight]]/grand[[#This Row],[received]]</f>
        <v>625</v>
      </c>
      <c r="Q1142" s="7">
        <f>grand[[#This Row],[receiving weight]]/grand[[#This Row],[received]]</f>
        <v>625</v>
      </c>
      <c r="R1142" s="7">
        <f>grand[[#This Row],[transportation loss ]]/grand[[#This Row],[received]]</f>
        <v>0</v>
      </c>
      <c r="S1142" s="7">
        <f>grand[[#This Row],[ carcass weight]]/grand[[#This Row],[received]]</f>
        <v>402.08214285714286</v>
      </c>
      <c r="T1142" s="7">
        <f>grand[[#This Row],[ kidneys fat quantity]]/grand[[#This Row],[received]]</f>
        <v>8.1071428571428577</v>
      </c>
      <c r="U1142" s="1">
        <v>23.928571428571431</v>
      </c>
      <c r="V1142" s="1">
        <v>0</v>
      </c>
      <c r="W1142" s="1">
        <v>48.142857142857146</v>
      </c>
      <c r="X1142" s="1">
        <v>10</v>
      </c>
      <c r="Y1142" s="1">
        <v>8.5</v>
      </c>
      <c r="Z1142" s="18">
        <f>grand[[#This Row],[av. Transportation loss]]/grand[[#This Row],[av.total weight]]</f>
        <v>0</v>
      </c>
      <c r="AA1142" s="12">
        <f>AVERAGE((grand[[#This Row],[am]]/25),(grand[[#This Row],[pm]]/50))</f>
        <v>0.96000000000000008</v>
      </c>
      <c r="AB1142" s="3">
        <f>grand[[#This Row],[ carcass weight]]/grand[[#This Row],[total weight]]</f>
        <v>0.64333142857142855</v>
      </c>
      <c r="AC1142" s="18">
        <f>SUM(grand[[#This Row],[am]:[meat transportation]])/100</f>
        <v>0.90571428571428581</v>
      </c>
      <c r="AJ1142" s="1">
        <v>26</v>
      </c>
      <c r="AK1142" s="1"/>
      <c r="AL1142" s="1"/>
    </row>
    <row r="1143" spans="1:38" hidden="1" x14ac:dyDescent="0.2">
      <c r="A1143" s="11">
        <v>45666</v>
      </c>
      <c r="B1143" s="53" t="s">
        <v>2124</v>
      </c>
      <c r="C1143" s="52" t="str">
        <f>IF(MID(B1143,4,2)="09","Ramadan",IF(AND(MID(B1143,4,2)="12",VALUE(LEFT(B1143,2))&lt;=9),"Adha Season","Normal"))</f>
        <v>Normal</v>
      </c>
      <c r="D1143" s="2" t="s">
        <v>294</v>
      </c>
      <c r="F1143" s="4" t="s">
        <v>280</v>
      </c>
      <c r="G1143" s="1">
        <v>41</v>
      </c>
      <c r="H1143" s="1">
        <v>41</v>
      </c>
      <c r="I1143" s="1">
        <f>grand[[#This Row],[number]]-grand[[#This Row],[received]]</f>
        <v>0</v>
      </c>
      <c r="J1143" s="30"/>
      <c r="K1143" s="2">
        <v>2155</v>
      </c>
      <c r="L1143" s="2">
        <v>2113</v>
      </c>
      <c r="M1143" s="2">
        <f>K1143-L1143</f>
        <v>42</v>
      </c>
      <c r="N1143" s="2">
        <v>1261.4000000000001</v>
      </c>
      <c r="O1143" s="2">
        <v>0</v>
      </c>
      <c r="P1143" s="7">
        <f>grand[[#This Row],[total weight]]/grand[[#This Row],[received]]</f>
        <v>52.560975609756099</v>
      </c>
      <c r="Q1143" s="7">
        <f>grand[[#This Row],[receiving weight]]/grand[[#This Row],[received]]</f>
        <v>51.536585365853661</v>
      </c>
      <c r="R1143" s="7">
        <f>grand[[#This Row],[transportation loss ]]/grand[[#This Row],[received]]</f>
        <v>1.024390243902439</v>
      </c>
      <c r="S1143" s="7">
        <f>grand[[#This Row],[ carcass weight]]/grand[[#This Row],[received]]</f>
        <v>30.765853658536589</v>
      </c>
      <c r="T1143" s="7">
        <f>grand[[#This Row],[ kidneys fat quantity]]/grand[[#This Row],[received]]</f>
        <v>0</v>
      </c>
      <c r="U1143" s="1">
        <v>25</v>
      </c>
      <c r="V1143" s="1">
        <v>0</v>
      </c>
      <c r="W1143" s="1">
        <v>47.780487804878042</v>
      </c>
      <c r="X1143" s="1">
        <v>10</v>
      </c>
      <c r="Y1143" s="1">
        <v>8.5</v>
      </c>
      <c r="Z1143" s="18">
        <f>grand[[#This Row],[av. Transportation loss]]/grand[[#This Row],[av.total weight]]</f>
        <v>1.9489559164733179E-2</v>
      </c>
      <c r="AA1143" s="12">
        <f>AVERAGE((grand[[#This Row],[am]]/25),(grand[[#This Row],[pm]]/50))</f>
        <v>0.97780487804878047</v>
      </c>
      <c r="AB1143" s="3">
        <f>grand[[#This Row],[ carcass weight]]/grand[[#This Row],[total weight]]</f>
        <v>0.58533642691415322</v>
      </c>
      <c r="AC1143" s="18">
        <f>SUM(grand[[#This Row],[am]:[meat transportation]])/100</f>
        <v>0.91280487804878052</v>
      </c>
      <c r="AK1143" s="1"/>
      <c r="AL1143" s="1"/>
    </row>
    <row r="1144" spans="1:38" hidden="1" x14ac:dyDescent="0.2">
      <c r="A1144" s="11">
        <v>45666</v>
      </c>
      <c r="B1144" s="53" t="s">
        <v>2124</v>
      </c>
      <c r="C1144" s="52" t="str">
        <f>IF(MID(B1144,4,2)="09","Ramadan",IF(AND(MID(B1144,4,2)="12",VALUE(LEFT(B1144,2))&lt;=9),"Adha Season","Normal"))</f>
        <v>Normal</v>
      </c>
      <c r="D1144" s="1" t="s">
        <v>45</v>
      </c>
      <c r="E1144" s="1" t="s">
        <v>483</v>
      </c>
      <c r="F1144" s="4" t="s">
        <v>280</v>
      </c>
      <c r="G1144" s="1">
        <v>70</v>
      </c>
      <c r="H1144" s="1">
        <v>70</v>
      </c>
      <c r="I1144" s="1">
        <f>grand[[#This Row],[number]]-grand[[#This Row],[received]]</f>
        <v>0</v>
      </c>
      <c r="J1144" s="30"/>
      <c r="K1144" s="2">
        <v>30975</v>
      </c>
      <c r="L1144" s="2">
        <v>29955</v>
      </c>
      <c r="M1144" s="2">
        <f>K1144-L1144</f>
        <v>1020</v>
      </c>
      <c r="N1144" s="2">
        <v>18593.400000000001</v>
      </c>
      <c r="O1144" s="2">
        <v>544</v>
      </c>
      <c r="P1144" s="7">
        <f>grand[[#This Row],[total weight]]/grand[[#This Row],[received]]</f>
        <v>442.5</v>
      </c>
      <c r="Q1144" s="7">
        <f>grand[[#This Row],[receiving weight]]/grand[[#This Row],[received]]</f>
        <v>427.92857142857144</v>
      </c>
      <c r="R1144" s="7">
        <f>grand[[#This Row],[transportation loss ]]/grand[[#This Row],[received]]</f>
        <v>14.571428571428571</v>
      </c>
      <c r="S1144" s="7">
        <f>grand[[#This Row],[ carcass weight]]/grand[[#This Row],[received]]</f>
        <v>265.62</v>
      </c>
      <c r="T1144" s="7">
        <f>grand[[#This Row],[ kidneys fat quantity]]/grand[[#This Row],[received]]</f>
        <v>7.7714285714285714</v>
      </c>
      <c r="U1144" s="1">
        <v>25</v>
      </c>
      <c r="V1144" s="1">
        <v>0</v>
      </c>
      <c r="W1144" s="1">
        <v>48.614285714285721</v>
      </c>
      <c r="X1144" s="1">
        <v>10</v>
      </c>
      <c r="Y1144" s="1">
        <v>8.5</v>
      </c>
      <c r="Z1144" s="18">
        <f>grand[[#This Row],[av. Transportation loss]]/grand[[#This Row],[av.total weight]]</f>
        <v>3.2929782082324457E-2</v>
      </c>
      <c r="AA1144" s="12">
        <f>AVERAGE((grand[[#This Row],[am]]/25),(grand[[#This Row],[pm]]/50))</f>
        <v>0.98614285714285721</v>
      </c>
      <c r="AB1144" s="3">
        <f>grand[[#This Row],[ carcass weight]]/grand[[#This Row],[total weight]]</f>
        <v>0.60027118644067801</v>
      </c>
      <c r="AC1144" s="18">
        <f>SUM(grand[[#This Row],[am]:[meat transportation]])/100</f>
        <v>0.92114285714285726</v>
      </c>
      <c r="AJ1144" s="1">
        <v>23</v>
      </c>
      <c r="AK1144" s="1"/>
      <c r="AL1144" s="1"/>
    </row>
    <row r="1145" spans="1:38" hidden="1" x14ac:dyDescent="0.2">
      <c r="A1145" s="11">
        <v>45668</v>
      </c>
      <c r="B1145" s="53" t="s">
        <v>2125</v>
      </c>
      <c r="C1145" s="52" t="str">
        <f>IF(MID(B1145,4,2)="09","Ramadan",IF(AND(MID(B1145,4,2)="12",VALUE(LEFT(B1145,2))&lt;=9),"Adha Season","Normal"))</f>
        <v>Normal</v>
      </c>
      <c r="D1145" s="1" t="s">
        <v>45</v>
      </c>
      <c r="E1145" s="1" t="s">
        <v>483</v>
      </c>
      <c r="F1145" s="4" t="s">
        <v>550</v>
      </c>
      <c r="G1145" s="1">
        <v>14</v>
      </c>
      <c r="H1145" s="1">
        <v>14</v>
      </c>
      <c r="I1145" s="1">
        <f>grand[[#This Row],[number]]-grand[[#This Row],[received]]</f>
        <v>0</v>
      </c>
      <c r="J1145" s="30"/>
      <c r="K1145" s="2">
        <v>6741</v>
      </c>
      <c r="L1145" s="2">
        <v>6585</v>
      </c>
      <c r="M1145" s="2">
        <f>K1145-L1145</f>
        <v>156</v>
      </c>
      <c r="N1145" s="2">
        <v>4107</v>
      </c>
      <c r="O1145" s="2">
        <v>115</v>
      </c>
      <c r="P1145" s="7">
        <f>grand[[#This Row],[total weight]]/grand[[#This Row],[received]]</f>
        <v>481.5</v>
      </c>
      <c r="Q1145" s="7">
        <f>grand[[#This Row],[receiving weight]]/grand[[#This Row],[received]]</f>
        <v>470.35714285714283</v>
      </c>
      <c r="R1145" s="7">
        <f>grand[[#This Row],[transportation loss ]]/grand[[#This Row],[received]]</f>
        <v>11.142857142857142</v>
      </c>
      <c r="S1145" s="7">
        <f>grand[[#This Row],[ carcass weight]]/grand[[#This Row],[received]]</f>
        <v>293.35714285714283</v>
      </c>
      <c r="T1145" s="7">
        <f>grand[[#This Row],[ kidneys fat quantity]]/grand[[#This Row],[received]]</f>
        <v>8.2142857142857135</v>
      </c>
      <c r="U1145" s="1">
        <v>25</v>
      </c>
      <c r="V1145" s="1">
        <v>0</v>
      </c>
      <c r="W1145" s="1">
        <v>43.571428571428569</v>
      </c>
      <c r="X1145" s="1">
        <v>10</v>
      </c>
      <c r="Y1145" s="1">
        <v>8.5</v>
      </c>
      <c r="Z1145" s="18">
        <f>grand[[#This Row],[av. Transportation loss]]/grand[[#This Row],[av.total weight]]</f>
        <v>2.314196706720071E-2</v>
      </c>
      <c r="AA1145" s="12">
        <f>AVERAGE((grand[[#This Row],[am]]/25),(grand[[#This Row],[pm]]/50))</f>
        <v>0.93571428571428572</v>
      </c>
      <c r="AB1145" s="3">
        <f>grand[[#This Row],[ carcass weight]]/grand[[#This Row],[total weight]]</f>
        <v>0.60925678682688034</v>
      </c>
      <c r="AC1145" s="18">
        <f>SUM(grand[[#This Row],[am]:[meat transportation]])/100</f>
        <v>0.87071428571428566</v>
      </c>
      <c r="AJ1145" s="1">
        <v>11</v>
      </c>
      <c r="AK1145" s="1"/>
      <c r="AL1145" s="1"/>
    </row>
    <row r="1146" spans="1:38" hidden="1" x14ac:dyDescent="0.2">
      <c r="A1146" s="11">
        <v>45668</v>
      </c>
      <c r="B1146" s="53" t="s">
        <v>2125</v>
      </c>
      <c r="C1146" s="52" t="str">
        <f>IF(MID(B1146,4,2)="09","Ramadan",IF(AND(MID(B1146,4,2)="12",VALUE(LEFT(B1146,2))&lt;=9),"Adha Season","Normal"))</f>
        <v>Normal</v>
      </c>
      <c r="D1146" s="1" t="s">
        <v>45</v>
      </c>
      <c r="E1146" s="1" t="s">
        <v>483</v>
      </c>
      <c r="F1146" s="4" t="s">
        <v>640</v>
      </c>
      <c r="G1146" s="1">
        <v>14</v>
      </c>
      <c r="H1146" s="1">
        <v>14</v>
      </c>
      <c r="I1146" s="1">
        <f>grand[[#This Row],[number]]-grand[[#This Row],[received]]</f>
        <v>0</v>
      </c>
      <c r="J1146" s="30"/>
      <c r="K1146" s="2">
        <v>6459</v>
      </c>
      <c r="L1146" s="2">
        <v>6245</v>
      </c>
      <c r="M1146" s="2">
        <f>K1146-L1146</f>
        <v>214</v>
      </c>
      <c r="N1146" s="2">
        <v>3993.6</v>
      </c>
      <c r="O1146" s="2">
        <v>101</v>
      </c>
      <c r="P1146" s="7">
        <f>grand[[#This Row],[total weight]]/grand[[#This Row],[received]]</f>
        <v>461.35714285714283</v>
      </c>
      <c r="Q1146" s="7">
        <f>grand[[#This Row],[receiving weight]]/grand[[#This Row],[received]]</f>
        <v>446.07142857142856</v>
      </c>
      <c r="R1146" s="7">
        <f>grand[[#This Row],[transportation loss ]]/grand[[#This Row],[received]]</f>
        <v>15.285714285714286</v>
      </c>
      <c r="S1146" s="7">
        <f>grand[[#This Row],[ carcass weight]]/grand[[#This Row],[received]]</f>
        <v>285.25714285714287</v>
      </c>
      <c r="T1146" s="7">
        <f>grand[[#This Row],[ kidneys fat quantity]]/grand[[#This Row],[received]]</f>
        <v>7.2142857142857144</v>
      </c>
      <c r="U1146" s="1">
        <v>25</v>
      </c>
      <c r="V1146" s="1">
        <v>0</v>
      </c>
      <c r="W1146" s="1">
        <v>46.428571428571431</v>
      </c>
      <c r="X1146" s="1">
        <v>10</v>
      </c>
      <c r="Y1146" s="1">
        <v>8.5</v>
      </c>
      <c r="Z1146" s="18">
        <f>grand[[#This Row],[av. Transportation loss]]/grand[[#This Row],[av.total weight]]</f>
        <v>3.3132063786963928E-2</v>
      </c>
      <c r="AA1146" s="12">
        <f>AVERAGE((grand[[#This Row],[am]]/25),(grand[[#This Row],[pm]]/50))</f>
        <v>0.9642857142857143</v>
      </c>
      <c r="AB1146" s="3">
        <f>grand[[#This Row],[ carcass weight]]/grand[[#This Row],[total weight]]</f>
        <v>0.61830004644681835</v>
      </c>
      <c r="AC1146" s="18">
        <f>SUM(grand[[#This Row],[am]:[meat transportation]])/100</f>
        <v>0.89928571428571435</v>
      </c>
      <c r="AJ1146" s="1">
        <v>9</v>
      </c>
      <c r="AK1146" s="1"/>
      <c r="AL1146" s="1"/>
    </row>
    <row r="1147" spans="1:38" hidden="1" x14ac:dyDescent="0.2">
      <c r="A1147" s="11">
        <v>45669</v>
      </c>
      <c r="B1147" s="53" t="s">
        <v>2126</v>
      </c>
      <c r="C1147" s="52" t="str">
        <f>IF(MID(B1147,4,2)="09","Ramadan",IF(AND(MID(B1147,4,2)="12",VALUE(LEFT(B1147,2))&lt;=9),"Adha Season","Normal"))</f>
        <v>Normal</v>
      </c>
      <c r="D1147" s="2" t="s">
        <v>294</v>
      </c>
      <c r="F1147" s="4" t="s">
        <v>637</v>
      </c>
      <c r="G1147" s="1">
        <v>37</v>
      </c>
      <c r="H1147" s="1">
        <v>37</v>
      </c>
      <c r="I1147" s="1">
        <f>grand[[#This Row],[number]]-grand[[#This Row],[received]]</f>
        <v>0</v>
      </c>
      <c r="J1147" s="30"/>
      <c r="K1147" s="2">
        <v>1975</v>
      </c>
      <c r="L1147" s="2">
        <v>1960</v>
      </c>
      <c r="M1147" s="2">
        <f>K1147-L1147</f>
        <v>15</v>
      </c>
      <c r="N1147" s="2">
        <v>1154.0999999999999</v>
      </c>
      <c r="O1147" s="2">
        <v>0</v>
      </c>
      <c r="P1147" s="7">
        <f>grand[[#This Row],[total weight]]/grand[[#This Row],[received]]</f>
        <v>53.378378378378379</v>
      </c>
      <c r="Q1147" s="7">
        <f>grand[[#This Row],[receiving weight]]/grand[[#This Row],[received]]</f>
        <v>52.972972972972975</v>
      </c>
      <c r="R1147" s="7">
        <f>grand[[#This Row],[transportation loss ]]/grand[[#This Row],[received]]</f>
        <v>0.40540540540540543</v>
      </c>
      <c r="S1147" s="7">
        <f>grand[[#This Row],[ carcass weight]]/grand[[#This Row],[received]]</f>
        <v>31.191891891891888</v>
      </c>
      <c r="T1147" s="7">
        <f>grand[[#This Row],[ kidneys fat quantity]]/grand[[#This Row],[received]]</f>
        <v>0</v>
      </c>
      <c r="U1147" s="1">
        <v>25</v>
      </c>
      <c r="V1147" s="1">
        <v>0</v>
      </c>
      <c r="W1147" s="1">
        <v>44.864864864864863</v>
      </c>
      <c r="X1147" s="1">
        <v>10</v>
      </c>
      <c r="Y1147" s="1">
        <v>8.5</v>
      </c>
      <c r="Z1147" s="18">
        <f>grand[[#This Row],[av. Transportation loss]]/grand[[#This Row],[av.total weight]]</f>
        <v>7.5949367088607601E-3</v>
      </c>
      <c r="AA1147" s="12">
        <f>AVERAGE((grand[[#This Row],[am]]/25),(grand[[#This Row],[pm]]/50))</f>
        <v>0.94864864864864862</v>
      </c>
      <c r="AB1147" s="3">
        <f>grand[[#This Row],[ carcass weight]]/grand[[#This Row],[total weight]]</f>
        <v>0.58435443037974677</v>
      </c>
      <c r="AC1147" s="18">
        <f>SUM(grand[[#This Row],[am]:[meat transportation]])/100</f>
        <v>0.88364864864864867</v>
      </c>
      <c r="AK1147" s="1"/>
      <c r="AL1147" s="1"/>
    </row>
    <row r="1148" spans="1:38" hidden="1" x14ac:dyDescent="0.2">
      <c r="A1148" s="11">
        <v>45669</v>
      </c>
      <c r="B1148" s="53" t="s">
        <v>2126</v>
      </c>
      <c r="C1148" s="52" t="str">
        <f>IF(MID(B1148,4,2)="09","Ramadan",IF(AND(MID(B1148,4,2)="12",VALUE(LEFT(B1148,2))&lt;=9),"Adha Season","Normal"))</f>
        <v>Normal</v>
      </c>
      <c r="D1148" s="1" t="s">
        <v>45</v>
      </c>
      <c r="E1148" s="1" t="s">
        <v>483</v>
      </c>
      <c r="F1148" s="4" t="s">
        <v>959</v>
      </c>
      <c r="G1148" s="1">
        <v>45</v>
      </c>
      <c r="H1148" s="1">
        <v>45</v>
      </c>
      <c r="I1148" s="1">
        <f>grand[[#This Row],[number]]-grand[[#This Row],[received]]</f>
        <v>0</v>
      </c>
      <c r="J1148" s="30"/>
      <c r="K1148" s="2">
        <v>19058</v>
      </c>
      <c r="L1148" s="2">
        <v>18195</v>
      </c>
      <c r="M1148" s="2">
        <f>K1148-L1148</f>
        <v>863</v>
      </c>
      <c r="N1148" s="2">
        <v>11486.8</v>
      </c>
      <c r="O1148" s="2">
        <v>335</v>
      </c>
      <c r="P1148" s="7">
        <f>grand[[#This Row],[total weight]]/grand[[#This Row],[received]]</f>
        <v>423.51111111111112</v>
      </c>
      <c r="Q1148" s="7">
        <f>grand[[#This Row],[receiving weight]]/grand[[#This Row],[received]]</f>
        <v>404.33333333333331</v>
      </c>
      <c r="R1148" s="7">
        <f>grand[[#This Row],[transportation loss ]]/grand[[#This Row],[received]]</f>
        <v>19.177777777777777</v>
      </c>
      <c r="S1148" s="7">
        <f>grand[[#This Row],[ carcass weight]]/grand[[#This Row],[received]]</f>
        <v>255.26222222222219</v>
      </c>
      <c r="T1148" s="7">
        <f>grand[[#This Row],[ kidneys fat quantity]]/grand[[#This Row],[received]]</f>
        <v>7.4444444444444446</v>
      </c>
      <c r="U1148" s="1">
        <v>25</v>
      </c>
      <c r="V1148" s="1">
        <v>0</v>
      </c>
      <c r="W1148" s="1">
        <v>49.844444444444441</v>
      </c>
      <c r="X1148" s="1">
        <v>10</v>
      </c>
      <c r="Y1148" s="1">
        <v>8.5</v>
      </c>
      <c r="Z1148" s="18">
        <f>grand[[#This Row],[av. Transportation loss]]/grand[[#This Row],[av.total weight]]</f>
        <v>4.5282820862629865E-2</v>
      </c>
      <c r="AA1148" s="12">
        <f>AVERAGE((grand[[#This Row],[am]]/25),(grand[[#This Row],[pm]]/50))</f>
        <v>0.99844444444444447</v>
      </c>
      <c r="AB1148" s="3">
        <f>grand[[#This Row],[ carcass weight]]/grand[[#This Row],[total weight]]</f>
        <v>0.6027285129604365</v>
      </c>
      <c r="AC1148" s="18">
        <f>SUM(grand[[#This Row],[am]:[meat transportation]])/100</f>
        <v>0.9334444444444443</v>
      </c>
      <c r="AK1148" s="1"/>
      <c r="AL1148" s="1"/>
    </row>
    <row r="1149" spans="1:38" hidden="1" x14ac:dyDescent="0.2">
      <c r="A1149" s="11">
        <v>45670</v>
      </c>
      <c r="B1149" s="53" t="s">
        <v>2127</v>
      </c>
      <c r="C1149" s="52" t="str">
        <f>IF(MID(B1149,4,2)="09","Ramadan",IF(AND(MID(B1149,4,2)="12",VALUE(LEFT(B1149,2))&lt;=9),"Adha Season","Normal"))</f>
        <v>Normal</v>
      </c>
      <c r="D1149" s="1" t="s">
        <v>45</v>
      </c>
      <c r="E1149" s="1" t="s">
        <v>483</v>
      </c>
      <c r="F1149" s="4" t="s">
        <v>959</v>
      </c>
      <c r="G1149" s="1">
        <v>32</v>
      </c>
      <c r="H1149" s="1">
        <v>32</v>
      </c>
      <c r="I1149" s="1">
        <f>grand[[#This Row],[number]]-grand[[#This Row],[received]]</f>
        <v>0</v>
      </c>
      <c r="J1149" s="30"/>
      <c r="K1149" s="2">
        <v>13874</v>
      </c>
      <c r="L1149" s="2">
        <v>13310</v>
      </c>
      <c r="M1149" s="2">
        <f>K1149-L1149</f>
        <v>564</v>
      </c>
      <c r="N1149" s="2">
        <v>8360.2000000000007</v>
      </c>
      <c r="O1149" s="2">
        <v>212</v>
      </c>
      <c r="P1149" s="7">
        <f>grand[[#This Row],[total weight]]/grand[[#This Row],[received]]</f>
        <v>433.5625</v>
      </c>
      <c r="Q1149" s="7">
        <f>grand[[#This Row],[receiving weight]]/grand[[#This Row],[received]]</f>
        <v>415.9375</v>
      </c>
      <c r="R1149" s="7">
        <f>grand[[#This Row],[transportation loss ]]/grand[[#This Row],[received]]</f>
        <v>17.625</v>
      </c>
      <c r="S1149" s="7">
        <f>grand[[#This Row],[ carcass weight]]/grand[[#This Row],[received]]</f>
        <v>261.25625000000002</v>
      </c>
      <c r="T1149" s="7">
        <f>grand[[#This Row],[ kidneys fat quantity]]/grand[[#This Row],[received]]</f>
        <v>6.625</v>
      </c>
      <c r="U1149" s="1">
        <v>25</v>
      </c>
      <c r="V1149" s="1">
        <v>0</v>
      </c>
      <c r="W1149" s="1">
        <v>48.46875</v>
      </c>
      <c r="X1149" s="1">
        <v>10</v>
      </c>
      <c r="Y1149" s="1">
        <v>8.5</v>
      </c>
      <c r="Z1149" s="18">
        <f>grand[[#This Row],[av. Transportation loss]]/grand[[#This Row],[av.total weight]]</f>
        <v>4.0651578492143577E-2</v>
      </c>
      <c r="AA1149" s="12">
        <f>AVERAGE((grand[[#This Row],[am]]/25),(grand[[#This Row],[pm]]/50))</f>
        <v>0.98468749999999994</v>
      </c>
      <c r="AB1149" s="3">
        <f>grand[[#This Row],[ carcass weight]]/grand[[#This Row],[total weight]]</f>
        <v>0.60258036615251553</v>
      </c>
      <c r="AC1149" s="18">
        <f>SUM(grand[[#This Row],[am]:[meat transportation]])/100</f>
        <v>0.91968749999999999</v>
      </c>
      <c r="AK1149" s="1"/>
      <c r="AL1149" s="1"/>
    </row>
    <row r="1150" spans="1:38" hidden="1" x14ac:dyDescent="0.2">
      <c r="A1150" s="11">
        <v>45672</v>
      </c>
      <c r="B1150" s="53" t="s">
        <v>2128</v>
      </c>
      <c r="C1150" s="52" t="str">
        <f>IF(MID(B1150,4,2)="09","Ramadan",IF(AND(MID(B1150,4,2)="12",VALUE(LEFT(B1150,2))&lt;=9),"Adha Season","Normal"))</f>
        <v>Normal</v>
      </c>
      <c r="D1150" s="1" t="s">
        <v>45</v>
      </c>
      <c r="E1150" s="1" t="s">
        <v>483</v>
      </c>
      <c r="F1150" s="4" t="s">
        <v>43</v>
      </c>
      <c r="G1150" s="1">
        <v>32</v>
      </c>
      <c r="H1150" s="1">
        <v>29</v>
      </c>
      <c r="I1150" s="1">
        <f>grand[[#This Row],[number]]-grand[[#This Row],[received]]</f>
        <v>3</v>
      </c>
      <c r="J1150" s="64" t="s">
        <v>667</v>
      </c>
      <c r="K1150" s="2">
        <v>15014</v>
      </c>
      <c r="L1150" s="2">
        <v>14349</v>
      </c>
      <c r="M1150" s="2">
        <f>K1150-L1150</f>
        <v>665</v>
      </c>
      <c r="N1150" s="2">
        <v>9008.2000000000007</v>
      </c>
      <c r="O1150" s="2">
        <v>293</v>
      </c>
      <c r="P1150" s="7">
        <f>grand[[#This Row],[total weight]]/grand[[#This Row],[received]]</f>
        <v>517.72413793103453</v>
      </c>
      <c r="Q1150" s="7">
        <f>grand[[#This Row],[receiving weight]]/grand[[#This Row],[received]]</f>
        <v>494.79310344827587</v>
      </c>
      <c r="R1150" s="7">
        <f>grand[[#This Row],[transportation loss ]]/grand[[#This Row],[received]]</f>
        <v>22.931034482758619</v>
      </c>
      <c r="S1150" s="7">
        <f>grand[[#This Row],[ carcass weight]]/grand[[#This Row],[received]]</f>
        <v>310.62758620689658</v>
      </c>
      <c r="T1150" s="7">
        <f>grand[[#This Row],[ kidneys fat quantity]]/grand[[#This Row],[received]]</f>
        <v>10.103448275862069</v>
      </c>
      <c r="U1150" s="1">
        <v>25</v>
      </c>
      <c r="V1150" s="1">
        <v>0</v>
      </c>
      <c r="W1150" s="1">
        <v>47.724137931034484</v>
      </c>
      <c r="X1150" s="1">
        <v>10</v>
      </c>
      <c r="Y1150" s="1">
        <v>8.5</v>
      </c>
      <c r="Z1150" s="18">
        <f>grand[[#This Row],[av. Transportation loss]]/grand[[#This Row],[av.total weight]]</f>
        <v>4.4291994138803775E-2</v>
      </c>
      <c r="AA1150" s="12">
        <f>AVERAGE((grand[[#This Row],[am]]/25),(grand[[#This Row],[pm]]/50))</f>
        <v>0.97724137931034483</v>
      </c>
      <c r="AB1150" s="3">
        <f>grand[[#This Row],[ carcass weight]]/grand[[#This Row],[total weight]]</f>
        <v>0.5999866790995072</v>
      </c>
      <c r="AC1150" s="18">
        <f>SUM(grand[[#This Row],[am]:[meat transportation]])/100</f>
        <v>0.91224137931034477</v>
      </c>
      <c r="AJ1150" s="1">
        <v>11</v>
      </c>
      <c r="AK1150" s="1"/>
      <c r="AL1150" s="1"/>
    </row>
    <row r="1151" spans="1:38" hidden="1" x14ac:dyDescent="0.2">
      <c r="A1151" s="11">
        <v>45673</v>
      </c>
      <c r="B1151" s="53" t="s">
        <v>2129</v>
      </c>
      <c r="C1151" s="52" t="str">
        <f>IF(MID(B1151,4,2)="09","Ramadan",IF(AND(MID(B1151,4,2)="12",VALUE(LEFT(B1151,2))&lt;=9),"Adha Season","Normal"))</f>
        <v>Normal</v>
      </c>
      <c r="D1151" s="2" t="s">
        <v>294</v>
      </c>
      <c r="F1151" s="4" t="s">
        <v>550</v>
      </c>
      <c r="G1151" s="1">
        <v>42</v>
      </c>
      <c r="H1151" s="1">
        <v>42</v>
      </c>
      <c r="I1151" s="1">
        <f>grand[[#This Row],[number]]-grand[[#This Row],[received]]</f>
        <v>0</v>
      </c>
      <c r="J1151" s="30"/>
      <c r="K1151" s="2">
        <v>2026</v>
      </c>
      <c r="L1151" s="2">
        <v>1911</v>
      </c>
      <c r="M1151" s="2">
        <f>K1151-L1151</f>
        <v>115</v>
      </c>
      <c r="N1151" s="2">
        <v>1045.8</v>
      </c>
      <c r="O1151" s="2">
        <v>0</v>
      </c>
      <c r="P1151" s="7">
        <f>grand[[#This Row],[total weight]]/grand[[#This Row],[received]]</f>
        <v>48.238095238095241</v>
      </c>
      <c r="Q1151" s="7">
        <f>grand[[#This Row],[receiving weight]]/grand[[#This Row],[received]]</f>
        <v>45.5</v>
      </c>
      <c r="R1151" s="7">
        <f>grand[[#This Row],[transportation loss ]]/grand[[#This Row],[received]]</f>
        <v>2.7380952380952381</v>
      </c>
      <c r="S1151" s="7">
        <f>grand[[#This Row],[ carcass weight]]/grand[[#This Row],[received]]</f>
        <v>24.9</v>
      </c>
      <c r="T1151" s="7">
        <f>grand[[#This Row],[ kidneys fat quantity]]/grand[[#This Row],[received]]</f>
        <v>0</v>
      </c>
      <c r="U1151" s="1">
        <v>25</v>
      </c>
      <c r="V1151" s="1">
        <v>0</v>
      </c>
      <c r="W1151" s="1">
        <v>43.095238095238102</v>
      </c>
      <c r="X1151" s="1">
        <v>10</v>
      </c>
      <c r="Y1151" s="1">
        <v>8.5</v>
      </c>
      <c r="Z1151" s="18">
        <f>grand[[#This Row],[av. Transportation loss]]/grand[[#This Row],[av.total weight]]</f>
        <v>5.6762092793682127E-2</v>
      </c>
      <c r="AA1151" s="12">
        <f>AVERAGE((grand[[#This Row],[am]]/25),(grand[[#This Row],[pm]]/50))</f>
        <v>0.93095238095238098</v>
      </c>
      <c r="AB1151" s="3">
        <f>grand[[#This Row],[ carcass weight]]/grand[[#This Row],[total weight]]</f>
        <v>0.51618953603158935</v>
      </c>
      <c r="AC1151" s="18">
        <f>SUM(grand[[#This Row],[am]:[meat transportation]])/100</f>
        <v>0.86595238095238103</v>
      </c>
      <c r="AK1151" s="1"/>
      <c r="AL1151" s="1"/>
    </row>
    <row r="1152" spans="1:38" hidden="1" x14ac:dyDescent="0.2">
      <c r="A1152" s="11">
        <v>45673</v>
      </c>
      <c r="B1152" s="53" t="s">
        <v>2129</v>
      </c>
      <c r="C1152" s="52" t="str">
        <f>IF(MID(B1152,4,2)="09","Ramadan",IF(AND(MID(B1152,4,2)="12",VALUE(LEFT(B1152,2))&lt;=9),"Adha Season","Normal"))</f>
        <v>Normal</v>
      </c>
      <c r="D1152" s="1" t="s">
        <v>45</v>
      </c>
      <c r="E1152" s="1" t="s">
        <v>483</v>
      </c>
      <c r="F1152" s="4" t="s">
        <v>280</v>
      </c>
      <c r="G1152" s="1">
        <v>66</v>
      </c>
      <c r="H1152" s="1">
        <v>66</v>
      </c>
      <c r="I1152" s="1">
        <f>grand[[#This Row],[number]]-grand[[#This Row],[received]]</f>
        <v>0</v>
      </c>
      <c r="J1152" s="30"/>
      <c r="K1152" s="2">
        <v>42009</v>
      </c>
      <c r="L1152" s="2">
        <v>41910</v>
      </c>
      <c r="M1152" s="2">
        <f>K1152-L1152</f>
        <v>99</v>
      </c>
      <c r="N1152" s="2">
        <v>27022.400000000001</v>
      </c>
      <c r="O1152" s="2">
        <v>615</v>
      </c>
      <c r="P1152" s="7">
        <f>grand[[#This Row],[total weight]]/grand[[#This Row],[received]]</f>
        <v>636.5</v>
      </c>
      <c r="Q1152" s="7">
        <f>grand[[#This Row],[receiving weight]]/grand[[#This Row],[received]]</f>
        <v>635</v>
      </c>
      <c r="R1152" s="7">
        <f>grand[[#This Row],[transportation loss ]]/grand[[#This Row],[received]]</f>
        <v>1.5</v>
      </c>
      <c r="S1152" s="7">
        <f>grand[[#This Row],[ carcass weight]]/grand[[#This Row],[received]]</f>
        <v>409.43030303030304</v>
      </c>
      <c r="T1152" s="7">
        <f>grand[[#This Row],[ kidneys fat quantity]]/grand[[#This Row],[received]]</f>
        <v>9.3181818181818183</v>
      </c>
      <c r="U1152" s="1">
        <v>24.848484848484848</v>
      </c>
      <c r="V1152" s="1">
        <v>0</v>
      </c>
      <c r="W1152" s="1">
        <v>49.13636363636364</v>
      </c>
      <c r="X1152" s="1">
        <v>10</v>
      </c>
      <c r="Y1152" s="1">
        <v>8.5</v>
      </c>
      <c r="Z1152" s="18">
        <f>grand[[#This Row],[av. Transportation loss]]/grand[[#This Row],[av.total weight]]</f>
        <v>2.3566378633150041E-3</v>
      </c>
      <c r="AA1152" s="12">
        <f>AVERAGE((grand[[#This Row],[am]]/25),(grand[[#This Row],[pm]]/50))</f>
        <v>0.98833333333333329</v>
      </c>
      <c r="AB1152" s="3">
        <f>grand[[#This Row],[ carcass weight]]/grand[[#This Row],[total weight]]</f>
        <v>0.64325263633983198</v>
      </c>
      <c r="AC1152" s="18">
        <f>SUM(grand[[#This Row],[am]:[meat transportation]])/100</f>
        <v>0.92484848484848481</v>
      </c>
      <c r="AJ1152" s="1">
        <v>60</v>
      </c>
      <c r="AK1152" s="1"/>
      <c r="AL1152" s="1"/>
    </row>
    <row r="1153" spans="1:38" hidden="1" x14ac:dyDescent="0.2">
      <c r="A1153" s="11">
        <v>45675</v>
      </c>
      <c r="B1153" s="53" t="s">
        <v>2130</v>
      </c>
      <c r="C1153" s="52" t="str">
        <f>IF(MID(B1153,4,2)="09","Ramadan",IF(AND(MID(B1153,4,2)="12",VALUE(LEFT(B1153,2))&lt;=9),"Adha Season","Normal"))</f>
        <v>Normal</v>
      </c>
      <c r="D1153" s="1" t="s">
        <v>45</v>
      </c>
      <c r="E1153" s="1" t="s">
        <v>483</v>
      </c>
      <c r="F1153" s="4" t="s">
        <v>43</v>
      </c>
      <c r="G1153" s="1">
        <v>27</v>
      </c>
      <c r="H1153" s="1">
        <v>24</v>
      </c>
      <c r="I1153" s="1">
        <f>grand[[#This Row],[number]]-grand[[#This Row],[received]]</f>
        <v>3</v>
      </c>
      <c r="J1153" s="64" t="s">
        <v>668</v>
      </c>
      <c r="K1153" s="2">
        <v>13470</v>
      </c>
      <c r="L1153" s="2">
        <v>12980</v>
      </c>
      <c r="M1153" s="2">
        <f>K1153-L1153</f>
        <v>490</v>
      </c>
      <c r="N1153" s="2">
        <v>8188.5</v>
      </c>
      <c r="O1153" s="2">
        <v>329</v>
      </c>
      <c r="P1153" s="7">
        <f>grand[[#This Row],[total weight]]/grand[[#This Row],[received]]</f>
        <v>561.25</v>
      </c>
      <c r="Q1153" s="7">
        <f>grand[[#This Row],[receiving weight]]/grand[[#This Row],[received]]</f>
        <v>540.83333333333337</v>
      </c>
      <c r="R1153" s="7">
        <f>grand[[#This Row],[transportation loss ]]/grand[[#This Row],[received]]</f>
        <v>20.416666666666668</v>
      </c>
      <c r="S1153" s="7">
        <f>grand[[#This Row],[ carcass weight]]/grand[[#This Row],[received]]</f>
        <v>341.1875</v>
      </c>
      <c r="T1153" s="7">
        <f>grand[[#This Row],[ kidneys fat quantity]]/grand[[#This Row],[received]]</f>
        <v>13.708333333333334</v>
      </c>
      <c r="U1153" s="1">
        <v>24.791666666666668</v>
      </c>
      <c r="V1153" s="1">
        <v>0</v>
      </c>
      <c r="W1153" s="1">
        <v>47.5</v>
      </c>
      <c r="X1153" s="1">
        <v>10</v>
      </c>
      <c r="Y1153" s="1">
        <v>8.5</v>
      </c>
      <c r="Z1153" s="18">
        <f>grand[[#This Row],[av. Transportation loss]]/grand[[#This Row],[av.total weight]]</f>
        <v>3.6377134372680031E-2</v>
      </c>
      <c r="AA1153" s="12">
        <f>AVERAGE((grand[[#This Row],[am]]/25),(grand[[#This Row],[pm]]/50))</f>
        <v>0.97083333333333333</v>
      </c>
      <c r="AB1153" s="3">
        <f>grand[[#This Row],[ carcass weight]]/grand[[#This Row],[total weight]]</f>
        <v>0.60790645879732741</v>
      </c>
      <c r="AC1153" s="18">
        <f>SUM(grand[[#This Row],[am]:[meat transportation]])/100</f>
        <v>0.90791666666666671</v>
      </c>
      <c r="AJ1153" s="1">
        <v>17</v>
      </c>
      <c r="AK1153" s="1"/>
      <c r="AL1153" s="1"/>
    </row>
    <row r="1154" spans="1:38" hidden="1" x14ac:dyDescent="0.2">
      <c r="A1154" s="11">
        <v>45676</v>
      </c>
      <c r="B1154" s="53" t="s">
        <v>2131</v>
      </c>
      <c r="C1154" s="52" t="str">
        <f>IF(MID(B1154,4,2)="09","Ramadan",IF(AND(MID(B1154,4,2)="12",VALUE(LEFT(B1154,2))&lt;=9),"Adha Season","Normal"))</f>
        <v>Normal</v>
      </c>
      <c r="D1154" s="2" t="s">
        <v>294</v>
      </c>
      <c r="F1154" s="4" t="s">
        <v>637</v>
      </c>
      <c r="G1154" s="1">
        <v>35</v>
      </c>
      <c r="H1154" s="1">
        <v>35</v>
      </c>
      <c r="I1154" s="1">
        <f>grand[[#This Row],[number]]-grand[[#This Row],[received]]</f>
        <v>0</v>
      </c>
      <c r="J1154" s="30"/>
      <c r="K1154" s="2">
        <v>1830</v>
      </c>
      <c r="L1154" s="2">
        <v>1820</v>
      </c>
      <c r="M1154" s="2">
        <f>K1154-L1154</f>
        <v>10</v>
      </c>
      <c r="N1154" s="2">
        <v>977.3</v>
      </c>
      <c r="O1154" s="2">
        <v>0</v>
      </c>
      <c r="P1154" s="7">
        <f>grand[[#This Row],[total weight]]/grand[[#This Row],[received]]</f>
        <v>52.285714285714285</v>
      </c>
      <c r="Q1154" s="7">
        <f>grand[[#This Row],[receiving weight]]/grand[[#This Row],[received]]</f>
        <v>52</v>
      </c>
      <c r="R1154" s="7">
        <f>grand[[#This Row],[transportation loss ]]/grand[[#This Row],[received]]</f>
        <v>0.2857142857142857</v>
      </c>
      <c r="S1154" s="7">
        <f>grand[[#This Row],[ carcass weight]]/grand[[#This Row],[received]]</f>
        <v>27.92285714285714</v>
      </c>
      <c r="T1154" s="7">
        <f>grand[[#This Row],[ kidneys fat quantity]]/grand[[#This Row],[received]]</f>
        <v>0</v>
      </c>
      <c r="U1154" s="1">
        <v>25</v>
      </c>
      <c r="V1154" s="1">
        <v>0</v>
      </c>
      <c r="W1154" s="1">
        <v>42.428571428571431</v>
      </c>
      <c r="X1154" s="1">
        <v>10</v>
      </c>
      <c r="Y1154" s="1">
        <v>8.5</v>
      </c>
      <c r="Z1154" s="18">
        <f>grand[[#This Row],[av. Transportation loss]]/grand[[#This Row],[av.total weight]]</f>
        <v>5.4644808743169399E-3</v>
      </c>
      <c r="AA1154" s="12">
        <f>AVERAGE((grand[[#This Row],[am]]/25),(grand[[#This Row],[pm]]/50))</f>
        <v>0.92428571428571438</v>
      </c>
      <c r="AB1154" s="3">
        <f>grand[[#This Row],[ carcass weight]]/grand[[#This Row],[total weight]]</f>
        <v>0.5340437158469945</v>
      </c>
      <c r="AC1154" s="18">
        <f>SUM(grand[[#This Row],[am]:[meat transportation]])/100</f>
        <v>0.85928571428571432</v>
      </c>
      <c r="AK1154" s="1"/>
      <c r="AL1154" s="1"/>
    </row>
    <row r="1155" spans="1:38" hidden="1" x14ac:dyDescent="0.2">
      <c r="A1155" s="11">
        <v>45676</v>
      </c>
      <c r="B1155" s="53" t="s">
        <v>2131</v>
      </c>
      <c r="C1155" s="52" t="str">
        <f>IF(MID(B1155,4,2)="09","Ramadan",IF(AND(MID(B1155,4,2)="12",VALUE(LEFT(B1155,2))&lt;=9),"Adha Season","Normal"))</f>
        <v>Normal</v>
      </c>
      <c r="D1155" s="1" t="s">
        <v>45</v>
      </c>
      <c r="E1155" s="1" t="s">
        <v>483</v>
      </c>
      <c r="F1155" s="4" t="s">
        <v>959</v>
      </c>
      <c r="G1155" s="1">
        <v>57</v>
      </c>
      <c r="H1155" s="1">
        <v>57</v>
      </c>
      <c r="I1155" s="1">
        <f>grand[[#This Row],[number]]-grand[[#This Row],[received]]</f>
        <v>0</v>
      </c>
      <c r="J1155" s="30"/>
      <c r="K1155" s="2">
        <v>23839</v>
      </c>
      <c r="L1155" s="2">
        <v>22985</v>
      </c>
      <c r="M1155" s="2">
        <f>K1155-L1155</f>
        <v>854</v>
      </c>
      <c r="N1155" s="2">
        <v>14302.5</v>
      </c>
      <c r="O1155" s="2">
        <v>367</v>
      </c>
      <c r="P1155" s="7">
        <f>grand[[#This Row],[total weight]]/grand[[#This Row],[received]]</f>
        <v>418.22807017543857</v>
      </c>
      <c r="Q1155" s="7">
        <f>grand[[#This Row],[receiving weight]]/grand[[#This Row],[received]]</f>
        <v>403.24561403508773</v>
      </c>
      <c r="R1155" s="7">
        <f>grand[[#This Row],[transportation loss ]]/grand[[#This Row],[received]]</f>
        <v>14.982456140350877</v>
      </c>
      <c r="S1155" s="7">
        <f>grand[[#This Row],[ carcass weight]]/grand[[#This Row],[received]]</f>
        <v>250.92105263157896</v>
      </c>
      <c r="T1155" s="7">
        <f>grand[[#This Row],[ kidneys fat quantity]]/grand[[#This Row],[received]]</f>
        <v>6.4385964912280702</v>
      </c>
      <c r="U1155" s="1">
        <v>25</v>
      </c>
      <c r="V1155" s="1">
        <v>0</v>
      </c>
      <c r="W1155" s="1">
        <v>49.035087719298247</v>
      </c>
      <c r="X1155" s="1">
        <v>10</v>
      </c>
      <c r="Y1155" s="1">
        <v>8.5</v>
      </c>
      <c r="Z1155" s="18">
        <f>grand[[#This Row],[av. Transportation loss]]/grand[[#This Row],[av.total weight]]</f>
        <v>3.5823650320902727E-2</v>
      </c>
      <c r="AA1155" s="12">
        <f>AVERAGE((grand[[#This Row],[am]]/25),(grand[[#This Row],[pm]]/50))</f>
        <v>0.99035087719298254</v>
      </c>
      <c r="AB1155" s="3">
        <f>grand[[#This Row],[ carcass weight]]/grand[[#This Row],[total weight]]</f>
        <v>0.59996224673853771</v>
      </c>
      <c r="AC1155" s="18">
        <f>SUM(grand[[#This Row],[am]:[meat transportation]])/100</f>
        <v>0.92535087719298248</v>
      </c>
      <c r="AK1155" s="1"/>
      <c r="AL1155" s="1"/>
    </row>
    <row r="1156" spans="1:38" hidden="1" x14ac:dyDescent="0.2">
      <c r="A1156" s="11">
        <v>45677</v>
      </c>
      <c r="B1156" s="53" t="s">
        <v>2132</v>
      </c>
      <c r="C1156" s="52" t="str">
        <f>IF(MID(B1156,4,2)="09","Ramadan",IF(AND(MID(B1156,4,2)="12",VALUE(LEFT(B1156,2))&lt;=9),"Adha Season","Normal"))</f>
        <v>Normal</v>
      </c>
      <c r="D1156" s="1" t="s">
        <v>45</v>
      </c>
      <c r="E1156" s="1" t="s">
        <v>483</v>
      </c>
      <c r="F1156" s="4" t="s">
        <v>39</v>
      </c>
      <c r="G1156" s="1">
        <v>63</v>
      </c>
      <c r="H1156" s="1">
        <v>60</v>
      </c>
      <c r="I1156" s="1">
        <f>grand[[#This Row],[number]]-grand[[#This Row],[received]]</f>
        <v>3</v>
      </c>
      <c r="J1156" s="64" t="s">
        <v>669</v>
      </c>
      <c r="K1156" s="2">
        <v>22693.98734177215</v>
      </c>
      <c r="L1156" s="2">
        <v>22693.98734177215</v>
      </c>
      <c r="M1156" s="2">
        <f>K1156-L1156</f>
        <v>0</v>
      </c>
      <c r="N1156" s="2">
        <v>14342.6</v>
      </c>
      <c r="O1156" s="2">
        <v>0</v>
      </c>
      <c r="P1156" s="7">
        <f>grand[[#This Row],[total weight]]/grand[[#This Row],[received]]</f>
        <v>378.23312236286915</v>
      </c>
      <c r="Q1156" s="7">
        <f>grand[[#This Row],[receiving weight]]/grand[[#This Row],[received]]</f>
        <v>378.23312236286915</v>
      </c>
      <c r="R1156" s="7">
        <f>grand[[#This Row],[transportation loss ]]/grand[[#This Row],[received]]</f>
        <v>0</v>
      </c>
      <c r="S1156" s="7">
        <f>grand[[#This Row],[ carcass weight]]/grand[[#This Row],[received]]</f>
        <v>239.04333333333335</v>
      </c>
      <c r="T1156" s="7">
        <f>grand[[#This Row],[ kidneys fat quantity]]/grand[[#This Row],[received]]</f>
        <v>0</v>
      </c>
      <c r="U1156" s="1">
        <v>25</v>
      </c>
      <c r="V1156" s="1">
        <v>5</v>
      </c>
      <c r="W1156" s="1">
        <v>50</v>
      </c>
      <c r="X1156" s="1">
        <v>10</v>
      </c>
      <c r="Y1156" s="1">
        <v>8.5</v>
      </c>
      <c r="Z1156" s="18">
        <f>grand[[#This Row],[av. Transportation loss]]/grand[[#This Row],[av.total weight]]</f>
        <v>0</v>
      </c>
      <c r="AA1156" s="12">
        <f>AVERAGE((grand[[#This Row],[am]]/25),(grand[[#This Row],[pm]]/50))</f>
        <v>1</v>
      </c>
      <c r="AB1156" s="3">
        <f>grand[[#This Row],[ carcass weight]]/grand[[#This Row],[total weight]]</f>
        <v>0.63200000000000012</v>
      </c>
      <c r="AC1156" s="18">
        <f>SUM(grand[[#This Row],[am]:[meat transportation]])/100</f>
        <v>0.98499999999999999</v>
      </c>
      <c r="AK1156" s="1"/>
      <c r="AL1156" s="1"/>
    </row>
    <row r="1157" spans="1:38" hidden="1" x14ac:dyDescent="0.2">
      <c r="A1157" s="11">
        <v>45679</v>
      </c>
      <c r="B1157" s="53" t="s">
        <v>2133</v>
      </c>
      <c r="C1157" s="52" t="str">
        <f>IF(MID(B1157,4,2)="09","Ramadan",IF(AND(MID(B1157,4,2)="12",VALUE(LEFT(B1157,2))&lt;=9),"Adha Season","Normal"))</f>
        <v>Normal</v>
      </c>
      <c r="D1157" s="1" t="s">
        <v>45</v>
      </c>
      <c r="E1157" s="1" t="s">
        <v>483</v>
      </c>
      <c r="F1157" s="4" t="s">
        <v>550</v>
      </c>
      <c r="G1157" s="1">
        <v>16</v>
      </c>
      <c r="H1157" s="1">
        <v>16</v>
      </c>
      <c r="I1157" s="1">
        <f>grand[[#This Row],[number]]-grand[[#This Row],[received]]</f>
        <v>0</v>
      </c>
      <c r="J1157" s="30"/>
      <c r="K1157" s="2">
        <v>7646</v>
      </c>
      <c r="L1157" s="2">
        <v>7210</v>
      </c>
      <c r="M1157" s="2">
        <f>K1157-L1157</f>
        <v>436</v>
      </c>
      <c r="N1157" s="2">
        <v>4587.6000000000004</v>
      </c>
      <c r="O1157" s="2">
        <v>95</v>
      </c>
      <c r="P1157" s="7">
        <f>grand[[#This Row],[total weight]]/grand[[#This Row],[received]]</f>
        <v>477.875</v>
      </c>
      <c r="Q1157" s="7">
        <f>grand[[#This Row],[receiving weight]]/grand[[#This Row],[received]]</f>
        <v>450.625</v>
      </c>
      <c r="R1157" s="7">
        <f>grand[[#This Row],[transportation loss ]]/grand[[#This Row],[received]]</f>
        <v>27.25</v>
      </c>
      <c r="S1157" s="7">
        <f>grand[[#This Row],[ carcass weight]]/grand[[#This Row],[received]]</f>
        <v>286.72500000000002</v>
      </c>
      <c r="T1157" s="7">
        <f>grand[[#This Row],[ kidneys fat quantity]]/grand[[#This Row],[received]]</f>
        <v>5.9375</v>
      </c>
      <c r="U1157" s="1">
        <v>25</v>
      </c>
      <c r="V1157" s="1">
        <v>0</v>
      </c>
      <c r="W1157" s="1">
        <v>48</v>
      </c>
      <c r="X1157" s="1">
        <v>10</v>
      </c>
      <c r="Y1157" s="1">
        <v>8.5</v>
      </c>
      <c r="Z1157" s="18">
        <f>grand[[#This Row],[av. Transportation loss]]/grand[[#This Row],[av.total weight]]</f>
        <v>5.7023280146481822E-2</v>
      </c>
      <c r="AA1157" s="12">
        <f>AVERAGE((grand[[#This Row],[am]]/25),(grand[[#This Row],[pm]]/50))</f>
        <v>0.98</v>
      </c>
      <c r="AB1157" s="3">
        <f>grand[[#This Row],[ carcass weight]]/grand[[#This Row],[total weight]]</f>
        <v>0.60000000000000009</v>
      </c>
      <c r="AC1157" s="18">
        <f>SUM(grand[[#This Row],[am]:[meat transportation]])/100</f>
        <v>0.91500000000000004</v>
      </c>
      <c r="AJ1157" s="1">
        <v>12</v>
      </c>
      <c r="AK1157" s="1"/>
      <c r="AL1157" s="1"/>
    </row>
    <row r="1158" spans="1:38" hidden="1" x14ac:dyDescent="0.2">
      <c r="A1158" s="11">
        <v>45679</v>
      </c>
      <c r="B1158" s="53" t="s">
        <v>2133</v>
      </c>
      <c r="C1158" s="52" t="str">
        <f>IF(MID(B1158,4,2)="09","Ramadan",IF(AND(MID(B1158,4,2)="12",VALUE(LEFT(B1158,2))&lt;=9),"Adha Season","Normal"))</f>
        <v>Normal</v>
      </c>
      <c r="D1158" s="1" t="s">
        <v>45</v>
      </c>
      <c r="E1158" s="1" t="s">
        <v>483</v>
      </c>
      <c r="F1158" s="4" t="s">
        <v>640</v>
      </c>
      <c r="G1158" s="1">
        <v>15</v>
      </c>
      <c r="H1158" s="1">
        <v>15</v>
      </c>
      <c r="I1158" s="1">
        <f>grand[[#This Row],[number]]-grand[[#This Row],[received]]</f>
        <v>0</v>
      </c>
      <c r="J1158" s="30"/>
      <c r="K1158" s="2">
        <v>6834</v>
      </c>
      <c r="L1158" s="2">
        <v>6555</v>
      </c>
      <c r="M1158" s="2">
        <f>K1158-L1158</f>
        <v>279</v>
      </c>
      <c r="N1158" s="2">
        <v>4168.7</v>
      </c>
      <c r="O1158" s="2">
        <v>105</v>
      </c>
      <c r="P1158" s="7">
        <f>grand[[#This Row],[total weight]]/grand[[#This Row],[received]]</f>
        <v>455.6</v>
      </c>
      <c r="Q1158" s="7">
        <f>grand[[#This Row],[receiving weight]]/grand[[#This Row],[received]]</f>
        <v>437</v>
      </c>
      <c r="R1158" s="7">
        <f>grand[[#This Row],[transportation loss ]]/grand[[#This Row],[received]]</f>
        <v>18.600000000000001</v>
      </c>
      <c r="S1158" s="7">
        <f>grand[[#This Row],[ carcass weight]]/grand[[#This Row],[received]]</f>
        <v>277.9133333333333</v>
      </c>
      <c r="T1158" s="7">
        <f>grand[[#This Row],[ kidneys fat quantity]]/grand[[#This Row],[received]]</f>
        <v>7</v>
      </c>
      <c r="U1158" s="1">
        <v>25</v>
      </c>
      <c r="V1158" s="1">
        <v>0</v>
      </c>
      <c r="W1158" s="1">
        <v>49.733333333333334</v>
      </c>
      <c r="X1158" s="1">
        <v>10</v>
      </c>
      <c r="Y1158" s="1">
        <v>8.5</v>
      </c>
      <c r="Z1158" s="18">
        <f>grand[[#This Row],[av. Transportation loss]]/grand[[#This Row],[av.total weight]]</f>
        <v>4.0825285338015806E-2</v>
      </c>
      <c r="AA1158" s="12">
        <f>AVERAGE((grand[[#This Row],[am]]/25),(grand[[#This Row],[pm]]/50))</f>
        <v>0.9973333333333334</v>
      </c>
      <c r="AB1158" s="3">
        <f>grand[[#This Row],[ carcass weight]]/grand[[#This Row],[total weight]]</f>
        <v>0.60999414691249632</v>
      </c>
      <c r="AC1158" s="18">
        <f>SUM(grand[[#This Row],[am]:[meat transportation]])/100</f>
        <v>0.93233333333333335</v>
      </c>
      <c r="AJ1158" s="1">
        <v>6</v>
      </c>
      <c r="AK1158" s="1"/>
      <c r="AL1158" s="1"/>
    </row>
    <row r="1159" spans="1:38" hidden="1" x14ac:dyDescent="0.2">
      <c r="A1159" s="11">
        <v>45680</v>
      </c>
      <c r="B1159" s="53" t="s">
        <v>2134</v>
      </c>
      <c r="C1159" s="52" t="str">
        <f>IF(MID(B1159,4,2)="09","Ramadan",IF(AND(MID(B1159,4,2)="12",VALUE(LEFT(B1159,2))&lt;=9),"Adha Season","Normal"))</f>
        <v>Normal</v>
      </c>
      <c r="D1159" s="2" t="s">
        <v>294</v>
      </c>
      <c r="F1159" s="4" t="s">
        <v>280</v>
      </c>
      <c r="G1159" s="1">
        <v>41</v>
      </c>
      <c r="H1159" s="1">
        <v>41</v>
      </c>
      <c r="I1159" s="1">
        <f>grand[[#This Row],[number]]-grand[[#This Row],[received]]</f>
        <v>0</v>
      </c>
      <c r="J1159" s="30"/>
      <c r="K1159" s="2">
        <v>2176</v>
      </c>
      <c r="L1159" s="2">
        <v>2165</v>
      </c>
      <c r="M1159" s="2">
        <f>K1159-L1159</f>
        <v>11</v>
      </c>
      <c r="N1159" s="2">
        <v>1261.0999999999999</v>
      </c>
      <c r="O1159" s="2">
        <v>0</v>
      </c>
      <c r="P1159" s="7">
        <f>grand[[#This Row],[total weight]]/grand[[#This Row],[received]]</f>
        <v>53.073170731707314</v>
      </c>
      <c r="Q1159" s="7">
        <f>grand[[#This Row],[receiving weight]]/grand[[#This Row],[received]]</f>
        <v>52.804878048780488</v>
      </c>
      <c r="R1159" s="7">
        <f>grand[[#This Row],[transportation loss ]]/grand[[#This Row],[received]]</f>
        <v>0.26829268292682928</v>
      </c>
      <c r="S1159" s="7">
        <f>grand[[#This Row],[ carcass weight]]/grand[[#This Row],[received]]</f>
        <v>30.758536585365853</v>
      </c>
      <c r="T1159" s="7">
        <f>grand[[#This Row],[ kidneys fat quantity]]/grand[[#This Row],[received]]</f>
        <v>0</v>
      </c>
      <c r="U1159" s="1">
        <v>25</v>
      </c>
      <c r="V1159" s="1">
        <v>0</v>
      </c>
      <c r="W1159" s="1">
        <v>46.902439024390254</v>
      </c>
      <c r="X1159" s="1">
        <v>10</v>
      </c>
      <c r="Y1159" s="1">
        <v>8.5</v>
      </c>
      <c r="Z1159" s="18">
        <f>grand[[#This Row],[av. Transportation loss]]/grand[[#This Row],[av.total weight]]</f>
        <v>5.0551470588235297E-3</v>
      </c>
      <c r="AA1159" s="12">
        <f>AVERAGE((grand[[#This Row],[am]]/25),(grand[[#This Row],[pm]]/50))</f>
        <v>0.96902439024390252</v>
      </c>
      <c r="AB1159" s="3">
        <f>grand[[#This Row],[ carcass weight]]/grand[[#This Row],[total weight]]</f>
        <v>0.5795496323529411</v>
      </c>
      <c r="AC1159" s="18">
        <f>SUM(grand[[#This Row],[am]:[meat transportation]])/100</f>
        <v>0.90402439024390246</v>
      </c>
      <c r="AK1159" s="1"/>
      <c r="AL1159" s="1"/>
    </row>
    <row r="1160" spans="1:38" hidden="1" x14ac:dyDescent="0.2">
      <c r="A1160" s="11">
        <v>45680</v>
      </c>
      <c r="B1160" s="53" t="s">
        <v>2134</v>
      </c>
      <c r="C1160" s="52" t="str">
        <f>IF(MID(B1160,4,2)="09","Ramadan",IF(AND(MID(B1160,4,2)="12",VALUE(LEFT(B1160,2))&lt;=9),"Adha Season","Normal"))</f>
        <v>Normal</v>
      </c>
      <c r="D1160" s="1" t="s">
        <v>45</v>
      </c>
      <c r="E1160" s="1" t="s">
        <v>483</v>
      </c>
      <c r="F1160" s="4" t="s">
        <v>280</v>
      </c>
      <c r="G1160" s="1">
        <v>68</v>
      </c>
      <c r="H1160" s="1">
        <v>67</v>
      </c>
      <c r="I1160" s="1">
        <f>grand[[#This Row],[number]]-grand[[#This Row],[received]]</f>
        <v>1</v>
      </c>
      <c r="J1160" s="64" t="s">
        <v>670</v>
      </c>
      <c r="K1160" s="2">
        <v>31085</v>
      </c>
      <c r="L1160" s="2">
        <v>30436</v>
      </c>
      <c r="M1160" s="2">
        <f>K1160-L1160</f>
        <v>649</v>
      </c>
      <c r="N1160" s="2">
        <v>18669.599999999999</v>
      </c>
      <c r="O1160" s="2">
        <v>578</v>
      </c>
      <c r="P1160" s="7">
        <f>grand[[#This Row],[total weight]]/grand[[#This Row],[received]]</f>
        <v>463.95522388059703</v>
      </c>
      <c r="Q1160" s="7">
        <f>grand[[#This Row],[receiving weight]]/grand[[#This Row],[received]]</f>
        <v>454.26865671641792</v>
      </c>
      <c r="R1160" s="7">
        <f>grand[[#This Row],[transportation loss ]]/grand[[#This Row],[received]]</f>
        <v>9.6865671641791042</v>
      </c>
      <c r="S1160" s="7">
        <f>grand[[#This Row],[ carcass weight]]/grand[[#This Row],[received]]</f>
        <v>278.65074626865669</v>
      </c>
      <c r="T1160" s="7">
        <f>grand[[#This Row],[ kidneys fat quantity]]/grand[[#This Row],[received]]</f>
        <v>8.6268656716417915</v>
      </c>
      <c r="U1160" s="1">
        <v>25</v>
      </c>
      <c r="V1160" s="1">
        <v>0</v>
      </c>
      <c r="W1160" s="1">
        <v>46.298507462686572</v>
      </c>
      <c r="X1160" s="1">
        <v>10</v>
      </c>
      <c r="Y1160" s="1">
        <v>8.5</v>
      </c>
      <c r="Z1160" s="18">
        <f>grand[[#This Row],[av. Transportation loss]]/grand[[#This Row],[av.total weight]]</f>
        <v>2.0878237091844939E-2</v>
      </c>
      <c r="AA1160" s="12">
        <f>AVERAGE((grand[[#This Row],[am]]/25),(grand[[#This Row],[pm]]/50))</f>
        <v>0.96298507462686578</v>
      </c>
      <c r="AB1160" s="3">
        <f>grand[[#This Row],[ carcass weight]]/grand[[#This Row],[total weight]]</f>
        <v>0.60059835933730088</v>
      </c>
      <c r="AC1160" s="18">
        <f>SUM(grand[[#This Row],[am]:[meat transportation]])/100</f>
        <v>0.89798507462686572</v>
      </c>
      <c r="AJ1160" s="1">
        <v>18</v>
      </c>
      <c r="AK1160" s="1"/>
      <c r="AL1160" s="1"/>
    </row>
    <row r="1161" spans="1:38" hidden="1" x14ac:dyDescent="0.2">
      <c r="A1161" s="11">
        <v>45682</v>
      </c>
      <c r="B1161" s="53" t="s">
        <v>2135</v>
      </c>
      <c r="C1161" s="52" t="str">
        <f>IF(MID(B1161,4,2)="09","Ramadan",IF(AND(MID(B1161,4,2)="12",VALUE(LEFT(B1161,2))&lt;=9),"Adha Season","Normal"))</f>
        <v>Normal</v>
      </c>
      <c r="D1161" s="1" t="s">
        <v>45</v>
      </c>
      <c r="E1161" s="1" t="s">
        <v>483</v>
      </c>
      <c r="F1161" s="4" t="s">
        <v>43</v>
      </c>
      <c r="G1161" s="1">
        <v>34</v>
      </c>
      <c r="H1161" s="1">
        <v>33</v>
      </c>
      <c r="I1161" s="1">
        <f>grand[[#This Row],[number]]-grand[[#This Row],[received]]</f>
        <v>1</v>
      </c>
      <c r="J1161" s="64" t="s">
        <v>671</v>
      </c>
      <c r="K1161" s="2">
        <v>18587</v>
      </c>
      <c r="L1161" s="2">
        <v>17662</v>
      </c>
      <c r="M1161" s="2">
        <f>K1161-L1161</f>
        <v>925</v>
      </c>
      <c r="N1161" s="2">
        <v>11152.7</v>
      </c>
      <c r="O1161" s="2">
        <v>476</v>
      </c>
      <c r="P1161" s="7">
        <f>grand[[#This Row],[total weight]]/grand[[#This Row],[received]]</f>
        <v>563.24242424242425</v>
      </c>
      <c r="Q1161" s="7">
        <f>grand[[#This Row],[receiving weight]]/grand[[#This Row],[received]]</f>
        <v>535.21212121212125</v>
      </c>
      <c r="R1161" s="7">
        <f>grand[[#This Row],[transportation loss ]]/grand[[#This Row],[received]]</f>
        <v>28.030303030303031</v>
      </c>
      <c r="S1161" s="7">
        <f>grand[[#This Row],[ carcass weight]]/grand[[#This Row],[received]]</f>
        <v>337.9606060606061</v>
      </c>
      <c r="T1161" s="7">
        <f>grand[[#This Row],[ kidneys fat quantity]]/grand[[#This Row],[received]]</f>
        <v>14.424242424242424</v>
      </c>
      <c r="U1161" s="1">
        <v>25</v>
      </c>
      <c r="V1161" s="1">
        <v>0</v>
      </c>
      <c r="W1161" s="1">
        <v>48.515151515151516</v>
      </c>
      <c r="X1161" s="1">
        <v>10</v>
      </c>
      <c r="Y1161" s="1">
        <v>8.5</v>
      </c>
      <c r="Z1161" s="18">
        <f>grand[[#This Row],[av. Transportation loss]]/grand[[#This Row],[av.total weight]]</f>
        <v>4.9765965459729923E-2</v>
      </c>
      <c r="AA1161" s="12">
        <f>AVERAGE((grand[[#This Row],[am]]/25),(grand[[#This Row],[pm]]/50))</f>
        <v>0.98515151515151511</v>
      </c>
      <c r="AB1161" s="3">
        <f>grand[[#This Row],[ carcass weight]]/grand[[#This Row],[total weight]]</f>
        <v>0.60002690052187013</v>
      </c>
      <c r="AC1161" s="18">
        <f>SUM(grand[[#This Row],[am]:[meat transportation]])/100</f>
        <v>0.92015151515151516</v>
      </c>
      <c r="AJ1161" s="1">
        <v>17</v>
      </c>
      <c r="AK1161" s="1"/>
      <c r="AL1161" s="1"/>
    </row>
    <row r="1162" spans="1:38" hidden="1" x14ac:dyDescent="0.2">
      <c r="A1162" s="11">
        <v>45683</v>
      </c>
      <c r="B1162" s="53" t="s">
        <v>2136</v>
      </c>
      <c r="C1162" s="52" t="str">
        <f>IF(MID(B1162,4,2)="09","Ramadan",IF(AND(MID(B1162,4,2)="12",VALUE(LEFT(B1162,2))&lt;=9),"Adha Season","Normal"))</f>
        <v>Normal</v>
      </c>
      <c r="D1162" s="1" t="s">
        <v>45</v>
      </c>
      <c r="E1162" s="1" t="s">
        <v>483</v>
      </c>
      <c r="F1162" s="4" t="s">
        <v>959</v>
      </c>
      <c r="G1162" s="1">
        <v>48</v>
      </c>
      <c r="H1162" s="1">
        <v>48</v>
      </c>
      <c r="I1162" s="1">
        <f>grand[[#This Row],[number]]-grand[[#This Row],[received]]</f>
        <v>0</v>
      </c>
      <c r="J1162" s="30"/>
      <c r="K1162" s="2">
        <v>20913</v>
      </c>
      <c r="L1162" s="2">
        <v>19875</v>
      </c>
      <c r="M1162" s="2">
        <f>K1162-L1162</f>
        <v>1038</v>
      </c>
      <c r="N1162" s="2">
        <v>12548.7</v>
      </c>
      <c r="O1162" s="2">
        <v>353</v>
      </c>
      <c r="P1162" s="7">
        <f>grand[[#This Row],[total weight]]/grand[[#This Row],[received]]</f>
        <v>435.6875</v>
      </c>
      <c r="Q1162" s="7">
        <f>grand[[#This Row],[receiving weight]]/grand[[#This Row],[received]]</f>
        <v>414.0625</v>
      </c>
      <c r="R1162" s="7">
        <f>grand[[#This Row],[transportation loss ]]/grand[[#This Row],[received]]</f>
        <v>21.625</v>
      </c>
      <c r="S1162" s="7">
        <f>grand[[#This Row],[ carcass weight]]/grand[[#This Row],[received]]</f>
        <v>261.43125000000003</v>
      </c>
      <c r="T1162" s="7">
        <f>grand[[#This Row],[ kidneys fat quantity]]/grand[[#This Row],[received]]</f>
        <v>7.354166666666667</v>
      </c>
      <c r="U1162" s="1">
        <v>25</v>
      </c>
      <c r="V1162" s="1">
        <v>0</v>
      </c>
      <c r="W1162" s="1">
        <v>48.541666666666671</v>
      </c>
      <c r="X1162" s="1">
        <v>10</v>
      </c>
      <c r="Y1162" s="1">
        <v>8.5</v>
      </c>
      <c r="Z1162" s="18">
        <f>grand[[#This Row],[av. Transportation loss]]/grand[[#This Row],[av.total weight]]</f>
        <v>4.9634198823698177E-2</v>
      </c>
      <c r="AA1162" s="12">
        <f>AVERAGE((grand[[#This Row],[am]]/25),(grand[[#This Row],[pm]]/50))</f>
        <v>0.98541666666666672</v>
      </c>
      <c r="AB1162" s="3">
        <f>grand[[#This Row],[ carcass weight]]/grand[[#This Row],[total weight]]</f>
        <v>0.60004303543250614</v>
      </c>
      <c r="AC1162" s="18">
        <f>SUM(grand[[#This Row],[am]:[meat transportation]])/100</f>
        <v>0.92041666666666666</v>
      </c>
      <c r="AK1162" s="1"/>
      <c r="AL1162" s="1"/>
    </row>
    <row r="1163" spans="1:38" hidden="1" x14ac:dyDescent="0.2">
      <c r="A1163" s="11">
        <v>45683</v>
      </c>
      <c r="B1163" s="53" t="s">
        <v>2136</v>
      </c>
      <c r="C1163" s="52" t="str">
        <f>IF(MID(B1163,4,2)="09","Ramadan",IF(AND(MID(B1163,4,2)="12",VALUE(LEFT(B1163,2))&lt;=9),"Adha Season","Normal"))</f>
        <v>Normal</v>
      </c>
      <c r="D1163" s="2" t="s">
        <v>294</v>
      </c>
      <c r="F1163" s="4" t="s">
        <v>637</v>
      </c>
      <c r="G1163" s="1">
        <v>40</v>
      </c>
      <c r="H1163" s="1">
        <v>39</v>
      </c>
      <c r="I1163" s="1">
        <f>grand[[#This Row],[number]]-grand[[#This Row],[received]]</f>
        <v>1</v>
      </c>
      <c r="J1163" s="64" t="s">
        <v>672</v>
      </c>
      <c r="K1163" s="2">
        <v>2071</v>
      </c>
      <c r="L1163" s="2">
        <v>2061</v>
      </c>
      <c r="M1163" s="2">
        <f>K1163-L1163</f>
        <v>10</v>
      </c>
      <c r="N1163" s="2">
        <v>1148.8</v>
      </c>
      <c r="O1163" s="2">
        <v>0</v>
      </c>
      <c r="P1163" s="7">
        <f>grand[[#This Row],[total weight]]/grand[[#This Row],[received]]</f>
        <v>53.102564102564102</v>
      </c>
      <c r="Q1163" s="7">
        <f>grand[[#This Row],[receiving weight]]/grand[[#This Row],[received]]</f>
        <v>52.846153846153847</v>
      </c>
      <c r="R1163" s="7">
        <f>grand[[#This Row],[transportation loss ]]/grand[[#This Row],[received]]</f>
        <v>0.25641025641025639</v>
      </c>
      <c r="S1163" s="7">
        <f>grand[[#This Row],[ carcass weight]]/grand[[#This Row],[received]]</f>
        <v>29.456410256410255</v>
      </c>
      <c r="T1163" s="7">
        <f>grand[[#This Row],[ kidneys fat quantity]]/grand[[#This Row],[received]]</f>
        <v>0</v>
      </c>
      <c r="U1163" s="1">
        <v>25</v>
      </c>
      <c r="V1163" s="1">
        <v>0</v>
      </c>
      <c r="W1163" s="1">
        <v>41.230769230769234</v>
      </c>
      <c r="X1163" s="1">
        <v>10</v>
      </c>
      <c r="Y1163" s="1">
        <v>8.5</v>
      </c>
      <c r="Z1163" s="18">
        <f>grand[[#This Row],[av. Transportation loss]]/grand[[#This Row],[av.total weight]]</f>
        <v>4.8285852245292128E-3</v>
      </c>
      <c r="AA1163" s="12">
        <f>AVERAGE((grand[[#This Row],[am]]/25),(grand[[#This Row],[pm]]/50))</f>
        <v>0.91230769230769226</v>
      </c>
      <c r="AB1163" s="3">
        <f>grand[[#This Row],[ carcass weight]]/grand[[#This Row],[total weight]]</f>
        <v>0.55470787059391591</v>
      </c>
      <c r="AC1163" s="18">
        <f>SUM(grand[[#This Row],[am]:[meat transportation]])/100</f>
        <v>0.84730769230769232</v>
      </c>
      <c r="AK1163" s="1"/>
      <c r="AL1163" s="1"/>
    </row>
    <row r="1164" spans="1:38" hidden="1" x14ac:dyDescent="0.2">
      <c r="A1164" s="11">
        <v>45684</v>
      </c>
      <c r="B1164" s="53" t="s">
        <v>2137</v>
      </c>
      <c r="C1164" s="52" t="str">
        <f>IF(MID(B1164,4,2)="09","Ramadan",IF(AND(MID(B1164,4,2)="12",VALUE(LEFT(B1164,2))&lt;=9),"Adha Season","Normal"))</f>
        <v>Normal</v>
      </c>
      <c r="D1164" s="1" t="s">
        <v>45</v>
      </c>
      <c r="E1164" s="1" t="s">
        <v>483</v>
      </c>
      <c r="F1164" s="4" t="s">
        <v>959</v>
      </c>
      <c r="G1164" s="1">
        <v>32</v>
      </c>
      <c r="H1164" s="1">
        <v>32</v>
      </c>
      <c r="I1164" s="1">
        <f>grand[[#This Row],[number]]-grand[[#This Row],[received]]</f>
        <v>0</v>
      </c>
      <c r="J1164" s="30"/>
      <c r="K1164" s="2">
        <v>14170</v>
      </c>
      <c r="L1164" s="2">
        <v>13635</v>
      </c>
      <c r="M1164" s="2">
        <f>K1164-L1164</f>
        <v>535</v>
      </c>
      <c r="N1164" s="2">
        <v>8598.7000000000007</v>
      </c>
      <c r="O1164" s="2">
        <v>234</v>
      </c>
      <c r="P1164" s="7">
        <f>grand[[#This Row],[total weight]]/grand[[#This Row],[received]]</f>
        <v>442.8125</v>
      </c>
      <c r="Q1164" s="7">
        <f>grand[[#This Row],[receiving weight]]/grand[[#This Row],[received]]</f>
        <v>426.09375</v>
      </c>
      <c r="R1164" s="7">
        <f>grand[[#This Row],[transportation loss ]]/grand[[#This Row],[received]]</f>
        <v>16.71875</v>
      </c>
      <c r="S1164" s="7">
        <f>grand[[#This Row],[ carcass weight]]/grand[[#This Row],[received]]</f>
        <v>268.70937500000002</v>
      </c>
      <c r="T1164" s="7">
        <f>grand[[#This Row],[ kidneys fat quantity]]/grand[[#This Row],[received]]</f>
        <v>7.3125</v>
      </c>
      <c r="U1164" s="1">
        <v>25</v>
      </c>
      <c r="V1164" s="1">
        <v>0</v>
      </c>
      <c r="W1164" s="1">
        <v>46.671875</v>
      </c>
      <c r="X1164" s="1">
        <v>10</v>
      </c>
      <c r="Y1164" s="1">
        <v>8.5</v>
      </c>
      <c r="Z1164" s="18">
        <f>grand[[#This Row],[av. Transportation loss]]/grand[[#This Row],[av.total weight]]</f>
        <v>3.7755822159491886E-2</v>
      </c>
      <c r="AA1164" s="12">
        <f>AVERAGE((grand[[#This Row],[am]]/25),(grand[[#This Row],[pm]]/50))</f>
        <v>0.96671875000000007</v>
      </c>
      <c r="AB1164" s="3">
        <f>grand[[#This Row],[ carcass weight]]/grand[[#This Row],[total weight]]</f>
        <v>0.60682427664079042</v>
      </c>
      <c r="AC1164" s="18">
        <f>SUM(grand[[#This Row],[am]:[meat transportation]])/100</f>
        <v>0.90171875000000001</v>
      </c>
      <c r="AK1164" s="1"/>
      <c r="AL1164" s="1"/>
    </row>
    <row r="1165" spans="1:38" hidden="1" x14ac:dyDescent="0.2">
      <c r="A1165" s="11">
        <v>45684</v>
      </c>
      <c r="B1165" s="53" t="s">
        <v>2137</v>
      </c>
      <c r="C1165" s="52" t="str">
        <f>IF(MID(B1165,4,2)="09","Ramadan",IF(AND(MID(B1165,4,2)="12",VALUE(LEFT(B1165,2))&lt;=9),"Adha Season","Normal"))</f>
        <v>Normal</v>
      </c>
      <c r="D1165" s="1" t="s">
        <v>45</v>
      </c>
      <c r="E1165" s="1" t="s">
        <v>483</v>
      </c>
      <c r="F1165" s="4" t="s">
        <v>39</v>
      </c>
      <c r="G1165" s="1">
        <v>36</v>
      </c>
      <c r="H1165" s="1">
        <v>35</v>
      </c>
      <c r="I1165" s="1">
        <f>grand[[#This Row],[number]]-grand[[#This Row],[received]]</f>
        <v>1</v>
      </c>
      <c r="J1165" s="64" t="s">
        <v>673</v>
      </c>
      <c r="K1165" s="1">
        <v>14283.549552661343</v>
      </c>
      <c r="L1165" s="1">
        <v>14283.549552661343</v>
      </c>
      <c r="M1165" s="2">
        <f>K1165-L1165</f>
        <v>0</v>
      </c>
      <c r="N1165" s="1">
        <v>8966.7333333333336</v>
      </c>
      <c r="O1165" s="2"/>
      <c r="P1165" s="7">
        <f>grand[[#This Row],[total weight]]/grand[[#This Row],[received]]</f>
        <v>408.1014157903241</v>
      </c>
      <c r="Q1165" s="7">
        <f>grand[[#This Row],[receiving weight]]/grand[[#This Row],[received]]</f>
        <v>408.1014157903241</v>
      </c>
      <c r="R1165" s="7">
        <f>grand[[#This Row],[transportation loss ]]/grand[[#This Row],[received]]</f>
        <v>0</v>
      </c>
      <c r="S1165" s="7">
        <f>grand[[#This Row],[ carcass weight]]/grand[[#This Row],[received]]</f>
        <v>256.19238095238097</v>
      </c>
      <c r="T1165" s="7">
        <f>grand[[#This Row],[ kidneys fat quantity]]/grand[[#This Row],[received]]</f>
        <v>0</v>
      </c>
      <c r="U1165" s="1">
        <v>25</v>
      </c>
      <c r="V1165" s="1">
        <v>5</v>
      </c>
      <c r="W1165" s="1">
        <v>50</v>
      </c>
      <c r="X1165" s="1">
        <v>10</v>
      </c>
      <c r="Y1165" s="1">
        <v>8.5</v>
      </c>
      <c r="Z1165" s="18">
        <f>grand[[#This Row],[av. Transportation loss]]/grand[[#This Row],[av.total weight]]</f>
        <v>0</v>
      </c>
      <c r="AA1165" s="12">
        <f>AVERAGE((grand[[#This Row],[am]]/25),(grand[[#This Row],[pm]]/50))</f>
        <v>1</v>
      </c>
      <c r="AB1165" s="3">
        <f>grand[[#This Row],[ carcass weight]]/grand[[#This Row],[total weight]]</f>
        <v>0.6277664596096586</v>
      </c>
      <c r="AC1165" s="18">
        <f>SUM(grand[[#This Row],[am]:[meat transportation]])/100</f>
        <v>0.98499999999999999</v>
      </c>
      <c r="AK1165" s="1"/>
      <c r="AL1165" s="1"/>
    </row>
    <row r="1166" spans="1:38" hidden="1" x14ac:dyDescent="0.2">
      <c r="A1166" s="11">
        <v>45685</v>
      </c>
      <c r="B1166" s="53" t="s">
        <v>2138</v>
      </c>
      <c r="C1166" s="52" t="str">
        <f>IF(MID(B1166,4,2)="09","Ramadan",IF(AND(MID(B1166,4,2)="12",VALUE(LEFT(B1166,2))&lt;=9),"Adha Season","Normal"))</f>
        <v>Normal</v>
      </c>
      <c r="D1166" s="1" t="s">
        <v>45</v>
      </c>
      <c r="E1166" s="1" t="s">
        <v>483</v>
      </c>
      <c r="F1166" s="4" t="s">
        <v>46</v>
      </c>
      <c r="G1166" s="1">
        <v>50</v>
      </c>
      <c r="H1166" s="1">
        <v>49</v>
      </c>
      <c r="I1166" s="1">
        <f>grand[[#This Row],[number]]-grand[[#This Row],[received]]</f>
        <v>1</v>
      </c>
      <c r="J1166" s="64" t="s">
        <v>674</v>
      </c>
      <c r="K1166" s="2">
        <v>22990</v>
      </c>
      <c r="L1166" s="2">
        <v>22165</v>
      </c>
      <c r="M1166" s="2">
        <f>K1166-L1166</f>
        <v>825</v>
      </c>
      <c r="N1166" s="2">
        <v>13868.7</v>
      </c>
      <c r="O1166" s="2">
        <v>457</v>
      </c>
      <c r="P1166" s="7">
        <f>grand[[#This Row],[total weight]]/grand[[#This Row],[received]]</f>
        <v>469.18367346938777</v>
      </c>
      <c r="Q1166" s="7">
        <f>grand[[#This Row],[receiving weight]]/grand[[#This Row],[received]]</f>
        <v>452.34693877551018</v>
      </c>
      <c r="R1166" s="7">
        <f>grand[[#This Row],[transportation loss ]]/grand[[#This Row],[received]]</f>
        <v>16.836734693877553</v>
      </c>
      <c r="S1166" s="7">
        <f>grand[[#This Row],[ carcass weight]]/grand[[#This Row],[received]]</f>
        <v>283.03469387755104</v>
      </c>
      <c r="T1166" s="7">
        <f>grand[[#This Row],[ kidneys fat quantity]]/grand[[#This Row],[received]]</f>
        <v>9.3265306122448983</v>
      </c>
      <c r="U1166" s="1">
        <v>25</v>
      </c>
      <c r="V1166" s="1">
        <v>0</v>
      </c>
      <c r="W1166" s="1">
        <v>45.755102040816325</v>
      </c>
      <c r="X1166" s="1">
        <v>10</v>
      </c>
      <c r="Y1166" s="1">
        <v>8.5</v>
      </c>
      <c r="Z1166" s="18">
        <f>grand[[#This Row],[av. Transportation loss]]/grand[[#This Row],[av.total weight]]</f>
        <v>3.5885167464114832E-2</v>
      </c>
      <c r="AA1166" s="12">
        <f>AVERAGE((grand[[#This Row],[am]]/25),(grand[[#This Row],[pm]]/50))</f>
        <v>0.9575510204081632</v>
      </c>
      <c r="AB1166" s="3">
        <f>grand[[#This Row],[ carcass weight]]/grand[[#This Row],[total weight]]</f>
        <v>0.60324923879947812</v>
      </c>
      <c r="AC1166" s="18">
        <f>SUM(grand[[#This Row],[am]:[meat transportation]])/100</f>
        <v>0.89255102040816325</v>
      </c>
      <c r="AJ1166" s="1">
        <v>34</v>
      </c>
      <c r="AK1166" s="1"/>
      <c r="AL1166" s="1"/>
    </row>
    <row r="1167" spans="1:38" hidden="1" x14ac:dyDescent="0.2">
      <c r="A1167" s="11">
        <v>45687</v>
      </c>
      <c r="B1167" s="53" t="s">
        <v>2139</v>
      </c>
      <c r="C1167" s="52" t="str">
        <f>IF(MID(B1167,4,2)="09","Ramadan",IF(AND(MID(B1167,4,2)="12",VALUE(LEFT(B1167,2))&lt;=9),"Adha Season","Normal"))</f>
        <v>Normal</v>
      </c>
      <c r="D1167" s="2" t="s">
        <v>294</v>
      </c>
      <c r="F1167" s="4" t="s">
        <v>280</v>
      </c>
      <c r="G1167" s="1">
        <v>40</v>
      </c>
      <c r="H1167" s="1">
        <v>40</v>
      </c>
      <c r="I1167" s="1">
        <f>grand[[#This Row],[number]]-grand[[#This Row],[received]]</f>
        <v>0</v>
      </c>
      <c r="J1167" s="30"/>
      <c r="K1167" s="2">
        <v>2130</v>
      </c>
      <c r="L1167" s="2">
        <v>2090</v>
      </c>
      <c r="M1167" s="2">
        <f>K1167-L1167</f>
        <v>40</v>
      </c>
      <c r="N1167" s="2">
        <v>1243.8</v>
      </c>
      <c r="O1167" s="2">
        <v>0</v>
      </c>
      <c r="P1167" s="7">
        <f>grand[[#This Row],[total weight]]/grand[[#This Row],[received]]</f>
        <v>53.25</v>
      </c>
      <c r="Q1167" s="7">
        <f>grand[[#This Row],[receiving weight]]/grand[[#This Row],[received]]</f>
        <v>52.25</v>
      </c>
      <c r="R1167" s="7">
        <f>grand[[#This Row],[transportation loss ]]/grand[[#This Row],[received]]</f>
        <v>1</v>
      </c>
      <c r="S1167" s="7">
        <f>grand[[#This Row],[ carcass weight]]/grand[[#This Row],[received]]</f>
        <v>31.094999999999999</v>
      </c>
      <c r="T1167" s="7">
        <f>grand[[#This Row],[ kidneys fat quantity]]/grand[[#This Row],[received]]</f>
        <v>0</v>
      </c>
      <c r="U1167" s="1">
        <v>25</v>
      </c>
      <c r="V1167" s="1">
        <v>0</v>
      </c>
      <c r="W1167" s="1">
        <v>47.75</v>
      </c>
      <c r="X1167" s="1">
        <v>10</v>
      </c>
      <c r="Y1167" s="1">
        <v>8.5</v>
      </c>
      <c r="Z1167" s="18">
        <f>grand[[#This Row],[av. Transportation loss]]/grand[[#This Row],[av.total weight]]</f>
        <v>1.8779342723004695E-2</v>
      </c>
      <c r="AA1167" s="12">
        <f>AVERAGE((grand[[#This Row],[am]]/25),(grand[[#This Row],[pm]]/50))</f>
        <v>0.97750000000000004</v>
      </c>
      <c r="AB1167" s="3">
        <f>grand[[#This Row],[ carcass weight]]/grand[[#This Row],[total weight]]</f>
        <v>0.58394366197183101</v>
      </c>
      <c r="AC1167" s="18">
        <f>SUM(grand[[#This Row],[am]:[meat transportation]])/100</f>
        <v>0.91249999999999998</v>
      </c>
      <c r="AK1167" s="1"/>
      <c r="AL1167" s="1"/>
    </row>
    <row r="1168" spans="1:38" hidden="1" x14ac:dyDescent="0.2">
      <c r="A1168" s="11">
        <v>45687</v>
      </c>
      <c r="B1168" s="53" t="s">
        <v>2139</v>
      </c>
      <c r="C1168" s="52" t="str">
        <f>IF(MID(B1168,4,2)="09","Ramadan",IF(AND(MID(B1168,4,2)="12",VALUE(LEFT(B1168,2))&lt;=9),"Adha Season","Normal"))</f>
        <v>Normal</v>
      </c>
      <c r="D1168" s="1" t="s">
        <v>45</v>
      </c>
      <c r="E1168" s="1" t="s">
        <v>483</v>
      </c>
      <c r="F1168" s="4" t="s">
        <v>280</v>
      </c>
      <c r="G1168" s="1">
        <v>57</v>
      </c>
      <c r="H1168" s="1">
        <v>56</v>
      </c>
      <c r="I1168" s="1">
        <f>grand[[#This Row],[number]]-grand[[#This Row],[received]]</f>
        <v>1</v>
      </c>
      <c r="J1168" s="64" t="s">
        <v>675</v>
      </c>
      <c r="K1168" s="2">
        <v>29238</v>
      </c>
      <c r="L1168" s="2">
        <v>28660</v>
      </c>
      <c r="M1168" s="2">
        <f>K1168-L1168</f>
        <v>578</v>
      </c>
      <c r="N1168" s="2">
        <v>17586</v>
      </c>
      <c r="O1168" s="2">
        <v>571</v>
      </c>
      <c r="P1168" s="7">
        <f>grand[[#This Row],[total weight]]/grand[[#This Row],[received]]</f>
        <v>522.10714285714289</v>
      </c>
      <c r="Q1168" s="7">
        <f>grand[[#This Row],[receiving weight]]/grand[[#This Row],[received]]</f>
        <v>511.78571428571428</v>
      </c>
      <c r="R1168" s="7">
        <f>grand[[#This Row],[transportation loss ]]/grand[[#This Row],[received]]</f>
        <v>10.321428571428571</v>
      </c>
      <c r="S1168" s="7">
        <f>grand[[#This Row],[ carcass weight]]/grand[[#This Row],[received]]</f>
        <v>314.03571428571428</v>
      </c>
      <c r="T1168" s="7">
        <f>grand[[#This Row],[ kidneys fat quantity]]/grand[[#This Row],[received]]</f>
        <v>10.196428571428571</v>
      </c>
      <c r="U1168" s="1">
        <v>25</v>
      </c>
      <c r="V1168" s="1">
        <v>0</v>
      </c>
      <c r="W1168" s="1">
        <v>48.285714285714285</v>
      </c>
      <c r="X1168" s="1">
        <v>10</v>
      </c>
      <c r="Y1168" s="1">
        <v>8.5</v>
      </c>
      <c r="Z1168" s="18">
        <f>grand[[#This Row],[av. Transportation loss]]/grand[[#This Row],[av.total weight]]</f>
        <v>1.9768794035159722E-2</v>
      </c>
      <c r="AA1168" s="12">
        <f>AVERAGE((grand[[#This Row],[am]]/25),(grand[[#This Row],[pm]]/50))</f>
        <v>0.98285714285714287</v>
      </c>
      <c r="AB1168" s="3">
        <f>grand[[#This Row],[ carcass weight]]/grand[[#This Row],[total weight]]</f>
        <v>0.60147752924276632</v>
      </c>
      <c r="AC1168" s="18">
        <f>SUM(grand[[#This Row],[am]:[meat transportation]])/100</f>
        <v>0.91785714285714282</v>
      </c>
      <c r="AJ1168" s="1">
        <v>38</v>
      </c>
      <c r="AK1168" s="1"/>
      <c r="AL1168" s="1"/>
    </row>
    <row r="1169" spans="1:38" hidden="1" x14ac:dyDescent="0.2">
      <c r="A1169" s="11">
        <v>45689</v>
      </c>
      <c r="B1169" s="53" t="s">
        <v>2140</v>
      </c>
      <c r="C1169" s="52" t="str">
        <f>IF(MID(B1169,4,2)="09","Ramadan",IF(AND(MID(B1169,4,2)="12",VALUE(LEFT(B1169,2))&lt;=9),"Adha Season","Normal"))</f>
        <v>Normal</v>
      </c>
      <c r="D1169" s="1" t="s">
        <v>45</v>
      </c>
      <c r="E1169" s="1" t="s">
        <v>528</v>
      </c>
      <c r="F1169" s="4" t="s">
        <v>560</v>
      </c>
      <c r="G1169" s="1">
        <v>16</v>
      </c>
      <c r="H1169" s="1">
        <v>16</v>
      </c>
      <c r="I1169" s="1">
        <f>grand[[#This Row],[number]]-grand[[#This Row],[received]]</f>
        <v>0</v>
      </c>
      <c r="J1169" s="30"/>
      <c r="K1169" s="2">
        <v>8250</v>
      </c>
      <c r="L1169" s="2">
        <v>8015</v>
      </c>
      <c r="M1169" s="2">
        <f>K1169-L1169</f>
        <v>235</v>
      </c>
      <c r="N1169" s="2">
        <v>5171.2</v>
      </c>
      <c r="O1169" s="2">
        <v>140</v>
      </c>
      <c r="P1169" s="7">
        <f>grand[[#This Row],[total weight]]/grand[[#This Row],[received]]</f>
        <v>515.625</v>
      </c>
      <c r="Q1169" s="7">
        <f>grand[[#This Row],[receiving weight]]/grand[[#This Row],[received]]</f>
        <v>500.9375</v>
      </c>
      <c r="R1169" s="7">
        <f>grand[[#This Row],[transportation loss ]]/grand[[#This Row],[received]]</f>
        <v>14.6875</v>
      </c>
      <c r="S1169" s="7">
        <f>grand[[#This Row],[ carcass weight]]/grand[[#This Row],[received]]</f>
        <v>323.2</v>
      </c>
      <c r="T1169" s="7">
        <f>grand[[#This Row],[ kidneys fat quantity]]/grand[[#This Row],[received]]</f>
        <v>8.75</v>
      </c>
      <c r="U1169" s="1">
        <v>25</v>
      </c>
      <c r="V1169" s="1">
        <v>0</v>
      </c>
      <c r="W1169" s="1">
        <v>46.375</v>
      </c>
      <c r="X1169" s="1">
        <v>10</v>
      </c>
      <c r="Y1169" s="1">
        <v>8.5</v>
      </c>
      <c r="Z1169" s="18">
        <f>grand[[#This Row],[av. Transportation loss]]/grand[[#This Row],[av.total weight]]</f>
        <v>2.8484848484848484E-2</v>
      </c>
      <c r="AA1169" s="12">
        <f>AVERAGE((grand[[#This Row],[am]]/25),(grand[[#This Row],[pm]]/50))</f>
        <v>0.96375</v>
      </c>
      <c r="AB1169" s="3">
        <f>grand[[#This Row],[ carcass weight]]/grand[[#This Row],[total weight]]</f>
        <v>0.62681212121212115</v>
      </c>
      <c r="AC1169" s="18">
        <f>SUM(grand[[#This Row],[am]:[meat transportation]])/100</f>
        <v>0.89875000000000005</v>
      </c>
      <c r="AK1169" s="1"/>
      <c r="AL1169" s="1"/>
    </row>
    <row r="1170" spans="1:38" hidden="1" x14ac:dyDescent="0.2">
      <c r="A1170" s="11">
        <v>45689</v>
      </c>
      <c r="B1170" s="53" t="s">
        <v>2140</v>
      </c>
      <c r="C1170" s="52" t="str">
        <f>IF(MID(B1170,4,2)="09","Ramadan",IF(AND(MID(B1170,4,2)="12",VALUE(LEFT(B1170,2))&lt;=9),"Adha Season","Normal"))</f>
        <v>Normal</v>
      </c>
      <c r="D1170" s="1" t="s">
        <v>45</v>
      </c>
      <c r="E1170" s="1" t="s">
        <v>483</v>
      </c>
      <c r="F1170" s="4" t="s">
        <v>46</v>
      </c>
      <c r="G1170" s="1">
        <v>24</v>
      </c>
      <c r="H1170" s="1">
        <v>23</v>
      </c>
      <c r="I1170" s="1">
        <f>grand[[#This Row],[number]]-grand[[#This Row],[received]]</f>
        <v>1</v>
      </c>
      <c r="J1170" s="64" t="s">
        <v>573</v>
      </c>
      <c r="K1170" s="2">
        <v>10768</v>
      </c>
      <c r="L1170" s="2">
        <v>10178</v>
      </c>
      <c r="M1170" s="2">
        <f>K1170-L1170</f>
        <v>590</v>
      </c>
      <c r="N1170" s="2">
        <v>6460.6</v>
      </c>
      <c r="O1170" s="2">
        <v>221</v>
      </c>
      <c r="P1170" s="7">
        <f>grand[[#This Row],[total weight]]/grand[[#This Row],[received]]</f>
        <v>468.17391304347825</v>
      </c>
      <c r="Q1170" s="7">
        <f>grand[[#This Row],[receiving weight]]/grand[[#This Row],[received]]</f>
        <v>442.52173913043481</v>
      </c>
      <c r="R1170" s="7">
        <f>grand[[#This Row],[transportation loss ]]/grand[[#This Row],[received]]</f>
        <v>25.652173913043477</v>
      </c>
      <c r="S1170" s="7">
        <f>grand[[#This Row],[ carcass weight]]/grand[[#This Row],[received]]</f>
        <v>280.89565217391305</v>
      </c>
      <c r="T1170" s="7">
        <f>grand[[#This Row],[ kidneys fat quantity]]/grand[[#This Row],[received]]</f>
        <v>9.6086956521739122</v>
      </c>
      <c r="U1170" s="1">
        <v>25</v>
      </c>
      <c r="V1170" s="1">
        <v>0</v>
      </c>
      <c r="W1170" s="1">
        <v>44.391304347826086</v>
      </c>
      <c r="X1170" s="1">
        <v>10</v>
      </c>
      <c r="Y1170" s="1">
        <v>8.5</v>
      </c>
      <c r="Z1170" s="18">
        <f>grand[[#This Row],[av. Transportation loss]]/grand[[#This Row],[av.total weight]]</f>
        <v>5.4791976225854383E-2</v>
      </c>
      <c r="AA1170" s="12">
        <f>AVERAGE((grand[[#This Row],[am]]/25),(grand[[#This Row],[pm]]/50))</f>
        <v>0.94391304347826088</v>
      </c>
      <c r="AB1170" s="3">
        <f>grand[[#This Row],[ carcass weight]]/grand[[#This Row],[total weight]]</f>
        <v>0.59998142644873709</v>
      </c>
      <c r="AC1170" s="18">
        <f>SUM(grand[[#This Row],[am]:[meat transportation]])/100</f>
        <v>0.87891304347826094</v>
      </c>
      <c r="AJ1170" s="1">
        <v>9</v>
      </c>
      <c r="AK1170" s="1"/>
      <c r="AL1170" s="1"/>
    </row>
    <row r="1171" spans="1:38" hidden="1" x14ac:dyDescent="0.2">
      <c r="A1171" s="11">
        <v>45690</v>
      </c>
      <c r="B1171" s="53" t="s">
        <v>2141</v>
      </c>
      <c r="C1171" s="52" t="str">
        <f>IF(MID(B1171,4,2)="09","Ramadan",IF(AND(MID(B1171,4,2)="12",VALUE(LEFT(B1171,2))&lt;=9),"Adha Season","Normal"))</f>
        <v>Normal</v>
      </c>
      <c r="D1171" s="2" t="s">
        <v>294</v>
      </c>
      <c r="F1171" s="4" t="s">
        <v>280</v>
      </c>
      <c r="G1171" s="1">
        <v>41</v>
      </c>
      <c r="H1171" s="1">
        <v>41</v>
      </c>
      <c r="I1171" s="1">
        <f>grand[[#This Row],[number]]-grand[[#This Row],[received]]</f>
        <v>0</v>
      </c>
      <c r="J1171" s="30"/>
      <c r="K1171" s="2">
        <v>2104</v>
      </c>
      <c r="L1171" s="2">
        <v>2095</v>
      </c>
      <c r="M1171" s="2">
        <f>K1171-L1171</f>
        <v>9</v>
      </c>
      <c r="N1171" s="2">
        <v>1191.8</v>
      </c>
      <c r="O1171" s="2">
        <v>0</v>
      </c>
      <c r="P1171" s="7">
        <f>grand[[#This Row],[total weight]]/grand[[#This Row],[received]]</f>
        <v>51.31707317073171</v>
      </c>
      <c r="Q1171" s="7">
        <f>grand[[#This Row],[receiving weight]]/grand[[#This Row],[received]]</f>
        <v>51.097560975609753</v>
      </c>
      <c r="R1171" s="7">
        <f>grand[[#This Row],[transportation loss ]]/grand[[#This Row],[received]]</f>
        <v>0.21951219512195122</v>
      </c>
      <c r="S1171" s="7">
        <f>grand[[#This Row],[ carcass weight]]/grand[[#This Row],[received]]</f>
        <v>29.068292682926828</v>
      </c>
      <c r="T1171" s="7">
        <f>grand[[#This Row],[ kidneys fat quantity]]/grand[[#This Row],[received]]</f>
        <v>0</v>
      </c>
      <c r="U1171" s="1">
        <v>25</v>
      </c>
      <c r="V1171" s="1">
        <v>0</v>
      </c>
      <c r="W1171" s="1">
        <v>47.585365853658537</v>
      </c>
      <c r="X1171" s="1">
        <v>10</v>
      </c>
      <c r="Y1171" s="1">
        <v>8.5</v>
      </c>
      <c r="Z1171" s="18">
        <f>grand[[#This Row],[av. Transportation loss]]/grand[[#This Row],[av.total weight]]</f>
        <v>4.2775665399239545E-3</v>
      </c>
      <c r="AA1171" s="12">
        <f>AVERAGE((grand[[#This Row],[am]]/25),(grand[[#This Row],[pm]]/50))</f>
        <v>0.97585365853658534</v>
      </c>
      <c r="AB1171" s="3">
        <f>grand[[#This Row],[ carcass weight]]/grand[[#This Row],[total weight]]</f>
        <v>0.56644486692015206</v>
      </c>
      <c r="AC1171" s="18">
        <f>SUM(grand[[#This Row],[am]:[meat transportation]])/100</f>
        <v>0.9108536585365854</v>
      </c>
      <c r="AK1171" s="1"/>
      <c r="AL1171" s="1"/>
    </row>
    <row r="1172" spans="1:38" hidden="1" x14ac:dyDescent="0.2">
      <c r="A1172" s="11">
        <v>45690</v>
      </c>
      <c r="B1172" s="53" t="s">
        <v>2141</v>
      </c>
      <c r="C1172" s="52" t="str">
        <f>IF(MID(B1172,4,2)="09","Ramadan",IF(AND(MID(B1172,4,2)="12",VALUE(LEFT(B1172,2))&lt;=9),"Adha Season","Normal"))</f>
        <v>Normal</v>
      </c>
      <c r="D1172" s="1" t="s">
        <v>45</v>
      </c>
      <c r="E1172" s="1" t="s">
        <v>483</v>
      </c>
      <c r="F1172" s="4" t="s">
        <v>959</v>
      </c>
      <c r="G1172" s="1">
        <v>48</v>
      </c>
      <c r="H1172" s="1">
        <v>48</v>
      </c>
      <c r="I1172" s="1">
        <f>grand[[#This Row],[number]]-grand[[#This Row],[received]]</f>
        <v>0</v>
      </c>
      <c r="J1172" s="30"/>
      <c r="K1172" s="2">
        <v>21630</v>
      </c>
      <c r="L1172" s="2">
        <v>20905</v>
      </c>
      <c r="M1172" s="2">
        <f>K1172-L1172</f>
        <v>725</v>
      </c>
      <c r="N1172" s="2">
        <v>12977.9</v>
      </c>
      <c r="O1172" s="2">
        <v>365</v>
      </c>
      <c r="P1172" s="7">
        <f>grand[[#This Row],[total weight]]/grand[[#This Row],[received]]</f>
        <v>450.625</v>
      </c>
      <c r="Q1172" s="7">
        <f>grand[[#This Row],[receiving weight]]/grand[[#This Row],[received]]</f>
        <v>435.52083333333331</v>
      </c>
      <c r="R1172" s="7">
        <f>grand[[#This Row],[transportation loss ]]/grand[[#This Row],[received]]</f>
        <v>15.104166666666666</v>
      </c>
      <c r="S1172" s="7">
        <f>grand[[#This Row],[ carcass weight]]/grand[[#This Row],[received]]</f>
        <v>270.37291666666664</v>
      </c>
      <c r="T1172" s="7">
        <f>grand[[#This Row],[ kidneys fat quantity]]/grand[[#This Row],[received]]</f>
        <v>7.604166666666667</v>
      </c>
      <c r="U1172" s="1">
        <v>25</v>
      </c>
      <c r="V1172" s="1">
        <v>0</v>
      </c>
      <c r="W1172" s="1">
        <v>45.208333333333336</v>
      </c>
      <c r="X1172" s="1">
        <v>10</v>
      </c>
      <c r="Y1172" s="1">
        <v>8.5</v>
      </c>
      <c r="Z1172" s="18">
        <f>grand[[#This Row],[av. Transportation loss]]/grand[[#This Row],[av.total weight]]</f>
        <v>3.3518261673601481E-2</v>
      </c>
      <c r="AA1172" s="12">
        <f>AVERAGE((grand[[#This Row],[am]]/25),(grand[[#This Row],[pm]]/50))</f>
        <v>0.95208333333333339</v>
      </c>
      <c r="AB1172" s="3">
        <f>grand[[#This Row],[ carcass weight]]/grand[[#This Row],[total weight]]</f>
        <v>0.59999537679149328</v>
      </c>
      <c r="AC1172" s="18">
        <f>SUM(grand[[#This Row],[am]:[meat transportation]])/100</f>
        <v>0.88708333333333345</v>
      </c>
      <c r="AK1172" s="1"/>
      <c r="AL1172" s="1"/>
    </row>
    <row r="1173" spans="1:38" hidden="1" x14ac:dyDescent="0.2">
      <c r="A1173" s="11">
        <v>45691</v>
      </c>
      <c r="B1173" s="53" t="s">
        <v>2142</v>
      </c>
      <c r="C1173" s="52" t="str">
        <f>IF(MID(B1173,4,2)="09","Ramadan",IF(AND(MID(B1173,4,2)="12",VALUE(LEFT(B1173,2))&lt;=9),"Adha Season","Normal"))</f>
        <v>Normal</v>
      </c>
      <c r="D1173" s="1" t="s">
        <v>45</v>
      </c>
      <c r="E1173" s="1" t="s">
        <v>483</v>
      </c>
      <c r="F1173" s="4" t="s">
        <v>39</v>
      </c>
      <c r="G1173" s="1">
        <v>30</v>
      </c>
      <c r="H1173" s="1">
        <v>30</v>
      </c>
      <c r="I1173" s="1">
        <f>grand[[#This Row],[number]]-grand[[#This Row],[received]]</f>
        <v>0</v>
      </c>
      <c r="J1173" s="30"/>
      <c r="K1173" s="2">
        <v>8479.1930379746827</v>
      </c>
      <c r="L1173" s="2">
        <v>8479.1930379746827</v>
      </c>
      <c r="M1173" s="2">
        <f>K1173-L1173</f>
        <v>0</v>
      </c>
      <c r="N1173" s="2">
        <v>5358.85</v>
      </c>
      <c r="O1173" s="2">
        <v>0</v>
      </c>
      <c r="P1173" s="7">
        <f>grand[[#This Row],[total weight]]/grand[[#This Row],[received]]</f>
        <v>282.63976793248941</v>
      </c>
      <c r="Q1173" s="7">
        <f>grand[[#This Row],[receiving weight]]/grand[[#This Row],[received]]</f>
        <v>282.63976793248941</v>
      </c>
      <c r="R1173" s="7">
        <f>grand[[#This Row],[transportation loss ]]/grand[[#This Row],[received]]</f>
        <v>0</v>
      </c>
      <c r="S1173" s="7">
        <f>grand[[#This Row],[ carcass weight]]/grand[[#This Row],[received]]</f>
        <v>178.62833333333336</v>
      </c>
      <c r="T1173" s="7">
        <f>grand[[#This Row],[ kidneys fat quantity]]/grand[[#This Row],[received]]</f>
        <v>0</v>
      </c>
      <c r="U1173" s="1">
        <v>25</v>
      </c>
      <c r="V1173" s="1">
        <v>5</v>
      </c>
      <c r="W1173" s="1">
        <v>50</v>
      </c>
      <c r="X1173" s="1">
        <v>10</v>
      </c>
      <c r="Y1173" s="1">
        <v>8.5</v>
      </c>
      <c r="Z1173" s="18">
        <f>grand[[#This Row],[av. Transportation loss]]/grand[[#This Row],[av.total weight]]</f>
        <v>0</v>
      </c>
      <c r="AA1173" s="12">
        <f>AVERAGE((grand[[#This Row],[am]]/25),(grand[[#This Row],[pm]]/50))</f>
        <v>1</v>
      </c>
      <c r="AB1173" s="3">
        <f>grand[[#This Row],[ carcass weight]]/grand[[#This Row],[total weight]]</f>
        <v>0.63200000000000012</v>
      </c>
      <c r="AC1173" s="18">
        <f>SUM(grand[[#This Row],[am]:[meat transportation]])/100</f>
        <v>0.98499999999999999</v>
      </c>
      <c r="AK1173" s="1"/>
      <c r="AL1173" s="1"/>
    </row>
    <row r="1174" spans="1:38" hidden="1" x14ac:dyDescent="0.2">
      <c r="A1174" s="11">
        <v>45691</v>
      </c>
      <c r="B1174" s="53" t="s">
        <v>2142</v>
      </c>
      <c r="C1174" s="52" t="str">
        <f>IF(MID(B1174,4,2)="09","Ramadan",IF(AND(MID(B1174,4,2)="12",VALUE(LEFT(B1174,2))&lt;=9),"Adha Season","Normal"))</f>
        <v>Normal</v>
      </c>
      <c r="D1174" s="1" t="s">
        <v>45</v>
      </c>
      <c r="E1174" s="1" t="s">
        <v>483</v>
      </c>
      <c r="F1174" s="4" t="s">
        <v>959</v>
      </c>
      <c r="G1174" s="1">
        <v>38</v>
      </c>
      <c r="H1174" s="1">
        <v>37</v>
      </c>
      <c r="I1174" s="1">
        <f>grand[[#This Row],[number]]-grand[[#This Row],[received]]</f>
        <v>1</v>
      </c>
      <c r="J1174" s="64" t="s">
        <v>573</v>
      </c>
      <c r="K1174" s="2">
        <v>17386</v>
      </c>
      <c r="L1174" s="2">
        <v>16861</v>
      </c>
      <c r="M1174" s="2">
        <f>K1174-L1174</f>
        <v>525</v>
      </c>
      <c r="N1174" s="2">
        <v>10676.5</v>
      </c>
      <c r="O1174" s="2">
        <v>360</v>
      </c>
      <c r="P1174" s="7">
        <f>grand[[#This Row],[total weight]]/grand[[#This Row],[received]]</f>
        <v>469.89189189189187</v>
      </c>
      <c r="Q1174" s="7">
        <f>grand[[#This Row],[receiving weight]]/grand[[#This Row],[received]]</f>
        <v>455.70270270270271</v>
      </c>
      <c r="R1174" s="7">
        <f>grand[[#This Row],[transportation loss ]]/grand[[#This Row],[received]]</f>
        <v>14.189189189189189</v>
      </c>
      <c r="S1174" s="7">
        <f>grand[[#This Row],[ carcass weight]]/grand[[#This Row],[received]]</f>
        <v>288.55405405405406</v>
      </c>
      <c r="T1174" s="7">
        <f>grand[[#This Row],[ kidneys fat quantity]]/grand[[#This Row],[received]]</f>
        <v>9.7297297297297298</v>
      </c>
      <c r="U1174" s="1">
        <v>25</v>
      </c>
      <c r="V1174" s="1">
        <v>0</v>
      </c>
      <c r="W1174" s="1">
        <v>45.702702702702702</v>
      </c>
      <c r="X1174" s="1">
        <v>10</v>
      </c>
      <c r="Y1174" s="1">
        <v>8.5</v>
      </c>
      <c r="Z1174" s="18">
        <f>grand[[#This Row],[av. Transportation loss]]/grand[[#This Row],[av.total weight]]</f>
        <v>3.019670999654895E-2</v>
      </c>
      <c r="AA1174" s="12">
        <f>AVERAGE((grand[[#This Row],[am]]/25),(grand[[#This Row],[pm]]/50))</f>
        <v>0.95702702702702702</v>
      </c>
      <c r="AB1174" s="3">
        <f>grand[[#This Row],[ carcass weight]]/grand[[#This Row],[total weight]]</f>
        <v>0.61408604624410446</v>
      </c>
      <c r="AC1174" s="18">
        <f>SUM(grand[[#This Row],[am]:[meat transportation]])/100</f>
        <v>0.89202702702702708</v>
      </c>
      <c r="AK1174" s="1"/>
      <c r="AL1174" s="1"/>
    </row>
    <row r="1175" spans="1:38" hidden="1" x14ac:dyDescent="0.2">
      <c r="A1175" s="11">
        <v>45692</v>
      </c>
      <c r="B1175" s="53" t="s">
        <v>2143</v>
      </c>
      <c r="C1175" s="52" t="str">
        <f>IF(MID(B1175,4,2)="09","Ramadan",IF(AND(MID(B1175,4,2)="12",VALUE(LEFT(B1175,2))&lt;=9),"Adha Season","Normal"))</f>
        <v>Normal</v>
      </c>
      <c r="D1175" s="1" t="s">
        <v>45</v>
      </c>
      <c r="E1175" s="1" t="s">
        <v>528</v>
      </c>
      <c r="F1175" s="4" t="s">
        <v>576</v>
      </c>
      <c r="G1175" s="1">
        <v>50</v>
      </c>
      <c r="H1175" s="1">
        <v>50</v>
      </c>
      <c r="I1175" s="1">
        <f>grand[[#This Row],[number]]-grand[[#This Row],[received]]</f>
        <v>0</v>
      </c>
      <c r="J1175" s="30"/>
      <c r="K1175" s="2">
        <v>27248</v>
      </c>
      <c r="L1175" s="2">
        <v>26395</v>
      </c>
      <c r="M1175" s="2">
        <f>K1175-L1175</f>
        <v>853</v>
      </c>
      <c r="N1175" s="2">
        <v>17014.7</v>
      </c>
      <c r="O1175" s="2">
        <v>519</v>
      </c>
      <c r="P1175" s="7">
        <f>grand[[#This Row],[total weight]]/grand[[#This Row],[received]]</f>
        <v>544.96</v>
      </c>
      <c r="Q1175" s="7">
        <f>grand[[#This Row],[receiving weight]]/grand[[#This Row],[received]]</f>
        <v>527.9</v>
      </c>
      <c r="R1175" s="7">
        <f>grand[[#This Row],[transportation loss ]]/grand[[#This Row],[received]]</f>
        <v>17.059999999999999</v>
      </c>
      <c r="S1175" s="7">
        <f>grand[[#This Row],[ carcass weight]]/grand[[#This Row],[received]]</f>
        <v>340.29400000000004</v>
      </c>
      <c r="T1175" s="7">
        <f>grand[[#This Row],[ kidneys fat quantity]]/grand[[#This Row],[received]]</f>
        <v>10.38</v>
      </c>
      <c r="U1175" s="1">
        <v>25</v>
      </c>
      <c r="V1175" s="1">
        <v>0</v>
      </c>
      <c r="W1175" s="1">
        <v>44.22</v>
      </c>
      <c r="X1175" s="1">
        <v>10</v>
      </c>
      <c r="Y1175" s="1">
        <v>8.5</v>
      </c>
      <c r="Z1175" s="18">
        <f>grand[[#This Row],[av. Transportation loss]]/grand[[#This Row],[av.total weight]]</f>
        <v>3.1305049911920138E-2</v>
      </c>
      <c r="AA1175" s="12">
        <f>AVERAGE((grand[[#This Row],[am]]/25),(grand[[#This Row],[pm]]/50))</f>
        <v>0.94219999999999993</v>
      </c>
      <c r="AB1175" s="3">
        <f>grand[[#This Row],[ carcass weight]]/grand[[#This Row],[total weight]]</f>
        <v>0.62443849089841463</v>
      </c>
      <c r="AC1175" s="18">
        <f>SUM(grand[[#This Row],[am]:[meat transportation]])/100</f>
        <v>0.87719999999999998</v>
      </c>
      <c r="AJ1175" s="1">
        <v>47</v>
      </c>
      <c r="AK1175" s="1"/>
      <c r="AL1175" s="1"/>
    </row>
    <row r="1176" spans="1:38" hidden="1" x14ac:dyDescent="0.2">
      <c r="A1176" s="11">
        <v>45693</v>
      </c>
      <c r="B1176" s="53" t="s">
        <v>2144</v>
      </c>
      <c r="C1176" s="52" t="str">
        <f>IF(MID(B1176,4,2)="09","Ramadan",IF(AND(MID(B1176,4,2)="12",VALUE(LEFT(B1176,2))&lt;=9),"Adha Season","Normal"))</f>
        <v>Normal</v>
      </c>
      <c r="D1176" s="1" t="s">
        <v>45</v>
      </c>
      <c r="E1176" s="1" t="s">
        <v>483</v>
      </c>
      <c r="F1176" s="4" t="s">
        <v>43</v>
      </c>
      <c r="G1176" s="1">
        <v>39</v>
      </c>
      <c r="H1176" s="1">
        <v>38</v>
      </c>
      <c r="I1176" s="1">
        <f>grand[[#This Row],[number]]-grand[[#This Row],[received]]</f>
        <v>1</v>
      </c>
      <c r="J1176" s="64" t="s">
        <v>676</v>
      </c>
      <c r="K1176" s="2">
        <v>20715</v>
      </c>
      <c r="L1176" s="2">
        <v>19685</v>
      </c>
      <c r="M1176" s="2">
        <f>K1176-L1176</f>
        <v>1030</v>
      </c>
      <c r="N1176" s="2">
        <v>12428</v>
      </c>
      <c r="O1176" s="2">
        <v>508</v>
      </c>
      <c r="P1176" s="7">
        <f>grand[[#This Row],[total weight]]/grand[[#This Row],[received]]</f>
        <v>545.13157894736844</v>
      </c>
      <c r="Q1176" s="7">
        <f>grand[[#This Row],[receiving weight]]/grand[[#This Row],[received]]</f>
        <v>518.02631578947364</v>
      </c>
      <c r="R1176" s="7">
        <f>grand[[#This Row],[transportation loss ]]/grand[[#This Row],[received]]</f>
        <v>27.105263157894736</v>
      </c>
      <c r="S1176" s="7">
        <f>grand[[#This Row],[ carcass weight]]/grand[[#This Row],[received]]</f>
        <v>327.05263157894734</v>
      </c>
      <c r="T1176" s="7">
        <f>grand[[#This Row],[ kidneys fat quantity]]/grand[[#This Row],[received]]</f>
        <v>13.368421052631579</v>
      </c>
      <c r="U1176" s="1">
        <v>25</v>
      </c>
      <c r="V1176" s="1">
        <v>0</v>
      </c>
      <c r="W1176" s="1">
        <v>42.710526315789473</v>
      </c>
      <c r="X1176" s="1">
        <v>10</v>
      </c>
      <c r="Y1176" s="1">
        <v>8.5</v>
      </c>
      <c r="Z1176" s="18">
        <f>grand[[#This Row],[av. Transportation loss]]/grand[[#This Row],[av.total weight]]</f>
        <v>4.9722423364711561E-2</v>
      </c>
      <c r="AA1176" s="12">
        <f>AVERAGE((grand[[#This Row],[am]]/25),(grand[[#This Row],[pm]]/50))</f>
        <v>0.92710526315789465</v>
      </c>
      <c r="AB1176" s="3">
        <f>grand[[#This Row],[ carcass weight]]/grand[[#This Row],[total weight]]</f>
        <v>0.59995172580255851</v>
      </c>
      <c r="AC1176" s="18">
        <f>SUM(grand[[#This Row],[am]:[meat transportation]])/100</f>
        <v>0.86210526315789482</v>
      </c>
      <c r="AJ1176" s="1">
        <v>32</v>
      </c>
      <c r="AK1176" s="1"/>
      <c r="AL1176" s="1"/>
    </row>
    <row r="1177" spans="1:38" hidden="1" x14ac:dyDescent="0.2">
      <c r="A1177" s="11">
        <v>45694</v>
      </c>
      <c r="B1177" s="53" t="s">
        <v>2145</v>
      </c>
      <c r="C1177" s="52" t="str">
        <f>IF(MID(B1177,4,2)="09","Ramadan",IF(AND(MID(B1177,4,2)="12",VALUE(LEFT(B1177,2))&lt;=9),"Adha Season","Normal"))</f>
        <v>Normal</v>
      </c>
      <c r="D1177" s="1" t="s">
        <v>45</v>
      </c>
      <c r="E1177" s="1" t="s">
        <v>528</v>
      </c>
      <c r="F1177" s="4" t="s">
        <v>560</v>
      </c>
      <c r="G1177" s="1">
        <v>62</v>
      </c>
      <c r="H1177" s="1">
        <v>62</v>
      </c>
      <c r="I1177" s="1">
        <f>grand[[#This Row],[number]]-grand[[#This Row],[received]]</f>
        <v>0</v>
      </c>
      <c r="J1177" s="30"/>
      <c r="K1177" s="2">
        <v>33340</v>
      </c>
      <c r="L1177" s="2">
        <v>32575</v>
      </c>
      <c r="M1177" s="2">
        <f>K1177-L1177</f>
        <v>765</v>
      </c>
      <c r="N1177" s="2">
        <v>20738</v>
      </c>
      <c r="O1177" s="2">
        <v>493</v>
      </c>
      <c r="P1177" s="7">
        <f>grand[[#This Row],[total weight]]/grand[[#This Row],[received]]</f>
        <v>537.74193548387098</v>
      </c>
      <c r="Q1177" s="7">
        <f>grand[[#This Row],[receiving weight]]/grand[[#This Row],[received]]</f>
        <v>525.40322580645159</v>
      </c>
      <c r="R1177" s="7">
        <f>grand[[#This Row],[transportation loss ]]/grand[[#This Row],[received]]</f>
        <v>12.338709677419354</v>
      </c>
      <c r="S1177" s="7">
        <f>grand[[#This Row],[ carcass weight]]/grand[[#This Row],[received]]</f>
        <v>334.48387096774195</v>
      </c>
      <c r="T1177" s="7">
        <f>grand[[#This Row],[ kidneys fat quantity]]/grand[[#This Row],[received]]</f>
        <v>7.9516129032258061</v>
      </c>
      <c r="U1177" s="1">
        <v>25</v>
      </c>
      <c r="V1177" s="1">
        <v>0</v>
      </c>
      <c r="W1177" s="1">
        <v>48.209677419354833</v>
      </c>
      <c r="X1177" s="1">
        <v>10</v>
      </c>
      <c r="Y1177" s="1">
        <v>8.5</v>
      </c>
      <c r="Z1177" s="18">
        <f>grand[[#This Row],[av. Transportation loss]]/grand[[#This Row],[av.total weight]]</f>
        <v>2.2945410917816433E-2</v>
      </c>
      <c r="AA1177" s="12">
        <f>AVERAGE((grand[[#This Row],[am]]/25),(grand[[#This Row],[pm]]/50))</f>
        <v>0.98209677419354835</v>
      </c>
      <c r="AB1177" s="3">
        <f>grand[[#This Row],[ carcass weight]]/grand[[#This Row],[total weight]]</f>
        <v>0.62201559688062391</v>
      </c>
      <c r="AC1177" s="18">
        <f>SUM(grand[[#This Row],[am]:[meat transportation]])/100</f>
        <v>0.91709677419354829</v>
      </c>
      <c r="AK1177" s="1"/>
      <c r="AL1177" s="1"/>
    </row>
    <row r="1178" spans="1:38" hidden="1" x14ac:dyDescent="0.2">
      <c r="A1178" s="11">
        <v>45694</v>
      </c>
      <c r="B1178" s="53" t="s">
        <v>2145</v>
      </c>
      <c r="C1178" s="52" t="str">
        <f>IF(MID(B1178,4,2)="09","Ramadan",IF(AND(MID(B1178,4,2)="12",VALUE(LEFT(B1178,2))&lt;=9),"Adha Season","Normal"))</f>
        <v>Normal</v>
      </c>
      <c r="D1178" s="2" t="s">
        <v>294</v>
      </c>
      <c r="F1178" s="4" t="s">
        <v>280</v>
      </c>
      <c r="G1178" s="1">
        <v>45</v>
      </c>
      <c r="H1178" s="1">
        <v>44</v>
      </c>
      <c r="I1178" s="1">
        <f>grand[[#This Row],[number]]-grand[[#This Row],[received]]</f>
        <v>1</v>
      </c>
      <c r="J1178" s="64" t="s">
        <v>677</v>
      </c>
      <c r="K1178" s="2">
        <v>2396</v>
      </c>
      <c r="L1178" s="2">
        <v>2363</v>
      </c>
      <c r="M1178" s="2">
        <f>K1178-L1178</f>
        <v>33</v>
      </c>
      <c r="N1178" s="2">
        <v>1419.8</v>
      </c>
      <c r="O1178" s="2">
        <v>0</v>
      </c>
      <c r="P1178" s="7">
        <f>grand[[#This Row],[total weight]]/grand[[#This Row],[received]]</f>
        <v>54.454545454545453</v>
      </c>
      <c r="Q1178" s="7">
        <f>grand[[#This Row],[receiving weight]]/grand[[#This Row],[received]]</f>
        <v>53.704545454545453</v>
      </c>
      <c r="R1178" s="7">
        <f>grand[[#This Row],[transportation loss ]]/grand[[#This Row],[received]]</f>
        <v>0.75</v>
      </c>
      <c r="S1178" s="7">
        <f>grand[[#This Row],[ carcass weight]]/grand[[#This Row],[received]]</f>
        <v>32.268181818181816</v>
      </c>
      <c r="T1178" s="7">
        <f>grand[[#This Row],[ kidneys fat quantity]]/grand[[#This Row],[received]]</f>
        <v>0</v>
      </c>
      <c r="U1178" s="1">
        <v>25</v>
      </c>
      <c r="V1178" s="1">
        <v>0</v>
      </c>
      <c r="W1178" s="1">
        <v>49.068181818181813</v>
      </c>
      <c r="X1178" s="1">
        <v>10</v>
      </c>
      <c r="Y1178" s="1">
        <v>8.5</v>
      </c>
      <c r="Z1178" s="18">
        <f>grand[[#This Row],[av. Transportation loss]]/grand[[#This Row],[av.total weight]]</f>
        <v>1.3772954924874792E-2</v>
      </c>
      <c r="AA1178" s="12">
        <f>AVERAGE((grand[[#This Row],[am]]/25),(grand[[#This Row],[pm]]/50))</f>
        <v>0.99068181818181811</v>
      </c>
      <c r="AB1178" s="3">
        <f>grand[[#This Row],[ carcass weight]]/grand[[#This Row],[total weight]]</f>
        <v>0.59257095158597661</v>
      </c>
      <c r="AC1178" s="18">
        <f>SUM(grand[[#This Row],[am]:[meat transportation]])/100</f>
        <v>0.92568181818181816</v>
      </c>
      <c r="AK1178" s="1"/>
      <c r="AL1178" s="1"/>
    </row>
    <row r="1179" spans="1:38" hidden="1" x14ac:dyDescent="0.2">
      <c r="A1179" s="11">
        <v>45696</v>
      </c>
      <c r="B1179" s="53" t="s">
        <v>2146</v>
      </c>
      <c r="C1179" s="52" t="str">
        <f>IF(MID(B1179,4,2)="09","Ramadan",IF(AND(MID(B1179,4,2)="12",VALUE(LEFT(B1179,2))&lt;=9),"Adha Season","Normal"))</f>
        <v>Normal</v>
      </c>
      <c r="D1179" s="1" t="s">
        <v>45</v>
      </c>
      <c r="E1179" s="1" t="s">
        <v>483</v>
      </c>
      <c r="F1179" s="4" t="s">
        <v>46</v>
      </c>
      <c r="G1179" s="1">
        <v>24</v>
      </c>
      <c r="H1179" s="1">
        <v>23</v>
      </c>
      <c r="I1179" s="1">
        <f>grand[[#This Row],[number]]-grand[[#This Row],[received]]</f>
        <v>1</v>
      </c>
      <c r="J1179" s="64" t="s">
        <v>678</v>
      </c>
      <c r="K1179" s="2">
        <v>11403</v>
      </c>
      <c r="L1179" s="2">
        <v>10598</v>
      </c>
      <c r="M1179" s="2">
        <f>K1179-L1179</f>
        <v>805</v>
      </c>
      <c r="N1179" s="2">
        <v>6869.4</v>
      </c>
      <c r="O1179" s="2">
        <v>278</v>
      </c>
      <c r="P1179" s="7">
        <f>grand[[#This Row],[total weight]]/grand[[#This Row],[received]]</f>
        <v>495.78260869565219</v>
      </c>
      <c r="Q1179" s="7">
        <f>grand[[#This Row],[receiving weight]]/grand[[#This Row],[received]]</f>
        <v>460.78260869565219</v>
      </c>
      <c r="R1179" s="7">
        <f>grand[[#This Row],[transportation loss ]]/grand[[#This Row],[received]]</f>
        <v>35</v>
      </c>
      <c r="S1179" s="7">
        <f>grand[[#This Row],[ carcass weight]]/grand[[#This Row],[received]]</f>
        <v>298.66956521739127</v>
      </c>
      <c r="T1179" s="7">
        <f>grand[[#This Row],[ kidneys fat quantity]]/grand[[#This Row],[received]]</f>
        <v>12.086956521739131</v>
      </c>
      <c r="U1179" s="1">
        <v>25</v>
      </c>
      <c r="V1179" s="1">
        <v>0</v>
      </c>
      <c r="W1179" s="1">
        <v>43.782608695652172</v>
      </c>
      <c r="X1179" s="1">
        <v>10</v>
      </c>
      <c r="Y1179" s="1">
        <v>8.5</v>
      </c>
      <c r="Z1179" s="18">
        <f>grand[[#This Row],[av. Transportation loss]]/grand[[#This Row],[av.total weight]]</f>
        <v>7.0595457335788828E-2</v>
      </c>
      <c r="AA1179" s="12">
        <f>AVERAGE((grand[[#This Row],[am]]/25),(grand[[#This Row],[pm]]/50))</f>
        <v>0.9378260869565217</v>
      </c>
      <c r="AB1179" s="3">
        <f>grand[[#This Row],[ carcass weight]]/grand[[#This Row],[total weight]]</f>
        <v>0.6024204156800842</v>
      </c>
      <c r="AC1179" s="18">
        <f>SUM(grand[[#This Row],[am]:[meat transportation]])/100</f>
        <v>0.87282608695652175</v>
      </c>
      <c r="AJ1179" s="1">
        <v>4</v>
      </c>
      <c r="AK1179" s="1"/>
      <c r="AL1179" s="1"/>
    </row>
    <row r="1180" spans="1:38" hidden="1" x14ac:dyDescent="0.2">
      <c r="A1180" s="11">
        <v>45697</v>
      </c>
      <c r="B1180" s="53" t="s">
        <v>2147</v>
      </c>
      <c r="C1180" s="52" t="str">
        <f>IF(MID(B1180,4,2)="09","Ramadan",IF(AND(MID(B1180,4,2)="12",VALUE(LEFT(B1180,2))&lt;=9),"Adha Season","Normal"))</f>
        <v>Normal</v>
      </c>
      <c r="D1180" s="2" t="s">
        <v>294</v>
      </c>
      <c r="F1180" s="4" t="s">
        <v>280</v>
      </c>
      <c r="G1180" s="1">
        <v>42</v>
      </c>
      <c r="H1180" s="1">
        <v>42</v>
      </c>
      <c r="I1180" s="1">
        <f>grand[[#This Row],[number]]-grand[[#This Row],[received]]</f>
        <v>0</v>
      </c>
      <c r="J1180" s="30"/>
      <c r="K1180" s="2">
        <v>2255</v>
      </c>
      <c r="L1180" s="2">
        <v>2210</v>
      </c>
      <c r="M1180" s="2">
        <f>K1180-L1180</f>
        <v>45</v>
      </c>
      <c r="N1180" s="2">
        <v>1325.5</v>
      </c>
      <c r="O1180" s="2">
        <v>0</v>
      </c>
      <c r="P1180" s="7">
        <f>grand[[#This Row],[total weight]]/grand[[#This Row],[received]]</f>
        <v>53.69047619047619</v>
      </c>
      <c r="Q1180" s="7">
        <f>grand[[#This Row],[receiving weight]]/grand[[#This Row],[received]]</f>
        <v>52.61904761904762</v>
      </c>
      <c r="R1180" s="7">
        <f>grand[[#This Row],[transportation loss ]]/grand[[#This Row],[received]]</f>
        <v>1.0714285714285714</v>
      </c>
      <c r="S1180" s="7">
        <f>grand[[#This Row],[ carcass weight]]/grand[[#This Row],[received]]</f>
        <v>31.55952380952381</v>
      </c>
      <c r="T1180" s="7">
        <f>grand[[#This Row],[ kidneys fat quantity]]/grand[[#This Row],[received]]</f>
        <v>0</v>
      </c>
      <c r="U1180" s="1">
        <v>25</v>
      </c>
      <c r="V1180" s="1">
        <v>0</v>
      </c>
      <c r="W1180" s="1">
        <v>48.88095238095238</v>
      </c>
      <c r="X1180" s="1">
        <v>10</v>
      </c>
      <c r="Y1180" s="1">
        <v>8.5</v>
      </c>
      <c r="Z1180" s="18">
        <f>grand[[#This Row],[av. Transportation loss]]/grand[[#This Row],[av.total weight]]</f>
        <v>1.9955654101995565E-2</v>
      </c>
      <c r="AA1180" s="12">
        <f>AVERAGE((grand[[#This Row],[am]]/25),(grand[[#This Row],[pm]]/50))</f>
        <v>0.9888095238095238</v>
      </c>
      <c r="AB1180" s="3">
        <f>grand[[#This Row],[ carcass weight]]/grand[[#This Row],[total weight]]</f>
        <v>0.58780487804878045</v>
      </c>
      <c r="AC1180" s="18">
        <f>SUM(grand[[#This Row],[am]:[meat transportation]])/100</f>
        <v>0.92380952380952375</v>
      </c>
      <c r="AK1180" s="1"/>
      <c r="AL1180" s="1"/>
    </row>
    <row r="1181" spans="1:38" hidden="1" x14ac:dyDescent="0.2">
      <c r="A1181" s="11">
        <v>45697</v>
      </c>
      <c r="B1181" s="53" t="s">
        <v>2147</v>
      </c>
      <c r="C1181" s="52" t="str">
        <f>IF(MID(B1181,4,2)="09","Ramadan",IF(AND(MID(B1181,4,2)="12",VALUE(LEFT(B1181,2))&lt;=9),"Adha Season","Normal"))</f>
        <v>Normal</v>
      </c>
      <c r="D1181" s="1" t="s">
        <v>45</v>
      </c>
      <c r="E1181" s="1" t="s">
        <v>483</v>
      </c>
      <c r="F1181" s="4" t="s">
        <v>280</v>
      </c>
      <c r="G1181" s="1">
        <v>62</v>
      </c>
      <c r="H1181" s="1">
        <v>61</v>
      </c>
      <c r="I1181" s="1">
        <f>grand[[#This Row],[number]]-grand[[#This Row],[received]]</f>
        <v>1</v>
      </c>
      <c r="J1181" s="64" t="s">
        <v>487</v>
      </c>
      <c r="K1181" s="2">
        <v>28780</v>
      </c>
      <c r="L1181" s="2">
        <v>27840</v>
      </c>
      <c r="M1181" s="2">
        <f>K1181-L1181</f>
        <v>940</v>
      </c>
      <c r="N1181" s="2">
        <v>17354.5</v>
      </c>
      <c r="O1181" s="2">
        <v>458</v>
      </c>
      <c r="P1181" s="7">
        <f>grand[[#This Row],[total weight]]/grand[[#This Row],[received]]</f>
        <v>471.80327868852459</v>
      </c>
      <c r="Q1181" s="7">
        <f>grand[[#This Row],[receiving weight]]/grand[[#This Row],[received]]</f>
        <v>456.39344262295083</v>
      </c>
      <c r="R1181" s="7">
        <f>grand[[#This Row],[transportation loss ]]/grand[[#This Row],[received]]</f>
        <v>15.409836065573771</v>
      </c>
      <c r="S1181" s="7">
        <f>grand[[#This Row],[ carcass weight]]/grand[[#This Row],[received]]</f>
        <v>284.5</v>
      </c>
      <c r="T1181" s="7">
        <f>grand[[#This Row],[ kidneys fat quantity]]/grand[[#This Row],[received]]</f>
        <v>7.5081967213114753</v>
      </c>
      <c r="U1181" s="1">
        <v>25</v>
      </c>
      <c r="V1181" s="1">
        <v>0</v>
      </c>
      <c r="W1181" s="1">
        <v>48.049180327868847</v>
      </c>
      <c r="X1181" s="1">
        <v>10</v>
      </c>
      <c r="Y1181" s="1">
        <v>8.5</v>
      </c>
      <c r="Z1181" s="18">
        <f>grand[[#This Row],[av. Transportation loss]]/grand[[#This Row],[av.total weight]]</f>
        <v>3.2661570535093817E-2</v>
      </c>
      <c r="AA1181" s="12">
        <f>AVERAGE((grand[[#This Row],[am]]/25),(grand[[#This Row],[pm]]/50))</f>
        <v>0.98049180327868846</v>
      </c>
      <c r="AB1181" s="3">
        <f>grand[[#This Row],[ carcass weight]]/grand[[#This Row],[total weight]]</f>
        <v>0.60300555941626133</v>
      </c>
      <c r="AC1181" s="18">
        <f>SUM(grand[[#This Row],[am]:[meat transportation]])/100</f>
        <v>0.9154918032786884</v>
      </c>
      <c r="AJ1181" s="1">
        <v>13</v>
      </c>
      <c r="AK1181" s="1"/>
      <c r="AL1181" s="1"/>
    </row>
    <row r="1182" spans="1:38" hidden="1" x14ac:dyDescent="0.2">
      <c r="A1182" s="11">
        <v>45698</v>
      </c>
      <c r="B1182" s="53" t="s">
        <v>2148</v>
      </c>
      <c r="C1182" s="52" t="str">
        <f>IF(MID(B1182,4,2)="09","Ramadan",IF(AND(MID(B1182,4,2)="12",VALUE(LEFT(B1182,2))&lt;=9),"Adha Season","Normal"))</f>
        <v>Normal</v>
      </c>
      <c r="D1182" s="1" t="s">
        <v>45</v>
      </c>
      <c r="E1182" s="1" t="s">
        <v>528</v>
      </c>
      <c r="F1182" s="4" t="s">
        <v>462</v>
      </c>
      <c r="G1182" s="1">
        <v>30</v>
      </c>
      <c r="H1182" s="1">
        <v>30</v>
      </c>
      <c r="I1182" s="1">
        <f>grand[[#This Row],[number]]-grand[[#This Row],[received]]</f>
        <v>0</v>
      </c>
      <c r="J1182" s="30"/>
      <c r="K1182" s="2">
        <v>14093.354430379746</v>
      </c>
      <c r="L1182" s="2">
        <v>14093.354430379746</v>
      </c>
      <c r="M1182" s="2">
        <f>K1182-L1182</f>
        <v>0</v>
      </c>
      <c r="N1182" s="2">
        <v>8907</v>
      </c>
      <c r="O1182" s="2">
        <v>0</v>
      </c>
      <c r="P1182" s="7">
        <f>grand[[#This Row],[total weight]]/grand[[#This Row],[received]]</f>
        <v>469.77848101265823</v>
      </c>
      <c r="Q1182" s="7">
        <f>grand[[#This Row],[receiving weight]]/grand[[#This Row],[received]]</f>
        <v>469.77848101265823</v>
      </c>
      <c r="R1182" s="7">
        <f>grand[[#This Row],[transportation loss ]]/grand[[#This Row],[received]]</f>
        <v>0</v>
      </c>
      <c r="S1182" s="7">
        <f>grand[[#This Row],[ carcass weight]]/grand[[#This Row],[received]]</f>
        <v>296.89999999999998</v>
      </c>
      <c r="T1182" s="7">
        <f>grand[[#This Row],[ kidneys fat quantity]]/grand[[#This Row],[received]]</f>
        <v>0</v>
      </c>
      <c r="U1182" s="1">
        <v>25</v>
      </c>
      <c r="V1182" s="1">
        <v>4</v>
      </c>
      <c r="W1182" s="1">
        <v>50</v>
      </c>
      <c r="X1182" s="1">
        <v>10</v>
      </c>
      <c r="Y1182" s="1">
        <v>8.5</v>
      </c>
      <c r="Z1182" s="18">
        <f>grand[[#This Row],[av. Transportation loss]]/grand[[#This Row],[av.total weight]]</f>
        <v>0</v>
      </c>
      <c r="AA1182" s="12">
        <f>AVERAGE((grand[[#This Row],[am]]/25),(grand[[#This Row],[pm]]/50))</f>
        <v>1</v>
      </c>
      <c r="AB1182" s="3">
        <f>grand[[#This Row],[ carcass weight]]/grand[[#This Row],[total weight]]</f>
        <v>0.63200000000000001</v>
      </c>
      <c r="AC1182" s="18">
        <f>SUM(grand[[#This Row],[am]:[meat transportation]])/100</f>
        <v>0.97499999999999998</v>
      </c>
      <c r="AK1182" s="1"/>
      <c r="AL1182" s="1"/>
    </row>
    <row r="1183" spans="1:38" hidden="1" x14ac:dyDescent="0.2">
      <c r="A1183" s="11">
        <v>45699</v>
      </c>
      <c r="B1183" s="53" t="s">
        <v>2149</v>
      </c>
      <c r="C1183" s="52" t="str">
        <f>IF(MID(B1183,4,2)="09","Ramadan",IF(AND(MID(B1183,4,2)="12",VALUE(LEFT(B1183,2))&lt;=9),"Adha Season","Normal"))</f>
        <v>Normal</v>
      </c>
      <c r="D1183" s="1" t="s">
        <v>45</v>
      </c>
      <c r="E1183" s="1" t="s">
        <v>528</v>
      </c>
      <c r="F1183" s="4" t="s">
        <v>43</v>
      </c>
      <c r="G1183" s="1">
        <v>32</v>
      </c>
      <c r="H1183" s="1">
        <v>32</v>
      </c>
      <c r="I1183" s="1">
        <f>grand[[#This Row],[number]]-grand[[#This Row],[received]]</f>
        <v>0</v>
      </c>
      <c r="J1183" s="30"/>
      <c r="K1183" s="2">
        <v>17602</v>
      </c>
      <c r="L1183" s="2">
        <v>16735</v>
      </c>
      <c r="M1183" s="2">
        <f>K1183-L1183</f>
        <v>867</v>
      </c>
      <c r="N1183" s="2">
        <v>10755.2</v>
      </c>
      <c r="O1183" s="2">
        <v>215</v>
      </c>
      <c r="P1183" s="7">
        <f>grand[[#This Row],[total weight]]/grand[[#This Row],[received]]</f>
        <v>550.0625</v>
      </c>
      <c r="Q1183" s="7">
        <f>grand[[#This Row],[receiving weight]]/grand[[#This Row],[received]]</f>
        <v>522.96875</v>
      </c>
      <c r="R1183" s="7">
        <f>grand[[#This Row],[transportation loss ]]/grand[[#This Row],[received]]</f>
        <v>27.09375</v>
      </c>
      <c r="S1183" s="7">
        <f>grand[[#This Row],[ carcass weight]]/grand[[#This Row],[received]]</f>
        <v>336.1</v>
      </c>
      <c r="T1183" s="7">
        <f>grand[[#This Row],[ kidneys fat quantity]]/grand[[#This Row],[received]]</f>
        <v>6.71875</v>
      </c>
      <c r="U1183" s="1">
        <v>25</v>
      </c>
      <c r="V1183" s="1">
        <v>0</v>
      </c>
      <c r="W1183" s="1">
        <v>48.15625</v>
      </c>
      <c r="X1183" s="1">
        <v>10</v>
      </c>
      <c r="Y1183" s="1">
        <v>8.5</v>
      </c>
      <c r="Z1183" s="18">
        <f>grand[[#This Row],[av. Transportation loss]]/grand[[#This Row],[av.total weight]]</f>
        <v>4.9255766390182934E-2</v>
      </c>
      <c r="AA1183" s="12">
        <f>AVERAGE((grand[[#This Row],[am]]/25),(grand[[#This Row],[pm]]/50))</f>
        <v>0.9815625</v>
      </c>
      <c r="AB1183" s="3">
        <f>grand[[#This Row],[ carcass weight]]/grand[[#This Row],[total weight]]</f>
        <v>0.61102147483240543</v>
      </c>
      <c r="AC1183" s="18">
        <f>SUM(grand[[#This Row],[am]:[meat transportation]])/100</f>
        <v>0.91656249999999995</v>
      </c>
      <c r="AK1183" s="1"/>
      <c r="AL1183" s="1"/>
    </row>
    <row r="1184" spans="1:38" hidden="1" x14ac:dyDescent="0.2">
      <c r="A1184" s="11">
        <v>45699</v>
      </c>
      <c r="B1184" s="53" t="s">
        <v>2149</v>
      </c>
      <c r="C1184" s="52" t="str">
        <f>IF(MID(B1184,4,2)="09","Ramadan",IF(AND(MID(B1184,4,2)="12",VALUE(LEFT(B1184,2))&lt;=9),"Adha Season","Normal"))</f>
        <v>Normal</v>
      </c>
      <c r="D1184" s="1" t="s">
        <v>45</v>
      </c>
      <c r="E1184" s="1" t="s">
        <v>483</v>
      </c>
      <c r="F1184" s="4" t="s">
        <v>39</v>
      </c>
      <c r="G1184" s="1">
        <v>40</v>
      </c>
      <c r="H1184" s="1">
        <v>40</v>
      </c>
      <c r="I1184" s="1">
        <f>grand[[#This Row],[number]]-grand[[#This Row],[received]]</f>
        <v>0</v>
      </c>
      <c r="J1184" s="30"/>
      <c r="K1184" s="2">
        <v>12155.06329113924</v>
      </c>
      <c r="L1184" s="2">
        <v>12155.06329113924</v>
      </c>
      <c r="M1184" s="2">
        <f>K1184-L1184</f>
        <v>0</v>
      </c>
      <c r="N1184" s="2">
        <v>7682</v>
      </c>
      <c r="O1184" s="2">
        <v>0</v>
      </c>
      <c r="P1184" s="7">
        <f>grand[[#This Row],[total weight]]/grand[[#This Row],[received]]</f>
        <v>303.87658227848101</v>
      </c>
      <c r="Q1184" s="7">
        <f>grand[[#This Row],[receiving weight]]/grand[[#This Row],[received]]</f>
        <v>303.87658227848101</v>
      </c>
      <c r="R1184" s="7">
        <f>grand[[#This Row],[transportation loss ]]/grand[[#This Row],[received]]</f>
        <v>0</v>
      </c>
      <c r="S1184" s="7">
        <f>grand[[#This Row],[ carcass weight]]/grand[[#This Row],[received]]</f>
        <v>192.05</v>
      </c>
      <c r="T1184" s="7">
        <f>grand[[#This Row],[ kidneys fat quantity]]/grand[[#This Row],[received]]</f>
        <v>0</v>
      </c>
      <c r="U1184" s="1">
        <v>25</v>
      </c>
      <c r="V1184" s="1">
        <v>5</v>
      </c>
      <c r="W1184" s="1">
        <v>50</v>
      </c>
      <c r="X1184" s="1">
        <v>10</v>
      </c>
      <c r="Y1184" s="1">
        <v>8.5</v>
      </c>
      <c r="Z1184" s="18">
        <f>grand[[#This Row],[av. Transportation loss]]/grand[[#This Row],[av.total weight]]</f>
        <v>0</v>
      </c>
      <c r="AA1184" s="12">
        <f>AVERAGE((grand[[#This Row],[am]]/25),(grand[[#This Row],[pm]]/50))</f>
        <v>1</v>
      </c>
      <c r="AB1184" s="3">
        <f>grand[[#This Row],[ carcass weight]]/grand[[#This Row],[total weight]]</f>
        <v>0.63200000000000001</v>
      </c>
      <c r="AC1184" s="18">
        <f>SUM(grand[[#This Row],[am]:[meat transportation]])/100</f>
        <v>0.98499999999999999</v>
      </c>
      <c r="AK1184" s="1"/>
      <c r="AL1184" s="1"/>
    </row>
    <row r="1185" spans="1:38" hidden="1" x14ac:dyDescent="0.2">
      <c r="A1185" s="11">
        <v>45701</v>
      </c>
      <c r="B1185" s="53" t="s">
        <v>2150</v>
      </c>
      <c r="C1185" s="52" t="str">
        <f>IF(MID(B1185,4,2)="09","Ramadan",IF(AND(MID(B1185,4,2)="12",VALUE(LEFT(B1185,2))&lt;=9),"Adha Season","Normal"))</f>
        <v>Normal</v>
      </c>
      <c r="D1185" s="2" t="s">
        <v>294</v>
      </c>
      <c r="F1185" s="4" t="s">
        <v>280</v>
      </c>
      <c r="G1185" s="1">
        <v>47</v>
      </c>
      <c r="H1185" s="1">
        <v>46</v>
      </c>
      <c r="I1185" s="1">
        <f>grand[[#This Row],[number]]-grand[[#This Row],[received]]</f>
        <v>1</v>
      </c>
      <c r="J1185" s="64" t="s">
        <v>677</v>
      </c>
      <c r="K1185" s="2">
        <v>2467</v>
      </c>
      <c r="L1185" s="2">
        <v>2432</v>
      </c>
      <c r="M1185" s="2">
        <f>K1185-L1185</f>
        <v>35</v>
      </c>
      <c r="N1185" s="2">
        <v>1515</v>
      </c>
      <c r="O1185" s="2">
        <v>0</v>
      </c>
      <c r="P1185" s="7">
        <f>grand[[#This Row],[total weight]]/grand[[#This Row],[received]]</f>
        <v>53.630434782608695</v>
      </c>
      <c r="Q1185" s="7">
        <f>grand[[#This Row],[receiving weight]]/grand[[#This Row],[received]]</f>
        <v>52.869565217391305</v>
      </c>
      <c r="R1185" s="7">
        <f>grand[[#This Row],[transportation loss ]]/grand[[#This Row],[received]]</f>
        <v>0.76086956521739135</v>
      </c>
      <c r="S1185" s="7">
        <f>grand[[#This Row],[ carcass weight]]/grand[[#This Row],[received]]</f>
        <v>32.934782608695649</v>
      </c>
      <c r="T1185" s="7">
        <f>grand[[#This Row],[ kidneys fat quantity]]/grand[[#This Row],[received]]</f>
        <v>0</v>
      </c>
      <c r="U1185" s="1">
        <v>25</v>
      </c>
      <c r="V1185" s="1">
        <v>0</v>
      </c>
      <c r="W1185" s="1">
        <v>48.717391304347828</v>
      </c>
      <c r="X1185" s="1">
        <v>10</v>
      </c>
      <c r="Y1185" s="1">
        <v>8.5</v>
      </c>
      <c r="Z1185" s="18">
        <f>grand[[#This Row],[av. Transportation loss]]/grand[[#This Row],[av.total weight]]</f>
        <v>1.4187271990271587E-2</v>
      </c>
      <c r="AA1185" s="12">
        <f>AVERAGE((grand[[#This Row],[am]]/25),(grand[[#This Row],[pm]]/50))</f>
        <v>0.98717391304347823</v>
      </c>
      <c r="AB1185" s="3">
        <f>grand[[#This Row],[ carcass weight]]/grand[[#This Row],[total weight]]</f>
        <v>0.61410620186461284</v>
      </c>
      <c r="AC1185" s="18">
        <f>SUM(grand[[#This Row],[am]:[meat transportation]])/100</f>
        <v>0.92217391304347829</v>
      </c>
      <c r="AK1185" s="1"/>
      <c r="AL1185" s="1"/>
    </row>
    <row r="1186" spans="1:38" hidden="1" x14ac:dyDescent="0.2">
      <c r="A1186" s="11">
        <v>45701</v>
      </c>
      <c r="B1186" s="53" t="s">
        <v>2150</v>
      </c>
      <c r="C1186" s="52" t="str">
        <f>IF(MID(B1186,4,2)="09","Ramadan",IF(AND(MID(B1186,4,2)="12",VALUE(LEFT(B1186,2))&lt;=9),"Adha Season","Normal"))</f>
        <v>Normal</v>
      </c>
      <c r="D1186" s="1" t="s">
        <v>45</v>
      </c>
      <c r="E1186" s="1" t="s">
        <v>483</v>
      </c>
      <c r="F1186" s="4" t="s">
        <v>959</v>
      </c>
      <c r="G1186" s="1">
        <v>82</v>
      </c>
      <c r="H1186" s="1">
        <v>80</v>
      </c>
      <c r="I1186" s="1">
        <f>grand[[#This Row],[number]]-grand[[#This Row],[received]]</f>
        <v>2</v>
      </c>
      <c r="J1186" s="64" t="s">
        <v>679</v>
      </c>
      <c r="K1186" s="2">
        <v>36146</v>
      </c>
      <c r="L1186" s="2">
        <v>34744</v>
      </c>
      <c r="M1186" s="2">
        <f>K1186-L1186</f>
        <v>1402</v>
      </c>
      <c r="N1186" s="2">
        <v>21761.4</v>
      </c>
      <c r="O1186" s="2">
        <v>639</v>
      </c>
      <c r="P1186" s="7">
        <f>grand[[#This Row],[total weight]]/grand[[#This Row],[received]]</f>
        <v>451.82499999999999</v>
      </c>
      <c r="Q1186" s="7">
        <f>grand[[#This Row],[receiving weight]]/grand[[#This Row],[received]]</f>
        <v>434.3</v>
      </c>
      <c r="R1186" s="7">
        <f>grand[[#This Row],[transportation loss ]]/grand[[#This Row],[received]]</f>
        <v>17.524999999999999</v>
      </c>
      <c r="S1186" s="7">
        <f>grand[[#This Row],[ carcass weight]]/grand[[#This Row],[received]]</f>
        <v>272.01750000000004</v>
      </c>
      <c r="T1186" s="7">
        <f>grand[[#This Row],[ kidneys fat quantity]]/grand[[#This Row],[received]]</f>
        <v>7.9874999999999998</v>
      </c>
      <c r="U1186" s="1">
        <v>25</v>
      </c>
      <c r="V1186" s="1">
        <v>0</v>
      </c>
      <c r="W1186" s="1">
        <v>48.962499999999999</v>
      </c>
      <c r="X1186" s="1">
        <v>10</v>
      </c>
      <c r="Y1186" s="1">
        <v>8.5</v>
      </c>
      <c r="Z1186" s="18">
        <f>grand[[#This Row],[av. Transportation loss]]/grand[[#This Row],[av.total weight]]</f>
        <v>3.8787141039119129E-2</v>
      </c>
      <c r="AA1186" s="12">
        <f>AVERAGE((grand[[#This Row],[am]]/25),(grand[[#This Row],[pm]]/50))</f>
        <v>0.98962499999999998</v>
      </c>
      <c r="AB1186" s="3">
        <f>grand[[#This Row],[ carcass weight]]/grand[[#This Row],[total weight]]</f>
        <v>0.60204171969235876</v>
      </c>
      <c r="AC1186" s="18">
        <f>SUM(grand[[#This Row],[am]:[meat transportation]])/100</f>
        <v>0.92462500000000003</v>
      </c>
      <c r="AK1186" s="1"/>
      <c r="AL1186" s="1"/>
    </row>
    <row r="1187" spans="1:38" hidden="1" x14ac:dyDescent="0.2">
      <c r="A1187" s="11">
        <v>45703</v>
      </c>
      <c r="B1187" s="53" t="s">
        <v>2151</v>
      </c>
      <c r="C1187" s="52" t="str">
        <f>IF(MID(B1187,4,2)="09","Ramadan",IF(AND(MID(B1187,4,2)="12",VALUE(LEFT(B1187,2))&lt;=9),"Adha Season","Normal"))</f>
        <v>Normal</v>
      </c>
      <c r="D1187" s="2" t="s">
        <v>294</v>
      </c>
      <c r="F1187" s="4" t="s">
        <v>280</v>
      </c>
      <c r="G1187" s="1">
        <v>22</v>
      </c>
      <c r="H1187" s="1">
        <v>22</v>
      </c>
      <c r="I1187" s="1">
        <f>grand[[#This Row],[number]]-grand[[#This Row],[received]]</f>
        <v>0</v>
      </c>
      <c r="J1187" s="30"/>
      <c r="K1187" s="2">
        <v>1168</v>
      </c>
      <c r="L1187" s="2">
        <v>1168</v>
      </c>
      <c r="M1187" s="2">
        <f>K1187-L1187</f>
        <v>0</v>
      </c>
      <c r="N1187" s="2">
        <v>697.7</v>
      </c>
      <c r="O1187" s="2">
        <v>0</v>
      </c>
      <c r="P1187" s="7">
        <f>grand[[#This Row],[total weight]]/grand[[#This Row],[received]]</f>
        <v>53.090909090909093</v>
      </c>
      <c r="Q1187" s="7">
        <f>grand[[#This Row],[receiving weight]]/grand[[#This Row],[received]]</f>
        <v>53.090909090909093</v>
      </c>
      <c r="R1187" s="7">
        <f>grand[[#This Row],[transportation loss ]]/grand[[#This Row],[received]]</f>
        <v>0</v>
      </c>
      <c r="S1187" s="7">
        <f>grand[[#This Row],[ carcass weight]]/grand[[#This Row],[received]]</f>
        <v>31.713636363636365</v>
      </c>
      <c r="T1187" s="7">
        <f>grand[[#This Row],[ kidneys fat quantity]]/grand[[#This Row],[received]]</f>
        <v>0</v>
      </c>
      <c r="U1187" s="1">
        <v>25</v>
      </c>
      <c r="V1187" s="1">
        <v>0</v>
      </c>
      <c r="W1187" s="1">
        <v>48.181818181818187</v>
      </c>
      <c r="X1187" s="1">
        <v>10</v>
      </c>
      <c r="Y1187" s="1">
        <v>8.5</v>
      </c>
      <c r="Z1187" s="18">
        <f>grand[[#This Row],[av. Transportation loss]]/grand[[#This Row],[av.total weight]]</f>
        <v>0</v>
      </c>
      <c r="AA1187" s="12">
        <f>AVERAGE((grand[[#This Row],[am]]/25),(grand[[#This Row],[pm]]/50))</f>
        <v>0.98181818181818192</v>
      </c>
      <c r="AB1187" s="3">
        <f>grand[[#This Row],[ carcass weight]]/grand[[#This Row],[total weight]]</f>
        <v>0.59734589041095898</v>
      </c>
      <c r="AC1187" s="18">
        <f>SUM(grand[[#This Row],[am]:[meat transportation]])/100</f>
        <v>0.91681818181818187</v>
      </c>
      <c r="AK1187" s="1"/>
      <c r="AL1187" s="1"/>
    </row>
    <row r="1188" spans="1:38" hidden="1" x14ac:dyDescent="0.2">
      <c r="A1188" s="11">
        <v>45703</v>
      </c>
      <c r="B1188" s="53" t="s">
        <v>2151</v>
      </c>
      <c r="C1188" s="52" t="str">
        <f>IF(MID(B1188,4,2)="09","Ramadan",IF(AND(MID(B1188,4,2)="12",VALUE(LEFT(B1188,2))&lt;=9),"Adha Season","Normal"))</f>
        <v>Normal</v>
      </c>
      <c r="D1188" s="1" t="s">
        <v>45</v>
      </c>
      <c r="E1188" s="1" t="s">
        <v>483</v>
      </c>
      <c r="F1188" s="4" t="s">
        <v>46</v>
      </c>
      <c r="G1188" s="1">
        <v>45</v>
      </c>
      <c r="H1188" s="1">
        <v>45</v>
      </c>
      <c r="I1188" s="1">
        <f>grand[[#This Row],[number]]-grand[[#This Row],[received]]</f>
        <v>0</v>
      </c>
      <c r="J1188" s="30"/>
      <c r="K1188" s="2">
        <v>20596</v>
      </c>
      <c r="L1188" s="2">
        <v>19260</v>
      </c>
      <c r="M1188" s="2">
        <f>K1188-L1188</f>
        <v>1336</v>
      </c>
      <c r="N1188" s="2">
        <v>12357.3</v>
      </c>
      <c r="O1188" s="2">
        <v>336</v>
      </c>
      <c r="P1188" s="7">
        <f>grand[[#This Row],[total weight]]/grand[[#This Row],[received]]</f>
        <v>457.68888888888887</v>
      </c>
      <c r="Q1188" s="7">
        <f>grand[[#This Row],[receiving weight]]/grand[[#This Row],[received]]</f>
        <v>428</v>
      </c>
      <c r="R1188" s="7">
        <f>grand[[#This Row],[transportation loss ]]/grand[[#This Row],[received]]</f>
        <v>29.68888888888889</v>
      </c>
      <c r="S1188" s="7">
        <f>grand[[#This Row],[ carcass weight]]/grand[[#This Row],[received]]</f>
        <v>274.60666666666663</v>
      </c>
      <c r="T1188" s="7">
        <f>grand[[#This Row],[ kidneys fat quantity]]/grand[[#This Row],[received]]</f>
        <v>7.4666666666666668</v>
      </c>
      <c r="U1188" s="1">
        <v>25</v>
      </c>
      <c r="V1188" s="1">
        <v>0</v>
      </c>
      <c r="W1188" s="1">
        <v>48.62222222222222</v>
      </c>
      <c r="X1188" s="1">
        <v>10</v>
      </c>
      <c r="Y1188" s="1">
        <v>8.5</v>
      </c>
      <c r="Z1188" s="18">
        <f>grand[[#This Row],[av. Transportation loss]]/grand[[#This Row],[av.total weight]]</f>
        <v>6.4866964459118284E-2</v>
      </c>
      <c r="AA1188" s="12">
        <f>AVERAGE((grand[[#This Row],[am]]/25),(grand[[#This Row],[pm]]/50))</f>
        <v>0.98622222222222222</v>
      </c>
      <c r="AB1188" s="3">
        <f>grand[[#This Row],[ carcass weight]]/grand[[#This Row],[total weight]]</f>
        <v>0.59998543406486693</v>
      </c>
      <c r="AC1188" s="18">
        <f>SUM(grand[[#This Row],[am]:[meat transportation]])/100</f>
        <v>0.92122222222222216</v>
      </c>
      <c r="AJ1188" s="1">
        <v>15</v>
      </c>
      <c r="AK1188" s="1"/>
      <c r="AL1188" s="1"/>
    </row>
    <row r="1189" spans="1:38" hidden="1" x14ac:dyDescent="0.2">
      <c r="A1189" s="11">
        <v>45704</v>
      </c>
      <c r="B1189" s="53" t="s">
        <v>2152</v>
      </c>
      <c r="C1189" s="52" t="str">
        <f>IF(MID(B1189,4,2)="09","Ramadan",IF(AND(MID(B1189,4,2)="12",VALUE(LEFT(B1189,2))&lt;=9),"Adha Season","Normal"))</f>
        <v>Normal</v>
      </c>
      <c r="D1189" s="1" t="s">
        <v>45</v>
      </c>
      <c r="E1189" s="1" t="s">
        <v>528</v>
      </c>
      <c r="F1189" s="4" t="s">
        <v>43</v>
      </c>
      <c r="G1189" s="1">
        <v>48</v>
      </c>
      <c r="H1189" s="1">
        <v>48</v>
      </c>
      <c r="I1189" s="1">
        <f>grand[[#This Row],[number]]-grand[[#This Row],[received]]</f>
        <v>0</v>
      </c>
      <c r="J1189" s="30"/>
      <c r="K1189" s="2">
        <v>26546</v>
      </c>
      <c r="L1189" s="2">
        <v>24965</v>
      </c>
      <c r="M1189" s="2">
        <f>K1189-L1189</f>
        <v>1581</v>
      </c>
      <c r="N1189" s="2">
        <v>16164.7</v>
      </c>
      <c r="O1189" s="2">
        <v>345</v>
      </c>
      <c r="P1189" s="7">
        <f>grand[[#This Row],[total weight]]/grand[[#This Row],[received]]</f>
        <v>553.04166666666663</v>
      </c>
      <c r="Q1189" s="7">
        <f>grand[[#This Row],[receiving weight]]/grand[[#This Row],[received]]</f>
        <v>520.10416666666663</v>
      </c>
      <c r="R1189" s="7">
        <f>grand[[#This Row],[transportation loss ]]/grand[[#This Row],[received]]</f>
        <v>32.9375</v>
      </c>
      <c r="S1189" s="7">
        <f>grand[[#This Row],[ carcass weight]]/grand[[#This Row],[received]]</f>
        <v>336.76458333333335</v>
      </c>
      <c r="T1189" s="7">
        <f>grand[[#This Row],[ kidneys fat quantity]]/grand[[#This Row],[received]]</f>
        <v>7.1875</v>
      </c>
      <c r="U1189" s="1">
        <v>25</v>
      </c>
      <c r="V1189" s="1">
        <v>0</v>
      </c>
      <c r="W1189" s="1">
        <v>48.5625</v>
      </c>
      <c r="X1189" s="1">
        <v>10</v>
      </c>
      <c r="Y1189" s="1">
        <v>8.5</v>
      </c>
      <c r="Z1189" s="18">
        <f>grand[[#This Row],[av. Transportation loss]]/grand[[#This Row],[av.total weight]]</f>
        <v>5.9556995404204026E-2</v>
      </c>
      <c r="AA1189" s="12">
        <f>AVERAGE((grand[[#This Row],[am]]/25),(grand[[#This Row],[pm]]/50))</f>
        <v>0.98562499999999997</v>
      </c>
      <c r="AB1189" s="3">
        <f>grand[[#This Row],[ carcass weight]]/grand[[#This Row],[total weight]]</f>
        <v>0.60893166578768931</v>
      </c>
      <c r="AC1189" s="18">
        <f>SUM(grand[[#This Row],[am]:[meat transportation]])/100</f>
        <v>0.92062500000000003</v>
      </c>
      <c r="AK1189" s="1"/>
      <c r="AL1189" s="1"/>
    </row>
    <row r="1190" spans="1:38" hidden="1" x14ac:dyDescent="0.2">
      <c r="A1190" s="11">
        <v>45705</v>
      </c>
      <c r="B1190" s="53" t="s">
        <v>2153</v>
      </c>
      <c r="C1190" s="52" t="str">
        <f>IF(MID(B1190,4,2)="09","Ramadan",IF(AND(MID(B1190,4,2)="12",VALUE(LEFT(B1190,2))&lt;=9),"Adha Season","Normal"))</f>
        <v>Normal</v>
      </c>
      <c r="D1190" s="1" t="s">
        <v>45</v>
      </c>
      <c r="E1190" s="1" t="s">
        <v>528</v>
      </c>
      <c r="F1190" s="4" t="s">
        <v>43</v>
      </c>
      <c r="G1190" s="1">
        <v>48</v>
      </c>
      <c r="H1190" s="1">
        <v>48</v>
      </c>
      <c r="I1190" s="1">
        <f>grand[[#This Row],[number]]-grand[[#This Row],[received]]</f>
        <v>0</v>
      </c>
      <c r="J1190" s="30"/>
      <c r="K1190" s="2">
        <v>26471</v>
      </c>
      <c r="L1190" s="2">
        <v>26471</v>
      </c>
      <c r="M1190" s="2">
        <f>K1190-L1190</f>
        <v>0</v>
      </c>
      <c r="N1190" s="2">
        <v>15882.4</v>
      </c>
      <c r="O1190" s="2">
        <v>384</v>
      </c>
      <c r="P1190" s="7">
        <f>grand[[#This Row],[total weight]]/grand[[#This Row],[received]]</f>
        <v>551.47916666666663</v>
      </c>
      <c r="Q1190" s="7">
        <f>grand[[#This Row],[receiving weight]]/grand[[#This Row],[received]]</f>
        <v>551.47916666666663</v>
      </c>
      <c r="R1190" s="7">
        <f>grand[[#This Row],[transportation loss ]]/grand[[#This Row],[received]]</f>
        <v>0</v>
      </c>
      <c r="S1190" s="7">
        <f>grand[[#This Row],[ carcass weight]]/grand[[#This Row],[received]]</f>
        <v>330.88333333333333</v>
      </c>
      <c r="T1190" s="7">
        <f>grand[[#This Row],[ kidneys fat quantity]]/grand[[#This Row],[received]]</f>
        <v>8</v>
      </c>
      <c r="U1190" s="1">
        <v>25</v>
      </c>
      <c r="V1190" s="1">
        <v>0</v>
      </c>
      <c r="W1190" s="1">
        <v>48.166666666666671</v>
      </c>
      <c r="X1190" s="1">
        <v>10</v>
      </c>
      <c r="Y1190" s="1">
        <v>8.5</v>
      </c>
      <c r="Z1190" s="18">
        <f>grand[[#This Row],[av. Transportation loss]]/grand[[#This Row],[av.total weight]]</f>
        <v>0</v>
      </c>
      <c r="AA1190" s="12">
        <f>AVERAGE((grand[[#This Row],[am]]/25),(grand[[#This Row],[pm]]/50))</f>
        <v>0.98166666666666669</v>
      </c>
      <c r="AB1190" s="3">
        <f>grand[[#This Row],[ carcass weight]]/grand[[#This Row],[total weight]]</f>
        <v>0.59999244456197343</v>
      </c>
      <c r="AC1190" s="18">
        <f>SUM(grand[[#This Row],[am]:[meat transportation]])/100</f>
        <v>0.91666666666666674</v>
      </c>
      <c r="AK1190" s="1"/>
      <c r="AL1190" s="1"/>
    </row>
    <row r="1191" spans="1:38" hidden="1" x14ac:dyDescent="0.2">
      <c r="A1191" s="11">
        <v>45705</v>
      </c>
      <c r="B1191" s="53" t="s">
        <v>2153</v>
      </c>
      <c r="C1191" s="52" t="str">
        <f>IF(MID(B1191,4,2)="09","Ramadan",IF(AND(MID(B1191,4,2)="12",VALUE(LEFT(B1191,2))&lt;=9),"Adha Season","Normal"))</f>
        <v>Normal</v>
      </c>
      <c r="D1191" s="1" t="s">
        <v>45</v>
      </c>
      <c r="E1191" s="1" t="s">
        <v>528</v>
      </c>
      <c r="F1191" s="4" t="s">
        <v>462</v>
      </c>
      <c r="G1191" s="1">
        <v>30</v>
      </c>
      <c r="H1191" s="1">
        <v>30</v>
      </c>
      <c r="I1191" s="1">
        <f>grand[[#This Row],[number]]-grand[[#This Row],[received]]</f>
        <v>0</v>
      </c>
      <c r="J1191" s="30"/>
      <c r="K1191" s="2">
        <v>14318.354430379748</v>
      </c>
      <c r="L1191" s="2">
        <v>14318.354430379748</v>
      </c>
      <c r="M1191" s="2">
        <f>K1191-L1191</f>
        <v>0</v>
      </c>
      <c r="N1191" s="2">
        <v>9049.2000000000007</v>
      </c>
      <c r="O1191" s="2">
        <v>0</v>
      </c>
      <c r="P1191" s="7">
        <f>grand[[#This Row],[total weight]]/grand[[#This Row],[received]]</f>
        <v>477.27848101265829</v>
      </c>
      <c r="Q1191" s="7">
        <f>grand[[#This Row],[receiving weight]]/grand[[#This Row],[received]]</f>
        <v>477.27848101265829</v>
      </c>
      <c r="R1191" s="7">
        <f>grand[[#This Row],[transportation loss ]]/grand[[#This Row],[received]]</f>
        <v>0</v>
      </c>
      <c r="S1191" s="7">
        <f>grand[[#This Row],[ carcass weight]]/grand[[#This Row],[received]]</f>
        <v>301.64000000000004</v>
      </c>
      <c r="T1191" s="7">
        <f>grand[[#This Row],[ kidneys fat quantity]]/grand[[#This Row],[received]]</f>
        <v>0</v>
      </c>
      <c r="U1191" s="1">
        <v>25</v>
      </c>
      <c r="V1191" s="1">
        <v>4</v>
      </c>
      <c r="W1191" s="1">
        <v>50</v>
      </c>
      <c r="X1191" s="1">
        <v>10</v>
      </c>
      <c r="Y1191" s="1">
        <v>8.5</v>
      </c>
      <c r="Z1191" s="18">
        <f>grand[[#This Row],[av. Transportation loss]]/grand[[#This Row],[av.total weight]]</f>
        <v>0</v>
      </c>
      <c r="AA1191" s="12">
        <f>AVERAGE((grand[[#This Row],[am]]/25),(grand[[#This Row],[pm]]/50))</f>
        <v>1</v>
      </c>
      <c r="AB1191" s="3">
        <f>grand[[#This Row],[ carcass weight]]/grand[[#This Row],[total weight]]</f>
        <v>0.63200000000000001</v>
      </c>
      <c r="AC1191" s="18">
        <f>SUM(grand[[#This Row],[am]:[meat transportation]])/100</f>
        <v>0.97499999999999998</v>
      </c>
      <c r="AK1191" s="1"/>
      <c r="AL1191" s="1"/>
    </row>
    <row r="1192" spans="1:38" hidden="1" x14ac:dyDescent="0.2">
      <c r="A1192" s="11">
        <v>45706</v>
      </c>
      <c r="B1192" s="53" t="s">
        <v>2154</v>
      </c>
      <c r="C1192" s="52" t="str">
        <f>IF(MID(B1192,4,2)="09","Ramadan",IF(AND(MID(B1192,4,2)="12",VALUE(LEFT(B1192,2))&lt;=9),"Adha Season","Normal"))</f>
        <v>Normal</v>
      </c>
      <c r="D1192" s="1" t="s">
        <v>45</v>
      </c>
      <c r="E1192" s="1" t="s">
        <v>483</v>
      </c>
      <c r="F1192" s="4" t="s">
        <v>280</v>
      </c>
      <c r="G1192" s="1">
        <v>16</v>
      </c>
      <c r="H1192" s="1">
        <v>16</v>
      </c>
      <c r="I1192" s="1">
        <f>grand[[#This Row],[number]]-grand[[#This Row],[received]]</f>
        <v>0</v>
      </c>
      <c r="J1192" s="30"/>
      <c r="K1192" s="2">
        <v>7440</v>
      </c>
      <c r="L1192" s="2">
        <v>7135</v>
      </c>
      <c r="M1192" s="2">
        <f>K1192-L1192</f>
        <v>305</v>
      </c>
      <c r="N1192" s="2">
        <v>4551</v>
      </c>
      <c r="O1192" s="2">
        <v>132</v>
      </c>
      <c r="P1192" s="7">
        <f>grand[[#This Row],[total weight]]/grand[[#This Row],[received]]</f>
        <v>465</v>
      </c>
      <c r="Q1192" s="7">
        <f>grand[[#This Row],[receiving weight]]/grand[[#This Row],[received]]</f>
        <v>445.9375</v>
      </c>
      <c r="R1192" s="7">
        <f>grand[[#This Row],[transportation loss ]]/grand[[#This Row],[received]]</f>
        <v>19.0625</v>
      </c>
      <c r="S1192" s="7">
        <f>grand[[#This Row],[ carcass weight]]/grand[[#This Row],[received]]</f>
        <v>284.4375</v>
      </c>
      <c r="T1192" s="7">
        <f>grand[[#This Row],[ kidneys fat quantity]]/grand[[#This Row],[received]]</f>
        <v>8.25</v>
      </c>
      <c r="U1192" s="1">
        <v>25</v>
      </c>
      <c r="V1192" s="1">
        <v>0</v>
      </c>
      <c r="W1192" s="1">
        <v>48.0625</v>
      </c>
      <c r="X1192" s="1">
        <v>10</v>
      </c>
      <c r="Y1192" s="1">
        <v>8.5</v>
      </c>
      <c r="Z1192" s="18">
        <f>grand[[#This Row],[av. Transportation loss]]/grand[[#This Row],[av.total weight]]</f>
        <v>4.0994623655913977E-2</v>
      </c>
      <c r="AA1192" s="12">
        <f>AVERAGE((grand[[#This Row],[am]]/25),(grand[[#This Row],[pm]]/50))</f>
        <v>0.98062500000000008</v>
      </c>
      <c r="AB1192" s="3">
        <f>grand[[#This Row],[ carcass weight]]/grand[[#This Row],[total weight]]</f>
        <v>0.61169354838709677</v>
      </c>
      <c r="AC1192" s="18">
        <f>SUM(grand[[#This Row],[am]:[meat transportation]])/100</f>
        <v>0.91562500000000002</v>
      </c>
      <c r="AK1192" s="1"/>
      <c r="AL1192" s="1"/>
    </row>
    <row r="1193" spans="1:38" hidden="1" x14ac:dyDescent="0.2">
      <c r="A1193" s="11">
        <v>45706</v>
      </c>
      <c r="B1193" s="53" t="s">
        <v>2154</v>
      </c>
      <c r="C1193" s="52" t="str">
        <f>IF(MID(B1193,4,2)="09","Ramadan",IF(AND(MID(B1193,4,2)="12",VALUE(LEFT(B1193,2))&lt;=9),"Adha Season","Normal"))</f>
        <v>Normal</v>
      </c>
      <c r="D1193" s="1" t="s">
        <v>45</v>
      </c>
      <c r="E1193" s="1" t="s">
        <v>483</v>
      </c>
      <c r="F1193" s="4" t="s">
        <v>39</v>
      </c>
      <c r="G1193" s="1">
        <v>40</v>
      </c>
      <c r="H1193" s="1">
        <v>40</v>
      </c>
      <c r="I1193" s="1">
        <f>grand[[#This Row],[number]]-grand[[#This Row],[received]]</f>
        <v>0</v>
      </c>
      <c r="J1193" s="30"/>
      <c r="K1193" s="2">
        <v>12219.382911392404</v>
      </c>
      <c r="L1193" s="2">
        <v>12219.382911392404</v>
      </c>
      <c r="M1193" s="2">
        <f>K1193-L1193</f>
        <v>0</v>
      </c>
      <c r="N1193" s="2">
        <v>7722.65</v>
      </c>
      <c r="O1193" s="2">
        <v>0</v>
      </c>
      <c r="P1193" s="7">
        <f>grand[[#This Row],[total weight]]/grand[[#This Row],[received]]</f>
        <v>305.4845727848101</v>
      </c>
      <c r="Q1193" s="7">
        <f>grand[[#This Row],[receiving weight]]/grand[[#This Row],[received]]</f>
        <v>305.4845727848101</v>
      </c>
      <c r="R1193" s="7">
        <f>grand[[#This Row],[transportation loss ]]/grand[[#This Row],[received]]</f>
        <v>0</v>
      </c>
      <c r="S1193" s="7">
        <f>grand[[#This Row],[ carcass weight]]/grand[[#This Row],[received]]</f>
        <v>193.06625</v>
      </c>
      <c r="T1193" s="7">
        <f>grand[[#This Row],[ kidneys fat quantity]]/grand[[#This Row],[received]]</f>
        <v>0</v>
      </c>
      <c r="U1193" s="1">
        <v>25</v>
      </c>
      <c r="V1193" s="1">
        <v>5</v>
      </c>
      <c r="W1193" s="1">
        <v>50</v>
      </c>
      <c r="X1193" s="1">
        <v>10</v>
      </c>
      <c r="Y1193" s="1">
        <v>8.5</v>
      </c>
      <c r="Z1193" s="18">
        <f>grand[[#This Row],[av. Transportation loss]]/grand[[#This Row],[av.total weight]]</f>
        <v>0</v>
      </c>
      <c r="AA1193" s="12">
        <f>AVERAGE((grand[[#This Row],[am]]/25),(grand[[#This Row],[pm]]/50))</f>
        <v>1</v>
      </c>
      <c r="AB1193" s="3">
        <f>grand[[#This Row],[ carcass weight]]/grand[[#This Row],[total weight]]</f>
        <v>0.63200000000000001</v>
      </c>
      <c r="AC1193" s="18">
        <f>SUM(grand[[#This Row],[am]:[meat transportation]])/100</f>
        <v>0.98499999999999999</v>
      </c>
      <c r="AK1193" s="1"/>
      <c r="AL1193" s="1"/>
    </row>
    <row r="1194" spans="1:38" hidden="1" x14ac:dyDescent="0.2">
      <c r="A1194" s="11">
        <v>45706</v>
      </c>
      <c r="B1194" s="53" t="s">
        <v>2154</v>
      </c>
      <c r="C1194" s="52" t="str">
        <f>IF(MID(B1194,4,2)="09","Ramadan",IF(AND(MID(B1194,4,2)="12",VALUE(LEFT(B1194,2))&lt;=9),"Adha Season","Normal"))</f>
        <v>Normal</v>
      </c>
      <c r="D1194" s="2" t="s">
        <v>294</v>
      </c>
      <c r="F1194" s="4" t="s">
        <v>280</v>
      </c>
      <c r="G1194" s="1">
        <v>31</v>
      </c>
      <c r="H1194" s="1">
        <v>29</v>
      </c>
      <c r="I1194" s="1">
        <f>grand[[#This Row],[number]]-grand[[#This Row],[received]]</f>
        <v>2</v>
      </c>
      <c r="J1194" s="64" t="s">
        <v>680</v>
      </c>
      <c r="K1194" s="2">
        <v>1537</v>
      </c>
      <c r="L1194" s="2">
        <v>1537</v>
      </c>
      <c r="M1194" s="2">
        <f>K1194-L1194</f>
        <v>0</v>
      </c>
      <c r="N1194" s="2">
        <v>912.6</v>
      </c>
      <c r="O1194" s="2">
        <v>0</v>
      </c>
      <c r="P1194" s="7">
        <f>grand[[#This Row],[total weight]]/grand[[#This Row],[received]]</f>
        <v>53</v>
      </c>
      <c r="Q1194" s="7">
        <f>grand[[#This Row],[receiving weight]]/grand[[#This Row],[received]]</f>
        <v>53</v>
      </c>
      <c r="R1194" s="7">
        <f>grand[[#This Row],[transportation loss ]]/grand[[#This Row],[received]]</f>
        <v>0</v>
      </c>
      <c r="S1194" s="7">
        <f>grand[[#This Row],[ carcass weight]]/grand[[#This Row],[received]]</f>
        <v>31.468965517241379</v>
      </c>
      <c r="T1194" s="7">
        <f>grand[[#This Row],[ kidneys fat quantity]]/grand[[#This Row],[received]]</f>
        <v>0</v>
      </c>
      <c r="U1194" s="1">
        <v>25</v>
      </c>
      <c r="V1194" s="1">
        <v>0</v>
      </c>
      <c r="W1194" s="1">
        <v>45.724137931034484</v>
      </c>
      <c r="X1194" s="1">
        <v>10</v>
      </c>
      <c r="Y1194" s="1">
        <v>8.5</v>
      </c>
      <c r="Z1194" s="18">
        <f>grand[[#This Row],[av. Transportation loss]]/grand[[#This Row],[av.total weight]]</f>
        <v>0</v>
      </c>
      <c r="AA1194" s="12">
        <f>AVERAGE((grand[[#This Row],[am]]/25),(grand[[#This Row],[pm]]/50))</f>
        <v>0.95724137931034492</v>
      </c>
      <c r="AB1194" s="3">
        <f>grand[[#This Row],[ carcass weight]]/grand[[#This Row],[total weight]]</f>
        <v>0.59375406636304495</v>
      </c>
      <c r="AC1194" s="18">
        <f>SUM(grand[[#This Row],[am]:[meat transportation]])/100</f>
        <v>0.89224137931034475</v>
      </c>
      <c r="AK1194" s="1"/>
      <c r="AL1194" s="1"/>
    </row>
    <row r="1195" spans="1:38" hidden="1" x14ac:dyDescent="0.2">
      <c r="A1195" s="11">
        <v>45707</v>
      </c>
      <c r="B1195" s="53" t="s">
        <v>2155</v>
      </c>
      <c r="C1195" s="52" t="str">
        <f>IF(MID(B1195,4,2)="09","Ramadan",IF(AND(MID(B1195,4,2)="12",VALUE(LEFT(B1195,2))&lt;=9),"Adha Season","Normal"))</f>
        <v>Normal</v>
      </c>
      <c r="D1195" s="1" t="s">
        <v>45</v>
      </c>
      <c r="E1195" s="1" t="s">
        <v>483</v>
      </c>
      <c r="F1195" s="4" t="s">
        <v>280</v>
      </c>
      <c r="G1195" s="1">
        <v>36</v>
      </c>
      <c r="H1195" s="1">
        <v>35</v>
      </c>
      <c r="I1195" s="1">
        <f>grand[[#This Row],[number]]-grand[[#This Row],[received]]</f>
        <v>1</v>
      </c>
      <c r="J1195" s="64" t="s">
        <v>676</v>
      </c>
      <c r="K1195" s="2">
        <v>16400</v>
      </c>
      <c r="L1195" s="2">
        <v>16125</v>
      </c>
      <c r="M1195" s="2">
        <f>K1195-L1195</f>
        <v>275</v>
      </c>
      <c r="N1195" s="2">
        <v>9867.5</v>
      </c>
      <c r="O1195" s="2">
        <v>293</v>
      </c>
      <c r="P1195" s="7">
        <f>grand[[#This Row],[total weight]]/grand[[#This Row],[received]]</f>
        <v>468.57142857142856</v>
      </c>
      <c r="Q1195" s="7">
        <f>grand[[#This Row],[receiving weight]]/grand[[#This Row],[received]]</f>
        <v>460.71428571428572</v>
      </c>
      <c r="R1195" s="7">
        <f>grand[[#This Row],[transportation loss ]]/grand[[#This Row],[received]]</f>
        <v>7.8571428571428568</v>
      </c>
      <c r="S1195" s="7">
        <f>grand[[#This Row],[ carcass weight]]/grand[[#This Row],[received]]</f>
        <v>281.92857142857144</v>
      </c>
      <c r="T1195" s="7">
        <f>grand[[#This Row],[ kidneys fat quantity]]/grand[[#This Row],[received]]</f>
        <v>8.3714285714285719</v>
      </c>
      <c r="U1195" s="1">
        <v>25</v>
      </c>
      <c r="V1195" s="1">
        <v>0</v>
      </c>
      <c r="W1195" s="1">
        <v>49.257142857142853</v>
      </c>
      <c r="X1195" s="1">
        <v>10</v>
      </c>
      <c r="Y1195" s="1">
        <v>8.5</v>
      </c>
      <c r="Z1195" s="18">
        <f>grand[[#This Row],[av. Transportation loss]]/grand[[#This Row],[av.total weight]]</f>
        <v>1.676829268292683E-2</v>
      </c>
      <c r="AA1195" s="12">
        <f>AVERAGE((grand[[#This Row],[am]]/25),(grand[[#This Row],[pm]]/50))</f>
        <v>0.99257142857142855</v>
      </c>
      <c r="AB1195" s="3">
        <f>grand[[#This Row],[ carcass weight]]/grand[[#This Row],[total weight]]</f>
        <v>0.60167682926829269</v>
      </c>
      <c r="AC1195" s="18">
        <f>SUM(grand[[#This Row],[am]:[meat transportation]])/100</f>
        <v>0.92757142857142849</v>
      </c>
      <c r="AJ1195" s="1">
        <v>7</v>
      </c>
      <c r="AK1195" s="1"/>
      <c r="AL1195" s="1"/>
    </row>
    <row r="1196" spans="1:38" hidden="1" x14ac:dyDescent="0.2">
      <c r="A1196" s="11">
        <v>45708</v>
      </c>
      <c r="B1196" s="53" t="s">
        <v>2156</v>
      </c>
      <c r="C1196" s="52" t="str">
        <f>IF(MID(B1196,4,2)="09","Ramadan",IF(AND(MID(B1196,4,2)="12",VALUE(LEFT(B1196,2))&lt;=9),"Adha Season","Normal"))</f>
        <v>Normal</v>
      </c>
      <c r="D1196" s="2" t="s">
        <v>294</v>
      </c>
      <c r="F1196" s="4" t="s">
        <v>550</v>
      </c>
      <c r="G1196" s="1">
        <v>37</v>
      </c>
      <c r="H1196" s="1">
        <v>37</v>
      </c>
      <c r="I1196" s="1">
        <f>grand[[#This Row],[number]]-grand[[#This Row],[received]]</f>
        <v>0</v>
      </c>
      <c r="J1196" s="30"/>
      <c r="K1196" s="2">
        <v>1867</v>
      </c>
      <c r="L1196" s="2">
        <v>1700</v>
      </c>
      <c r="M1196" s="2">
        <f>K1196-L1196</f>
        <v>167</v>
      </c>
      <c r="N1196" s="2">
        <v>987.2</v>
      </c>
      <c r="O1196" s="2">
        <v>0</v>
      </c>
      <c r="P1196" s="7">
        <f>grand[[#This Row],[total weight]]/grand[[#This Row],[received]]</f>
        <v>50.45945945945946</v>
      </c>
      <c r="Q1196" s="7">
        <f>grand[[#This Row],[receiving weight]]/grand[[#This Row],[received]]</f>
        <v>45.945945945945944</v>
      </c>
      <c r="R1196" s="7">
        <f>grand[[#This Row],[transportation loss ]]/grand[[#This Row],[received]]</f>
        <v>4.5135135135135132</v>
      </c>
      <c r="S1196" s="7">
        <f>grand[[#This Row],[ carcass weight]]/grand[[#This Row],[received]]</f>
        <v>26.681081081081082</v>
      </c>
      <c r="T1196" s="7">
        <f>grand[[#This Row],[ kidneys fat quantity]]/grand[[#This Row],[received]]</f>
        <v>0</v>
      </c>
      <c r="U1196" s="1">
        <v>25</v>
      </c>
      <c r="V1196" s="1">
        <v>0</v>
      </c>
      <c r="W1196" s="1">
        <v>42.567567567567565</v>
      </c>
      <c r="X1196" s="1">
        <v>10</v>
      </c>
      <c r="Y1196" s="1">
        <v>8.5</v>
      </c>
      <c r="Z1196" s="18">
        <f>grand[[#This Row],[av. Transportation loss]]/grand[[#This Row],[av.total weight]]</f>
        <v>8.9448312801285471E-2</v>
      </c>
      <c r="AA1196" s="12">
        <f>AVERAGE((grand[[#This Row],[am]]/25),(grand[[#This Row],[pm]]/50))</f>
        <v>0.92567567567567566</v>
      </c>
      <c r="AB1196" s="3">
        <f>grand[[#This Row],[ carcass weight]]/grand[[#This Row],[total weight]]</f>
        <v>0.52876272094268884</v>
      </c>
      <c r="AC1196" s="18">
        <f>SUM(grand[[#This Row],[am]:[meat transportation]])/100</f>
        <v>0.8606756756756756</v>
      </c>
      <c r="AK1196" s="1"/>
      <c r="AL1196" s="1"/>
    </row>
    <row r="1197" spans="1:38" hidden="1" x14ac:dyDescent="0.2">
      <c r="A1197" s="11">
        <v>45708</v>
      </c>
      <c r="B1197" s="53" t="s">
        <v>2156</v>
      </c>
      <c r="C1197" s="52" t="str">
        <f>IF(MID(B1197,4,2)="09","Ramadan",IF(AND(MID(B1197,4,2)="12",VALUE(LEFT(B1197,2))&lt;=9),"Adha Season","Normal"))</f>
        <v>Normal</v>
      </c>
      <c r="D1197" s="1" t="s">
        <v>45</v>
      </c>
      <c r="E1197" s="1" t="s">
        <v>483</v>
      </c>
      <c r="F1197" s="4" t="s">
        <v>959</v>
      </c>
      <c r="G1197" s="1">
        <v>74</v>
      </c>
      <c r="H1197" s="1">
        <v>74</v>
      </c>
      <c r="I1197" s="1">
        <f>grand[[#This Row],[number]]-grand[[#This Row],[received]]</f>
        <v>0</v>
      </c>
      <c r="J1197" s="30"/>
      <c r="K1197" s="2">
        <v>31958</v>
      </c>
      <c r="L1197" s="2">
        <v>31958</v>
      </c>
      <c r="M1197" s="2">
        <f>K1197-L1197</f>
        <v>0</v>
      </c>
      <c r="N1197" s="2">
        <v>19507.7</v>
      </c>
      <c r="O1197" s="2">
        <v>470</v>
      </c>
      <c r="P1197" s="7">
        <f>grand[[#This Row],[total weight]]/grand[[#This Row],[received]]</f>
        <v>431.86486486486484</v>
      </c>
      <c r="Q1197" s="7">
        <f>grand[[#This Row],[receiving weight]]/grand[[#This Row],[received]]</f>
        <v>431.86486486486484</v>
      </c>
      <c r="R1197" s="7">
        <f>grand[[#This Row],[transportation loss ]]/grand[[#This Row],[received]]</f>
        <v>0</v>
      </c>
      <c r="S1197" s="7">
        <f>grand[[#This Row],[ carcass weight]]/grand[[#This Row],[received]]</f>
        <v>263.61756756756756</v>
      </c>
      <c r="T1197" s="7">
        <f>grand[[#This Row],[ kidneys fat quantity]]/grand[[#This Row],[received]]</f>
        <v>6.3513513513513518</v>
      </c>
      <c r="U1197" s="1">
        <v>25</v>
      </c>
      <c r="V1197" s="1">
        <v>0</v>
      </c>
      <c r="W1197" s="1">
        <v>49</v>
      </c>
      <c r="X1197" s="1">
        <v>10</v>
      </c>
      <c r="Y1197" s="1">
        <v>8.5</v>
      </c>
      <c r="Z1197" s="18">
        <f>grand[[#This Row],[av. Transportation loss]]/grand[[#This Row],[av.total weight]]</f>
        <v>0</v>
      </c>
      <c r="AA1197" s="12">
        <f>AVERAGE((grand[[#This Row],[am]]/25),(grand[[#This Row],[pm]]/50))</f>
        <v>0.99</v>
      </c>
      <c r="AB1197" s="3">
        <f>grand[[#This Row],[ carcass weight]]/grand[[#This Row],[total weight]]</f>
        <v>0.61041679704612306</v>
      </c>
      <c r="AC1197" s="18">
        <f>SUM(grand[[#This Row],[am]:[meat transportation]])/100</f>
        <v>0.92500000000000004</v>
      </c>
      <c r="AJ1197" s="1">
        <v>4</v>
      </c>
      <c r="AK1197" s="1"/>
      <c r="AL1197" s="1"/>
    </row>
    <row r="1198" spans="1:38" hidden="1" x14ac:dyDescent="0.2">
      <c r="A1198" s="11">
        <v>45710</v>
      </c>
      <c r="B1198" s="53" t="s">
        <v>2157</v>
      </c>
      <c r="C1198" s="52" t="str">
        <f>IF(MID(B1198,4,2)="09","Ramadan",IF(AND(MID(B1198,4,2)="12",VALUE(LEFT(B1198,2))&lt;=9),"Adha Season","Normal"))</f>
        <v>Normal</v>
      </c>
      <c r="D1198" s="2" t="s">
        <v>294</v>
      </c>
      <c r="F1198" s="4" t="s">
        <v>640</v>
      </c>
      <c r="G1198" s="1">
        <v>32</v>
      </c>
      <c r="H1198" s="1">
        <v>32</v>
      </c>
      <c r="I1198" s="1">
        <f>grand[[#This Row],[number]]-grand[[#This Row],[received]]</f>
        <v>0</v>
      </c>
      <c r="J1198" s="30"/>
      <c r="K1198" s="2">
        <v>1556</v>
      </c>
      <c r="L1198" s="2">
        <v>1475</v>
      </c>
      <c r="M1198" s="2">
        <f>K1198-L1198</f>
        <v>81</v>
      </c>
      <c r="N1198" s="2">
        <v>848.8</v>
      </c>
      <c r="O1198" s="2">
        <v>0</v>
      </c>
      <c r="P1198" s="7">
        <f>grand[[#This Row],[total weight]]/grand[[#This Row],[received]]</f>
        <v>48.625</v>
      </c>
      <c r="Q1198" s="7">
        <f>grand[[#This Row],[receiving weight]]/grand[[#This Row],[received]]</f>
        <v>46.09375</v>
      </c>
      <c r="R1198" s="7">
        <f>grand[[#This Row],[transportation loss ]]/grand[[#This Row],[received]]</f>
        <v>2.53125</v>
      </c>
      <c r="S1198" s="7">
        <f>grand[[#This Row],[ carcass weight]]/grand[[#This Row],[received]]</f>
        <v>26.524999999999999</v>
      </c>
      <c r="T1198" s="7">
        <f>grand[[#This Row],[ kidneys fat quantity]]/grand[[#This Row],[received]]</f>
        <v>0</v>
      </c>
      <c r="U1198" s="1">
        <v>25</v>
      </c>
      <c r="V1198" s="1">
        <v>0</v>
      </c>
      <c r="W1198" s="1">
        <v>42.5</v>
      </c>
      <c r="X1198" s="1">
        <v>10</v>
      </c>
      <c r="Y1198" s="1">
        <v>8.5</v>
      </c>
      <c r="Z1198" s="18">
        <f>grand[[#This Row],[av. Transportation loss]]/grand[[#This Row],[av.total weight]]</f>
        <v>5.205655526992288E-2</v>
      </c>
      <c r="AA1198" s="12">
        <f>AVERAGE((grand[[#This Row],[am]]/25),(grand[[#This Row],[pm]]/50))</f>
        <v>0.92500000000000004</v>
      </c>
      <c r="AB1198" s="3">
        <f>grand[[#This Row],[ carcass weight]]/grand[[#This Row],[total weight]]</f>
        <v>0.54550128534704367</v>
      </c>
      <c r="AC1198" s="18">
        <f>SUM(grand[[#This Row],[am]:[meat transportation]])/100</f>
        <v>0.86</v>
      </c>
      <c r="AK1198" s="1"/>
      <c r="AL1198" s="1"/>
    </row>
    <row r="1199" spans="1:38" hidden="1" x14ac:dyDescent="0.2">
      <c r="A1199" s="11">
        <v>45710</v>
      </c>
      <c r="B1199" s="53" t="s">
        <v>2157</v>
      </c>
      <c r="C1199" s="52" t="str">
        <f>IF(MID(B1199,4,2)="09","Ramadan",IF(AND(MID(B1199,4,2)="12",VALUE(LEFT(B1199,2))&lt;=9),"Adha Season","Normal"))</f>
        <v>Normal</v>
      </c>
      <c r="D1199" s="1" t="s">
        <v>45</v>
      </c>
      <c r="E1199" s="1" t="s">
        <v>528</v>
      </c>
      <c r="F1199" s="4" t="s">
        <v>462</v>
      </c>
      <c r="G1199" s="1">
        <v>37</v>
      </c>
      <c r="H1199" s="1">
        <v>37</v>
      </c>
      <c r="I1199" s="1">
        <f>grand[[#This Row],[number]]-grand[[#This Row],[received]]</f>
        <v>0</v>
      </c>
      <c r="J1199" s="30"/>
      <c r="K1199" s="2">
        <v>16869.936708860758</v>
      </c>
      <c r="L1199" s="2">
        <v>16869.936708860758</v>
      </c>
      <c r="M1199" s="2">
        <f>K1199-L1199</f>
        <v>0</v>
      </c>
      <c r="N1199" s="2">
        <v>10661.8</v>
      </c>
      <c r="O1199" s="2">
        <v>0</v>
      </c>
      <c r="P1199" s="7">
        <f>grand[[#This Row],[total weight]]/grand[[#This Row],[received]]</f>
        <v>455.94423537461506</v>
      </c>
      <c r="Q1199" s="7">
        <f>grand[[#This Row],[receiving weight]]/grand[[#This Row],[received]]</f>
        <v>455.94423537461506</v>
      </c>
      <c r="R1199" s="7">
        <f>grand[[#This Row],[transportation loss ]]/grand[[#This Row],[received]]</f>
        <v>0</v>
      </c>
      <c r="S1199" s="7">
        <f>grand[[#This Row],[ carcass weight]]/grand[[#This Row],[received]]</f>
        <v>288.15675675675675</v>
      </c>
      <c r="T1199" s="7">
        <f>grand[[#This Row],[ kidneys fat quantity]]/grand[[#This Row],[received]]</f>
        <v>0</v>
      </c>
      <c r="U1199" s="1">
        <v>25</v>
      </c>
      <c r="V1199" s="1">
        <v>4</v>
      </c>
      <c r="W1199" s="1">
        <v>49.864864864864863</v>
      </c>
      <c r="X1199" s="1">
        <v>10</v>
      </c>
      <c r="Y1199" s="1">
        <v>8.5</v>
      </c>
      <c r="Z1199" s="18">
        <f>grand[[#This Row],[av. Transportation loss]]/grand[[#This Row],[av.total weight]]</f>
        <v>0</v>
      </c>
      <c r="AA1199" s="12">
        <f>AVERAGE((grand[[#This Row],[am]]/25),(grand[[#This Row],[pm]]/50))</f>
        <v>0.99864864864864855</v>
      </c>
      <c r="AB1199" s="3">
        <f>grand[[#This Row],[ carcass weight]]/grand[[#This Row],[total weight]]</f>
        <v>0.63200000000000001</v>
      </c>
      <c r="AC1199" s="18">
        <f>SUM(grand[[#This Row],[am]:[meat transportation]])/100</f>
        <v>0.97364864864864875</v>
      </c>
      <c r="AK1199" s="1"/>
      <c r="AL1199" s="1"/>
    </row>
    <row r="1200" spans="1:38" hidden="1" x14ac:dyDescent="0.2">
      <c r="A1200" s="11">
        <v>45710</v>
      </c>
      <c r="B1200" s="53" t="s">
        <v>2157</v>
      </c>
      <c r="C1200" s="52" t="str">
        <f>IF(MID(B1200,4,2)="09","Ramadan",IF(AND(MID(B1200,4,2)="12",VALUE(LEFT(B1200,2))&lt;=9),"Adha Season","Normal"))</f>
        <v>Normal</v>
      </c>
      <c r="D1200" s="1" t="s">
        <v>45</v>
      </c>
      <c r="E1200" s="1" t="s">
        <v>483</v>
      </c>
      <c r="F1200" s="4" t="s">
        <v>43</v>
      </c>
      <c r="G1200" s="1">
        <v>38</v>
      </c>
      <c r="H1200" s="1">
        <v>35</v>
      </c>
      <c r="I1200" s="1">
        <f>grand[[#This Row],[number]]-grand[[#This Row],[received]]</f>
        <v>3</v>
      </c>
      <c r="J1200" s="64" t="s">
        <v>681</v>
      </c>
      <c r="K1200" s="2">
        <v>20065</v>
      </c>
      <c r="L1200" s="2">
        <v>20450</v>
      </c>
      <c r="M1200" s="2">
        <f>K1200-L1200</f>
        <v>-385</v>
      </c>
      <c r="N1200" s="2">
        <v>12038</v>
      </c>
      <c r="O1200" s="2">
        <v>505</v>
      </c>
      <c r="P1200" s="7">
        <f>grand[[#This Row],[total weight]]/grand[[#This Row],[received]]</f>
        <v>573.28571428571433</v>
      </c>
      <c r="Q1200" s="7">
        <f>grand[[#This Row],[receiving weight]]/grand[[#This Row],[received]]</f>
        <v>584.28571428571433</v>
      </c>
      <c r="R1200" s="7">
        <f>grand[[#This Row],[transportation loss ]]/grand[[#This Row],[received]]</f>
        <v>-11</v>
      </c>
      <c r="S1200" s="7">
        <f>grand[[#This Row],[ carcass weight]]/grand[[#This Row],[received]]</f>
        <v>343.94285714285712</v>
      </c>
      <c r="T1200" s="7">
        <f>grand[[#This Row],[ kidneys fat quantity]]/grand[[#This Row],[received]]</f>
        <v>14.428571428571429</v>
      </c>
      <c r="U1200" s="1">
        <v>25</v>
      </c>
      <c r="V1200" s="1">
        <v>0</v>
      </c>
      <c r="W1200" s="1">
        <v>47.657142857142858</v>
      </c>
      <c r="X1200" s="1">
        <v>10</v>
      </c>
      <c r="Y1200" s="1">
        <v>8.5</v>
      </c>
      <c r="Z1200" s="18">
        <f>grand[[#This Row],[av. Transportation loss]]/grand[[#This Row],[av.total weight]]</f>
        <v>-1.9187640169449287E-2</v>
      </c>
      <c r="AA1200" s="12">
        <f>AVERAGE((grand[[#This Row],[am]]/25),(grand[[#This Row],[pm]]/50))</f>
        <v>0.97657142857142865</v>
      </c>
      <c r="AB1200" s="3">
        <f>grand[[#This Row],[ carcass weight]]/grand[[#This Row],[total weight]]</f>
        <v>0.59995016197358586</v>
      </c>
      <c r="AC1200" s="18">
        <f>SUM(grand[[#This Row],[am]:[meat transportation]])/100</f>
        <v>0.91157142857142859</v>
      </c>
      <c r="AJ1200" s="1">
        <v>31</v>
      </c>
      <c r="AK1200" s="1"/>
      <c r="AL1200" s="1"/>
    </row>
    <row r="1201" spans="1:38" hidden="1" x14ac:dyDescent="0.2">
      <c r="A1201" s="11">
        <v>45711</v>
      </c>
      <c r="B1201" s="53" t="s">
        <v>2158</v>
      </c>
      <c r="C1201" s="52" t="str">
        <f>IF(MID(B1201,4,2)="09","Ramadan",IF(AND(MID(B1201,4,2)="12",VALUE(LEFT(B1201,2))&lt;=9),"Adha Season","Normal"))</f>
        <v>Normal</v>
      </c>
      <c r="D1201" s="1" t="s">
        <v>45</v>
      </c>
      <c r="E1201" s="1" t="s">
        <v>528</v>
      </c>
      <c r="F1201" s="4" t="s">
        <v>43</v>
      </c>
      <c r="G1201" s="1">
        <v>10</v>
      </c>
      <c r="H1201" s="1">
        <v>10</v>
      </c>
      <c r="I1201" s="1">
        <f>grand[[#This Row],[number]]-grand[[#This Row],[received]]</f>
        <v>0</v>
      </c>
      <c r="J1201" s="30"/>
      <c r="K1201" s="2">
        <v>5746</v>
      </c>
      <c r="L1201" s="2">
        <v>5746</v>
      </c>
      <c r="M1201" s="2">
        <f>K1201-L1201</f>
        <v>0</v>
      </c>
      <c r="N1201" s="2">
        <v>3445.7</v>
      </c>
      <c r="O1201" s="2">
        <v>0</v>
      </c>
      <c r="P1201" s="7">
        <f>grand[[#This Row],[total weight]]/grand[[#This Row],[received]]</f>
        <v>574.6</v>
      </c>
      <c r="Q1201" s="7">
        <f>grand[[#This Row],[receiving weight]]/grand[[#This Row],[received]]</f>
        <v>574.6</v>
      </c>
      <c r="R1201" s="7">
        <f>grand[[#This Row],[transportation loss ]]/grand[[#This Row],[received]]</f>
        <v>0</v>
      </c>
      <c r="S1201" s="7">
        <f>grand[[#This Row],[ carcass weight]]/grand[[#This Row],[received]]</f>
        <v>344.57</v>
      </c>
      <c r="T1201" s="7">
        <f>grand[[#This Row],[ kidneys fat quantity]]/grand[[#This Row],[received]]</f>
        <v>0</v>
      </c>
      <c r="U1201" s="1">
        <v>25</v>
      </c>
      <c r="V1201" s="1">
        <v>0</v>
      </c>
      <c r="W1201" s="1">
        <v>48.7</v>
      </c>
      <c r="X1201" s="1">
        <v>10</v>
      </c>
      <c r="Y1201" s="1">
        <v>8.5</v>
      </c>
      <c r="Z1201" s="18">
        <f>grand[[#This Row],[av. Transportation loss]]/grand[[#This Row],[av.total weight]]</f>
        <v>0</v>
      </c>
      <c r="AA1201" s="12">
        <f>AVERAGE((grand[[#This Row],[am]]/25),(grand[[#This Row],[pm]]/50))</f>
        <v>0.9870000000000001</v>
      </c>
      <c r="AB1201" s="3">
        <f>grand[[#This Row],[ carcass weight]]/grand[[#This Row],[total weight]]</f>
        <v>0.59966933518969712</v>
      </c>
      <c r="AC1201" s="18">
        <f>SUM(grand[[#This Row],[am]:[meat transportation]])/100</f>
        <v>0.92200000000000004</v>
      </c>
      <c r="AK1201" s="1"/>
      <c r="AL1201" s="1"/>
    </row>
    <row r="1202" spans="1:38" hidden="1" x14ac:dyDescent="0.2">
      <c r="A1202" s="11">
        <v>45711</v>
      </c>
      <c r="B1202" s="53" t="s">
        <v>2158</v>
      </c>
      <c r="C1202" s="52" t="str">
        <f>IF(MID(B1202,4,2)="09","Ramadan",IF(AND(MID(B1202,4,2)="12",VALUE(LEFT(B1202,2))&lt;=9),"Adha Season","Normal"))</f>
        <v>Normal</v>
      </c>
      <c r="D1202" s="1" t="s">
        <v>45</v>
      </c>
      <c r="E1202" s="1" t="s">
        <v>483</v>
      </c>
      <c r="F1202" s="4" t="s">
        <v>43</v>
      </c>
      <c r="G1202" s="1">
        <v>16</v>
      </c>
      <c r="H1202" s="1">
        <v>16</v>
      </c>
      <c r="I1202" s="1">
        <f>grand[[#This Row],[number]]-grand[[#This Row],[received]]</f>
        <v>0</v>
      </c>
      <c r="J1202" s="30"/>
      <c r="K1202" s="2">
        <v>8363</v>
      </c>
      <c r="L1202" s="2">
        <v>8363</v>
      </c>
      <c r="M1202" s="2">
        <f>K1202-L1202</f>
        <v>0</v>
      </c>
      <c r="N1202" s="2">
        <v>5038.3999999999996</v>
      </c>
      <c r="O1202" s="2">
        <v>159</v>
      </c>
      <c r="P1202" s="7">
        <f>grand[[#This Row],[total weight]]/grand[[#This Row],[received]]</f>
        <v>522.6875</v>
      </c>
      <c r="Q1202" s="7">
        <f>grand[[#This Row],[receiving weight]]/grand[[#This Row],[received]]</f>
        <v>522.6875</v>
      </c>
      <c r="R1202" s="7">
        <f>grand[[#This Row],[transportation loss ]]/grand[[#This Row],[received]]</f>
        <v>0</v>
      </c>
      <c r="S1202" s="7">
        <f>grand[[#This Row],[ carcass weight]]/grand[[#This Row],[received]]</f>
        <v>314.89999999999998</v>
      </c>
      <c r="T1202" s="7">
        <f>grand[[#This Row],[ kidneys fat quantity]]/grand[[#This Row],[received]]</f>
        <v>9.9375</v>
      </c>
      <c r="U1202" s="1">
        <v>25</v>
      </c>
      <c r="V1202" s="1">
        <v>0</v>
      </c>
      <c r="W1202" s="1">
        <v>48.1875</v>
      </c>
      <c r="X1202" s="1">
        <v>10</v>
      </c>
      <c r="Y1202" s="1">
        <v>8.5</v>
      </c>
      <c r="Z1202" s="18">
        <f>grand[[#This Row],[av. Transportation loss]]/grand[[#This Row],[av.total weight]]</f>
        <v>0</v>
      </c>
      <c r="AA1202" s="12">
        <f>AVERAGE((grand[[#This Row],[am]]/25),(grand[[#This Row],[pm]]/50))</f>
        <v>0.98187500000000005</v>
      </c>
      <c r="AB1202" s="3">
        <f>grand[[#This Row],[ carcass weight]]/grand[[#This Row],[total weight]]</f>
        <v>0.60246323089800302</v>
      </c>
      <c r="AC1202" s="18">
        <f>SUM(grand[[#This Row],[am]:[meat transportation]])/100</f>
        <v>0.916875</v>
      </c>
      <c r="AJ1202" s="1">
        <v>4</v>
      </c>
      <c r="AK1202" s="1"/>
      <c r="AL1202" s="1"/>
    </row>
    <row r="1203" spans="1:38" hidden="1" x14ac:dyDescent="0.2">
      <c r="A1203" s="11">
        <v>45711</v>
      </c>
      <c r="B1203" s="53" t="s">
        <v>2158</v>
      </c>
      <c r="C1203" s="52" t="str">
        <f>IF(MID(B1203,4,2)="09","Ramadan",IF(AND(MID(B1203,4,2)="12",VALUE(LEFT(B1203,2))&lt;=9),"Adha Season","Normal"))</f>
        <v>Normal</v>
      </c>
      <c r="D1203" s="1" t="s">
        <v>45</v>
      </c>
      <c r="E1203" s="1" t="s">
        <v>528</v>
      </c>
      <c r="F1203" s="4" t="s">
        <v>462</v>
      </c>
      <c r="G1203" s="1">
        <v>45</v>
      </c>
      <c r="H1203" s="1">
        <v>45</v>
      </c>
      <c r="I1203" s="1">
        <f>grand[[#This Row],[number]]-grand[[#This Row],[received]]</f>
        <v>0</v>
      </c>
      <c r="J1203" s="30"/>
      <c r="K1203" s="2">
        <v>20960.126582278481</v>
      </c>
      <c r="L1203" s="2">
        <v>20960.126582278481</v>
      </c>
      <c r="M1203" s="2">
        <f>K1203-L1203</f>
        <v>0</v>
      </c>
      <c r="N1203" s="2">
        <v>13246.8</v>
      </c>
      <c r="O1203" s="2">
        <v>0</v>
      </c>
      <c r="P1203" s="7">
        <f>grand[[#This Row],[total weight]]/grand[[#This Row],[received]]</f>
        <v>465.78059071729956</v>
      </c>
      <c r="Q1203" s="7">
        <f>grand[[#This Row],[receiving weight]]/grand[[#This Row],[received]]</f>
        <v>465.78059071729956</v>
      </c>
      <c r="R1203" s="7">
        <f>grand[[#This Row],[transportation loss ]]/grand[[#This Row],[received]]</f>
        <v>0</v>
      </c>
      <c r="S1203" s="7">
        <f>grand[[#This Row],[ carcass weight]]/grand[[#This Row],[received]]</f>
        <v>294.37333333333333</v>
      </c>
      <c r="T1203" s="7">
        <f>grand[[#This Row],[ kidneys fat quantity]]/grand[[#This Row],[received]]</f>
        <v>0</v>
      </c>
      <c r="U1203" s="1">
        <v>25</v>
      </c>
      <c r="V1203" s="1">
        <v>4</v>
      </c>
      <c r="W1203" s="1">
        <v>49.777777777777779</v>
      </c>
      <c r="X1203" s="1">
        <v>10</v>
      </c>
      <c r="Y1203" s="1">
        <v>8.5</v>
      </c>
      <c r="Z1203" s="18">
        <f>grand[[#This Row],[av. Transportation loss]]/grand[[#This Row],[av.total weight]]</f>
        <v>0</v>
      </c>
      <c r="AA1203" s="12">
        <f>AVERAGE((grand[[#This Row],[am]]/25),(grand[[#This Row],[pm]]/50))</f>
        <v>0.99777777777777776</v>
      </c>
      <c r="AB1203" s="3">
        <f>grand[[#This Row],[ carcass weight]]/grand[[#This Row],[total weight]]</f>
        <v>0.63200000000000001</v>
      </c>
      <c r="AC1203" s="18">
        <f>SUM(grand[[#This Row],[am]:[meat transportation]])/100</f>
        <v>0.97277777777777774</v>
      </c>
      <c r="AK1203" s="1"/>
      <c r="AL1203" s="1"/>
    </row>
    <row r="1204" spans="1:38" hidden="1" x14ac:dyDescent="0.2">
      <c r="A1204" s="11">
        <v>45712</v>
      </c>
      <c r="B1204" s="53" t="s">
        <v>2159</v>
      </c>
      <c r="C1204" s="52" t="str">
        <f>IF(MID(B1204,4,2)="09","Ramadan",IF(AND(MID(B1204,4,2)="12",VALUE(LEFT(B1204,2))&lt;=9),"Adha Season","Normal"))</f>
        <v>Normal</v>
      </c>
      <c r="D1204" s="1" t="s">
        <v>45</v>
      </c>
      <c r="E1204" s="1" t="s">
        <v>483</v>
      </c>
      <c r="F1204" s="4" t="s">
        <v>43</v>
      </c>
      <c r="G1204" s="1">
        <v>24</v>
      </c>
      <c r="H1204" s="1">
        <v>24</v>
      </c>
      <c r="I1204" s="1">
        <f>grand[[#This Row],[number]]-grand[[#This Row],[received]]</f>
        <v>0</v>
      </c>
      <c r="J1204" s="30"/>
      <c r="K1204" s="2">
        <v>11804</v>
      </c>
      <c r="L1204" s="2">
        <v>11280</v>
      </c>
      <c r="M1204" s="2">
        <f>K1204-L1204</f>
        <v>524</v>
      </c>
      <c r="N1204" s="2">
        <v>7082.6</v>
      </c>
      <c r="O1204" s="2">
        <v>211</v>
      </c>
      <c r="P1204" s="7">
        <f>grand[[#This Row],[total weight]]/grand[[#This Row],[received]]</f>
        <v>491.83333333333331</v>
      </c>
      <c r="Q1204" s="7">
        <f>grand[[#This Row],[receiving weight]]/grand[[#This Row],[received]]</f>
        <v>470</v>
      </c>
      <c r="R1204" s="7">
        <f>grand[[#This Row],[transportation loss ]]/grand[[#This Row],[received]]</f>
        <v>21.833333333333332</v>
      </c>
      <c r="S1204" s="7">
        <f>grand[[#This Row],[ carcass weight]]/grand[[#This Row],[received]]</f>
        <v>295.10833333333335</v>
      </c>
      <c r="T1204" s="7">
        <f>grand[[#This Row],[ kidneys fat quantity]]/grand[[#This Row],[received]]</f>
        <v>8.7916666666666661</v>
      </c>
      <c r="U1204" s="1">
        <v>25</v>
      </c>
      <c r="V1204" s="1">
        <v>0</v>
      </c>
      <c r="W1204" s="1">
        <v>48.458333333333336</v>
      </c>
      <c r="X1204" s="1">
        <v>10</v>
      </c>
      <c r="Y1204" s="1">
        <v>8.5</v>
      </c>
      <c r="Z1204" s="18">
        <f>grand[[#This Row],[av. Transportation loss]]/grand[[#This Row],[av.total weight]]</f>
        <v>4.4391731616401219E-2</v>
      </c>
      <c r="AA1204" s="12">
        <f>AVERAGE((grand[[#This Row],[am]]/25),(grand[[#This Row],[pm]]/50))</f>
        <v>0.98458333333333337</v>
      </c>
      <c r="AB1204" s="3">
        <f>grand[[#This Row],[ carcass weight]]/grand[[#This Row],[total weight]]</f>
        <v>0.6000169434090139</v>
      </c>
      <c r="AC1204" s="18">
        <f>SUM(grand[[#This Row],[am]:[meat transportation]])/100</f>
        <v>0.91958333333333342</v>
      </c>
      <c r="AJ1204" s="1">
        <v>5</v>
      </c>
      <c r="AK1204" s="1"/>
      <c r="AL1204" s="1"/>
    </row>
    <row r="1205" spans="1:38" hidden="1" x14ac:dyDescent="0.2">
      <c r="A1205" s="11">
        <v>45712</v>
      </c>
      <c r="B1205" s="53" t="s">
        <v>2159</v>
      </c>
      <c r="C1205" s="52" t="str">
        <f>IF(MID(B1205,4,2)="09","Ramadan",IF(AND(MID(B1205,4,2)="12",VALUE(LEFT(B1205,2))&lt;=9),"Adha Season","Normal"))</f>
        <v>Normal</v>
      </c>
      <c r="D1205" s="1" t="s">
        <v>45</v>
      </c>
      <c r="E1205" s="1" t="s">
        <v>483</v>
      </c>
      <c r="F1205" s="4" t="s">
        <v>39</v>
      </c>
      <c r="G1205" s="1">
        <v>35</v>
      </c>
      <c r="H1205" s="1">
        <v>35</v>
      </c>
      <c r="I1205" s="1">
        <f>grand[[#This Row],[number]]-grand[[#This Row],[received]]</f>
        <v>0</v>
      </c>
      <c r="J1205" s="30"/>
      <c r="K1205" s="2">
        <v>10637.183544303796</v>
      </c>
      <c r="L1205" s="2">
        <v>10637.183544303796</v>
      </c>
      <c r="M1205" s="2">
        <f>K1205-L1205</f>
        <v>0</v>
      </c>
      <c r="N1205" s="2">
        <v>6722.7</v>
      </c>
      <c r="O1205" s="2">
        <v>0</v>
      </c>
      <c r="P1205" s="7">
        <f>grand[[#This Row],[total weight]]/grand[[#This Row],[received]]</f>
        <v>303.91952983725133</v>
      </c>
      <c r="Q1205" s="7">
        <f>grand[[#This Row],[receiving weight]]/grand[[#This Row],[received]]</f>
        <v>303.91952983725133</v>
      </c>
      <c r="R1205" s="7">
        <f>grand[[#This Row],[transportation loss ]]/grand[[#This Row],[received]]</f>
        <v>0</v>
      </c>
      <c r="S1205" s="7">
        <f>grand[[#This Row],[ carcass weight]]/grand[[#This Row],[received]]</f>
        <v>192.07714285714286</v>
      </c>
      <c r="T1205" s="7">
        <f>grand[[#This Row],[ kidneys fat quantity]]/grand[[#This Row],[received]]</f>
        <v>0</v>
      </c>
      <c r="U1205" s="1">
        <v>25</v>
      </c>
      <c r="V1205" s="1">
        <v>5</v>
      </c>
      <c r="W1205" s="1">
        <v>50</v>
      </c>
      <c r="X1205" s="1">
        <v>10</v>
      </c>
      <c r="Y1205" s="1">
        <v>8.5</v>
      </c>
      <c r="Z1205" s="18">
        <f>grand[[#This Row],[av. Transportation loss]]/grand[[#This Row],[av.total weight]]</f>
        <v>0</v>
      </c>
      <c r="AA1205" s="12">
        <f>AVERAGE((grand[[#This Row],[am]]/25),(grand[[#This Row],[pm]]/50))</f>
        <v>1</v>
      </c>
      <c r="AB1205" s="3">
        <f>grand[[#This Row],[ carcass weight]]/grand[[#This Row],[total weight]]</f>
        <v>0.63200000000000001</v>
      </c>
      <c r="AC1205" s="18">
        <f>SUM(grand[[#This Row],[am]:[meat transportation]])/100</f>
        <v>0.98499999999999999</v>
      </c>
      <c r="AK1205" s="1"/>
      <c r="AL1205" s="1"/>
    </row>
    <row r="1206" spans="1:38" hidden="1" x14ac:dyDescent="0.2">
      <c r="A1206" s="11">
        <v>45713</v>
      </c>
      <c r="B1206" s="53" t="s">
        <v>2160</v>
      </c>
      <c r="C1206" s="52" t="str">
        <f>IF(MID(B1206,4,2)="09","Ramadan",IF(AND(MID(B1206,4,2)="12",VALUE(LEFT(B1206,2))&lt;=9),"Adha Season","Normal"))</f>
        <v>Normal</v>
      </c>
      <c r="D1206" s="2" t="s">
        <v>294</v>
      </c>
      <c r="F1206" s="4" t="s">
        <v>280</v>
      </c>
      <c r="G1206" s="1">
        <v>62</v>
      </c>
      <c r="H1206" s="1">
        <v>62</v>
      </c>
      <c r="I1206" s="1">
        <f>grand[[#This Row],[number]]-grand[[#This Row],[received]]</f>
        <v>0</v>
      </c>
      <c r="J1206" s="30"/>
      <c r="K1206" s="2">
        <v>3400</v>
      </c>
      <c r="L1206" s="2">
        <v>3370</v>
      </c>
      <c r="M1206" s="2">
        <f>K1206-L1206</f>
        <v>30</v>
      </c>
      <c r="N1206" s="2">
        <v>1908.4</v>
      </c>
      <c r="O1206" s="2">
        <v>0</v>
      </c>
      <c r="P1206" s="7">
        <f>grand[[#This Row],[total weight]]/grand[[#This Row],[received]]</f>
        <v>54.838709677419352</v>
      </c>
      <c r="Q1206" s="7">
        <f>grand[[#This Row],[receiving weight]]/grand[[#This Row],[received]]</f>
        <v>54.354838709677416</v>
      </c>
      <c r="R1206" s="7">
        <f>grand[[#This Row],[transportation loss ]]/grand[[#This Row],[received]]</f>
        <v>0.4838709677419355</v>
      </c>
      <c r="S1206" s="7">
        <f>grand[[#This Row],[ carcass weight]]/grand[[#This Row],[received]]</f>
        <v>30.780645161290323</v>
      </c>
      <c r="T1206" s="7">
        <f>grand[[#This Row],[ kidneys fat quantity]]/grand[[#This Row],[received]]</f>
        <v>0</v>
      </c>
      <c r="U1206" s="1">
        <v>25</v>
      </c>
      <c r="V1206" s="1">
        <v>0</v>
      </c>
      <c r="W1206" s="1">
        <v>47.064516129032256</v>
      </c>
      <c r="X1206" s="1">
        <v>10</v>
      </c>
      <c r="Y1206" s="1">
        <v>8.5</v>
      </c>
      <c r="Z1206" s="18">
        <f>grand[[#This Row],[av. Transportation loss]]/grand[[#This Row],[av.total weight]]</f>
        <v>8.8235294117647058E-3</v>
      </c>
      <c r="AA1206" s="12">
        <f>AVERAGE((grand[[#This Row],[am]]/25),(grand[[#This Row],[pm]]/50))</f>
        <v>0.97064516129032263</v>
      </c>
      <c r="AB1206" s="3">
        <f>grand[[#This Row],[ carcass weight]]/grand[[#This Row],[total weight]]</f>
        <v>0.56129411764705883</v>
      </c>
      <c r="AC1206" s="18">
        <f>SUM(grand[[#This Row],[am]:[meat transportation]])/100</f>
        <v>0.90564516129032258</v>
      </c>
      <c r="AK1206" s="1"/>
      <c r="AL1206" s="1"/>
    </row>
    <row r="1207" spans="1:38" hidden="1" x14ac:dyDescent="0.2">
      <c r="A1207" s="11">
        <v>45713</v>
      </c>
      <c r="B1207" s="53" t="s">
        <v>2160</v>
      </c>
      <c r="C1207" s="52" t="str">
        <f>IF(MID(B1207,4,2)="09","Ramadan",IF(AND(MID(B1207,4,2)="12",VALUE(LEFT(B1207,2))&lt;=9),"Adha Season","Normal"))</f>
        <v>Normal</v>
      </c>
      <c r="D1207" s="1" t="s">
        <v>45</v>
      </c>
      <c r="E1207" s="1" t="s">
        <v>483</v>
      </c>
      <c r="F1207" s="4" t="s">
        <v>280</v>
      </c>
      <c r="G1207" s="1">
        <v>64</v>
      </c>
      <c r="H1207" s="1">
        <v>60</v>
      </c>
      <c r="I1207" s="1">
        <f>grand[[#This Row],[number]]-grand[[#This Row],[received]]</f>
        <v>4</v>
      </c>
      <c r="J1207" s="64" t="s">
        <v>682</v>
      </c>
      <c r="K1207" s="2">
        <v>30150</v>
      </c>
      <c r="L1207" s="2">
        <v>28855</v>
      </c>
      <c r="M1207" s="2">
        <f>K1207-L1207</f>
        <v>1295</v>
      </c>
      <c r="N1207" s="2">
        <v>18173.099999999999</v>
      </c>
      <c r="O1207" s="2">
        <v>495</v>
      </c>
      <c r="P1207" s="7">
        <f>grand[[#This Row],[total weight]]/grand[[#This Row],[received]]</f>
        <v>502.5</v>
      </c>
      <c r="Q1207" s="7">
        <f>grand[[#This Row],[receiving weight]]/grand[[#This Row],[received]]</f>
        <v>480.91666666666669</v>
      </c>
      <c r="R1207" s="7">
        <f>grand[[#This Row],[transportation loss ]]/grand[[#This Row],[received]]</f>
        <v>21.583333333333332</v>
      </c>
      <c r="S1207" s="7">
        <f>grand[[#This Row],[ carcass weight]]/grand[[#This Row],[received]]</f>
        <v>302.88499999999999</v>
      </c>
      <c r="T1207" s="7">
        <f>grand[[#This Row],[ kidneys fat quantity]]/grand[[#This Row],[received]]</f>
        <v>8.25</v>
      </c>
      <c r="U1207" s="1">
        <v>25</v>
      </c>
      <c r="V1207" s="1">
        <v>0</v>
      </c>
      <c r="W1207" s="1">
        <v>46.949999999999996</v>
      </c>
      <c r="X1207" s="1">
        <v>10</v>
      </c>
      <c r="Y1207" s="1">
        <v>8.5</v>
      </c>
      <c r="Z1207" s="18">
        <f>grand[[#This Row],[av. Transportation loss]]/grand[[#This Row],[av.total weight]]</f>
        <v>4.2951907131011609E-2</v>
      </c>
      <c r="AA1207" s="12">
        <f>AVERAGE((grand[[#This Row],[am]]/25),(grand[[#This Row],[pm]]/50))</f>
        <v>0.96950000000000003</v>
      </c>
      <c r="AB1207" s="3">
        <f>grand[[#This Row],[ carcass weight]]/grand[[#This Row],[total weight]]</f>
        <v>0.6027562189054726</v>
      </c>
      <c r="AC1207" s="18">
        <f>SUM(grand[[#This Row],[am]:[meat transportation]])/100</f>
        <v>0.90449999999999986</v>
      </c>
      <c r="AJ1207" s="1">
        <v>31</v>
      </c>
      <c r="AK1207" s="1"/>
      <c r="AL1207" s="1"/>
    </row>
    <row r="1208" spans="1:38" hidden="1" x14ac:dyDescent="0.2">
      <c r="A1208" s="11">
        <v>45714</v>
      </c>
      <c r="B1208" s="53" t="s">
        <v>2161</v>
      </c>
      <c r="C1208" s="52" t="str">
        <f>IF(MID(B1208,4,2)="09","Ramadan",IF(AND(MID(B1208,4,2)="12",VALUE(LEFT(B1208,2))&lt;=9),"Adha Season","Normal"))</f>
        <v>Normal</v>
      </c>
      <c r="D1208" s="1" t="s">
        <v>45</v>
      </c>
      <c r="E1208" s="1" t="s">
        <v>483</v>
      </c>
      <c r="F1208" s="4" t="s">
        <v>550</v>
      </c>
      <c r="G1208" s="1">
        <v>21</v>
      </c>
      <c r="H1208">
        <v>21</v>
      </c>
      <c r="I1208">
        <f>grand[[#This Row],[number]]-grand[[#This Row],[received]]</f>
        <v>0</v>
      </c>
      <c r="J1208" s="30"/>
      <c r="K1208" s="2">
        <v>9323</v>
      </c>
      <c r="L1208" s="2">
        <v>9323</v>
      </c>
      <c r="M1208" s="2">
        <f>K1208-L1208</f>
        <v>0</v>
      </c>
      <c r="N1208" s="2">
        <v>5593.7</v>
      </c>
      <c r="O1208" s="2">
        <v>134</v>
      </c>
      <c r="P1208" s="7">
        <f>grand[[#This Row],[total weight]]/grand[[#This Row],[received]]</f>
        <v>443.95238095238096</v>
      </c>
      <c r="Q1208" s="7">
        <f>grand[[#This Row],[receiving weight]]/grand[[#This Row],[received]]</f>
        <v>443.95238095238096</v>
      </c>
      <c r="R1208" s="7">
        <f>grand[[#This Row],[transportation loss ]]/grand[[#This Row],[received]]</f>
        <v>0</v>
      </c>
      <c r="S1208" s="7">
        <f>grand[[#This Row],[ carcass weight]]/grand[[#This Row],[received]]</f>
        <v>266.36666666666667</v>
      </c>
      <c r="T1208" s="7">
        <f>grand[[#This Row],[ kidneys fat quantity]]/grand[[#This Row],[received]]</f>
        <v>6.3809523809523814</v>
      </c>
      <c r="U1208">
        <v>25</v>
      </c>
      <c r="V1208">
        <v>0</v>
      </c>
      <c r="W1208">
        <v>48.904761904761905</v>
      </c>
      <c r="X1208">
        <v>10</v>
      </c>
      <c r="Y1208">
        <v>8.5</v>
      </c>
      <c r="Z1208" s="29">
        <v>0.98904761904761906</v>
      </c>
      <c r="AA1208" s="29">
        <v>0.92404761904761901</v>
      </c>
      <c r="AB1208" s="3">
        <f>grand[[#This Row],[ carcass weight]]/grand[[#This Row],[total weight]]</f>
        <v>0.599989273838893</v>
      </c>
      <c r="AC1208" s="29">
        <f>SUM(grand[[#This Row],[am]:[meat transportation]])/100</f>
        <v>0.92404761904761901</v>
      </c>
      <c r="AD1208" s="2" t="s">
        <v>820</v>
      </c>
      <c r="AE1208" s="2"/>
      <c r="AF1208" s="2"/>
      <c r="AG1208" s="2"/>
      <c r="AH1208" s="2"/>
      <c r="AI1208" s="2"/>
      <c r="AJ1208" s="2">
        <v>8</v>
      </c>
      <c r="AK1208" s="1"/>
      <c r="AL1208" s="1"/>
    </row>
    <row r="1209" spans="1:38" hidden="1" x14ac:dyDescent="0.2">
      <c r="A1209" s="11">
        <v>45714</v>
      </c>
      <c r="B1209" s="53" t="s">
        <v>2161</v>
      </c>
      <c r="C1209" s="52" t="str">
        <f>IF(MID(B1209,4,2)="09","Ramadan",IF(AND(MID(B1209,4,2)="12",VALUE(LEFT(B1209,2))&lt;=9),"Adha Season","Normal"))</f>
        <v>Normal</v>
      </c>
      <c r="D1209" s="1" t="s">
        <v>45</v>
      </c>
      <c r="E1209" s="1" t="s">
        <v>483</v>
      </c>
      <c r="F1209" s="4" t="s">
        <v>550</v>
      </c>
      <c r="G1209" s="1">
        <v>18</v>
      </c>
      <c r="H1209" s="1">
        <v>18</v>
      </c>
      <c r="I1209" s="1">
        <f>grand[[#This Row],[number]]-grand[[#This Row],[received]]</f>
        <v>0</v>
      </c>
      <c r="J1209" s="30"/>
      <c r="K1209" s="2">
        <v>8887</v>
      </c>
      <c r="L1209" s="2">
        <v>8887</v>
      </c>
      <c r="M1209" s="2">
        <f>K1209-L1209</f>
        <v>0</v>
      </c>
      <c r="N1209" s="2">
        <v>5332.6</v>
      </c>
      <c r="O1209" s="2">
        <v>122</v>
      </c>
      <c r="P1209" s="7">
        <f>grand[[#This Row],[total weight]]/grand[[#This Row],[received]]</f>
        <v>493.72222222222223</v>
      </c>
      <c r="Q1209" s="7">
        <f>grand[[#This Row],[receiving weight]]/grand[[#This Row],[received]]</f>
        <v>493.72222222222223</v>
      </c>
      <c r="R1209" s="7">
        <f>grand[[#This Row],[transportation loss ]]/grand[[#This Row],[received]]</f>
        <v>0</v>
      </c>
      <c r="S1209" s="7">
        <f>grand[[#This Row],[ carcass weight]]/grand[[#This Row],[received]]</f>
        <v>296.25555555555559</v>
      </c>
      <c r="T1209" s="7">
        <f>grand[[#This Row],[ kidneys fat quantity]]/grand[[#This Row],[received]]</f>
        <v>6.7777777777777777</v>
      </c>
      <c r="U1209" s="1">
        <v>25</v>
      </c>
      <c r="V1209" s="1">
        <v>0</v>
      </c>
      <c r="W1209" s="1">
        <v>45.055555555555557</v>
      </c>
      <c r="X1209" s="1">
        <v>10</v>
      </c>
      <c r="Y1209" s="1">
        <v>8.5</v>
      </c>
      <c r="Z1209" s="18">
        <f>grand[[#This Row],[av. Transportation loss]]/grand[[#This Row],[av.total weight]]</f>
        <v>0</v>
      </c>
      <c r="AA1209" s="12">
        <f>AVERAGE((grand[[#This Row],[am]]/25),(grand[[#This Row],[pm]]/50))</f>
        <v>0.9505555555555556</v>
      </c>
      <c r="AB1209" s="3">
        <f>grand[[#This Row],[ carcass weight]]/grand[[#This Row],[total weight]]</f>
        <v>0.60004500956453255</v>
      </c>
      <c r="AC1209" s="18">
        <f>SUM(grand[[#This Row],[am]:[meat transportation]])/100</f>
        <v>0.88555555555555554</v>
      </c>
      <c r="AJ1209" s="1">
        <v>10</v>
      </c>
      <c r="AK1209" s="1"/>
      <c r="AL1209" s="1"/>
    </row>
    <row r="1210" spans="1:38" hidden="1" x14ac:dyDescent="0.2">
      <c r="A1210" s="11">
        <v>45714</v>
      </c>
      <c r="B1210" s="53" t="s">
        <v>2161</v>
      </c>
      <c r="C1210" s="52" t="str">
        <f>IF(MID(B1210,4,2)="09","Ramadan",IF(AND(MID(B1210,4,2)="12",VALUE(LEFT(B1210,2))&lt;=9),"Adha Season","Normal"))</f>
        <v>Normal</v>
      </c>
      <c r="D1210" s="1" t="s">
        <v>45</v>
      </c>
      <c r="E1210" s="1" t="s">
        <v>483</v>
      </c>
      <c r="F1210" s="4" t="s">
        <v>576</v>
      </c>
      <c r="G1210" s="1">
        <v>45</v>
      </c>
      <c r="H1210" s="1">
        <v>45</v>
      </c>
      <c r="I1210" s="1">
        <f>grand[[#This Row],[number]]-grand[[#This Row],[received]]</f>
        <v>0</v>
      </c>
      <c r="J1210" s="30"/>
      <c r="K1210" s="2">
        <v>23698</v>
      </c>
      <c r="L1210" s="2">
        <v>23698</v>
      </c>
      <c r="M1210" s="2">
        <f>K1210-L1210</f>
        <v>0</v>
      </c>
      <c r="N1210" s="2">
        <v>14657</v>
      </c>
      <c r="O1210" s="2">
        <v>392</v>
      </c>
      <c r="P1210" s="7">
        <f>grand[[#This Row],[total weight]]/grand[[#This Row],[received]]</f>
        <v>526.62222222222226</v>
      </c>
      <c r="Q1210" s="7">
        <f>grand[[#This Row],[receiving weight]]/grand[[#This Row],[received]]</f>
        <v>526.62222222222226</v>
      </c>
      <c r="R1210" s="7">
        <f>grand[[#This Row],[transportation loss ]]/grand[[#This Row],[received]]</f>
        <v>0</v>
      </c>
      <c r="S1210" s="7">
        <f>grand[[#This Row],[ carcass weight]]/grand[[#This Row],[received]]</f>
        <v>325.71111111111111</v>
      </c>
      <c r="T1210" s="7">
        <f>grand[[#This Row],[ kidneys fat quantity]]/grand[[#This Row],[received]]</f>
        <v>8.7111111111111104</v>
      </c>
      <c r="U1210" s="1">
        <v>25</v>
      </c>
      <c r="V1210" s="1">
        <v>0</v>
      </c>
      <c r="W1210" s="1">
        <v>45.111111111111114</v>
      </c>
      <c r="X1210" s="1">
        <v>10</v>
      </c>
      <c r="Y1210" s="1">
        <v>8.5</v>
      </c>
      <c r="Z1210" s="18">
        <f>grand[[#This Row],[av. Transportation loss]]/grand[[#This Row],[av.total weight]]</f>
        <v>0</v>
      </c>
      <c r="AA1210" s="12">
        <f>AVERAGE((grand[[#This Row],[am]]/25),(grand[[#This Row],[pm]]/50))</f>
        <v>0.95111111111111113</v>
      </c>
      <c r="AB1210" s="3">
        <f>grand[[#This Row],[ carcass weight]]/grand[[#This Row],[total weight]]</f>
        <v>0.61849101189973843</v>
      </c>
      <c r="AC1210" s="18">
        <f>SUM(grand[[#This Row],[am]:[meat transportation]])/100</f>
        <v>0.88611111111111118</v>
      </c>
      <c r="AJ1210" s="1">
        <v>30</v>
      </c>
      <c r="AK1210" s="1"/>
      <c r="AL1210" s="1"/>
    </row>
    <row r="1211" spans="1:38" hidden="1" x14ac:dyDescent="0.2">
      <c r="A1211" s="11">
        <v>45715</v>
      </c>
      <c r="B1211" s="53" t="s">
        <v>2162</v>
      </c>
      <c r="C1211" s="52" t="str">
        <f>IF(MID(B1211,4,2)="09","Ramadan",IF(AND(MID(B1211,4,2)="12",VALUE(LEFT(B1211,2))&lt;=9),"Adha Season","Normal"))</f>
        <v>Normal</v>
      </c>
      <c r="D1211" s="2" t="s">
        <v>294</v>
      </c>
      <c r="F1211" s="4" t="s">
        <v>656</v>
      </c>
      <c r="G1211" s="1">
        <v>68</v>
      </c>
      <c r="H1211" s="1">
        <v>68</v>
      </c>
      <c r="I1211" s="1">
        <f>grand[[#This Row],[number]]-grand[[#This Row],[received]]</f>
        <v>0</v>
      </c>
      <c r="J1211" s="30"/>
      <c r="K1211" s="2">
        <v>3726</v>
      </c>
      <c r="L1211" s="2">
        <v>3726</v>
      </c>
      <c r="M1211" s="2">
        <f>K1211-L1211</f>
        <v>0</v>
      </c>
      <c r="N1211" s="2">
        <v>2088.5</v>
      </c>
      <c r="O1211" s="2">
        <v>0</v>
      </c>
      <c r="P1211" s="7">
        <f>grand[[#This Row],[total weight]]/grand[[#This Row],[received]]</f>
        <v>54.794117647058826</v>
      </c>
      <c r="Q1211" s="7">
        <f>grand[[#This Row],[receiving weight]]/grand[[#This Row],[received]]</f>
        <v>54.794117647058826</v>
      </c>
      <c r="R1211" s="7">
        <f>grand[[#This Row],[transportation loss ]]/grand[[#This Row],[received]]</f>
        <v>0</v>
      </c>
      <c r="S1211" s="7">
        <f>grand[[#This Row],[ carcass weight]]/grand[[#This Row],[received]]</f>
        <v>30.713235294117649</v>
      </c>
      <c r="T1211" s="7">
        <f>grand[[#This Row],[ kidneys fat quantity]]/grand[[#This Row],[received]]</f>
        <v>0</v>
      </c>
      <c r="U1211" s="1">
        <v>25</v>
      </c>
      <c r="V1211" s="1">
        <v>0</v>
      </c>
      <c r="W1211" s="1">
        <v>46.705882352941174</v>
      </c>
      <c r="X1211" s="1">
        <v>10</v>
      </c>
      <c r="Y1211" s="1">
        <v>8.5</v>
      </c>
      <c r="Z1211" s="18">
        <f>grand[[#This Row],[av. Transportation loss]]/grand[[#This Row],[av.total weight]]</f>
        <v>0</v>
      </c>
      <c r="AA1211" s="12">
        <f>AVERAGE((grand[[#This Row],[am]]/25),(grand[[#This Row],[pm]]/50))</f>
        <v>0.96705882352941175</v>
      </c>
      <c r="AB1211" s="3">
        <f>grand[[#This Row],[ carcass weight]]/grand[[#This Row],[total weight]]</f>
        <v>0.56052066559312941</v>
      </c>
      <c r="AC1211" s="18">
        <f>SUM(grand[[#This Row],[am]:[meat transportation]])/100</f>
        <v>0.90205882352941169</v>
      </c>
      <c r="AK1211" s="1"/>
      <c r="AL1211" s="1"/>
    </row>
    <row r="1212" spans="1:38" hidden="1" x14ac:dyDescent="0.2">
      <c r="A1212" s="11">
        <v>45715</v>
      </c>
      <c r="B1212" s="53" t="s">
        <v>2162</v>
      </c>
      <c r="C1212" s="52" t="str">
        <f>IF(MID(B1212,4,2)="09","Ramadan",IF(AND(MID(B1212,4,2)="12",VALUE(LEFT(B1212,2))&lt;=9),"Adha Season","Normal"))</f>
        <v>Normal</v>
      </c>
      <c r="D1212" s="1" t="s">
        <v>45</v>
      </c>
      <c r="E1212" s="1" t="s">
        <v>483</v>
      </c>
      <c r="F1212" s="4" t="s">
        <v>959</v>
      </c>
      <c r="G1212" s="1">
        <v>80</v>
      </c>
      <c r="H1212" s="1">
        <v>76</v>
      </c>
      <c r="I1212" s="1">
        <f>grand[[#This Row],[number]]-grand[[#This Row],[received]]</f>
        <v>4</v>
      </c>
      <c r="J1212" s="64" t="s">
        <v>239</v>
      </c>
      <c r="K1212" s="2">
        <v>32227</v>
      </c>
      <c r="L1212" s="2">
        <v>32227</v>
      </c>
      <c r="M1212" s="2">
        <f>K1212-L1212</f>
        <v>0</v>
      </c>
      <c r="N1212" s="2">
        <v>19394.8</v>
      </c>
      <c r="O1212" s="2">
        <v>0</v>
      </c>
      <c r="P1212" s="7">
        <f>grand[[#This Row],[total weight]]/grand[[#This Row],[received]]</f>
        <v>424.03947368421052</v>
      </c>
      <c r="Q1212" s="7">
        <f>grand[[#This Row],[receiving weight]]/grand[[#This Row],[received]]</f>
        <v>424.03947368421052</v>
      </c>
      <c r="R1212" s="7">
        <f>grand[[#This Row],[transportation loss ]]/grand[[#This Row],[received]]</f>
        <v>0</v>
      </c>
      <c r="S1212" s="7">
        <f>grand[[#This Row],[ carcass weight]]/grand[[#This Row],[received]]</f>
        <v>255.19473684210524</v>
      </c>
      <c r="T1212" s="7">
        <f>grand[[#This Row],[ kidneys fat quantity]]/grand[[#This Row],[received]]</f>
        <v>0</v>
      </c>
      <c r="U1212" s="1">
        <v>25</v>
      </c>
      <c r="V1212" s="1">
        <v>0</v>
      </c>
      <c r="W1212" s="1">
        <v>48.802631578947363</v>
      </c>
      <c r="X1212" s="1">
        <v>10</v>
      </c>
      <c r="Y1212" s="1">
        <v>8.5</v>
      </c>
      <c r="Z1212" s="18">
        <f>grand[[#This Row],[av. Transportation loss]]/grand[[#This Row],[av.total weight]]</f>
        <v>0</v>
      </c>
      <c r="AA1212" s="12">
        <f>AVERAGE((grand[[#This Row],[am]]/25),(grand[[#This Row],[pm]]/50))</f>
        <v>0.98802631578947364</v>
      </c>
      <c r="AB1212" s="3">
        <f>grand[[#This Row],[ carcass weight]]/grand[[#This Row],[total weight]]</f>
        <v>0.60181835107208237</v>
      </c>
      <c r="AC1212" s="18">
        <f>SUM(grand[[#This Row],[am]:[meat transportation]])/100</f>
        <v>0.92302631578947369</v>
      </c>
      <c r="AK1212" s="1"/>
      <c r="AL1212" s="1"/>
    </row>
    <row r="1213" spans="1:38" hidden="1" x14ac:dyDescent="0.2">
      <c r="A1213" s="11">
        <v>45716</v>
      </c>
      <c r="B1213" s="53" t="s">
        <v>2505</v>
      </c>
      <c r="C1213" s="52" t="str">
        <f>IF(MID(B1213,4,2)="09","Ramadan",IF(AND(MID(B1213,4,2)="12",VALUE(LEFT(B1213,2))&lt;=9),"Adha Season","Normal"))</f>
        <v>Normal</v>
      </c>
      <c r="D1213" s="1" t="s">
        <v>45</v>
      </c>
      <c r="E1213" s="1" t="s">
        <v>483</v>
      </c>
      <c r="F1213" s="4" t="s">
        <v>43</v>
      </c>
      <c r="G1213" s="1">
        <v>39</v>
      </c>
      <c r="H1213" s="1">
        <v>39</v>
      </c>
      <c r="I1213" s="1">
        <f>grand[[#This Row],[number]]-grand[[#This Row],[received]]</f>
        <v>0</v>
      </c>
      <c r="J1213" s="30"/>
      <c r="K1213" s="2">
        <v>21063</v>
      </c>
      <c r="L1213" s="2">
        <v>21063</v>
      </c>
      <c r="M1213" s="2">
        <f>K1213-L1213</f>
        <v>0</v>
      </c>
      <c r="N1213" s="2">
        <v>12637.7</v>
      </c>
      <c r="O1213" s="2">
        <v>0</v>
      </c>
      <c r="P1213" s="7">
        <f>grand[[#This Row],[total weight]]/grand[[#This Row],[received]]</f>
        <v>540.07692307692309</v>
      </c>
      <c r="Q1213" s="7">
        <f>grand[[#This Row],[receiving weight]]/grand[[#This Row],[received]]</f>
        <v>540.07692307692309</v>
      </c>
      <c r="R1213" s="7">
        <f>grand[[#This Row],[transportation loss ]]/grand[[#This Row],[received]]</f>
        <v>0</v>
      </c>
      <c r="S1213" s="7">
        <f>grand[[#This Row],[ carcass weight]]/grand[[#This Row],[received]]</f>
        <v>324.04358974358973</v>
      </c>
      <c r="T1213" s="7">
        <f>grand[[#This Row],[ kidneys fat quantity]]/grand[[#This Row],[received]]</f>
        <v>0</v>
      </c>
      <c r="U1213" s="1">
        <v>25</v>
      </c>
      <c r="V1213" s="1">
        <v>0</v>
      </c>
      <c r="W1213" s="1">
        <v>48.448717948717942</v>
      </c>
      <c r="X1213" s="1">
        <v>10</v>
      </c>
      <c r="Y1213" s="1">
        <v>8.5</v>
      </c>
      <c r="Z1213" s="18">
        <f>grand[[#This Row],[av. Transportation loss]]/grand[[#This Row],[av.total weight]]</f>
        <v>0</v>
      </c>
      <c r="AA1213" s="12">
        <f>AVERAGE((grand[[#This Row],[am]]/25),(grand[[#This Row],[pm]]/50))</f>
        <v>0.98448717948717945</v>
      </c>
      <c r="AB1213" s="3">
        <f>grand[[#This Row],[ carcass weight]]/grand[[#This Row],[total weight]]</f>
        <v>0.59999525233822348</v>
      </c>
      <c r="AC1213" s="18">
        <f>SUM(grand[[#This Row],[am]:[meat transportation]])/100</f>
        <v>0.9194871794871794</v>
      </c>
      <c r="AJ1213" s="1">
        <v>20</v>
      </c>
      <c r="AK1213" s="1"/>
      <c r="AL1213" s="1"/>
    </row>
    <row r="1214" spans="1:38" hidden="1" x14ac:dyDescent="0.2">
      <c r="A1214" s="11">
        <v>45716</v>
      </c>
      <c r="B1214" s="53" t="s">
        <v>2505</v>
      </c>
      <c r="C1214" s="52" t="str">
        <f>IF(MID(B1214,4,2)="09","Ramadan",IF(AND(MID(B1214,4,2)="12",VALUE(LEFT(B1214,2))&lt;=9),"Adha Season","Normal"))</f>
        <v>Normal</v>
      </c>
      <c r="D1214" s="1" t="s">
        <v>45</v>
      </c>
      <c r="E1214" s="1" t="s">
        <v>483</v>
      </c>
      <c r="F1214" s="4" t="s">
        <v>46</v>
      </c>
      <c r="G1214" s="1">
        <v>48</v>
      </c>
      <c r="H1214" s="1">
        <v>47</v>
      </c>
      <c r="I1214" s="1">
        <f>grand[[#This Row],[number]]-grand[[#This Row],[received]]</f>
        <v>1</v>
      </c>
      <c r="J1214" s="64" t="s">
        <v>302</v>
      </c>
      <c r="K1214" s="2">
        <v>23114</v>
      </c>
      <c r="L1214" s="2">
        <v>23114</v>
      </c>
      <c r="M1214" s="2">
        <f>K1214-L1214</f>
        <v>0</v>
      </c>
      <c r="N1214" s="2">
        <v>13868.3</v>
      </c>
      <c r="O1214" s="2">
        <v>0</v>
      </c>
      <c r="P1214" s="7">
        <f>grand[[#This Row],[total weight]]/grand[[#This Row],[received]]</f>
        <v>491.78723404255317</v>
      </c>
      <c r="Q1214" s="7">
        <f>grand[[#This Row],[receiving weight]]/grand[[#This Row],[received]]</f>
        <v>491.78723404255317</v>
      </c>
      <c r="R1214" s="7">
        <f>grand[[#This Row],[transportation loss ]]/grand[[#This Row],[received]]</f>
        <v>0</v>
      </c>
      <c r="S1214" s="7">
        <f>grand[[#This Row],[ carcass weight]]/grand[[#This Row],[received]]</f>
        <v>295.07021276595742</v>
      </c>
      <c r="T1214" s="7">
        <f>grand[[#This Row],[ kidneys fat quantity]]/grand[[#This Row],[received]]</f>
        <v>0</v>
      </c>
      <c r="U1214" s="1">
        <v>25</v>
      </c>
      <c r="V1214" s="1">
        <v>0</v>
      </c>
      <c r="W1214" s="1">
        <v>49.063829787234042</v>
      </c>
      <c r="X1214" s="1">
        <v>10</v>
      </c>
      <c r="Y1214" s="1">
        <v>8.5</v>
      </c>
      <c r="Z1214" s="18">
        <f>grand[[#This Row],[av. Transportation loss]]/grand[[#This Row],[av.total weight]]</f>
        <v>0</v>
      </c>
      <c r="AA1214" s="12">
        <f>AVERAGE((grand[[#This Row],[am]]/25),(grand[[#This Row],[pm]]/50))</f>
        <v>0.99063829787234048</v>
      </c>
      <c r="AB1214" s="3">
        <f>grand[[#This Row],[ carcass weight]]/grand[[#This Row],[total weight]]</f>
        <v>0.59999567361772088</v>
      </c>
      <c r="AC1214" s="18">
        <f>SUM(grand[[#This Row],[am]:[meat transportation]])/100</f>
        <v>0.92563829787234042</v>
      </c>
      <c r="AJ1214" s="1">
        <v>17</v>
      </c>
      <c r="AK1214" s="1"/>
      <c r="AL1214" s="1"/>
    </row>
    <row r="1215" spans="1:38" hidden="1" x14ac:dyDescent="0.2">
      <c r="A1215" s="11">
        <v>45717</v>
      </c>
      <c r="B1215" s="53" t="s">
        <v>2163</v>
      </c>
      <c r="C1215" s="52" t="str">
        <f>IF(MID(B1215,4,2)="09","Ramadan",IF(AND(MID(B1215,4,2)="12",VALUE(LEFT(B1215,2))&lt;=9),"Adha Season","Normal"))</f>
        <v>Ramadan</v>
      </c>
      <c r="D1215" s="1" t="s">
        <v>45</v>
      </c>
      <c r="E1215" s="1" t="s">
        <v>528</v>
      </c>
      <c r="F1215" s="4" t="s">
        <v>462</v>
      </c>
      <c r="G1215" s="1">
        <v>40</v>
      </c>
      <c r="H1215" s="1">
        <v>40</v>
      </c>
      <c r="I1215" s="1">
        <f>grand[[#This Row],[number]]-grand[[#This Row],[received]]</f>
        <v>0</v>
      </c>
      <c r="J1215" s="30"/>
      <c r="K1215" s="2">
        <v>18515.569823434991</v>
      </c>
      <c r="L1215" s="2">
        <v>18515.569823434991</v>
      </c>
      <c r="M1215" s="2">
        <f>K1215-L1215</f>
        <v>0</v>
      </c>
      <c r="N1215" s="2">
        <v>11535.2</v>
      </c>
      <c r="O1215" s="2">
        <v>0</v>
      </c>
      <c r="P1215" s="7">
        <f>grand[[#This Row],[total weight]]/grand[[#This Row],[received]]</f>
        <v>462.88924558587479</v>
      </c>
      <c r="Q1215" s="7">
        <f>grand[[#This Row],[receiving weight]]/grand[[#This Row],[received]]</f>
        <v>462.88924558587479</v>
      </c>
      <c r="R1215" s="7">
        <f>grand[[#This Row],[transportation loss ]]/grand[[#This Row],[received]]</f>
        <v>0</v>
      </c>
      <c r="S1215" s="7">
        <f>grand[[#This Row],[ carcass weight]]/grand[[#This Row],[received]]</f>
        <v>288.38</v>
      </c>
      <c r="T1215" s="7">
        <f>grand[[#This Row],[ kidneys fat quantity]]/grand[[#This Row],[received]]</f>
        <v>0</v>
      </c>
      <c r="U1215" s="1">
        <v>25</v>
      </c>
      <c r="V1215" s="1">
        <v>4</v>
      </c>
      <c r="W1215" s="1">
        <v>50</v>
      </c>
      <c r="X1215" s="1">
        <v>10</v>
      </c>
      <c r="Y1215" s="1">
        <v>8.5</v>
      </c>
      <c r="Z1215" s="18">
        <f>grand[[#This Row],[av. Transportation loss]]/grand[[#This Row],[av.total weight]]</f>
        <v>0</v>
      </c>
      <c r="AA1215" s="12">
        <f>AVERAGE((grand[[#This Row],[am]]/25),(grand[[#This Row],[pm]]/50))</f>
        <v>1</v>
      </c>
      <c r="AB1215" s="3">
        <f>grand[[#This Row],[ carcass weight]]/grand[[#This Row],[total weight]]</f>
        <v>0.62300000000000011</v>
      </c>
      <c r="AC1215" s="18">
        <f>SUM(grand[[#This Row],[am]:[meat transportation]])/100</f>
        <v>0.97499999999999998</v>
      </c>
      <c r="AK1215" s="1"/>
      <c r="AL1215" s="1"/>
    </row>
    <row r="1216" spans="1:38" hidden="1" x14ac:dyDescent="0.2">
      <c r="A1216" s="11">
        <v>45719</v>
      </c>
      <c r="B1216" s="53" t="s">
        <v>2164</v>
      </c>
      <c r="C1216" s="52" t="str">
        <f>IF(MID(B1216,4,2)="09","Ramadan",IF(AND(MID(B1216,4,2)="12",VALUE(LEFT(B1216,2))&lt;=9),"Adha Season","Normal"))</f>
        <v>Ramadan</v>
      </c>
      <c r="D1216" s="2" t="s">
        <v>294</v>
      </c>
      <c r="F1216" s="4" t="s">
        <v>280</v>
      </c>
      <c r="G1216" s="1">
        <v>46</v>
      </c>
      <c r="H1216" s="1">
        <v>46</v>
      </c>
      <c r="I1216" s="1">
        <f>grand[[#This Row],[number]]-grand[[#This Row],[received]]</f>
        <v>0</v>
      </c>
      <c r="J1216" s="30"/>
      <c r="K1216" s="2">
        <v>2416</v>
      </c>
      <c r="L1216" s="2">
        <v>2395</v>
      </c>
      <c r="M1216" s="2">
        <f>K1216-L1216</f>
        <v>21</v>
      </c>
      <c r="N1216" s="2">
        <v>1413.8</v>
      </c>
      <c r="O1216" s="2">
        <v>0</v>
      </c>
      <c r="P1216" s="7">
        <f>grand[[#This Row],[total weight]]/grand[[#This Row],[received]]</f>
        <v>52.521739130434781</v>
      </c>
      <c r="Q1216" s="7">
        <f>grand[[#This Row],[receiving weight]]/grand[[#This Row],[received]]</f>
        <v>52.065217391304351</v>
      </c>
      <c r="R1216" s="7">
        <f>grand[[#This Row],[transportation loss ]]/grand[[#This Row],[received]]</f>
        <v>0.45652173913043476</v>
      </c>
      <c r="S1216" s="7">
        <f>grand[[#This Row],[ carcass weight]]/grand[[#This Row],[received]]</f>
        <v>30.734782608695649</v>
      </c>
      <c r="T1216" s="7">
        <f>grand[[#This Row],[ kidneys fat quantity]]/grand[[#This Row],[received]]</f>
        <v>0</v>
      </c>
      <c r="U1216" s="1">
        <v>25</v>
      </c>
      <c r="V1216" s="1">
        <v>0</v>
      </c>
      <c r="W1216" s="1">
        <v>46.826086956521742</v>
      </c>
      <c r="X1216" s="1">
        <v>10</v>
      </c>
      <c r="Y1216" s="1">
        <v>8.5</v>
      </c>
      <c r="Z1216" s="18">
        <f>grand[[#This Row],[av. Transportation loss]]/grand[[#This Row],[av.total weight]]</f>
        <v>8.6920529801324496E-3</v>
      </c>
      <c r="AA1216" s="12">
        <f>AVERAGE((grand[[#This Row],[am]]/25),(grand[[#This Row],[pm]]/50))</f>
        <v>0.9682608695652174</v>
      </c>
      <c r="AB1216" s="3">
        <f>grand[[#This Row],[ carcass weight]]/grand[[#This Row],[total weight]]</f>
        <v>0.58518211920529795</v>
      </c>
      <c r="AC1216" s="18">
        <f>SUM(grand[[#This Row],[am]:[meat transportation]])/100</f>
        <v>0.90326086956521745</v>
      </c>
      <c r="AK1216" s="1"/>
      <c r="AL1216" s="1"/>
    </row>
    <row r="1217" spans="1:38" hidden="1" x14ac:dyDescent="0.2">
      <c r="A1217" s="11">
        <v>45719</v>
      </c>
      <c r="B1217" s="53" t="s">
        <v>2164</v>
      </c>
      <c r="C1217" s="52" t="str">
        <f>IF(MID(B1217,4,2)="09","Ramadan",IF(AND(MID(B1217,4,2)="12",VALUE(LEFT(B1217,2))&lt;=9),"Adha Season","Normal"))</f>
        <v>Ramadan</v>
      </c>
      <c r="D1217" s="1" t="s">
        <v>45</v>
      </c>
      <c r="E1217" s="1" t="s">
        <v>528</v>
      </c>
      <c r="F1217" s="4" t="s">
        <v>280</v>
      </c>
      <c r="G1217" s="1">
        <v>55</v>
      </c>
      <c r="H1217" s="1">
        <v>55</v>
      </c>
      <c r="I1217" s="1">
        <f>grand[[#This Row],[number]]-grand[[#This Row],[received]]</f>
        <v>0</v>
      </c>
      <c r="J1217" s="30"/>
      <c r="K1217" s="2">
        <v>31570</v>
      </c>
      <c r="L1217" s="2">
        <v>30440</v>
      </c>
      <c r="M1217" s="2">
        <f>K1217-L1217</f>
        <v>1130</v>
      </c>
      <c r="N1217" s="2">
        <v>19689.099999999999</v>
      </c>
      <c r="O1217" s="2">
        <v>0</v>
      </c>
      <c r="P1217" s="7">
        <f>grand[[#This Row],[total weight]]/grand[[#This Row],[received]]</f>
        <v>574</v>
      </c>
      <c r="Q1217" s="7">
        <f>grand[[#This Row],[receiving weight]]/grand[[#This Row],[received]]</f>
        <v>553.4545454545455</v>
      </c>
      <c r="R1217" s="7">
        <f>grand[[#This Row],[transportation loss ]]/grand[[#This Row],[received]]</f>
        <v>20.545454545454547</v>
      </c>
      <c r="S1217" s="7">
        <f>grand[[#This Row],[ carcass weight]]/grand[[#This Row],[received]]</f>
        <v>357.98363636363632</v>
      </c>
      <c r="T1217" s="7">
        <f>grand[[#This Row],[ kidneys fat quantity]]/grand[[#This Row],[received]]</f>
        <v>0</v>
      </c>
      <c r="U1217" s="1">
        <v>24.636363636363637</v>
      </c>
      <c r="V1217" s="1">
        <v>0</v>
      </c>
      <c r="W1217" s="1">
        <v>47.027272727272731</v>
      </c>
      <c r="X1217" s="1">
        <v>10</v>
      </c>
      <c r="Y1217" s="1">
        <v>8.5</v>
      </c>
      <c r="Z1217" s="18">
        <f>grand[[#This Row],[av. Transportation loss]]/grand[[#This Row],[av.total weight]]</f>
        <v>3.5793474817865066E-2</v>
      </c>
      <c r="AA1217" s="12">
        <f>AVERAGE((grand[[#This Row],[am]]/25),(grand[[#This Row],[pm]]/50))</f>
        <v>0.96300000000000008</v>
      </c>
      <c r="AB1217" s="3">
        <f>grand[[#This Row],[ carcass weight]]/grand[[#This Row],[total weight]]</f>
        <v>0.62366487171365215</v>
      </c>
      <c r="AC1217" s="18">
        <f>SUM(grand[[#This Row],[am]:[meat transportation]])/100</f>
        <v>0.90163636363636368</v>
      </c>
      <c r="AJ1217" s="1">
        <v>22</v>
      </c>
      <c r="AK1217" s="1"/>
      <c r="AL1217" s="1"/>
    </row>
    <row r="1218" spans="1:38" hidden="1" x14ac:dyDescent="0.2">
      <c r="A1218" s="11">
        <v>45720</v>
      </c>
      <c r="B1218" s="53" t="s">
        <v>2165</v>
      </c>
      <c r="C1218" s="52" t="str">
        <f>IF(MID(B1218,4,2)="09","Ramadan",IF(AND(MID(B1218,4,2)="12",VALUE(LEFT(B1218,2))&lt;=9),"Adha Season","Normal"))</f>
        <v>Ramadan</v>
      </c>
      <c r="D1218" s="1" t="s">
        <v>45</v>
      </c>
      <c r="E1218" s="1" t="s">
        <v>483</v>
      </c>
      <c r="F1218" s="4" t="s">
        <v>46</v>
      </c>
      <c r="G1218" s="1">
        <v>56</v>
      </c>
      <c r="H1218" s="1">
        <v>56</v>
      </c>
      <c r="I1218" s="1">
        <f>grand[[#This Row],[number]]-grand[[#This Row],[received]]</f>
        <v>0</v>
      </c>
      <c r="J1218" s="30"/>
      <c r="K1218" s="2">
        <v>27917</v>
      </c>
      <c r="L1218" s="2">
        <v>27917</v>
      </c>
      <c r="M1218" s="2">
        <f>K1218-L1218</f>
        <v>0</v>
      </c>
      <c r="N1218" s="2">
        <v>16749.900000000001</v>
      </c>
      <c r="O1218" s="2">
        <v>0</v>
      </c>
      <c r="P1218" s="7">
        <f>grand[[#This Row],[total weight]]/grand[[#This Row],[received]]</f>
        <v>498.51785714285717</v>
      </c>
      <c r="Q1218" s="7">
        <f>grand[[#This Row],[receiving weight]]/grand[[#This Row],[received]]</f>
        <v>498.51785714285717</v>
      </c>
      <c r="R1218" s="7">
        <f>grand[[#This Row],[transportation loss ]]/grand[[#This Row],[received]]</f>
        <v>0</v>
      </c>
      <c r="S1218" s="7">
        <f>grand[[#This Row],[ carcass weight]]/grand[[#This Row],[received]]</f>
        <v>299.10535714285714</v>
      </c>
      <c r="T1218" s="7">
        <f>grand[[#This Row],[ kidneys fat quantity]]/grand[[#This Row],[received]]</f>
        <v>0</v>
      </c>
      <c r="U1218" s="1">
        <v>22.946428571428569</v>
      </c>
      <c r="V1218" s="1">
        <v>0</v>
      </c>
      <c r="W1218" s="1">
        <v>47.857142857142861</v>
      </c>
      <c r="X1218" s="1">
        <v>10</v>
      </c>
      <c r="Y1218" s="1">
        <v>8.5</v>
      </c>
      <c r="Z1218" s="18">
        <f>grand[[#This Row],[av. Transportation loss]]/grand[[#This Row],[av.total weight]]</f>
        <v>0</v>
      </c>
      <c r="AA1218" s="12">
        <f>AVERAGE((grand[[#This Row],[am]]/25),(grand[[#This Row],[pm]]/50))</f>
        <v>0.9375</v>
      </c>
      <c r="AB1218" s="3">
        <f>grand[[#This Row],[ carcass weight]]/grand[[#This Row],[total weight]]</f>
        <v>0.59998925385965551</v>
      </c>
      <c r="AC1218" s="18">
        <f>SUM(grand[[#This Row],[am]:[meat transportation]])/100</f>
        <v>0.89303571428571427</v>
      </c>
      <c r="AJ1218" s="1">
        <v>23</v>
      </c>
      <c r="AK1218" s="1"/>
      <c r="AL1218" s="1"/>
    </row>
    <row r="1219" spans="1:38" hidden="1" x14ac:dyDescent="0.2">
      <c r="A1219" s="11">
        <v>45720</v>
      </c>
      <c r="B1219" s="53" t="s">
        <v>2165</v>
      </c>
      <c r="C1219" s="52" t="str">
        <f>IF(MID(B1219,4,2)="09","Ramadan",IF(AND(MID(B1219,4,2)="12",VALUE(LEFT(B1219,2))&lt;=9),"Adha Season","Normal"))</f>
        <v>Ramadan</v>
      </c>
      <c r="D1219" s="1" t="s">
        <v>45</v>
      </c>
      <c r="F1219" s="4" t="s">
        <v>39</v>
      </c>
      <c r="G1219" s="1">
        <v>40</v>
      </c>
      <c r="H1219" s="1">
        <v>40</v>
      </c>
      <c r="I1219" s="1">
        <f>grand[[#This Row],[number]]-grand[[#This Row],[received]]</f>
        <v>0</v>
      </c>
      <c r="J1219" s="30"/>
      <c r="K1219" s="2">
        <v>12481.977848101265</v>
      </c>
      <c r="L1219" s="2">
        <v>12481.977848101265</v>
      </c>
      <c r="M1219" s="2">
        <f>K1219-L1219</f>
        <v>0</v>
      </c>
      <c r="N1219" s="2">
        <v>7888.61</v>
      </c>
      <c r="O1219" s="2">
        <v>0</v>
      </c>
      <c r="P1219" s="7">
        <f>grand[[#This Row],[total weight]]/grand[[#This Row],[received]]</f>
        <v>312.04944620253161</v>
      </c>
      <c r="Q1219" s="7">
        <f>grand[[#This Row],[receiving weight]]/grand[[#This Row],[received]]</f>
        <v>312.04944620253161</v>
      </c>
      <c r="R1219" s="7">
        <f>grand[[#This Row],[transportation loss ]]/grand[[#This Row],[received]]</f>
        <v>0</v>
      </c>
      <c r="S1219" s="7">
        <f>grand[[#This Row],[ carcass weight]]/grand[[#This Row],[received]]</f>
        <v>197.21525</v>
      </c>
      <c r="T1219" s="7">
        <f>grand[[#This Row],[ kidneys fat quantity]]/grand[[#This Row],[received]]</f>
        <v>0</v>
      </c>
      <c r="U1219" s="1">
        <v>25</v>
      </c>
      <c r="V1219" s="1">
        <v>5</v>
      </c>
      <c r="W1219" s="1">
        <v>50</v>
      </c>
      <c r="X1219" s="1">
        <v>10</v>
      </c>
      <c r="Y1219" s="1">
        <v>8.5</v>
      </c>
      <c r="Z1219" s="18">
        <f>grand[[#This Row],[av. Transportation loss]]/grand[[#This Row],[av.total weight]]</f>
        <v>0</v>
      </c>
      <c r="AA1219" s="12">
        <f>AVERAGE((grand[[#This Row],[am]]/25),(grand[[#This Row],[pm]]/50))</f>
        <v>1</v>
      </c>
      <c r="AB1219" s="3">
        <f>grand[[#This Row],[ carcass weight]]/grand[[#This Row],[total weight]]</f>
        <v>0.63200000000000001</v>
      </c>
      <c r="AC1219" s="18">
        <f>SUM(grand[[#This Row],[am]:[meat transportation]])/100</f>
        <v>0.98499999999999999</v>
      </c>
      <c r="AK1219" s="1"/>
      <c r="AL1219" s="1"/>
    </row>
    <row r="1220" spans="1:38" hidden="1" x14ac:dyDescent="0.2">
      <c r="A1220" s="11">
        <v>45721</v>
      </c>
      <c r="B1220" s="53" t="s">
        <v>2166</v>
      </c>
      <c r="C1220" s="52" t="str">
        <f>IF(MID(B1220,4,2)="09","Ramadan",IF(AND(MID(B1220,4,2)="12",VALUE(LEFT(B1220,2))&lt;=9),"Adha Season","Normal"))</f>
        <v>Ramadan</v>
      </c>
      <c r="D1220" s="1" t="s">
        <v>45</v>
      </c>
      <c r="E1220" s="1" t="s">
        <v>483</v>
      </c>
      <c r="F1220" s="4" t="s">
        <v>43</v>
      </c>
      <c r="G1220" s="1">
        <v>40</v>
      </c>
      <c r="H1220" s="1">
        <v>39</v>
      </c>
      <c r="I1220" s="1">
        <f>grand[[#This Row],[number]]-grand[[#This Row],[received]]</f>
        <v>1</v>
      </c>
      <c r="J1220" s="64" t="s">
        <v>683</v>
      </c>
      <c r="K1220" s="2">
        <v>21340</v>
      </c>
      <c r="L1220" s="2">
        <v>20050</v>
      </c>
      <c r="M1220" s="2">
        <f>K1220-L1220</f>
        <v>1290</v>
      </c>
      <c r="N1220" s="2">
        <v>12804.2</v>
      </c>
      <c r="O1220" s="2"/>
      <c r="P1220" s="7">
        <f>grand[[#This Row],[total weight]]/grand[[#This Row],[received]]</f>
        <v>547.17948717948718</v>
      </c>
      <c r="Q1220" s="7">
        <f>grand[[#This Row],[receiving weight]]/grand[[#This Row],[received]]</f>
        <v>514.10256410256409</v>
      </c>
      <c r="R1220" s="7">
        <f>grand[[#This Row],[transportation loss ]]/grand[[#This Row],[received]]</f>
        <v>33.07692307692308</v>
      </c>
      <c r="S1220" s="7">
        <f>grand[[#This Row],[ carcass weight]]/grand[[#This Row],[received]]</f>
        <v>328.31282051282051</v>
      </c>
      <c r="T1220" s="7">
        <f>grand[[#This Row],[ kidneys fat quantity]]/grand[[#This Row],[received]]</f>
        <v>0</v>
      </c>
      <c r="U1220" s="1">
        <v>25</v>
      </c>
      <c r="V1220" s="1">
        <v>0</v>
      </c>
      <c r="W1220" s="1">
        <v>46.653846153846153</v>
      </c>
      <c r="X1220" s="1">
        <v>10</v>
      </c>
      <c r="Y1220" s="1">
        <v>8.5</v>
      </c>
      <c r="Z1220" s="18">
        <f>grand[[#This Row],[av. Transportation loss]]/grand[[#This Row],[av.total weight]]</f>
        <v>6.0449859418931592E-2</v>
      </c>
      <c r="AA1220" s="12">
        <f>AVERAGE((grand[[#This Row],[am]]/25),(grand[[#This Row],[pm]]/50))</f>
        <v>0.96653846153846157</v>
      </c>
      <c r="AB1220" s="3">
        <f>grand[[#This Row],[ carcass weight]]/grand[[#This Row],[total weight]]</f>
        <v>0.60000937207122773</v>
      </c>
      <c r="AC1220" s="18">
        <f>SUM(grand[[#This Row],[am]:[meat transportation]])/100</f>
        <v>0.90153846153846162</v>
      </c>
      <c r="AJ1220" s="1">
        <v>35</v>
      </c>
      <c r="AK1220" s="1"/>
      <c r="AL1220" s="1"/>
    </row>
    <row r="1221" spans="1:38" hidden="1" x14ac:dyDescent="0.2">
      <c r="A1221" s="11">
        <v>45722</v>
      </c>
      <c r="B1221" s="53" t="s">
        <v>2167</v>
      </c>
      <c r="C1221" s="52" t="str">
        <f>IF(MID(B1221,4,2)="09","Ramadan",IF(AND(MID(B1221,4,2)="12",VALUE(LEFT(B1221,2))&lt;=9),"Adha Season","Normal"))</f>
        <v>Ramadan</v>
      </c>
      <c r="D1221" s="2" t="s">
        <v>294</v>
      </c>
      <c r="F1221" s="4" t="s">
        <v>656</v>
      </c>
      <c r="G1221" s="1">
        <v>62</v>
      </c>
      <c r="H1221" s="1">
        <v>62</v>
      </c>
      <c r="I1221" s="1">
        <f>grand[[#This Row],[number]]-grand[[#This Row],[received]]</f>
        <v>0</v>
      </c>
      <c r="J1221" s="30"/>
      <c r="K1221" s="2">
        <v>3710</v>
      </c>
      <c r="L1221" s="2">
        <v>3540</v>
      </c>
      <c r="M1221" s="2">
        <f>K1221-L1221</f>
        <v>170</v>
      </c>
      <c r="N1221" s="2">
        <v>2124.9</v>
      </c>
      <c r="O1221" s="2">
        <v>0</v>
      </c>
      <c r="P1221" s="7">
        <f>grand[[#This Row],[total weight]]/grand[[#This Row],[received]]</f>
        <v>59.838709677419352</v>
      </c>
      <c r="Q1221" s="7">
        <f>grand[[#This Row],[receiving weight]]/grand[[#This Row],[received]]</f>
        <v>57.096774193548384</v>
      </c>
      <c r="R1221" s="7">
        <f>grand[[#This Row],[transportation loss ]]/grand[[#This Row],[received]]</f>
        <v>2.7419354838709675</v>
      </c>
      <c r="S1221" s="7">
        <f>grand[[#This Row],[ carcass weight]]/grand[[#This Row],[received]]</f>
        <v>34.272580645161291</v>
      </c>
      <c r="T1221" s="7">
        <f>grand[[#This Row],[ kidneys fat quantity]]/grand[[#This Row],[received]]</f>
        <v>0</v>
      </c>
      <c r="U1221" s="1">
        <v>25</v>
      </c>
      <c r="V1221" s="1">
        <v>0</v>
      </c>
      <c r="W1221" s="1">
        <v>47.741935483870968</v>
      </c>
      <c r="X1221" s="1">
        <v>10</v>
      </c>
      <c r="Y1221" s="1">
        <v>8.5</v>
      </c>
      <c r="Z1221" s="18">
        <f>grand[[#This Row],[av. Transportation loss]]/grand[[#This Row],[av.total weight]]</f>
        <v>4.5822102425876012E-2</v>
      </c>
      <c r="AA1221" s="12">
        <f>AVERAGE((grand[[#This Row],[am]]/25),(grand[[#This Row],[pm]]/50))</f>
        <v>0.97741935483870968</v>
      </c>
      <c r="AB1221" s="3">
        <f>grand[[#This Row],[ carcass weight]]/grand[[#This Row],[total weight]]</f>
        <v>0.57274932614555263</v>
      </c>
      <c r="AC1221" s="18">
        <f>SUM(grand[[#This Row],[am]:[meat transportation]])/100</f>
        <v>0.91241935483870973</v>
      </c>
      <c r="AK1221" s="1"/>
      <c r="AL1221" s="1"/>
    </row>
    <row r="1222" spans="1:38" hidden="1" x14ac:dyDescent="0.2">
      <c r="A1222" s="11">
        <v>45722</v>
      </c>
      <c r="B1222" s="53" t="s">
        <v>2167</v>
      </c>
      <c r="C1222" s="52" t="str">
        <f>IF(MID(B1222,4,2)="09","Ramadan",IF(AND(MID(B1222,4,2)="12",VALUE(LEFT(B1222,2))&lt;=9),"Adha Season","Normal"))</f>
        <v>Ramadan</v>
      </c>
      <c r="D1222" s="1" t="s">
        <v>45</v>
      </c>
      <c r="E1222" s="1" t="s">
        <v>483</v>
      </c>
      <c r="F1222" s="4" t="s">
        <v>959</v>
      </c>
      <c r="G1222" s="1">
        <v>63</v>
      </c>
      <c r="H1222" s="1">
        <v>57</v>
      </c>
      <c r="I1222" s="1">
        <f>grand[[#This Row],[number]]-grand[[#This Row],[received]]</f>
        <v>6</v>
      </c>
      <c r="J1222" s="64" t="s">
        <v>684</v>
      </c>
      <c r="K1222" s="2">
        <v>24157</v>
      </c>
      <c r="L1222" s="2">
        <v>23277</v>
      </c>
      <c r="M1222" s="2">
        <f>K1222-L1222</f>
        <v>880</v>
      </c>
      <c r="N1222" s="2">
        <v>14497.2</v>
      </c>
      <c r="O1222" s="2">
        <v>0</v>
      </c>
      <c r="P1222" s="7">
        <f>grand[[#This Row],[total weight]]/grand[[#This Row],[received]]</f>
        <v>423.80701754385967</v>
      </c>
      <c r="Q1222" s="7">
        <f>grand[[#This Row],[receiving weight]]/grand[[#This Row],[received]]</f>
        <v>408.36842105263156</v>
      </c>
      <c r="R1222" s="7">
        <f>grand[[#This Row],[transportation loss ]]/grand[[#This Row],[received]]</f>
        <v>15.43859649122807</v>
      </c>
      <c r="S1222" s="7">
        <f>grand[[#This Row],[ carcass weight]]/grand[[#This Row],[received]]</f>
        <v>254.33684210526317</v>
      </c>
      <c r="T1222" s="7">
        <f>grand[[#This Row],[ kidneys fat quantity]]/grand[[#This Row],[received]]</f>
        <v>0</v>
      </c>
      <c r="U1222" s="1">
        <v>25</v>
      </c>
      <c r="V1222" s="1">
        <v>0</v>
      </c>
      <c r="W1222" s="1">
        <v>47.344827586206897</v>
      </c>
      <c r="X1222" s="1">
        <v>10</v>
      </c>
      <c r="Y1222" s="1">
        <v>8.5</v>
      </c>
      <c r="Z1222" s="18">
        <f>grand[[#This Row],[av. Transportation loss]]/grand[[#This Row],[av.total weight]]</f>
        <v>3.6428364449227965E-2</v>
      </c>
      <c r="AA1222" s="12">
        <f>AVERAGE((grand[[#This Row],[am]]/25),(grand[[#This Row],[pm]]/50))</f>
        <v>0.97344827586206895</v>
      </c>
      <c r="AB1222" s="3">
        <f>grand[[#This Row],[ carcass weight]]/grand[[#This Row],[total weight]]</f>
        <v>0.600124187606077</v>
      </c>
      <c r="AC1222" s="18">
        <f>SUM(grand[[#This Row],[am]:[meat transportation]])/100</f>
        <v>0.90844827586206889</v>
      </c>
      <c r="AK1222" s="1"/>
      <c r="AL1222" s="1"/>
    </row>
    <row r="1223" spans="1:38" hidden="1" x14ac:dyDescent="0.2">
      <c r="A1223" s="11">
        <v>45724</v>
      </c>
      <c r="B1223" s="53" t="s">
        <v>2168</v>
      </c>
      <c r="C1223" s="52" t="str">
        <f>IF(MID(B1223,4,2)="09","Ramadan",IF(AND(MID(B1223,4,2)="12",VALUE(LEFT(B1223,2))&lt;=9),"Adha Season","Normal"))</f>
        <v>Ramadan</v>
      </c>
      <c r="D1223" s="1" t="s">
        <v>45</v>
      </c>
      <c r="E1223" s="1" t="s">
        <v>528</v>
      </c>
      <c r="F1223" s="4" t="s">
        <v>462</v>
      </c>
      <c r="G1223" s="1">
        <v>48</v>
      </c>
      <c r="H1223" s="1">
        <v>48</v>
      </c>
      <c r="I1223" s="1">
        <f>grand[[#This Row],[number]]-grand[[#This Row],[received]]</f>
        <v>0</v>
      </c>
      <c r="J1223" s="30"/>
      <c r="K1223" s="2">
        <v>22317.721518987342</v>
      </c>
      <c r="L1223" s="2">
        <v>22317.721518987342</v>
      </c>
      <c r="M1223" s="2">
        <f>K1223-L1223</f>
        <v>0</v>
      </c>
      <c r="N1223" s="2">
        <v>14104.8</v>
      </c>
      <c r="O1223" s="2">
        <v>0</v>
      </c>
      <c r="P1223" s="7">
        <f>grand[[#This Row],[total weight]]/grand[[#This Row],[received]]</f>
        <v>464.95253164556965</v>
      </c>
      <c r="Q1223" s="7">
        <f>grand[[#This Row],[receiving weight]]/grand[[#This Row],[received]]</f>
        <v>464.95253164556965</v>
      </c>
      <c r="R1223" s="7">
        <f>grand[[#This Row],[transportation loss ]]/grand[[#This Row],[received]]</f>
        <v>0</v>
      </c>
      <c r="S1223" s="7">
        <f>grand[[#This Row],[ carcass weight]]/grand[[#This Row],[received]]</f>
        <v>293.84999999999997</v>
      </c>
      <c r="T1223" s="7">
        <f>grand[[#This Row],[ kidneys fat quantity]]/grand[[#This Row],[received]]</f>
        <v>0</v>
      </c>
      <c r="U1223" s="1">
        <v>25</v>
      </c>
      <c r="V1223" s="1">
        <v>4</v>
      </c>
      <c r="W1223" s="1">
        <v>50</v>
      </c>
      <c r="X1223" s="1">
        <v>10</v>
      </c>
      <c r="Y1223" s="1">
        <v>8.5</v>
      </c>
      <c r="Z1223" s="18">
        <f>grand[[#This Row],[av. Transportation loss]]/grand[[#This Row],[av.total weight]]</f>
        <v>0</v>
      </c>
      <c r="AA1223" s="12">
        <f>AVERAGE((grand[[#This Row],[am]]/25),(grand[[#This Row],[pm]]/50))</f>
        <v>1</v>
      </c>
      <c r="AB1223" s="3">
        <f>grand[[#This Row],[ carcass weight]]/grand[[#This Row],[total weight]]</f>
        <v>0.63200000000000001</v>
      </c>
      <c r="AC1223" s="18">
        <f>SUM(grand[[#This Row],[am]:[meat transportation]])/100</f>
        <v>0.97499999999999998</v>
      </c>
      <c r="AK1223" s="1"/>
      <c r="AL1223" s="1"/>
    </row>
    <row r="1224" spans="1:38" hidden="1" x14ac:dyDescent="0.2">
      <c r="A1224" s="11">
        <v>45724</v>
      </c>
      <c r="B1224" s="53" t="s">
        <v>2168</v>
      </c>
      <c r="C1224" s="52" t="str">
        <f>IF(MID(B1224,4,2)="09","Ramadan",IF(AND(MID(B1224,4,2)="12",VALUE(LEFT(B1224,2))&lt;=9),"Adha Season","Normal"))</f>
        <v>Ramadan</v>
      </c>
      <c r="D1224" s="1" t="s">
        <v>45</v>
      </c>
      <c r="E1224" s="1" t="s">
        <v>483</v>
      </c>
      <c r="F1224" s="4" t="s">
        <v>43</v>
      </c>
      <c r="G1224" s="1">
        <v>45</v>
      </c>
      <c r="H1224" s="1">
        <v>33</v>
      </c>
      <c r="I1224" s="1">
        <f>grand[[#This Row],[number]]-grand[[#This Row],[received]]</f>
        <v>12</v>
      </c>
      <c r="J1224" s="64" t="s">
        <v>685</v>
      </c>
      <c r="K1224" s="2">
        <v>17457</v>
      </c>
      <c r="L1224" s="2">
        <v>17457</v>
      </c>
      <c r="M1224" s="2">
        <f>K1224-L1224</f>
        <v>0</v>
      </c>
      <c r="N1224" s="2">
        <v>10474</v>
      </c>
      <c r="O1224" s="2">
        <v>285</v>
      </c>
      <c r="P1224" s="7">
        <f>grand[[#This Row],[total weight]]/grand[[#This Row],[received]]</f>
        <v>529</v>
      </c>
      <c r="Q1224" s="7">
        <f>grand[[#This Row],[receiving weight]]/grand[[#This Row],[received]]</f>
        <v>529</v>
      </c>
      <c r="R1224" s="7">
        <f>grand[[#This Row],[transportation loss ]]/grand[[#This Row],[received]]</f>
        <v>0</v>
      </c>
      <c r="S1224" s="7">
        <f>grand[[#This Row],[ carcass weight]]/grand[[#This Row],[received]]</f>
        <v>317.39393939393938</v>
      </c>
      <c r="T1224" s="7">
        <f>grand[[#This Row],[ kidneys fat quantity]]/grand[[#This Row],[received]]</f>
        <v>8.6363636363636367</v>
      </c>
      <c r="U1224" s="1">
        <v>25</v>
      </c>
      <c r="V1224" s="1">
        <v>0</v>
      </c>
      <c r="W1224" s="1">
        <v>47.909090909090899</v>
      </c>
      <c r="X1224" s="1">
        <v>10</v>
      </c>
      <c r="Y1224" s="1">
        <v>8.5</v>
      </c>
      <c r="Z1224" s="18">
        <f>grand[[#This Row],[av. Transportation loss]]/grand[[#This Row],[av.total weight]]</f>
        <v>0</v>
      </c>
      <c r="AA1224" s="12">
        <f>AVERAGE((grand[[#This Row],[am]]/25),(grand[[#This Row],[pm]]/50))</f>
        <v>0.97909090909090901</v>
      </c>
      <c r="AB1224" s="3">
        <f>grand[[#This Row],[ carcass weight]]/grand[[#This Row],[total weight]]</f>
        <v>0.59998854327776818</v>
      </c>
      <c r="AC1224" s="18">
        <f>SUM(grand[[#This Row],[am]:[meat transportation]])/100</f>
        <v>0.91409090909090907</v>
      </c>
      <c r="AJ1224" s="1">
        <v>36</v>
      </c>
      <c r="AK1224" s="1"/>
      <c r="AL1224" s="1"/>
    </row>
    <row r="1225" spans="1:38" hidden="1" x14ac:dyDescent="0.2">
      <c r="A1225" s="11">
        <v>45726</v>
      </c>
      <c r="B1225" s="53" t="s">
        <v>2169</v>
      </c>
      <c r="C1225" s="52" t="str">
        <f>IF(MID(B1225,4,2)="09","Ramadan",IF(AND(MID(B1225,4,2)="12",VALUE(LEFT(B1225,2))&lt;=9),"Adha Season","Normal"))</f>
        <v>Ramadan</v>
      </c>
      <c r="D1225" s="2" t="s">
        <v>294</v>
      </c>
      <c r="F1225" s="4" t="s">
        <v>280</v>
      </c>
      <c r="G1225" s="1">
        <v>56</v>
      </c>
      <c r="H1225" s="1">
        <v>56</v>
      </c>
      <c r="I1225" s="1">
        <f>grand[[#This Row],[number]]-grand[[#This Row],[received]]</f>
        <v>0</v>
      </c>
      <c r="J1225" s="30"/>
      <c r="K1225" s="2">
        <v>3085</v>
      </c>
      <c r="L1225" s="2">
        <v>3025</v>
      </c>
      <c r="M1225" s="2">
        <f>K1225-L1225</f>
        <v>60</v>
      </c>
      <c r="N1225" s="2">
        <v>1763.9</v>
      </c>
      <c r="O1225" s="2">
        <v>0</v>
      </c>
      <c r="P1225" s="7">
        <f>grand[[#This Row],[total weight]]/grand[[#This Row],[received]]</f>
        <v>55.089285714285715</v>
      </c>
      <c r="Q1225" s="7">
        <f>grand[[#This Row],[receiving weight]]/grand[[#This Row],[received]]</f>
        <v>54.017857142857146</v>
      </c>
      <c r="R1225" s="7">
        <f>grand[[#This Row],[transportation loss ]]/grand[[#This Row],[received]]</f>
        <v>1.0714285714285714</v>
      </c>
      <c r="S1225" s="7">
        <f>grand[[#This Row],[ carcass weight]]/grand[[#This Row],[received]]</f>
        <v>31.498214285714287</v>
      </c>
      <c r="T1225" s="7">
        <f>grand[[#This Row],[ kidneys fat quantity]]/grand[[#This Row],[received]]</f>
        <v>0</v>
      </c>
      <c r="U1225" s="1">
        <v>25</v>
      </c>
      <c r="V1225" s="1">
        <v>0</v>
      </c>
      <c r="W1225" s="1">
        <v>47.642857142857139</v>
      </c>
      <c r="X1225" s="1">
        <v>10</v>
      </c>
      <c r="Y1225" s="1">
        <v>8.5</v>
      </c>
      <c r="Z1225" s="18">
        <f>grand[[#This Row],[av. Transportation loss]]/grand[[#This Row],[av.total weight]]</f>
        <v>1.9448946515397081E-2</v>
      </c>
      <c r="AA1225" s="12">
        <f>AVERAGE((grand[[#This Row],[am]]/25),(grand[[#This Row],[pm]]/50))</f>
        <v>0.97642857142857142</v>
      </c>
      <c r="AB1225" s="3">
        <f>grand[[#This Row],[ carcass weight]]/grand[[#This Row],[total weight]]</f>
        <v>0.57176661264181527</v>
      </c>
      <c r="AC1225" s="18">
        <f>SUM(grand[[#This Row],[am]:[meat transportation]])/100</f>
        <v>0.91142857142857137</v>
      </c>
      <c r="AK1225" s="1"/>
      <c r="AL1225" s="1"/>
    </row>
    <row r="1226" spans="1:38" hidden="1" x14ac:dyDescent="0.2">
      <c r="A1226" s="11">
        <v>45726</v>
      </c>
      <c r="B1226" s="53" t="s">
        <v>2169</v>
      </c>
      <c r="C1226" s="52" t="str">
        <f>IF(MID(B1226,4,2)="09","Ramadan",IF(AND(MID(B1226,4,2)="12",VALUE(LEFT(B1226,2))&lt;=9),"Adha Season","Normal"))</f>
        <v>Ramadan</v>
      </c>
      <c r="D1226" s="1" t="s">
        <v>45</v>
      </c>
      <c r="E1226" s="1" t="s">
        <v>528</v>
      </c>
      <c r="F1226" s="4" t="s">
        <v>280</v>
      </c>
      <c r="G1226" s="1">
        <v>34</v>
      </c>
      <c r="H1226" s="1">
        <v>34</v>
      </c>
      <c r="I1226" s="1">
        <f>grand[[#This Row],[number]]-grand[[#This Row],[received]]</f>
        <v>0</v>
      </c>
      <c r="J1226" s="30"/>
      <c r="K1226" s="2">
        <v>18700</v>
      </c>
      <c r="L1226" s="2">
        <v>18309</v>
      </c>
      <c r="M1226" s="2">
        <f>K1226-L1226</f>
        <v>391</v>
      </c>
      <c r="N1226" s="2">
        <v>11560.4</v>
      </c>
      <c r="O1226" s="2"/>
      <c r="P1226" s="7">
        <f>grand[[#This Row],[total weight]]/grand[[#This Row],[received]]</f>
        <v>550</v>
      </c>
      <c r="Q1226" s="7">
        <f>grand[[#This Row],[receiving weight]]/grand[[#This Row],[received]]</f>
        <v>538.5</v>
      </c>
      <c r="R1226" s="7">
        <f>grand[[#This Row],[transportation loss ]]/grand[[#This Row],[received]]</f>
        <v>11.5</v>
      </c>
      <c r="S1226" s="7">
        <f>grand[[#This Row],[ carcass weight]]/grand[[#This Row],[received]]</f>
        <v>340.01176470588234</v>
      </c>
      <c r="T1226" s="7">
        <f>grand[[#This Row],[ kidneys fat quantity]]/grand[[#This Row],[received]]</f>
        <v>0</v>
      </c>
      <c r="U1226" s="1">
        <v>25</v>
      </c>
      <c r="V1226" s="1">
        <v>0</v>
      </c>
      <c r="W1226" s="1">
        <v>47.352941176470587</v>
      </c>
      <c r="X1226" s="1">
        <v>10</v>
      </c>
      <c r="Y1226" s="1">
        <v>8.5</v>
      </c>
      <c r="Z1226" s="18">
        <f>grand[[#This Row],[av. Transportation loss]]/grand[[#This Row],[av.total weight]]</f>
        <v>2.0909090909090908E-2</v>
      </c>
      <c r="AA1226" s="12">
        <f>AVERAGE((grand[[#This Row],[am]]/25),(grand[[#This Row],[pm]]/50))</f>
        <v>0.97352941176470587</v>
      </c>
      <c r="AB1226" s="3">
        <f>grand[[#This Row],[ carcass weight]]/grand[[#This Row],[total weight]]</f>
        <v>0.61820320855614974</v>
      </c>
      <c r="AC1226" s="18">
        <f>SUM(grand[[#This Row],[am]:[meat transportation]])/100</f>
        <v>0.90852941176470581</v>
      </c>
      <c r="AJ1226" s="1">
        <v>1</v>
      </c>
      <c r="AK1226" s="1"/>
      <c r="AL1226" s="1"/>
    </row>
    <row r="1227" spans="1:38" hidden="1" x14ac:dyDescent="0.2">
      <c r="A1227" s="11">
        <v>45727</v>
      </c>
      <c r="B1227" s="53" t="s">
        <v>2170</v>
      </c>
      <c r="C1227" s="52" t="str">
        <f>IF(MID(B1227,4,2)="09","Ramadan",IF(AND(MID(B1227,4,2)="12",VALUE(LEFT(B1227,2))&lt;=9),"Adha Season","Normal"))</f>
        <v>Ramadan</v>
      </c>
      <c r="D1227" s="1" t="s">
        <v>45</v>
      </c>
      <c r="E1227" s="1" t="s">
        <v>483</v>
      </c>
      <c r="F1227" s="4" t="s">
        <v>959</v>
      </c>
      <c r="G1227" s="1">
        <v>44</v>
      </c>
      <c r="H1227" s="1">
        <v>44</v>
      </c>
      <c r="I1227" s="1">
        <f>grand[[#This Row],[number]]-grand[[#This Row],[received]]</f>
        <v>0</v>
      </c>
      <c r="J1227" s="30"/>
      <c r="K1227" s="2">
        <v>18525</v>
      </c>
      <c r="L1227" s="2">
        <v>17910</v>
      </c>
      <c r="M1227" s="2">
        <f>K1227-L1227</f>
        <v>615</v>
      </c>
      <c r="N1227" s="2">
        <v>11286.2</v>
      </c>
      <c r="O1227" s="2"/>
      <c r="P1227" s="7">
        <f>grand[[#This Row],[total weight]]/grand[[#This Row],[received]]</f>
        <v>421.02272727272725</v>
      </c>
      <c r="Q1227" s="7">
        <f>grand[[#This Row],[receiving weight]]/grand[[#This Row],[received]]</f>
        <v>407.04545454545456</v>
      </c>
      <c r="R1227" s="7">
        <f>grand[[#This Row],[transportation loss ]]/grand[[#This Row],[received]]</f>
        <v>13.977272727272727</v>
      </c>
      <c r="S1227" s="7">
        <f>grand[[#This Row],[ carcass weight]]/grand[[#This Row],[received]]</f>
        <v>256.50454545454545</v>
      </c>
      <c r="T1227" s="7">
        <f>grand[[#This Row],[ kidneys fat quantity]]/grand[[#This Row],[received]]</f>
        <v>0</v>
      </c>
      <c r="U1227" s="1">
        <v>25</v>
      </c>
      <c r="V1227" s="1">
        <v>0</v>
      </c>
      <c r="W1227" s="1">
        <v>49.636363636363633</v>
      </c>
      <c r="X1227" s="1">
        <v>10</v>
      </c>
      <c r="Y1227" s="1">
        <v>8.5</v>
      </c>
      <c r="Z1227" s="18">
        <f>grand[[#This Row],[av. Transportation loss]]/grand[[#This Row],[av.total weight]]</f>
        <v>3.3198380566801619E-2</v>
      </c>
      <c r="AA1227" s="12">
        <f>AVERAGE((grand[[#This Row],[am]]/25),(grand[[#This Row],[pm]]/50))</f>
        <v>0.99636363636363634</v>
      </c>
      <c r="AB1227" s="3">
        <f>grand[[#This Row],[ carcass weight]]/grand[[#This Row],[total weight]]</f>
        <v>0.60924156545209185</v>
      </c>
      <c r="AC1227" s="18">
        <f>SUM(grand[[#This Row],[am]:[meat transportation]])/100</f>
        <v>0.93136363636363628</v>
      </c>
      <c r="AK1227" s="1"/>
      <c r="AL1227" s="1"/>
    </row>
    <row r="1228" spans="1:38" hidden="1" x14ac:dyDescent="0.2">
      <c r="A1228" s="11">
        <v>45727</v>
      </c>
      <c r="B1228" s="53" t="s">
        <v>2170</v>
      </c>
      <c r="C1228" s="52" t="str">
        <f>IF(MID(B1228,4,2)="09","Ramadan",IF(AND(MID(B1228,4,2)="12",VALUE(LEFT(B1228,2))&lt;=9),"Adha Season","Normal"))</f>
        <v>Ramadan</v>
      </c>
      <c r="D1228" s="1" t="s">
        <v>45</v>
      </c>
      <c r="E1228" s="1" t="s">
        <v>483</v>
      </c>
      <c r="F1228" s="4" t="s">
        <v>39</v>
      </c>
      <c r="G1228" s="1">
        <v>59</v>
      </c>
      <c r="H1228" s="1">
        <v>59</v>
      </c>
      <c r="I1228" s="1">
        <f>grand[[#This Row],[number]]-grand[[#This Row],[received]]</f>
        <v>0</v>
      </c>
      <c r="J1228" s="30"/>
      <c r="K1228" s="2">
        <v>16878.844936708861</v>
      </c>
      <c r="L1228" s="2">
        <v>16878.844936708861</v>
      </c>
      <c r="M1228" s="2">
        <f>K1228-L1228</f>
        <v>0</v>
      </c>
      <c r="N1228" s="2">
        <v>10667.43</v>
      </c>
      <c r="O1228" s="2">
        <v>0</v>
      </c>
      <c r="P1228" s="7">
        <f>grand[[#This Row],[total weight]]/grand[[#This Row],[received]]</f>
        <v>286.08211757133665</v>
      </c>
      <c r="Q1228" s="7">
        <f>grand[[#This Row],[receiving weight]]/grand[[#This Row],[received]]</f>
        <v>286.08211757133665</v>
      </c>
      <c r="R1228" s="7">
        <f>grand[[#This Row],[transportation loss ]]/grand[[#This Row],[received]]</f>
        <v>0</v>
      </c>
      <c r="S1228" s="7">
        <f>grand[[#This Row],[ carcass weight]]/grand[[#This Row],[received]]</f>
        <v>180.80389830508474</v>
      </c>
      <c r="T1228" s="7">
        <f>grand[[#This Row],[ kidneys fat quantity]]/grand[[#This Row],[received]]</f>
        <v>0</v>
      </c>
      <c r="U1228" s="1">
        <v>25</v>
      </c>
      <c r="V1228" s="1">
        <v>5</v>
      </c>
      <c r="W1228" s="1">
        <v>50</v>
      </c>
      <c r="X1228" s="1">
        <v>10</v>
      </c>
      <c r="Y1228" s="1">
        <v>8.5</v>
      </c>
      <c r="Z1228" s="18">
        <f>grand[[#This Row],[av. Transportation loss]]/grand[[#This Row],[av.total weight]]</f>
        <v>0</v>
      </c>
      <c r="AA1228" s="12">
        <f>AVERAGE((grand[[#This Row],[am]]/25),(grand[[#This Row],[pm]]/50))</f>
        <v>1</v>
      </c>
      <c r="AB1228" s="3">
        <f>grand[[#This Row],[ carcass weight]]/grand[[#This Row],[total weight]]</f>
        <v>0.63200000000000001</v>
      </c>
      <c r="AC1228" s="18">
        <f>SUM(grand[[#This Row],[am]:[meat transportation]])/100</f>
        <v>0.98499999999999999</v>
      </c>
      <c r="AK1228" s="1"/>
      <c r="AL1228" s="1"/>
    </row>
    <row r="1229" spans="1:38" hidden="1" x14ac:dyDescent="0.2">
      <c r="A1229" s="11">
        <v>45728</v>
      </c>
      <c r="B1229" s="53" t="s">
        <v>2171</v>
      </c>
      <c r="C1229" s="52" t="str">
        <f>IF(MID(B1229,4,2)="09","Ramadan",IF(AND(MID(B1229,4,2)="12",VALUE(LEFT(B1229,2))&lt;=9),"Adha Season","Normal"))</f>
        <v>Ramadan</v>
      </c>
      <c r="D1229" s="1" t="s">
        <v>45</v>
      </c>
      <c r="E1229" s="1" t="s">
        <v>483</v>
      </c>
      <c r="F1229" s="4" t="s">
        <v>46</v>
      </c>
      <c r="G1229" s="1">
        <v>37</v>
      </c>
      <c r="H1229" s="1">
        <v>37</v>
      </c>
      <c r="I1229" s="1">
        <f>grand[[#This Row],[number]]-grand[[#This Row],[received]]</f>
        <v>0</v>
      </c>
      <c r="J1229" s="30"/>
      <c r="K1229" s="2">
        <v>21436</v>
      </c>
      <c r="L1229" s="2">
        <v>21436</v>
      </c>
      <c r="M1229" s="2">
        <f>K1229-L1229</f>
        <v>0</v>
      </c>
      <c r="N1229" s="2">
        <v>12969.1</v>
      </c>
      <c r="O1229" s="2">
        <v>489</v>
      </c>
      <c r="P1229" s="7">
        <f>grand[[#This Row],[total weight]]/grand[[#This Row],[received]]</f>
        <v>579.35135135135135</v>
      </c>
      <c r="Q1229" s="7">
        <f>grand[[#This Row],[receiving weight]]/grand[[#This Row],[received]]</f>
        <v>579.35135135135135</v>
      </c>
      <c r="R1229" s="7">
        <f>grand[[#This Row],[transportation loss ]]/grand[[#This Row],[received]]</f>
        <v>0</v>
      </c>
      <c r="S1229" s="7">
        <f>grand[[#This Row],[ carcass weight]]/grand[[#This Row],[received]]</f>
        <v>350.51621621621621</v>
      </c>
      <c r="T1229" s="7">
        <f>grand[[#This Row],[ kidneys fat quantity]]/grand[[#This Row],[received]]</f>
        <v>13.216216216216216</v>
      </c>
      <c r="U1229" s="1">
        <v>25</v>
      </c>
      <c r="V1229" s="1">
        <v>0</v>
      </c>
      <c r="W1229" s="1">
        <v>48.972972972972968</v>
      </c>
      <c r="X1229" s="1">
        <v>10</v>
      </c>
      <c r="Y1229" s="1">
        <v>8.5</v>
      </c>
      <c r="Z1229" s="18">
        <f>grand[[#This Row],[av. Transportation loss]]/grand[[#This Row],[av.total weight]]</f>
        <v>0</v>
      </c>
      <c r="AA1229" s="12">
        <f>AVERAGE((grand[[#This Row],[am]]/25),(grand[[#This Row],[pm]]/50))</f>
        <v>0.98972972972972961</v>
      </c>
      <c r="AB1229" s="3">
        <f>grand[[#This Row],[ carcass weight]]/grand[[#This Row],[total weight]]</f>
        <v>0.60501492815823854</v>
      </c>
      <c r="AC1229" s="18">
        <f>SUM(grand[[#This Row],[am]:[meat transportation]])/100</f>
        <v>0.92472972972972967</v>
      </c>
      <c r="AJ1229" s="1">
        <v>24</v>
      </c>
      <c r="AK1229" s="1"/>
      <c r="AL1229" s="1"/>
    </row>
    <row r="1230" spans="1:38" hidden="1" x14ac:dyDescent="0.2">
      <c r="A1230" s="11">
        <v>45728</v>
      </c>
      <c r="B1230" s="53" t="s">
        <v>2171</v>
      </c>
      <c r="C1230" s="52" t="str">
        <f>IF(MID(B1230,4,2)="09","Ramadan",IF(AND(MID(B1230,4,2)="12",VALUE(LEFT(B1230,2))&lt;=9),"Adha Season","Normal"))</f>
        <v>Ramadan</v>
      </c>
      <c r="D1230" s="1" t="s">
        <v>45</v>
      </c>
      <c r="E1230" s="1" t="s">
        <v>528</v>
      </c>
      <c r="F1230" s="4" t="s">
        <v>462</v>
      </c>
      <c r="G1230" s="1">
        <v>20</v>
      </c>
      <c r="H1230" s="1">
        <v>20</v>
      </c>
      <c r="I1230" s="1">
        <f>grand[[#This Row],[number]]-grand[[#This Row],[received]]</f>
        <v>0</v>
      </c>
      <c r="J1230" s="30"/>
      <c r="K1230" s="2">
        <v>9263.6075949367078</v>
      </c>
      <c r="L1230" s="2">
        <v>9263.6075949367078</v>
      </c>
      <c r="M1230" s="2">
        <f>K1230-L1230</f>
        <v>0</v>
      </c>
      <c r="N1230" s="2">
        <v>5854.6</v>
      </c>
      <c r="O1230" s="2">
        <v>0</v>
      </c>
      <c r="P1230" s="7">
        <f>grand[[#This Row],[total weight]]/grand[[#This Row],[received]]</f>
        <v>463.1803797468354</v>
      </c>
      <c r="Q1230" s="7">
        <f>grand[[#This Row],[receiving weight]]/grand[[#This Row],[received]]</f>
        <v>463.1803797468354</v>
      </c>
      <c r="R1230" s="7">
        <f>grand[[#This Row],[transportation loss ]]/grand[[#This Row],[received]]</f>
        <v>0</v>
      </c>
      <c r="S1230" s="7">
        <f>grand[[#This Row],[ carcass weight]]/grand[[#This Row],[received]]</f>
        <v>292.73</v>
      </c>
      <c r="T1230" s="7">
        <f>grand[[#This Row],[ kidneys fat quantity]]/grand[[#This Row],[received]]</f>
        <v>0</v>
      </c>
      <c r="U1230" s="1">
        <v>25</v>
      </c>
      <c r="V1230" s="1">
        <v>4</v>
      </c>
      <c r="W1230" s="1">
        <v>50</v>
      </c>
      <c r="X1230" s="1">
        <v>10</v>
      </c>
      <c r="Y1230" s="1">
        <v>8.5</v>
      </c>
      <c r="Z1230" s="18">
        <f>grand[[#This Row],[av. Transportation loss]]/grand[[#This Row],[av.total weight]]</f>
        <v>0</v>
      </c>
      <c r="AA1230" s="12">
        <f>AVERAGE((grand[[#This Row],[am]]/25),(grand[[#This Row],[pm]]/50))</f>
        <v>1</v>
      </c>
      <c r="AB1230" s="3">
        <f>grand[[#This Row],[ carcass weight]]/grand[[#This Row],[total weight]]</f>
        <v>0.63200000000000012</v>
      </c>
      <c r="AC1230" s="18">
        <f>SUM(grand[[#This Row],[am]:[meat transportation]])/100</f>
        <v>0.97499999999999998</v>
      </c>
      <c r="AK1230" s="1"/>
      <c r="AL1230" s="1"/>
    </row>
    <row r="1231" spans="1:38" hidden="1" x14ac:dyDescent="0.2">
      <c r="A1231" s="11">
        <v>45729</v>
      </c>
      <c r="B1231" s="53" t="s">
        <v>2172</v>
      </c>
      <c r="C1231" s="52" t="str">
        <f>IF(MID(B1231,4,2)="09","Ramadan",IF(AND(MID(B1231,4,2)="12",VALUE(LEFT(B1231,2))&lt;=9),"Adha Season","Normal"))</f>
        <v>Ramadan</v>
      </c>
      <c r="D1231" s="2" t="s">
        <v>294</v>
      </c>
      <c r="F1231" s="4" t="s">
        <v>280</v>
      </c>
      <c r="G1231" s="1">
        <v>71</v>
      </c>
      <c r="H1231" s="1">
        <v>71</v>
      </c>
      <c r="I1231" s="1">
        <f>grand[[#This Row],[number]]-grand[[#This Row],[received]]</f>
        <v>0</v>
      </c>
      <c r="J1231" s="30"/>
      <c r="K1231" s="2">
        <v>3582</v>
      </c>
      <c r="L1231" s="2">
        <v>3590</v>
      </c>
      <c r="M1231" s="2">
        <f>K1231-L1231</f>
        <v>-8</v>
      </c>
      <c r="N1231" s="2">
        <v>2011.1</v>
      </c>
      <c r="O1231" s="2">
        <v>0</v>
      </c>
      <c r="P1231" s="7">
        <f>grand[[#This Row],[total weight]]/grand[[#This Row],[received]]</f>
        <v>50.450704225352112</v>
      </c>
      <c r="Q1231" s="7">
        <f>grand[[#This Row],[receiving weight]]/grand[[#This Row],[received]]</f>
        <v>50.563380281690144</v>
      </c>
      <c r="R1231" s="7">
        <f>grand[[#This Row],[transportation loss ]]/grand[[#This Row],[received]]</f>
        <v>-0.11267605633802817</v>
      </c>
      <c r="S1231" s="7">
        <f>grand[[#This Row],[ carcass weight]]/grand[[#This Row],[received]]</f>
        <v>28.325352112676054</v>
      </c>
      <c r="T1231" s="7">
        <f>grand[[#This Row],[ kidneys fat quantity]]/grand[[#This Row],[received]]</f>
        <v>0</v>
      </c>
      <c r="U1231" s="1">
        <v>25</v>
      </c>
      <c r="V1231" s="1">
        <v>0</v>
      </c>
      <c r="W1231" s="1">
        <v>46.845070422535215</v>
      </c>
      <c r="X1231" s="1">
        <v>10</v>
      </c>
      <c r="Y1231" s="1">
        <v>8.5</v>
      </c>
      <c r="Z1231" s="18">
        <f>grand[[#This Row],[av. Transportation loss]]/grand[[#This Row],[av.total weight]]</f>
        <v>-2.2333891680625349E-3</v>
      </c>
      <c r="AA1231" s="12">
        <f>AVERAGE((grand[[#This Row],[am]]/25),(grand[[#This Row],[pm]]/50))</f>
        <v>0.96845070422535218</v>
      </c>
      <c r="AB1231" s="3">
        <f>grand[[#This Row],[ carcass weight]]/grand[[#This Row],[total weight]]</f>
        <v>0.56144611948632051</v>
      </c>
      <c r="AC1231" s="18">
        <f>SUM(grand[[#This Row],[am]:[meat transportation]])/100</f>
        <v>0.90345070422535212</v>
      </c>
      <c r="AK1231" s="1"/>
      <c r="AL1231" s="1"/>
    </row>
    <row r="1232" spans="1:38" hidden="1" x14ac:dyDescent="0.2">
      <c r="A1232" s="11">
        <v>45729</v>
      </c>
      <c r="B1232" s="53" t="s">
        <v>2172</v>
      </c>
      <c r="C1232" s="52" t="str">
        <f>IF(MID(B1232,4,2)="09","Ramadan",IF(AND(MID(B1232,4,2)="12",VALUE(LEFT(B1232,2))&lt;=9),"Adha Season","Normal"))</f>
        <v>Ramadan</v>
      </c>
      <c r="D1232" s="1" t="s">
        <v>45</v>
      </c>
      <c r="E1232" s="1" t="s">
        <v>528</v>
      </c>
      <c r="F1232" s="4" t="s">
        <v>280</v>
      </c>
      <c r="G1232" s="1">
        <v>40</v>
      </c>
      <c r="H1232" s="1">
        <v>40</v>
      </c>
      <c r="I1232" s="1">
        <f>grand[[#This Row],[number]]-grand[[#This Row],[received]]</f>
        <v>0</v>
      </c>
      <c r="J1232" s="30"/>
      <c r="K1232" s="2">
        <v>23060</v>
      </c>
      <c r="L1232" s="2">
        <v>22352</v>
      </c>
      <c r="M1232" s="2">
        <f>K1232-L1232</f>
        <v>708</v>
      </c>
      <c r="N1232" s="2">
        <v>14322.1</v>
      </c>
      <c r="O1232" s="2">
        <v>276</v>
      </c>
      <c r="P1232" s="7">
        <f>grand[[#This Row],[total weight]]/grand[[#This Row],[received]]</f>
        <v>576.5</v>
      </c>
      <c r="Q1232" s="7">
        <f>grand[[#This Row],[receiving weight]]/grand[[#This Row],[received]]</f>
        <v>558.79999999999995</v>
      </c>
      <c r="R1232" s="7">
        <f>grand[[#This Row],[transportation loss ]]/grand[[#This Row],[received]]</f>
        <v>17.7</v>
      </c>
      <c r="S1232" s="7">
        <f>grand[[#This Row],[ carcass weight]]/grand[[#This Row],[received]]</f>
        <v>358.05250000000001</v>
      </c>
      <c r="T1232" s="7">
        <f>grand[[#This Row],[ kidneys fat quantity]]/grand[[#This Row],[received]]</f>
        <v>6.9</v>
      </c>
      <c r="U1232" s="1">
        <v>25</v>
      </c>
      <c r="V1232" s="1">
        <v>0</v>
      </c>
      <c r="W1232" s="1">
        <v>48.824999999999996</v>
      </c>
      <c r="X1232" s="1">
        <v>10</v>
      </c>
      <c r="Y1232" s="1">
        <v>8.5</v>
      </c>
      <c r="Z1232" s="18">
        <f>grand[[#This Row],[av. Transportation loss]]/grand[[#This Row],[av.total weight]]</f>
        <v>3.0702515177797051E-2</v>
      </c>
      <c r="AA1232" s="12">
        <f>AVERAGE((grand[[#This Row],[am]]/25),(grand[[#This Row],[pm]]/50))</f>
        <v>0.98824999999999996</v>
      </c>
      <c r="AB1232" s="3">
        <f>grand[[#This Row],[ carcass weight]]/grand[[#This Row],[total weight]]</f>
        <v>0.62107979184735473</v>
      </c>
      <c r="AC1232" s="18">
        <f>SUM(grand[[#This Row],[am]:[meat transportation]])/100</f>
        <v>0.9232499999999999</v>
      </c>
      <c r="AJ1232" s="1">
        <v>2</v>
      </c>
      <c r="AK1232" s="1"/>
      <c r="AL1232" s="1"/>
    </row>
    <row r="1233" spans="1:38" hidden="1" x14ac:dyDescent="0.2">
      <c r="A1233" s="11">
        <v>45731</v>
      </c>
      <c r="B1233" s="53" t="s">
        <v>2173</v>
      </c>
      <c r="C1233" s="52" t="str">
        <f>IF(MID(B1233,4,2)="09","Ramadan",IF(AND(MID(B1233,4,2)="12",VALUE(LEFT(B1233,2))&lt;=9),"Adha Season","Normal"))</f>
        <v>Ramadan</v>
      </c>
      <c r="D1233" s="1" t="s">
        <v>45</v>
      </c>
      <c r="E1233" s="1" t="s">
        <v>483</v>
      </c>
      <c r="F1233" s="4" t="s">
        <v>959</v>
      </c>
      <c r="G1233" s="1">
        <v>37</v>
      </c>
      <c r="H1233" s="1">
        <v>37</v>
      </c>
      <c r="I1233" s="1">
        <f>grand[[#This Row],[number]]-grand[[#This Row],[received]]</f>
        <v>0</v>
      </c>
      <c r="J1233" s="30"/>
      <c r="K1233" s="2">
        <v>15721</v>
      </c>
      <c r="L1233" s="2">
        <v>15156</v>
      </c>
      <c r="M1233" s="2">
        <f>K1233-L1233</f>
        <v>565</v>
      </c>
      <c r="N1233" s="2">
        <v>9432.7000000000007</v>
      </c>
      <c r="O1233" s="2">
        <v>251</v>
      </c>
      <c r="P1233" s="7">
        <f>grand[[#This Row],[total weight]]/grand[[#This Row],[received]]</f>
        <v>424.89189189189187</v>
      </c>
      <c r="Q1233" s="7">
        <f>grand[[#This Row],[receiving weight]]/grand[[#This Row],[received]]</f>
        <v>409.62162162162161</v>
      </c>
      <c r="R1233" s="7">
        <f>grand[[#This Row],[transportation loss ]]/grand[[#This Row],[received]]</f>
        <v>15.27027027027027</v>
      </c>
      <c r="S1233" s="7">
        <f>grand[[#This Row],[ carcass weight]]/grand[[#This Row],[received]]</f>
        <v>254.93783783783786</v>
      </c>
      <c r="T1233" s="7">
        <f>grand[[#This Row],[ kidneys fat quantity]]/grand[[#This Row],[received]]</f>
        <v>6.7837837837837842</v>
      </c>
      <c r="U1233" s="1">
        <v>25</v>
      </c>
      <c r="V1233" s="1">
        <v>0</v>
      </c>
      <c r="W1233" s="1">
        <v>48.486486486486484</v>
      </c>
      <c r="X1233" s="1">
        <v>10</v>
      </c>
      <c r="Y1233" s="1">
        <v>8.5</v>
      </c>
      <c r="Z1233" s="18">
        <f>grand[[#This Row],[av. Transportation loss]]/grand[[#This Row],[av.total weight]]</f>
        <v>3.5939189618980981E-2</v>
      </c>
      <c r="AA1233" s="12">
        <f>AVERAGE((grand[[#This Row],[am]]/25),(grand[[#This Row],[pm]]/50))</f>
        <v>0.9848648648648648</v>
      </c>
      <c r="AB1233" s="3">
        <f>grand[[#This Row],[ carcass weight]]/grand[[#This Row],[total weight]]</f>
        <v>0.60000636091851667</v>
      </c>
      <c r="AC1233" s="18">
        <f>SUM(grand[[#This Row],[am]:[meat transportation]])/100</f>
        <v>0.91986486486486485</v>
      </c>
      <c r="AK1233" s="1"/>
      <c r="AL1233" s="1"/>
    </row>
    <row r="1234" spans="1:38" hidden="1" x14ac:dyDescent="0.2">
      <c r="A1234" s="11">
        <v>45731</v>
      </c>
      <c r="B1234" s="53" t="s">
        <v>2173</v>
      </c>
      <c r="C1234" s="52" t="str">
        <f>IF(MID(B1234,4,2)="09","Ramadan",IF(AND(MID(B1234,4,2)="12",VALUE(LEFT(B1234,2))&lt;=9),"Adha Season","Normal"))</f>
        <v>Ramadan</v>
      </c>
      <c r="D1234" s="2" t="s">
        <v>294</v>
      </c>
      <c r="F1234" s="4" t="s">
        <v>656</v>
      </c>
      <c r="G1234" s="1">
        <v>32</v>
      </c>
      <c r="H1234" s="1">
        <v>32</v>
      </c>
      <c r="I1234" s="1">
        <f>grand[[#This Row],[number]]-grand[[#This Row],[received]]</f>
        <v>0</v>
      </c>
      <c r="J1234" s="30"/>
      <c r="K1234" s="2">
        <v>1732</v>
      </c>
      <c r="L1234" s="2">
        <v>1690</v>
      </c>
      <c r="M1234" s="2">
        <f>K1234-L1234</f>
        <v>42</v>
      </c>
      <c r="N1234" s="2">
        <v>1049</v>
      </c>
      <c r="O1234" s="2">
        <v>0</v>
      </c>
      <c r="P1234" s="7">
        <f>grand[[#This Row],[total weight]]/grand[[#This Row],[received]]</f>
        <v>54.125</v>
      </c>
      <c r="Q1234" s="7">
        <f>grand[[#This Row],[receiving weight]]/grand[[#This Row],[received]]</f>
        <v>52.8125</v>
      </c>
      <c r="R1234" s="7">
        <f>grand[[#This Row],[transportation loss ]]/grand[[#This Row],[received]]</f>
        <v>1.3125</v>
      </c>
      <c r="S1234" s="7">
        <f>grand[[#This Row],[ carcass weight]]/grand[[#This Row],[received]]</f>
        <v>32.78125</v>
      </c>
      <c r="T1234" s="7">
        <f>grand[[#This Row],[ kidneys fat quantity]]/grand[[#This Row],[received]]</f>
        <v>0</v>
      </c>
      <c r="U1234" s="1">
        <v>25</v>
      </c>
      <c r="V1234" s="1">
        <v>0</v>
      </c>
      <c r="W1234" s="1">
        <v>48.078125</v>
      </c>
      <c r="X1234" s="1">
        <v>10</v>
      </c>
      <c r="Y1234" s="1">
        <v>8.5</v>
      </c>
      <c r="Z1234" s="18">
        <f>grand[[#This Row],[av. Transportation loss]]/grand[[#This Row],[av.total weight]]</f>
        <v>2.4249422632794459E-2</v>
      </c>
      <c r="AA1234" s="12">
        <f>AVERAGE((grand[[#This Row],[am]]/25),(grand[[#This Row],[pm]]/50))</f>
        <v>0.98078124999999994</v>
      </c>
      <c r="AB1234" s="3">
        <f>grand[[#This Row],[ carcass weight]]/grand[[#This Row],[total weight]]</f>
        <v>0.60565819861431869</v>
      </c>
      <c r="AC1234" s="18">
        <f>SUM(grand[[#This Row],[am]:[meat transportation]])/100</f>
        <v>0.91578124999999999</v>
      </c>
      <c r="AK1234" s="1"/>
      <c r="AL1234" s="1"/>
    </row>
    <row r="1235" spans="1:38" hidden="1" x14ac:dyDescent="0.2">
      <c r="A1235" s="11">
        <v>45731</v>
      </c>
      <c r="B1235" s="53" t="s">
        <v>2173</v>
      </c>
      <c r="C1235" s="52" t="str">
        <f>IF(MID(B1235,4,2)="09","Ramadan",IF(AND(MID(B1235,4,2)="12",VALUE(LEFT(B1235,2))&lt;=9),"Adha Season","Normal"))</f>
        <v>Ramadan</v>
      </c>
      <c r="D1235" s="1" t="s">
        <v>45</v>
      </c>
      <c r="E1235" s="1" t="s">
        <v>528</v>
      </c>
      <c r="F1235" s="4" t="s">
        <v>462</v>
      </c>
      <c r="G1235" s="1">
        <v>32</v>
      </c>
      <c r="H1235" s="1">
        <v>32</v>
      </c>
      <c r="I1235" s="1">
        <f>grand[[#This Row],[number]]-grand[[#This Row],[received]]</f>
        <v>0</v>
      </c>
      <c r="J1235" s="30"/>
      <c r="K1235" s="2">
        <v>14998.73417721519</v>
      </c>
      <c r="L1235" s="2">
        <v>14998.73417721519</v>
      </c>
      <c r="M1235" s="2">
        <f>K1235-L1235</f>
        <v>0</v>
      </c>
      <c r="N1235" s="2">
        <v>9479.2000000000007</v>
      </c>
      <c r="O1235" s="2">
        <v>0</v>
      </c>
      <c r="P1235" s="7">
        <f>grand[[#This Row],[total weight]]/grand[[#This Row],[received]]</f>
        <v>468.7104430379747</v>
      </c>
      <c r="Q1235" s="7">
        <f>grand[[#This Row],[receiving weight]]/grand[[#This Row],[received]]</f>
        <v>468.7104430379747</v>
      </c>
      <c r="R1235" s="7">
        <f>grand[[#This Row],[transportation loss ]]/grand[[#This Row],[received]]</f>
        <v>0</v>
      </c>
      <c r="S1235" s="7">
        <f>grand[[#This Row],[ carcass weight]]/grand[[#This Row],[received]]</f>
        <v>296.22500000000002</v>
      </c>
      <c r="T1235" s="7">
        <f>grand[[#This Row],[ kidneys fat quantity]]/grand[[#This Row],[received]]</f>
        <v>0</v>
      </c>
      <c r="U1235" s="1">
        <v>25</v>
      </c>
      <c r="V1235" s="1">
        <v>4</v>
      </c>
      <c r="W1235" s="1">
        <v>50</v>
      </c>
      <c r="X1235" s="1">
        <v>10</v>
      </c>
      <c r="Y1235" s="1">
        <v>8.5</v>
      </c>
      <c r="Z1235" s="18">
        <f>grand[[#This Row],[av. Transportation loss]]/grand[[#This Row],[av.total weight]]</f>
        <v>0</v>
      </c>
      <c r="AA1235" s="12">
        <f>AVERAGE((grand[[#This Row],[am]]/25),(grand[[#This Row],[pm]]/50))</f>
        <v>1</v>
      </c>
      <c r="AB1235" s="3">
        <f>grand[[#This Row],[ carcass weight]]/grand[[#This Row],[total weight]]</f>
        <v>0.63200000000000001</v>
      </c>
      <c r="AC1235" s="18">
        <f>SUM(grand[[#This Row],[am]:[meat transportation]])/100</f>
        <v>0.97499999999999998</v>
      </c>
      <c r="AK1235" s="1"/>
      <c r="AL1235" s="1"/>
    </row>
    <row r="1236" spans="1:38" hidden="1" x14ac:dyDescent="0.2">
      <c r="A1236" s="11">
        <v>45733</v>
      </c>
      <c r="B1236" s="53" t="s">
        <v>2174</v>
      </c>
      <c r="C1236" s="52" t="str">
        <f>IF(MID(B1236,4,2)="09","Ramadan",IF(AND(MID(B1236,4,2)="12",VALUE(LEFT(B1236,2))&lt;=9),"Adha Season","Normal"))</f>
        <v>Ramadan</v>
      </c>
      <c r="D1236" s="1" t="s">
        <v>45</v>
      </c>
      <c r="E1236" s="1" t="s">
        <v>483</v>
      </c>
      <c r="F1236" s="4" t="s">
        <v>43</v>
      </c>
      <c r="G1236" s="1">
        <v>36</v>
      </c>
      <c r="H1236" s="1">
        <v>34</v>
      </c>
      <c r="I1236" s="1">
        <f>grand[[#This Row],[number]]-grand[[#This Row],[received]]</f>
        <v>2</v>
      </c>
      <c r="J1236" s="64" t="s">
        <v>686</v>
      </c>
      <c r="K1236" s="2">
        <v>19085</v>
      </c>
      <c r="L1236" s="2">
        <v>17910</v>
      </c>
      <c r="M1236" s="2">
        <f>K1236-L1236</f>
        <v>1175</v>
      </c>
      <c r="N1236" s="2">
        <v>11560.9</v>
      </c>
      <c r="O1236" s="2">
        <v>462</v>
      </c>
      <c r="P1236" s="7">
        <f>grand[[#This Row],[total weight]]/grand[[#This Row],[received]]</f>
        <v>561.32352941176475</v>
      </c>
      <c r="Q1236" s="7">
        <f>grand[[#This Row],[receiving weight]]/grand[[#This Row],[received]]</f>
        <v>526.76470588235293</v>
      </c>
      <c r="R1236" s="7">
        <f>grand[[#This Row],[transportation loss ]]/grand[[#This Row],[received]]</f>
        <v>34.558823529411768</v>
      </c>
      <c r="S1236" s="7">
        <f>grand[[#This Row],[ carcass weight]]/grand[[#This Row],[received]]</f>
        <v>340.02647058823527</v>
      </c>
      <c r="T1236" s="7">
        <f>grand[[#This Row],[ kidneys fat quantity]]/grand[[#This Row],[received]]</f>
        <v>13.588235294117647</v>
      </c>
      <c r="U1236" s="1">
        <v>25</v>
      </c>
      <c r="V1236" s="1">
        <v>0</v>
      </c>
      <c r="W1236" s="1">
        <v>47.911764705882348</v>
      </c>
      <c r="X1236" s="1">
        <v>10</v>
      </c>
      <c r="Y1236" s="1">
        <v>8.5</v>
      </c>
      <c r="Z1236" s="18">
        <f>grand[[#This Row],[av. Transportation loss]]/grand[[#This Row],[av.total weight]]</f>
        <v>6.1566675399528425E-2</v>
      </c>
      <c r="AA1236" s="12">
        <f>AVERAGE((grand[[#This Row],[am]]/25),(grand[[#This Row],[pm]]/50))</f>
        <v>0.97911764705882343</v>
      </c>
      <c r="AB1236" s="3">
        <f>grand[[#This Row],[ carcass weight]]/grand[[#This Row],[total weight]]</f>
        <v>0.60575844904375165</v>
      </c>
      <c r="AC1236" s="18">
        <f>SUM(grand[[#This Row],[am]:[meat transportation]])/100</f>
        <v>0.91411764705882348</v>
      </c>
      <c r="AJ1236" s="1">
        <v>31</v>
      </c>
      <c r="AK1236" s="1"/>
      <c r="AL1236" s="1"/>
    </row>
    <row r="1237" spans="1:38" hidden="1" x14ac:dyDescent="0.2">
      <c r="A1237" s="11">
        <v>45734</v>
      </c>
      <c r="B1237" s="53" t="s">
        <v>2175</v>
      </c>
      <c r="C1237" s="52" t="str">
        <f>IF(MID(B1237,4,2)="09","Ramadan",IF(AND(MID(B1237,4,2)="12",VALUE(LEFT(B1237,2))&lt;=9),"Adha Season","Normal"))</f>
        <v>Ramadan</v>
      </c>
      <c r="D1237" s="2" t="s">
        <v>294</v>
      </c>
      <c r="F1237" s="4" t="s">
        <v>280</v>
      </c>
      <c r="G1237" s="1">
        <v>34</v>
      </c>
      <c r="H1237" s="1">
        <v>34</v>
      </c>
      <c r="I1237" s="1">
        <f>grand[[#This Row],[number]]-grand[[#This Row],[received]]</f>
        <v>0</v>
      </c>
      <c r="J1237" s="30"/>
      <c r="K1237" s="2">
        <v>1794</v>
      </c>
      <c r="L1237" s="2">
        <v>1790</v>
      </c>
      <c r="M1237" s="2">
        <f>K1237-L1237</f>
        <v>4</v>
      </c>
      <c r="N1237" s="2">
        <v>1002.9</v>
      </c>
      <c r="O1237" s="2">
        <v>0</v>
      </c>
      <c r="P1237" s="7">
        <f>grand[[#This Row],[total weight]]/grand[[#This Row],[received]]</f>
        <v>52.764705882352942</v>
      </c>
      <c r="Q1237" s="7">
        <f>grand[[#This Row],[receiving weight]]/grand[[#This Row],[received]]</f>
        <v>52.647058823529413</v>
      </c>
      <c r="R1237" s="7">
        <f>grand[[#This Row],[transportation loss ]]/grand[[#This Row],[received]]</f>
        <v>0.11764705882352941</v>
      </c>
      <c r="S1237" s="7">
        <f>grand[[#This Row],[ carcass weight]]/grand[[#This Row],[received]]</f>
        <v>29.497058823529411</v>
      </c>
      <c r="T1237" s="7">
        <f>grand[[#This Row],[ kidneys fat quantity]]/grand[[#This Row],[received]]</f>
        <v>0</v>
      </c>
      <c r="U1237" s="1">
        <v>25</v>
      </c>
      <c r="V1237" s="1">
        <v>0</v>
      </c>
      <c r="W1237" s="1">
        <v>47.764705882352942</v>
      </c>
      <c r="X1237" s="1">
        <v>10</v>
      </c>
      <c r="Y1237" s="1">
        <v>8.5</v>
      </c>
      <c r="Z1237" s="18">
        <f>grand[[#This Row],[av. Transportation loss]]/grand[[#This Row],[av.total weight]]</f>
        <v>2.229654403567447E-3</v>
      </c>
      <c r="AA1237" s="12">
        <f>AVERAGE((grand[[#This Row],[am]]/25),(grand[[#This Row],[pm]]/50))</f>
        <v>0.97764705882352942</v>
      </c>
      <c r="AB1237" s="3">
        <f>grand[[#This Row],[ carcass weight]]/grand[[#This Row],[total weight]]</f>
        <v>0.55903010033444811</v>
      </c>
      <c r="AC1237" s="18">
        <f>SUM(grand[[#This Row],[am]:[meat transportation]])/100</f>
        <v>0.91264705882352937</v>
      </c>
      <c r="AK1237" s="1"/>
      <c r="AL1237" s="1"/>
    </row>
    <row r="1238" spans="1:38" hidden="1" x14ac:dyDescent="0.2">
      <c r="A1238" s="11">
        <v>45734</v>
      </c>
      <c r="B1238" s="53" t="s">
        <v>2175</v>
      </c>
      <c r="C1238" s="52" t="str">
        <f>IF(MID(B1238,4,2)="09","Ramadan",IF(AND(MID(B1238,4,2)="12",VALUE(LEFT(B1238,2))&lt;=9),"Adha Season","Normal"))</f>
        <v>Ramadan</v>
      </c>
      <c r="D1238" s="1" t="s">
        <v>45</v>
      </c>
      <c r="E1238" s="1" t="s">
        <v>483</v>
      </c>
      <c r="F1238" s="4" t="s">
        <v>576</v>
      </c>
      <c r="G1238" s="1">
        <v>44</v>
      </c>
      <c r="H1238" s="1">
        <v>44</v>
      </c>
      <c r="I1238" s="1">
        <f>grand[[#This Row],[number]]-grand[[#This Row],[received]]</f>
        <v>0</v>
      </c>
      <c r="J1238" s="30"/>
      <c r="K1238" s="2">
        <v>23579</v>
      </c>
      <c r="L1238" s="2">
        <v>22835</v>
      </c>
      <c r="M1238" s="2">
        <f>K1238-L1238</f>
        <v>744</v>
      </c>
      <c r="N1238" s="2">
        <v>14645.3</v>
      </c>
      <c r="O1238" s="2">
        <v>451</v>
      </c>
      <c r="P1238" s="7">
        <f>grand[[#This Row],[total weight]]/grand[[#This Row],[received]]</f>
        <v>535.88636363636363</v>
      </c>
      <c r="Q1238" s="7">
        <f>grand[[#This Row],[receiving weight]]/grand[[#This Row],[received]]</f>
        <v>518.97727272727275</v>
      </c>
      <c r="R1238" s="7">
        <f>grand[[#This Row],[transportation loss ]]/grand[[#This Row],[received]]</f>
        <v>16.90909090909091</v>
      </c>
      <c r="S1238" s="7">
        <f>grand[[#This Row],[ carcass weight]]/grand[[#This Row],[received]]</f>
        <v>332.84772727272724</v>
      </c>
      <c r="T1238" s="7">
        <f>grand[[#This Row],[ kidneys fat quantity]]/grand[[#This Row],[received]]</f>
        <v>10.25</v>
      </c>
      <c r="U1238" s="1">
        <v>25</v>
      </c>
      <c r="V1238" s="1">
        <v>0</v>
      </c>
      <c r="W1238" s="1">
        <v>48.454545454545453</v>
      </c>
      <c r="X1238" s="1">
        <v>10</v>
      </c>
      <c r="Y1238" s="1">
        <v>8.5</v>
      </c>
      <c r="Z1238" s="18">
        <f>grand[[#This Row],[av. Transportation loss]]/grand[[#This Row],[av.total weight]]</f>
        <v>3.1553500996649567E-2</v>
      </c>
      <c r="AA1238" s="12">
        <f>AVERAGE((grand[[#This Row],[am]]/25),(grand[[#This Row],[pm]]/50))</f>
        <v>0.98454545454545461</v>
      </c>
      <c r="AB1238" s="3">
        <f>grand[[#This Row],[ carcass weight]]/grand[[#This Row],[total weight]]</f>
        <v>0.62111624750837602</v>
      </c>
      <c r="AC1238" s="18">
        <f>SUM(grand[[#This Row],[am]:[meat transportation]])/100</f>
        <v>0.91954545454545455</v>
      </c>
      <c r="AJ1238" s="1">
        <v>14</v>
      </c>
      <c r="AK1238" s="1"/>
      <c r="AL1238" s="1"/>
    </row>
    <row r="1239" spans="1:38" hidden="1" x14ac:dyDescent="0.2">
      <c r="A1239" s="11">
        <v>45734</v>
      </c>
      <c r="B1239" s="53" t="s">
        <v>2175</v>
      </c>
      <c r="C1239" s="52" t="str">
        <f>IF(MID(B1239,4,2)="09","Ramadan",IF(AND(MID(B1239,4,2)="12",VALUE(LEFT(B1239,2))&lt;=9),"Adha Season","Normal"))</f>
        <v>Ramadan</v>
      </c>
      <c r="D1239" s="1" t="s">
        <v>45</v>
      </c>
      <c r="E1239" s="1" t="s">
        <v>483</v>
      </c>
      <c r="F1239" s="4" t="s">
        <v>39</v>
      </c>
      <c r="G1239" s="1">
        <v>40</v>
      </c>
      <c r="H1239" s="1">
        <v>39</v>
      </c>
      <c r="I1239" s="1">
        <f>grand[[#This Row],[number]]-grand[[#This Row],[received]]</f>
        <v>1</v>
      </c>
      <c r="J1239" s="64" t="s">
        <v>687</v>
      </c>
      <c r="K1239" s="2">
        <v>11852.626582278481</v>
      </c>
      <c r="L1239" s="2">
        <v>11852.626582278481</v>
      </c>
      <c r="M1239" s="2">
        <f>K1239-L1239</f>
        <v>0</v>
      </c>
      <c r="N1239" s="2">
        <v>7490.86</v>
      </c>
      <c r="O1239" s="2">
        <v>0</v>
      </c>
      <c r="P1239" s="7">
        <f>grand[[#This Row],[total weight]]/grand[[#This Row],[received]]</f>
        <v>303.91350210970461</v>
      </c>
      <c r="Q1239" s="7">
        <f>grand[[#This Row],[receiving weight]]/grand[[#This Row],[received]]</f>
        <v>303.91350210970461</v>
      </c>
      <c r="R1239" s="7">
        <f>grand[[#This Row],[transportation loss ]]/grand[[#This Row],[received]]</f>
        <v>0</v>
      </c>
      <c r="S1239" s="7">
        <f>grand[[#This Row],[ carcass weight]]/grand[[#This Row],[received]]</f>
        <v>192.07333333333332</v>
      </c>
      <c r="T1239" s="7">
        <f>grand[[#This Row],[ kidneys fat quantity]]/grand[[#This Row],[received]]</f>
        <v>0</v>
      </c>
      <c r="U1239" s="1">
        <v>25</v>
      </c>
      <c r="V1239" s="1">
        <v>5</v>
      </c>
      <c r="W1239" s="1">
        <v>50</v>
      </c>
      <c r="X1239" s="1">
        <v>10</v>
      </c>
      <c r="Y1239" s="1">
        <v>8.5</v>
      </c>
      <c r="Z1239" s="18">
        <f>grand[[#This Row],[av. Transportation loss]]/grand[[#This Row],[av.total weight]]</f>
        <v>0</v>
      </c>
      <c r="AA1239" s="12">
        <f>AVERAGE((grand[[#This Row],[am]]/25),(grand[[#This Row],[pm]]/50))</f>
        <v>1</v>
      </c>
      <c r="AB1239" s="3">
        <f>grand[[#This Row],[ carcass weight]]/grand[[#This Row],[total weight]]</f>
        <v>0.63200000000000001</v>
      </c>
      <c r="AC1239" s="18">
        <f>SUM(grand[[#This Row],[am]:[meat transportation]])/100</f>
        <v>0.98499999999999999</v>
      </c>
      <c r="AK1239" s="1"/>
      <c r="AL1239" s="1"/>
    </row>
    <row r="1240" spans="1:38" hidden="1" x14ac:dyDescent="0.2">
      <c r="A1240" s="11">
        <v>45735</v>
      </c>
      <c r="B1240" s="53" t="s">
        <v>2176</v>
      </c>
      <c r="C1240" s="52" t="str">
        <f>IF(MID(B1240,4,2)="09","Ramadan",IF(AND(MID(B1240,4,2)="12",VALUE(LEFT(B1240,2))&lt;=9),"Adha Season","Normal"))</f>
        <v>Ramadan</v>
      </c>
      <c r="D1240" s="2" t="s">
        <v>294</v>
      </c>
      <c r="F1240" s="4" t="s">
        <v>640</v>
      </c>
      <c r="G1240" s="1">
        <v>30</v>
      </c>
      <c r="H1240" s="1">
        <v>30</v>
      </c>
      <c r="I1240" s="1">
        <f>grand[[#This Row],[number]]-grand[[#This Row],[received]]</f>
        <v>0</v>
      </c>
      <c r="J1240" s="30"/>
      <c r="K1240" s="2">
        <v>1478</v>
      </c>
      <c r="L1240" s="2">
        <v>1430</v>
      </c>
      <c r="M1240" s="2">
        <f>K1240-L1240</f>
        <v>48</v>
      </c>
      <c r="N1240" s="2">
        <v>840.9</v>
      </c>
      <c r="O1240" s="2">
        <v>0</v>
      </c>
      <c r="P1240" s="7">
        <f>grand[[#This Row],[total weight]]/grand[[#This Row],[received]]</f>
        <v>49.266666666666666</v>
      </c>
      <c r="Q1240" s="7">
        <f>grand[[#This Row],[receiving weight]]/grand[[#This Row],[received]]</f>
        <v>47.666666666666664</v>
      </c>
      <c r="R1240" s="7">
        <f>grand[[#This Row],[transportation loss ]]/grand[[#This Row],[received]]</f>
        <v>1.6</v>
      </c>
      <c r="S1240" s="7">
        <f>grand[[#This Row],[ carcass weight]]/grand[[#This Row],[received]]</f>
        <v>28.029999999999998</v>
      </c>
      <c r="T1240" s="7">
        <f>grand[[#This Row],[ kidneys fat quantity]]/grand[[#This Row],[received]]</f>
        <v>0</v>
      </c>
      <c r="U1240" s="1">
        <v>25</v>
      </c>
      <c r="V1240" s="1">
        <v>0</v>
      </c>
      <c r="W1240" s="1">
        <v>44.466666666666669</v>
      </c>
      <c r="X1240" s="1">
        <v>10</v>
      </c>
      <c r="Y1240" s="1">
        <v>8.5</v>
      </c>
      <c r="Z1240" s="18">
        <f>grand[[#This Row],[av. Transportation loss]]/grand[[#This Row],[av.total weight]]</f>
        <v>3.2476319350473612E-2</v>
      </c>
      <c r="AA1240" s="12">
        <f>AVERAGE((grand[[#This Row],[am]]/25),(grand[[#This Row],[pm]]/50))</f>
        <v>0.94466666666666677</v>
      </c>
      <c r="AB1240" s="3">
        <f>grand[[#This Row],[ carcass weight]]/grand[[#This Row],[total weight]]</f>
        <v>0.56894451962110959</v>
      </c>
      <c r="AC1240" s="18">
        <f>SUM(grand[[#This Row],[am]:[meat transportation]])/100</f>
        <v>0.87966666666666671</v>
      </c>
      <c r="AK1240" s="1"/>
      <c r="AL1240" s="1"/>
    </row>
    <row r="1241" spans="1:38" hidden="1" x14ac:dyDescent="0.2">
      <c r="A1241" s="11">
        <v>45735</v>
      </c>
      <c r="B1241" s="53" t="s">
        <v>2176</v>
      </c>
      <c r="C1241" s="52" t="str">
        <f>IF(MID(B1241,4,2)="09","Ramadan",IF(AND(MID(B1241,4,2)="12",VALUE(LEFT(B1241,2))&lt;=9),"Adha Season","Normal"))</f>
        <v>Ramadan</v>
      </c>
      <c r="D1241" s="1" t="s">
        <v>45</v>
      </c>
      <c r="E1241" s="1" t="s">
        <v>483</v>
      </c>
      <c r="F1241" s="4" t="s">
        <v>46</v>
      </c>
      <c r="G1241" s="1">
        <v>30</v>
      </c>
      <c r="H1241" s="1">
        <v>30</v>
      </c>
      <c r="I1241" s="1">
        <f>grand[[#This Row],[number]]-grand[[#This Row],[received]]</f>
        <v>0</v>
      </c>
      <c r="J1241" s="30"/>
      <c r="K1241" s="2">
        <v>14277</v>
      </c>
      <c r="L1241" s="2">
        <v>13175</v>
      </c>
      <c r="M1241" s="2">
        <f>K1241-L1241</f>
        <v>1102</v>
      </c>
      <c r="N1241" s="2">
        <v>8566.4</v>
      </c>
      <c r="O1241" s="2">
        <v>300</v>
      </c>
      <c r="P1241" s="7">
        <f>grand[[#This Row],[total weight]]/grand[[#This Row],[received]]</f>
        <v>475.9</v>
      </c>
      <c r="Q1241" s="7">
        <f>grand[[#This Row],[receiving weight]]/grand[[#This Row],[received]]</f>
        <v>439.16666666666669</v>
      </c>
      <c r="R1241" s="7">
        <f>grand[[#This Row],[transportation loss ]]/grand[[#This Row],[received]]</f>
        <v>36.733333333333334</v>
      </c>
      <c r="S1241" s="7">
        <f>grand[[#This Row],[ carcass weight]]/grand[[#This Row],[received]]</f>
        <v>285.54666666666668</v>
      </c>
      <c r="T1241" s="7">
        <f>grand[[#This Row],[ kidneys fat quantity]]/grand[[#This Row],[received]]</f>
        <v>10</v>
      </c>
      <c r="U1241" s="1">
        <v>25</v>
      </c>
      <c r="V1241" s="1">
        <v>0</v>
      </c>
      <c r="W1241" s="1">
        <v>49.13333333333334</v>
      </c>
      <c r="X1241" s="1">
        <v>10</v>
      </c>
      <c r="Y1241" s="1">
        <v>8.5</v>
      </c>
      <c r="Z1241" s="18">
        <f>grand[[#This Row],[av. Transportation loss]]/grand[[#This Row],[av.total weight]]</f>
        <v>7.7187084121314004E-2</v>
      </c>
      <c r="AA1241" s="12">
        <f>AVERAGE((grand[[#This Row],[am]]/25),(grand[[#This Row],[pm]]/50))</f>
        <v>0.9913333333333334</v>
      </c>
      <c r="AB1241" s="3">
        <f>grand[[#This Row],[ carcass weight]]/grand[[#This Row],[total weight]]</f>
        <v>0.60001400854521258</v>
      </c>
      <c r="AC1241" s="18">
        <f>SUM(grand[[#This Row],[am]:[meat transportation]])/100</f>
        <v>0.92633333333333345</v>
      </c>
      <c r="AJ1241" s="1">
        <v>12</v>
      </c>
      <c r="AK1241" s="1"/>
      <c r="AL1241" s="1"/>
    </row>
    <row r="1242" spans="1:38" hidden="1" x14ac:dyDescent="0.2">
      <c r="A1242" s="11">
        <v>45735</v>
      </c>
      <c r="B1242" s="53" t="s">
        <v>2176</v>
      </c>
      <c r="C1242" s="52" t="str">
        <f>IF(MID(B1242,4,2)="09","Ramadan",IF(AND(MID(B1242,4,2)="12",VALUE(LEFT(B1242,2))&lt;=9),"Adha Season","Normal"))</f>
        <v>Ramadan</v>
      </c>
      <c r="D1242" s="1" t="s">
        <v>45</v>
      </c>
      <c r="E1242" s="1" t="s">
        <v>528</v>
      </c>
      <c r="F1242" s="4" t="s">
        <v>462</v>
      </c>
      <c r="G1242" s="1">
        <v>22</v>
      </c>
      <c r="H1242" s="1">
        <v>20</v>
      </c>
      <c r="I1242" s="1">
        <f>grand[[#This Row],[number]]-grand[[#This Row],[received]]</f>
        <v>2</v>
      </c>
      <c r="J1242" s="64" t="s">
        <v>688</v>
      </c>
      <c r="K1242" s="2">
        <v>9387.3417721518981</v>
      </c>
      <c r="L1242" s="2">
        <v>9387.3417721518981</v>
      </c>
      <c r="M1242" s="2">
        <f>K1242-L1242</f>
        <v>0</v>
      </c>
      <c r="N1242" s="2">
        <v>5932.8</v>
      </c>
      <c r="O1242" s="2">
        <v>0</v>
      </c>
      <c r="P1242" s="7">
        <f>grand[[#This Row],[total weight]]/grand[[#This Row],[received]]</f>
        <v>469.36708860759489</v>
      </c>
      <c r="Q1242" s="7">
        <f>grand[[#This Row],[receiving weight]]/grand[[#This Row],[received]]</f>
        <v>469.36708860759489</v>
      </c>
      <c r="R1242" s="7">
        <f>grand[[#This Row],[transportation loss ]]/grand[[#This Row],[received]]</f>
        <v>0</v>
      </c>
      <c r="S1242" s="7">
        <f>grand[[#This Row],[ carcass weight]]/grand[[#This Row],[received]]</f>
        <v>296.64</v>
      </c>
      <c r="T1242" s="7">
        <f>grand[[#This Row],[ kidneys fat quantity]]/grand[[#This Row],[received]]</f>
        <v>0</v>
      </c>
      <c r="U1242" s="1">
        <v>25</v>
      </c>
      <c r="V1242" s="1">
        <v>4</v>
      </c>
      <c r="W1242" s="1">
        <v>50</v>
      </c>
      <c r="X1242" s="1">
        <v>10</v>
      </c>
      <c r="Y1242" s="1">
        <v>8.5</v>
      </c>
      <c r="Z1242" s="18">
        <f>grand[[#This Row],[av. Transportation loss]]/grand[[#This Row],[av.total weight]]</f>
        <v>0</v>
      </c>
      <c r="AA1242" s="12">
        <f>AVERAGE((grand[[#This Row],[am]]/25),(grand[[#This Row],[pm]]/50))</f>
        <v>1</v>
      </c>
      <c r="AB1242" s="3">
        <f>grand[[#This Row],[ carcass weight]]/grand[[#This Row],[total weight]]</f>
        <v>0.63200000000000001</v>
      </c>
      <c r="AC1242" s="18">
        <f>SUM(grand[[#This Row],[am]:[meat transportation]])/100</f>
        <v>0.97499999999999998</v>
      </c>
      <c r="AK1242" s="1"/>
      <c r="AL1242" s="1"/>
    </row>
    <row r="1243" spans="1:38" hidden="1" x14ac:dyDescent="0.2">
      <c r="A1243" s="11">
        <v>45736</v>
      </c>
      <c r="B1243" s="53" t="s">
        <v>2177</v>
      </c>
      <c r="C1243" s="52" t="str">
        <f>IF(MID(B1243,4,2)="09","Ramadan",IF(AND(MID(B1243,4,2)="12",VALUE(LEFT(B1243,2))&lt;=9),"Adha Season","Normal"))</f>
        <v>Ramadan</v>
      </c>
      <c r="D1243" s="2" t="s">
        <v>294</v>
      </c>
      <c r="F1243" s="4" t="s">
        <v>280</v>
      </c>
      <c r="G1243" s="1">
        <v>48</v>
      </c>
      <c r="H1243" s="1">
        <v>48</v>
      </c>
      <c r="I1243" s="1">
        <f>grand[[#This Row],[number]]-grand[[#This Row],[received]]</f>
        <v>0</v>
      </c>
      <c r="J1243" s="30"/>
      <c r="K1243" s="2">
        <v>2556</v>
      </c>
      <c r="L1243" s="2">
        <v>2490</v>
      </c>
      <c r="M1243" s="2">
        <f>K1243-L1243</f>
        <v>66</v>
      </c>
      <c r="N1243" s="2">
        <v>1401.3</v>
      </c>
      <c r="O1243" s="2">
        <v>0</v>
      </c>
      <c r="P1243" s="7">
        <f>grand[[#This Row],[total weight]]/grand[[#This Row],[received]]</f>
        <v>53.25</v>
      </c>
      <c r="Q1243" s="7">
        <f>grand[[#This Row],[receiving weight]]/grand[[#This Row],[received]]</f>
        <v>51.875</v>
      </c>
      <c r="R1243" s="7">
        <f>grand[[#This Row],[transportation loss ]]/grand[[#This Row],[received]]</f>
        <v>1.375</v>
      </c>
      <c r="S1243" s="7">
        <f>grand[[#This Row],[ carcass weight]]/grand[[#This Row],[received]]</f>
        <v>29.193749999999998</v>
      </c>
      <c r="T1243" s="7">
        <f>grand[[#This Row],[ kidneys fat quantity]]/grand[[#This Row],[received]]</f>
        <v>0</v>
      </c>
      <c r="U1243" s="1">
        <v>25</v>
      </c>
      <c r="V1243" s="1">
        <v>0</v>
      </c>
      <c r="W1243" s="1">
        <v>47.375</v>
      </c>
      <c r="X1243" s="1">
        <v>10</v>
      </c>
      <c r="Y1243" s="1">
        <v>8.5</v>
      </c>
      <c r="Z1243" s="18">
        <f>grand[[#This Row],[av. Transportation loss]]/grand[[#This Row],[av.total weight]]</f>
        <v>2.5821596244131457E-2</v>
      </c>
      <c r="AA1243" s="12">
        <f>AVERAGE((grand[[#This Row],[am]]/25),(grand[[#This Row],[pm]]/50))</f>
        <v>0.97375</v>
      </c>
      <c r="AB1243" s="3">
        <f>grand[[#This Row],[ carcass weight]]/grand[[#This Row],[total weight]]</f>
        <v>0.5482394366197183</v>
      </c>
      <c r="AC1243" s="18">
        <f>SUM(grand[[#This Row],[am]:[meat transportation]])/100</f>
        <v>0.90874999999999995</v>
      </c>
      <c r="AK1243" s="1"/>
      <c r="AL1243" s="1"/>
    </row>
    <row r="1244" spans="1:38" hidden="1" x14ac:dyDescent="0.2">
      <c r="A1244" s="11">
        <v>45736</v>
      </c>
      <c r="B1244" s="53" t="s">
        <v>2177</v>
      </c>
      <c r="C1244" s="52" t="str">
        <f>IF(MID(B1244,4,2)="09","Ramadan",IF(AND(MID(B1244,4,2)="12",VALUE(LEFT(B1244,2))&lt;=9),"Adha Season","Normal"))</f>
        <v>Ramadan</v>
      </c>
      <c r="D1244" s="1" t="s">
        <v>45</v>
      </c>
      <c r="E1244" s="1" t="s">
        <v>528</v>
      </c>
      <c r="F1244" s="4" t="s">
        <v>280</v>
      </c>
      <c r="G1244" s="1">
        <v>38</v>
      </c>
      <c r="H1244" s="1">
        <v>38</v>
      </c>
      <c r="I1244" s="1">
        <f>grand[[#This Row],[number]]-grand[[#This Row],[received]]</f>
        <v>0</v>
      </c>
      <c r="J1244" s="30"/>
      <c r="K1244" s="2">
        <v>21370</v>
      </c>
      <c r="L1244" s="2">
        <v>20914</v>
      </c>
      <c r="M1244" s="2">
        <f>K1244-L1244</f>
        <v>456</v>
      </c>
      <c r="N1244" s="2">
        <v>13272.1</v>
      </c>
      <c r="O1244" s="2">
        <v>219</v>
      </c>
      <c r="P1244" s="7">
        <f>grand[[#This Row],[total weight]]/grand[[#This Row],[received]]</f>
        <v>562.36842105263156</v>
      </c>
      <c r="Q1244" s="7">
        <f>grand[[#This Row],[receiving weight]]/grand[[#This Row],[received]]</f>
        <v>550.36842105263156</v>
      </c>
      <c r="R1244" s="7">
        <f>grand[[#This Row],[transportation loss ]]/grand[[#This Row],[received]]</f>
        <v>12</v>
      </c>
      <c r="S1244" s="7">
        <f>grand[[#This Row],[ carcass weight]]/grand[[#This Row],[received]]</f>
        <v>349.26578947368421</v>
      </c>
      <c r="T1244" s="7">
        <f>grand[[#This Row],[ kidneys fat quantity]]/grand[[#This Row],[received]]</f>
        <v>5.7631578947368425</v>
      </c>
      <c r="U1244" s="1">
        <v>24</v>
      </c>
      <c r="V1244" s="1">
        <v>0</v>
      </c>
      <c r="W1244" s="1">
        <v>48.868421052631575</v>
      </c>
      <c r="X1244" s="1">
        <v>10</v>
      </c>
      <c r="Y1244" s="1">
        <v>8.5</v>
      </c>
      <c r="Z1244" s="18">
        <f>grand[[#This Row],[av. Transportation loss]]/grand[[#This Row],[av.total weight]]</f>
        <v>2.1338324754328498E-2</v>
      </c>
      <c r="AA1244" s="12">
        <f>AVERAGE((grand[[#This Row],[am]]/25),(grand[[#This Row],[pm]]/50))</f>
        <v>0.96868421052631581</v>
      </c>
      <c r="AB1244" s="3">
        <f>grand[[#This Row],[ carcass weight]]/grand[[#This Row],[total weight]]</f>
        <v>0.62106223678053352</v>
      </c>
      <c r="AC1244" s="18">
        <f>SUM(grand[[#This Row],[am]:[meat transportation]])/100</f>
        <v>0.91368421052631577</v>
      </c>
      <c r="AJ1244" s="1">
        <v>2</v>
      </c>
      <c r="AK1244" s="1"/>
      <c r="AL1244" s="1"/>
    </row>
    <row r="1245" spans="1:38" hidden="1" x14ac:dyDescent="0.2">
      <c r="A1245" s="11">
        <v>45738</v>
      </c>
      <c r="B1245" s="53" t="s">
        <v>2178</v>
      </c>
      <c r="C1245" s="52" t="str">
        <f>IF(MID(B1245,4,2)="09","Ramadan",IF(AND(MID(B1245,4,2)="12",VALUE(LEFT(B1245,2))&lt;=9),"Adha Season","Normal"))</f>
        <v>Ramadan</v>
      </c>
      <c r="D1245" s="2" t="s">
        <v>294</v>
      </c>
      <c r="F1245" s="4" t="s">
        <v>280</v>
      </c>
      <c r="G1245" s="1">
        <v>30</v>
      </c>
      <c r="H1245" s="1">
        <v>30</v>
      </c>
      <c r="I1245" s="1">
        <f>grand[[#This Row],[number]]-grand[[#This Row],[received]]</f>
        <v>0</v>
      </c>
      <c r="J1245" s="30"/>
      <c r="K1245" s="2">
        <v>1582</v>
      </c>
      <c r="L1245" s="2">
        <v>1565</v>
      </c>
      <c r="M1245" s="2">
        <f>K1245-L1245</f>
        <v>17</v>
      </c>
      <c r="N1245" s="2">
        <v>913.1</v>
      </c>
      <c r="O1245" s="2">
        <v>0</v>
      </c>
      <c r="P1245" s="7">
        <f>grand[[#This Row],[total weight]]/grand[[#This Row],[received]]</f>
        <v>52.733333333333334</v>
      </c>
      <c r="Q1245" s="7">
        <f>grand[[#This Row],[receiving weight]]/grand[[#This Row],[received]]</f>
        <v>52.166666666666664</v>
      </c>
      <c r="R1245" s="7">
        <f>grand[[#This Row],[transportation loss ]]/grand[[#This Row],[received]]</f>
        <v>0.56666666666666665</v>
      </c>
      <c r="S1245" s="7">
        <f>grand[[#This Row],[ carcass weight]]/grand[[#This Row],[received]]</f>
        <v>30.436666666666667</v>
      </c>
      <c r="T1245" s="7">
        <f>grand[[#This Row],[ kidneys fat quantity]]/grand[[#This Row],[received]]</f>
        <v>0</v>
      </c>
      <c r="U1245" s="1">
        <v>25</v>
      </c>
      <c r="V1245" s="1">
        <v>0</v>
      </c>
      <c r="W1245" s="1">
        <v>47.800000000000004</v>
      </c>
      <c r="X1245" s="1">
        <v>10</v>
      </c>
      <c r="Y1245" s="1">
        <v>8.5</v>
      </c>
      <c r="Z1245" s="18">
        <f>grand[[#This Row],[av. Transportation loss]]/grand[[#This Row],[av.total weight]]</f>
        <v>1.0745891276864728E-2</v>
      </c>
      <c r="AA1245" s="12">
        <f>AVERAGE((grand[[#This Row],[am]]/25),(grand[[#This Row],[pm]]/50))</f>
        <v>0.97799999999999998</v>
      </c>
      <c r="AB1245" s="3">
        <f>grand[[#This Row],[ carcass weight]]/grand[[#This Row],[total weight]]</f>
        <v>0.57718078381795201</v>
      </c>
      <c r="AC1245" s="18">
        <f>SUM(grand[[#This Row],[am]:[meat transportation]])/100</f>
        <v>0.91300000000000014</v>
      </c>
      <c r="AK1245" s="1"/>
      <c r="AL1245" s="1"/>
    </row>
    <row r="1246" spans="1:38" hidden="1" x14ac:dyDescent="0.2">
      <c r="A1246" s="11">
        <v>45738</v>
      </c>
      <c r="B1246" s="53" t="s">
        <v>2178</v>
      </c>
      <c r="C1246" s="52" t="str">
        <f>IF(MID(B1246,4,2)="09","Ramadan",IF(AND(MID(B1246,4,2)="12",VALUE(LEFT(B1246,2))&lt;=9),"Adha Season","Normal"))</f>
        <v>Ramadan</v>
      </c>
      <c r="D1246" s="1" t="s">
        <v>45</v>
      </c>
      <c r="E1246" s="1" t="s">
        <v>528</v>
      </c>
      <c r="F1246" s="4" t="s">
        <v>280</v>
      </c>
      <c r="G1246" s="1">
        <v>22</v>
      </c>
      <c r="H1246" s="1">
        <v>22</v>
      </c>
      <c r="I1246" s="1">
        <f>grand[[#This Row],[number]]-grand[[#This Row],[received]]</f>
        <v>0</v>
      </c>
      <c r="J1246" s="30"/>
      <c r="K1246" s="2">
        <v>12570</v>
      </c>
      <c r="L1246" s="2">
        <v>12207</v>
      </c>
      <c r="M1246" s="2">
        <f>K1246-L1246</f>
        <v>363</v>
      </c>
      <c r="N1246" s="2">
        <v>7804</v>
      </c>
      <c r="O1246" s="2">
        <v>163</v>
      </c>
      <c r="P1246" s="7">
        <f>grand[[#This Row],[total weight]]/grand[[#This Row],[received]]</f>
        <v>571.36363636363637</v>
      </c>
      <c r="Q1246" s="7">
        <f>grand[[#This Row],[receiving weight]]/grand[[#This Row],[received]]</f>
        <v>554.86363636363637</v>
      </c>
      <c r="R1246" s="7">
        <f>grand[[#This Row],[transportation loss ]]/grand[[#This Row],[received]]</f>
        <v>16.5</v>
      </c>
      <c r="S1246" s="7">
        <f>grand[[#This Row],[ carcass weight]]/grand[[#This Row],[received]]</f>
        <v>354.72727272727275</v>
      </c>
      <c r="T1246" s="7">
        <f>grand[[#This Row],[ kidneys fat quantity]]/grand[[#This Row],[received]]</f>
        <v>7.4090909090909092</v>
      </c>
      <c r="U1246" s="1">
        <v>25</v>
      </c>
      <c r="V1246" s="1">
        <v>0</v>
      </c>
      <c r="W1246" s="1">
        <v>48.63636363636364</v>
      </c>
      <c r="X1246" s="1">
        <v>10</v>
      </c>
      <c r="Y1246" s="1">
        <v>8.5</v>
      </c>
      <c r="Z1246" s="18">
        <f>grand[[#This Row],[av. Transportation loss]]/grand[[#This Row],[av.total weight]]</f>
        <v>2.8878281622911693E-2</v>
      </c>
      <c r="AA1246" s="12">
        <f>AVERAGE((grand[[#This Row],[am]]/25),(grand[[#This Row],[pm]]/50))</f>
        <v>0.98636363636363633</v>
      </c>
      <c r="AB1246" s="3">
        <f>grand[[#This Row],[ carcass weight]]/grand[[#This Row],[total weight]]</f>
        <v>0.62084327764518699</v>
      </c>
      <c r="AC1246" s="18">
        <f>SUM(grand[[#This Row],[am]:[meat transportation]])/100</f>
        <v>0.92136363636363638</v>
      </c>
      <c r="AJ1246" s="1">
        <v>5</v>
      </c>
      <c r="AK1246" s="1"/>
      <c r="AL1246" s="1"/>
    </row>
    <row r="1247" spans="1:38" hidden="1" x14ac:dyDescent="0.2">
      <c r="A1247" s="11">
        <v>45738</v>
      </c>
      <c r="B1247" s="53" t="s">
        <v>2178</v>
      </c>
      <c r="C1247" s="52" t="str">
        <f>IF(MID(B1247,4,2)="09","Ramadan",IF(AND(MID(B1247,4,2)="12",VALUE(LEFT(B1247,2))&lt;=9),"Adha Season","Normal"))</f>
        <v>Ramadan</v>
      </c>
      <c r="D1247" s="1" t="s">
        <v>45</v>
      </c>
      <c r="E1247" s="1" t="s">
        <v>528</v>
      </c>
      <c r="F1247" s="4" t="s">
        <v>462</v>
      </c>
      <c r="G1247" s="1">
        <v>30</v>
      </c>
      <c r="H1247" s="1">
        <v>30</v>
      </c>
      <c r="I1247" s="1">
        <f>grand[[#This Row],[number]]-grand[[#This Row],[received]]</f>
        <v>0</v>
      </c>
      <c r="J1247" s="30"/>
      <c r="K1247" s="2">
        <v>13578.481012658227</v>
      </c>
      <c r="L1247" s="2">
        <v>13578.481012658227</v>
      </c>
      <c r="M1247" s="2">
        <f>K1247-L1247</f>
        <v>0</v>
      </c>
      <c r="N1247" s="2">
        <v>8581.6</v>
      </c>
      <c r="O1247" s="2">
        <v>0</v>
      </c>
      <c r="P1247" s="7">
        <f>grand[[#This Row],[total weight]]/grand[[#This Row],[received]]</f>
        <v>452.61603375527426</v>
      </c>
      <c r="Q1247" s="7">
        <f>grand[[#This Row],[receiving weight]]/grand[[#This Row],[received]]</f>
        <v>452.61603375527426</v>
      </c>
      <c r="R1247" s="7">
        <f>grand[[#This Row],[transportation loss ]]/grand[[#This Row],[received]]</f>
        <v>0</v>
      </c>
      <c r="S1247" s="7">
        <f>grand[[#This Row],[ carcass weight]]/grand[[#This Row],[received]]</f>
        <v>286.05333333333334</v>
      </c>
      <c r="T1247" s="7">
        <f>grand[[#This Row],[ kidneys fat quantity]]/grand[[#This Row],[received]]</f>
        <v>0</v>
      </c>
      <c r="U1247" s="1">
        <v>25</v>
      </c>
      <c r="V1247" s="1">
        <v>4</v>
      </c>
      <c r="W1247" s="1">
        <v>50</v>
      </c>
      <c r="X1247" s="1">
        <v>10</v>
      </c>
      <c r="Y1247" s="1">
        <v>8.5</v>
      </c>
      <c r="Z1247" s="18">
        <f>grand[[#This Row],[av. Transportation loss]]/grand[[#This Row],[av.total weight]]</f>
        <v>0</v>
      </c>
      <c r="AA1247" s="12">
        <f>AVERAGE((grand[[#This Row],[am]]/25),(grand[[#This Row],[pm]]/50))</f>
        <v>1</v>
      </c>
      <c r="AB1247" s="3">
        <f>grand[[#This Row],[ carcass weight]]/grand[[#This Row],[total weight]]</f>
        <v>0.63200000000000012</v>
      </c>
      <c r="AC1247" s="18">
        <f>SUM(grand[[#This Row],[am]:[meat transportation]])/100</f>
        <v>0.97499999999999998</v>
      </c>
      <c r="AK1247" s="1"/>
      <c r="AL1247" s="1"/>
    </row>
    <row r="1248" spans="1:38" hidden="1" x14ac:dyDescent="0.2">
      <c r="A1248" s="11">
        <v>45740</v>
      </c>
      <c r="B1248" s="53" t="s">
        <v>2179</v>
      </c>
      <c r="C1248" s="52" t="str">
        <f>IF(MID(B1248,4,2)="09","Ramadan",IF(AND(MID(B1248,4,2)="12",VALUE(LEFT(B1248,2))&lt;=9),"Adha Season","Normal"))</f>
        <v>Ramadan</v>
      </c>
      <c r="D1248" s="1" t="s">
        <v>45</v>
      </c>
      <c r="E1248" s="1" t="s">
        <v>483</v>
      </c>
      <c r="F1248" s="4" t="s">
        <v>46</v>
      </c>
      <c r="G1248" s="1">
        <v>24</v>
      </c>
      <c r="H1248" s="1">
        <v>24</v>
      </c>
      <c r="I1248" s="1">
        <f>grand[[#This Row],[number]]-grand[[#This Row],[received]]</f>
        <v>0</v>
      </c>
      <c r="J1248" s="30"/>
      <c r="K1248" s="2">
        <v>11267</v>
      </c>
      <c r="L1248" s="2">
        <v>10495</v>
      </c>
      <c r="M1248" s="2">
        <f>K1248-L1248</f>
        <v>772</v>
      </c>
      <c r="N1248" s="2">
        <v>6760.5</v>
      </c>
      <c r="O1248" s="2">
        <v>188</v>
      </c>
      <c r="P1248" s="7">
        <f>grand[[#This Row],[total weight]]/grand[[#This Row],[received]]</f>
        <v>469.45833333333331</v>
      </c>
      <c r="Q1248" s="7">
        <f>grand[[#This Row],[receiving weight]]/grand[[#This Row],[received]]</f>
        <v>437.29166666666669</v>
      </c>
      <c r="R1248" s="7">
        <f>grand[[#This Row],[transportation loss ]]/grand[[#This Row],[received]]</f>
        <v>32.166666666666664</v>
      </c>
      <c r="S1248" s="7">
        <f>grand[[#This Row],[ carcass weight]]/grand[[#This Row],[received]]</f>
        <v>281.6875</v>
      </c>
      <c r="T1248" s="7">
        <f>grand[[#This Row],[ kidneys fat quantity]]/grand[[#This Row],[received]]</f>
        <v>7.833333333333333</v>
      </c>
      <c r="U1248" s="1">
        <v>25</v>
      </c>
      <c r="V1248" s="1">
        <v>0</v>
      </c>
      <c r="W1248" s="1">
        <v>49.000000000000007</v>
      </c>
      <c r="X1248" s="1">
        <v>10</v>
      </c>
      <c r="Y1248" s="1">
        <v>8.5</v>
      </c>
      <c r="Z1248" s="18">
        <f>grand[[#This Row],[av. Transportation loss]]/grand[[#This Row],[av.total weight]]</f>
        <v>6.8518682879204748E-2</v>
      </c>
      <c r="AA1248" s="12">
        <f>AVERAGE((grand[[#This Row],[am]]/25),(grand[[#This Row],[pm]]/50))</f>
        <v>0.99</v>
      </c>
      <c r="AB1248" s="3">
        <f>grand[[#This Row],[ carcass weight]]/grand[[#This Row],[total weight]]</f>
        <v>0.60002662643117066</v>
      </c>
      <c r="AC1248" s="18">
        <f>SUM(grand[[#This Row],[am]:[meat transportation]])/100</f>
        <v>0.92500000000000004</v>
      </c>
      <c r="AK1248" s="1"/>
      <c r="AL1248" s="1"/>
    </row>
    <row r="1249" spans="1:38" hidden="1" x14ac:dyDescent="0.2">
      <c r="A1249" s="11">
        <v>45741</v>
      </c>
      <c r="B1249" s="53" t="s">
        <v>2180</v>
      </c>
      <c r="C1249" s="52" t="str">
        <f>IF(MID(B1249,4,2)="09","Ramadan",IF(AND(MID(B1249,4,2)="12",VALUE(LEFT(B1249,2))&lt;=9),"Adha Season","Normal"))</f>
        <v>Ramadan</v>
      </c>
      <c r="D1249" s="2" t="s">
        <v>294</v>
      </c>
      <c r="F1249" s="4" t="s">
        <v>656</v>
      </c>
      <c r="G1249" s="1">
        <v>52</v>
      </c>
      <c r="H1249" s="1">
        <v>52</v>
      </c>
      <c r="I1249" s="1">
        <f>grand[[#This Row],[number]]-grand[[#This Row],[received]]</f>
        <v>0</v>
      </c>
      <c r="J1249" s="30"/>
      <c r="K1249" s="2">
        <v>2720</v>
      </c>
      <c r="L1249" s="2">
        <v>2625</v>
      </c>
      <c r="M1249" s="2">
        <f>K1249-L1249</f>
        <v>95</v>
      </c>
      <c r="N1249" s="2">
        <v>1598</v>
      </c>
      <c r="O1249" s="2">
        <v>0</v>
      </c>
      <c r="P1249" s="7">
        <f>grand[[#This Row],[total weight]]/grand[[#This Row],[received]]</f>
        <v>52.307692307692307</v>
      </c>
      <c r="Q1249" s="7">
        <f>grand[[#This Row],[receiving weight]]/grand[[#This Row],[received]]</f>
        <v>50.480769230769234</v>
      </c>
      <c r="R1249" s="7">
        <f>grand[[#This Row],[transportation loss ]]/grand[[#This Row],[received]]</f>
        <v>1.8269230769230769</v>
      </c>
      <c r="S1249" s="7">
        <f>grand[[#This Row],[ carcass weight]]/grand[[#This Row],[received]]</f>
        <v>30.73076923076923</v>
      </c>
      <c r="T1249" s="7">
        <f>grand[[#This Row],[ kidneys fat quantity]]/grand[[#This Row],[received]]</f>
        <v>0</v>
      </c>
      <c r="U1249" s="1">
        <v>25</v>
      </c>
      <c r="V1249" s="1">
        <v>0</v>
      </c>
      <c r="W1249" s="1">
        <v>48.749999999999993</v>
      </c>
      <c r="X1249" s="1">
        <v>10</v>
      </c>
      <c r="Y1249" s="1">
        <v>8.5</v>
      </c>
      <c r="Z1249" s="18">
        <f>grand[[#This Row],[av. Transportation loss]]/grand[[#This Row],[av.total weight]]</f>
        <v>3.4926470588235295E-2</v>
      </c>
      <c r="AA1249" s="12">
        <f>AVERAGE((grand[[#This Row],[am]]/25),(grand[[#This Row],[pm]]/50))</f>
        <v>0.98749999999999993</v>
      </c>
      <c r="AB1249" s="3">
        <f>grand[[#This Row],[ carcass weight]]/grand[[#This Row],[total weight]]</f>
        <v>0.58750000000000002</v>
      </c>
      <c r="AC1249" s="18">
        <f>SUM(grand[[#This Row],[am]:[meat transportation]])/100</f>
        <v>0.92249999999999999</v>
      </c>
      <c r="AK1249" s="1"/>
      <c r="AL1249" s="1"/>
    </row>
    <row r="1250" spans="1:38" hidden="1" x14ac:dyDescent="0.2">
      <c r="A1250" s="11">
        <v>45741</v>
      </c>
      <c r="B1250" s="53" t="s">
        <v>2180</v>
      </c>
      <c r="C1250" s="52" t="str">
        <f>IF(MID(B1250,4,2)="09","Ramadan",IF(AND(MID(B1250,4,2)="12",VALUE(LEFT(B1250,2))&lt;=9),"Adha Season","Normal"))</f>
        <v>Ramadan</v>
      </c>
      <c r="D1250" s="1" t="s">
        <v>45</v>
      </c>
      <c r="E1250" s="1" t="s">
        <v>483</v>
      </c>
      <c r="F1250" s="4" t="s">
        <v>959</v>
      </c>
      <c r="G1250" s="1">
        <v>35</v>
      </c>
      <c r="H1250" s="1">
        <v>35</v>
      </c>
      <c r="I1250" s="1">
        <f>grand[[#This Row],[number]]-grand[[#This Row],[received]]</f>
        <v>0</v>
      </c>
      <c r="J1250" s="30"/>
      <c r="K1250" s="2">
        <v>16157</v>
      </c>
      <c r="L1250" s="2">
        <v>15540</v>
      </c>
      <c r="M1250" s="2">
        <f>K1250-L1250</f>
        <v>617</v>
      </c>
      <c r="N1250" s="2">
        <v>9879.5</v>
      </c>
      <c r="O1250" s="2">
        <v>235</v>
      </c>
      <c r="P1250" s="7">
        <f>grand[[#This Row],[total weight]]/grand[[#This Row],[received]]</f>
        <v>461.62857142857143</v>
      </c>
      <c r="Q1250" s="7">
        <f>grand[[#This Row],[receiving weight]]/grand[[#This Row],[received]]</f>
        <v>444</v>
      </c>
      <c r="R1250" s="7">
        <f>grand[[#This Row],[transportation loss ]]/grand[[#This Row],[received]]</f>
        <v>17.62857142857143</v>
      </c>
      <c r="S1250" s="7">
        <f>grand[[#This Row],[ carcass weight]]/grand[[#This Row],[received]]</f>
        <v>282.27142857142854</v>
      </c>
      <c r="T1250" s="7">
        <f>grand[[#This Row],[ kidneys fat quantity]]/grand[[#This Row],[received]]</f>
        <v>6.7142857142857144</v>
      </c>
      <c r="U1250" s="1">
        <v>25</v>
      </c>
      <c r="V1250" s="1">
        <v>0</v>
      </c>
      <c r="W1250" s="1">
        <v>48.828571428571429</v>
      </c>
      <c r="X1250" s="1">
        <v>10</v>
      </c>
      <c r="Y1250" s="1">
        <v>8.5</v>
      </c>
      <c r="Z1250" s="18">
        <f>grand[[#This Row],[av. Transportation loss]]/grand[[#This Row],[av.total weight]]</f>
        <v>3.8187782385343816E-2</v>
      </c>
      <c r="AA1250" s="12">
        <f>AVERAGE((grand[[#This Row],[am]]/25),(grand[[#This Row],[pm]]/50))</f>
        <v>0.98828571428571421</v>
      </c>
      <c r="AB1250" s="3">
        <f>grand[[#This Row],[ carcass weight]]/grand[[#This Row],[total weight]]</f>
        <v>0.61146871325122243</v>
      </c>
      <c r="AC1250" s="18">
        <f>SUM(grand[[#This Row],[am]:[meat transportation]])/100</f>
        <v>0.92328571428571427</v>
      </c>
      <c r="AK1250" s="1"/>
      <c r="AL1250" s="1"/>
    </row>
    <row r="1251" spans="1:38" hidden="1" x14ac:dyDescent="0.2">
      <c r="A1251" s="11">
        <v>45741</v>
      </c>
      <c r="B1251" s="53" t="s">
        <v>2180</v>
      </c>
      <c r="C1251" s="52" t="str">
        <f>IF(MID(B1251,4,2)="09","Ramadan",IF(AND(MID(B1251,4,2)="12",VALUE(LEFT(B1251,2))&lt;=9),"Adha Season","Normal"))</f>
        <v>Ramadan</v>
      </c>
      <c r="D1251" s="1" t="s">
        <v>45</v>
      </c>
      <c r="E1251" s="1" t="s">
        <v>483</v>
      </c>
      <c r="F1251" s="4" t="s">
        <v>39</v>
      </c>
      <c r="G1251" s="1">
        <v>62</v>
      </c>
      <c r="H1251" s="1">
        <v>60</v>
      </c>
      <c r="I1251" s="1">
        <f>grand[[#This Row],[number]]-grand[[#This Row],[received]]</f>
        <v>2</v>
      </c>
      <c r="J1251" s="64" t="s">
        <v>689</v>
      </c>
      <c r="K1251" s="2">
        <v>16960.142405063289</v>
      </c>
      <c r="L1251" s="2">
        <v>16960.142405063289</v>
      </c>
      <c r="M1251" s="2">
        <f>K1251-L1251</f>
        <v>0</v>
      </c>
      <c r="N1251" s="2">
        <v>10718.81</v>
      </c>
      <c r="O1251" s="2">
        <v>0</v>
      </c>
      <c r="P1251" s="7">
        <f>grand[[#This Row],[total weight]]/grand[[#This Row],[received]]</f>
        <v>282.66904008438814</v>
      </c>
      <c r="Q1251" s="7">
        <f>grand[[#This Row],[receiving weight]]/grand[[#This Row],[received]]</f>
        <v>282.66904008438814</v>
      </c>
      <c r="R1251" s="7">
        <f>grand[[#This Row],[transportation loss ]]/grand[[#This Row],[received]]</f>
        <v>0</v>
      </c>
      <c r="S1251" s="7">
        <f>grand[[#This Row],[ carcass weight]]/grand[[#This Row],[received]]</f>
        <v>178.64683333333332</v>
      </c>
      <c r="T1251" s="7">
        <f>grand[[#This Row],[ kidneys fat quantity]]/grand[[#This Row],[received]]</f>
        <v>0</v>
      </c>
      <c r="U1251" s="1">
        <v>24.833333333333332</v>
      </c>
      <c r="V1251" s="1">
        <v>5</v>
      </c>
      <c r="W1251" s="1">
        <v>50</v>
      </c>
      <c r="X1251" s="1">
        <v>10</v>
      </c>
      <c r="Y1251" s="1">
        <v>8.5</v>
      </c>
      <c r="Z1251" s="18">
        <f>grand[[#This Row],[av. Transportation loss]]/grand[[#This Row],[av.total weight]]</f>
        <v>0</v>
      </c>
      <c r="AA1251" s="12">
        <f>AVERAGE((grand[[#This Row],[am]]/25),(grand[[#This Row],[pm]]/50))</f>
        <v>0.99666666666666659</v>
      </c>
      <c r="AB1251" s="3">
        <f>grand[[#This Row],[ carcass weight]]/grand[[#This Row],[total weight]]</f>
        <v>0.63200000000000012</v>
      </c>
      <c r="AC1251" s="18">
        <f>SUM(grand[[#This Row],[am]:[meat transportation]])/100</f>
        <v>0.98333333333333328</v>
      </c>
      <c r="AK1251" s="1"/>
      <c r="AL1251" s="1"/>
    </row>
    <row r="1252" spans="1:38" hidden="1" x14ac:dyDescent="0.2">
      <c r="A1252" s="11">
        <v>45742</v>
      </c>
      <c r="B1252" s="53" t="s">
        <v>2181</v>
      </c>
      <c r="C1252" s="52" t="str">
        <f>IF(MID(B1252,4,2)="09","Ramadan",IF(AND(MID(B1252,4,2)="12",VALUE(LEFT(B1252,2))&lt;=9),"Adha Season","Normal"))</f>
        <v>Ramadan</v>
      </c>
      <c r="D1252" s="1" t="s">
        <v>45</v>
      </c>
      <c r="E1252" s="1" t="s">
        <v>528</v>
      </c>
      <c r="F1252" s="4" t="s">
        <v>462</v>
      </c>
      <c r="G1252" s="1">
        <v>20</v>
      </c>
      <c r="H1252" s="1">
        <v>20</v>
      </c>
      <c r="I1252" s="1">
        <f>grand[[#This Row],[number]]-grand[[#This Row],[received]]</f>
        <v>0</v>
      </c>
      <c r="J1252" s="30"/>
      <c r="K1252" s="2">
        <v>8960.1265822784808</v>
      </c>
      <c r="L1252" s="2">
        <v>8960.1265822784808</v>
      </c>
      <c r="M1252" s="2">
        <f>K1252-L1252</f>
        <v>0</v>
      </c>
      <c r="N1252" s="2">
        <v>5662.8</v>
      </c>
      <c r="O1252" s="2">
        <v>0</v>
      </c>
      <c r="P1252" s="7">
        <f>grand[[#This Row],[total weight]]/grand[[#This Row],[received]]</f>
        <v>448.00632911392404</v>
      </c>
      <c r="Q1252" s="7">
        <f>grand[[#This Row],[receiving weight]]/grand[[#This Row],[received]]</f>
        <v>448.00632911392404</v>
      </c>
      <c r="R1252" s="7">
        <f>grand[[#This Row],[transportation loss ]]/grand[[#This Row],[received]]</f>
        <v>0</v>
      </c>
      <c r="S1252" s="7">
        <f>grand[[#This Row],[ carcass weight]]/grand[[#This Row],[received]]</f>
        <v>283.14</v>
      </c>
      <c r="T1252" s="7">
        <f>grand[[#This Row],[ kidneys fat quantity]]/grand[[#This Row],[received]]</f>
        <v>0</v>
      </c>
      <c r="U1252" s="1">
        <v>25</v>
      </c>
      <c r="V1252" s="1">
        <v>4</v>
      </c>
      <c r="W1252" s="1">
        <v>50</v>
      </c>
      <c r="X1252" s="1">
        <v>10</v>
      </c>
      <c r="Y1252" s="1">
        <v>8.5</v>
      </c>
      <c r="Z1252" s="18">
        <f>grand[[#This Row],[av. Transportation loss]]/grand[[#This Row],[av.total weight]]</f>
        <v>0</v>
      </c>
      <c r="AA1252" s="12">
        <f>AVERAGE((grand[[#This Row],[am]]/25),(grand[[#This Row],[pm]]/50))</f>
        <v>1</v>
      </c>
      <c r="AB1252" s="3">
        <f>grand[[#This Row],[ carcass weight]]/grand[[#This Row],[total weight]]</f>
        <v>0.63200000000000001</v>
      </c>
      <c r="AC1252" s="18">
        <f>SUM(grand[[#This Row],[am]:[meat transportation]])/100</f>
        <v>0.97499999999999998</v>
      </c>
      <c r="AK1252" s="1"/>
      <c r="AL1252" s="1"/>
    </row>
    <row r="1253" spans="1:38" hidden="1" x14ac:dyDescent="0.2">
      <c r="A1253" s="11">
        <v>45742</v>
      </c>
      <c r="B1253" s="53" t="s">
        <v>2181</v>
      </c>
      <c r="C1253" s="52" t="str">
        <f>IF(MID(B1253,4,2)="09","Ramadan",IF(AND(MID(B1253,4,2)="12",VALUE(LEFT(B1253,2))&lt;=9),"Adha Season","Normal"))</f>
        <v>Ramadan</v>
      </c>
      <c r="D1253" s="1" t="s">
        <v>45</v>
      </c>
      <c r="E1253" s="1" t="s">
        <v>483</v>
      </c>
      <c r="F1253" s="4" t="s">
        <v>46</v>
      </c>
      <c r="G1253" s="1">
        <v>30</v>
      </c>
      <c r="H1253" s="1">
        <v>29</v>
      </c>
      <c r="I1253" s="1">
        <f>grand[[#This Row],[number]]-grand[[#This Row],[received]]</f>
        <v>1</v>
      </c>
      <c r="J1253" s="64" t="s">
        <v>690</v>
      </c>
      <c r="K1253" s="2">
        <v>14038</v>
      </c>
      <c r="L1253" s="2">
        <v>13550</v>
      </c>
      <c r="M1253" s="2">
        <f>K1253-L1253</f>
        <v>488</v>
      </c>
      <c r="N1253" s="2">
        <v>8422.9</v>
      </c>
      <c r="O1253" s="2">
        <v>251</v>
      </c>
      <c r="P1253" s="7">
        <f>grand[[#This Row],[total weight]]/grand[[#This Row],[received]]</f>
        <v>484.06896551724139</v>
      </c>
      <c r="Q1253" s="7">
        <f>grand[[#This Row],[receiving weight]]/grand[[#This Row],[received]]</f>
        <v>467.24137931034483</v>
      </c>
      <c r="R1253" s="7">
        <f>grand[[#This Row],[transportation loss ]]/grand[[#This Row],[received]]</f>
        <v>16.827586206896552</v>
      </c>
      <c r="S1253" s="7">
        <f>grand[[#This Row],[ carcass weight]]/grand[[#This Row],[received]]</f>
        <v>290.44482758620688</v>
      </c>
      <c r="T1253" s="7">
        <f>grand[[#This Row],[ kidneys fat quantity]]/grand[[#This Row],[received]]</f>
        <v>8.6551724137931032</v>
      </c>
      <c r="U1253" s="1">
        <v>25</v>
      </c>
      <c r="V1253" s="1">
        <v>0</v>
      </c>
      <c r="W1253" s="1">
        <v>49.862068965517238</v>
      </c>
      <c r="X1253" s="1">
        <v>9.8275862068965516</v>
      </c>
      <c r="Y1253" s="1">
        <v>8.5</v>
      </c>
      <c r="Z1253" s="18">
        <f>grand[[#This Row],[av. Transportation loss]]/grand[[#This Row],[av.total weight]]</f>
        <v>3.4762786721755236E-2</v>
      </c>
      <c r="AA1253" s="12">
        <f>AVERAGE((grand[[#This Row],[am]]/25),(grand[[#This Row],[pm]]/50))</f>
        <v>0.99862068965517237</v>
      </c>
      <c r="AB1253" s="3">
        <f>grand[[#This Row],[ carcass weight]]/grand[[#This Row],[total weight]]</f>
        <v>0.60000712352186913</v>
      </c>
      <c r="AC1253" s="18">
        <f>SUM(grand[[#This Row],[am]:[meat transportation]])/100</f>
        <v>0.93189655172413799</v>
      </c>
      <c r="AJ1253" s="1">
        <v>6</v>
      </c>
      <c r="AK1253" s="1"/>
      <c r="AL1253" s="1"/>
    </row>
    <row r="1254" spans="1:38" hidden="1" x14ac:dyDescent="0.2">
      <c r="A1254" s="11">
        <v>45743</v>
      </c>
      <c r="B1254" s="53" t="s">
        <v>2182</v>
      </c>
      <c r="C1254" s="52" t="str">
        <f>IF(MID(B1254,4,2)="09","Ramadan",IF(AND(MID(B1254,4,2)="12",VALUE(LEFT(B1254,2))&lt;=9),"Adha Season","Normal"))</f>
        <v>Ramadan</v>
      </c>
      <c r="D1254" s="1" t="s">
        <v>45</v>
      </c>
      <c r="E1254" s="1" t="s">
        <v>528</v>
      </c>
      <c r="F1254" s="4" t="s">
        <v>280</v>
      </c>
      <c r="G1254" s="1">
        <v>35</v>
      </c>
      <c r="H1254" s="1">
        <v>35</v>
      </c>
      <c r="I1254" s="1">
        <f>grand[[#This Row],[number]]-grand[[#This Row],[received]]</f>
        <v>0</v>
      </c>
      <c r="J1254" s="30"/>
      <c r="K1254" s="2">
        <v>21175</v>
      </c>
      <c r="L1254" s="2">
        <v>20760</v>
      </c>
      <c r="M1254" s="2">
        <f>K1254-L1254</f>
        <v>415</v>
      </c>
      <c r="N1254" s="2">
        <v>13077.6</v>
      </c>
      <c r="O1254" s="2">
        <v>253</v>
      </c>
      <c r="P1254" s="7">
        <f>grand[[#This Row],[total weight]]/grand[[#This Row],[received]]</f>
        <v>605</v>
      </c>
      <c r="Q1254" s="7">
        <f>grand[[#This Row],[receiving weight]]/grand[[#This Row],[received]]</f>
        <v>593.14285714285711</v>
      </c>
      <c r="R1254" s="7">
        <f>grand[[#This Row],[transportation loss ]]/grand[[#This Row],[received]]</f>
        <v>11.857142857142858</v>
      </c>
      <c r="S1254" s="7">
        <f>grand[[#This Row],[ carcass weight]]/grand[[#This Row],[received]]</f>
        <v>373.64571428571429</v>
      </c>
      <c r="T1254" s="7">
        <f>grand[[#This Row],[ kidneys fat quantity]]/grand[[#This Row],[received]]</f>
        <v>7.2285714285714286</v>
      </c>
      <c r="U1254" s="1">
        <v>25</v>
      </c>
      <c r="V1254" s="1">
        <v>0</v>
      </c>
      <c r="W1254" s="1">
        <v>47.800000000000004</v>
      </c>
      <c r="X1254" s="1">
        <v>10</v>
      </c>
      <c r="Y1254" s="1">
        <v>8.5</v>
      </c>
      <c r="Z1254" s="18">
        <f>grand[[#This Row],[av. Transportation loss]]/grand[[#This Row],[av.total weight]]</f>
        <v>1.9598583234946874E-2</v>
      </c>
      <c r="AA1254" s="12">
        <f>AVERAGE((grand[[#This Row],[am]]/25),(grand[[#This Row],[pm]]/50))</f>
        <v>0.97799999999999998</v>
      </c>
      <c r="AB1254" s="3">
        <f>grand[[#This Row],[ carcass weight]]/grand[[#This Row],[total weight]]</f>
        <v>0.6175962219598583</v>
      </c>
      <c r="AC1254" s="18">
        <f>SUM(grand[[#This Row],[am]:[meat transportation]])/100</f>
        <v>0.91300000000000014</v>
      </c>
      <c r="AJ1254" s="1">
        <v>11</v>
      </c>
      <c r="AK1254" s="1"/>
      <c r="AL1254" s="1"/>
    </row>
    <row r="1255" spans="1:38" hidden="1" x14ac:dyDescent="0.2">
      <c r="A1255" s="11">
        <v>45743</v>
      </c>
      <c r="B1255" s="53" t="s">
        <v>2182</v>
      </c>
      <c r="C1255" s="52" t="str">
        <f>IF(MID(B1255,4,2)="09","Ramadan",IF(AND(MID(B1255,4,2)="12",VALUE(LEFT(B1255,2))&lt;=9),"Adha Season","Normal"))</f>
        <v>Ramadan</v>
      </c>
      <c r="D1255" s="2" t="s">
        <v>294</v>
      </c>
      <c r="F1255" s="4" t="s">
        <v>280</v>
      </c>
      <c r="G1255" s="1">
        <v>55</v>
      </c>
      <c r="H1255" s="1">
        <v>51</v>
      </c>
      <c r="I1255" s="1">
        <f>grand[[#This Row],[number]]-grand[[#This Row],[received]]</f>
        <v>4</v>
      </c>
      <c r="J1255" s="64" t="s">
        <v>691</v>
      </c>
      <c r="K1255" s="2">
        <v>2863</v>
      </c>
      <c r="L1255" s="2">
        <v>2863</v>
      </c>
      <c r="M1255" s="2">
        <f>K1255-L1255</f>
        <v>0</v>
      </c>
      <c r="N1255" s="2">
        <v>1668.4</v>
      </c>
      <c r="O1255" s="2">
        <v>0</v>
      </c>
      <c r="P1255" s="7">
        <f>grand[[#This Row],[total weight]]/grand[[#This Row],[received]]</f>
        <v>56.137254901960787</v>
      </c>
      <c r="Q1255" s="7">
        <f>grand[[#This Row],[receiving weight]]/grand[[#This Row],[received]]</f>
        <v>56.137254901960787</v>
      </c>
      <c r="R1255" s="7">
        <f>grand[[#This Row],[transportation loss ]]/grand[[#This Row],[received]]</f>
        <v>0</v>
      </c>
      <c r="S1255" s="7">
        <f>grand[[#This Row],[ carcass weight]]/grand[[#This Row],[received]]</f>
        <v>32.713725490196083</v>
      </c>
      <c r="T1255" s="7">
        <f>grand[[#This Row],[ kidneys fat quantity]]/grand[[#This Row],[received]]</f>
        <v>0</v>
      </c>
      <c r="U1255" s="1">
        <v>25</v>
      </c>
      <c r="V1255" s="1">
        <v>0</v>
      </c>
      <c r="W1255" s="1">
        <v>45.529411764705884</v>
      </c>
      <c r="X1255" s="1">
        <v>10</v>
      </c>
      <c r="Y1255" s="1">
        <v>8.5</v>
      </c>
      <c r="Z1255" s="18">
        <f>grand[[#This Row],[av. Transportation loss]]/grand[[#This Row],[av.total weight]]</f>
        <v>0</v>
      </c>
      <c r="AA1255" s="12">
        <f>AVERAGE((grand[[#This Row],[am]]/25),(grand[[#This Row],[pm]]/50))</f>
        <v>0.95529411764705885</v>
      </c>
      <c r="AB1255" s="3">
        <f>grand[[#This Row],[ carcass weight]]/grand[[#This Row],[total weight]]</f>
        <v>0.58274537198742582</v>
      </c>
      <c r="AC1255" s="18">
        <f>SUM(grand[[#This Row],[am]:[meat transportation]])/100</f>
        <v>0.89029411764705879</v>
      </c>
      <c r="AK1255" s="1"/>
      <c r="AL1255" s="1"/>
    </row>
    <row r="1256" spans="1:38" hidden="1" x14ac:dyDescent="0.2">
      <c r="A1256" s="11">
        <v>45744</v>
      </c>
      <c r="B1256" s="53" t="s">
        <v>2183</v>
      </c>
      <c r="C1256" s="52" t="str">
        <f>IF(MID(B1256,4,2)="09","Ramadan",IF(AND(MID(B1256,4,2)="12",VALUE(LEFT(B1256,2))&lt;=9),"Adha Season","Normal"))</f>
        <v>Ramadan</v>
      </c>
      <c r="D1256" s="1" t="s">
        <v>45</v>
      </c>
      <c r="E1256" s="1" t="s">
        <v>528</v>
      </c>
      <c r="F1256" s="4" t="s">
        <v>280</v>
      </c>
      <c r="G1256" s="1">
        <v>39</v>
      </c>
      <c r="H1256" s="1">
        <v>39</v>
      </c>
      <c r="I1256" s="1">
        <f>grand[[#This Row],[number]]-grand[[#This Row],[received]]</f>
        <v>0</v>
      </c>
      <c r="J1256" s="30"/>
      <c r="K1256" s="2">
        <v>23100</v>
      </c>
      <c r="L1256" s="2">
        <v>19127</v>
      </c>
      <c r="M1256" s="2">
        <f>K1256-L1256</f>
        <v>3973</v>
      </c>
      <c r="N1256" s="2">
        <v>14269.1</v>
      </c>
      <c r="O1256" s="2">
        <v>0</v>
      </c>
      <c r="P1256" s="7">
        <f>grand[[#This Row],[total weight]]/grand[[#This Row],[received]]</f>
        <v>592.30769230769226</v>
      </c>
      <c r="Q1256" s="7">
        <f>grand[[#This Row],[receiving weight]]/grand[[#This Row],[received]]</f>
        <v>490.43589743589746</v>
      </c>
      <c r="R1256" s="7">
        <f>grand[[#This Row],[transportation loss ]]/grand[[#This Row],[received]]</f>
        <v>101.87179487179488</v>
      </c>
      <c r="S1256" s="7">
        <f>grand[[#This Row],[ carcass weight]]/grand[[#This Row],[received]]</f>
        <v>365.87435897435898</v>
      </c>
      <c r="T1256" s="7">
        <f>grand[[#This Row],[ kidneys fat quantity]]/grand[[#This Row],[received]]</f>
        <v>0</v>
      </c>
      <c r="U1256" s="1">
        <v>24.871794871794872</v>
      </c>
      <c r="V1256" s="1">
        <v>0</v>
      </c>
      <c r="W1256" s="1">
        <v>48.794871794871788</v>
      </c>
      <c r="X1256" s="1">
        <v>10</v>
      </c>
      <c r="Y1256" s="1">
        <v>8.5</v>
      </c>
      <c r="Z1256" s="18">
        <f>grand[[#This Row],[av. Transportation loss]]/grand[[#This Row],[av.total weight]]</f>
        <v>0.171991341991342</v>
      </c>
      <c r="AA1256" s="12">
        <f>AVERAGE((grand[[#This Row],[am]]/25),(grand[[#This Row],[pm]]/50))</f>
        <v>0.9853846153846153</v>
      </c>
      <c r="AB1256" s="3">
        <f>grand[[#This Row],[ carcass weight]]/grand[[#This Row],[total weight]]</f>
        <v>0.61770995670995676</v>
      </c>
      <c r="AC1256" s="18">
        <f>SUM(grand[[#This Row],[am]:[meat transportation]])/100</f>
        <v>0.92166666666666652</v>
      </c>
      <c r="AJ1256" s="1">
        <v>13</v>
      </c>
      <c r="AK1256" s="1"/>
      <c r="AL1256" s="1"/>
    </row>
    <row r="1257" spans="1:38" hidden="1" x14ac:dyDescent="0.2">
      <c r="A1257" s="11">
        <v>45744</v>
      </c>
      <c r="B1257" s="53" t="s">
        <v>2183</v>
      </c>
      <c r="C1257" s="52" t="str">
        <f>IF(MID(B1257,4,2)="09","Ramadan",IF(AND(MID(B1257,4,2)="12",VALUE(LEFT(B1257,2))&lt;=9),"Adha Season","Normal"))</f>
        <v>Ramadan</v>
      </c>
      <c r="D1257" s="2" t="s">
        <v>294</v>
      </c>
      <c r="F1257" s="4" t="s">
        <v>280</v>
      </c>
      <c r="G1257" s="1">
        <v>30</v>
      </c>
      <c r="H1257" s="1">
        <v>29</v>
      </c>
      <c r="I1257" s="1">
        <f>grand[[#This Row],[number]]-grand[[#This Row],[received]]</f>
        <v>1</v>
      </c>
      <c r="J1257" s="64" t="s">
        <v>692</v>
      </c>
      <c r="K1257" s="2">
        <v>1648</v>
      </c>
      <c r="L1257" s="2">
        <v>1648</v>
      </c>
      <c r="M1257" s="2">
        <f>K1257-L1257</f>
        <v>0</v>
      </c>
      <c r="N1257" s="2">
        <v>958.3</v>
      </c>
      <c r="O1257" s="2">
        <v>0</v>
      </c>
      <c r="P1257" s="7">
        <f>grand[[#This Row],[total weight]]/grand[[#This Row],[received]]</f>
        <v>56.827586206896555</v>
      </c>
      <c r="Q1257" s="7">
        <f>grand[[#This Row],[receiving weight]]/grand[[#This Row],[received]]</f>
        <v>56.827586206896555</v>
      </c>
      <c r="R1257" s="7">
        <f>grand[[#This Row],[transportation loss ]]/grand[[#This Row],[received]]</f>
        <v>0</v>
      </c>
      <c r="S1257" s="7">
        <f>grand[[#This Row],[ carcass weight]]/grand[[#This Row],[received]]</f>
        <v>33.044827586206893</v>
      </c>
      <c r="T1257" s="7">
        <f>grand[[#This Row],[ kidneys fat quantity]]/grand[[#This Row],[received]]</f>
        <v>0</v>
      </c>
      <c r="U1257" s="1">
        <v>25</v>
      </c>
      <c r="V1257" s="1">
        <v>0</v>
      </c>
      <c r="W1257" s="1">
        <v>46.689655172413794</v>
      </c>
      <c r="X1257" s="1">
        <v>10</v>
      </c>
      <c r="Y1257" s="1">
        <v>8.5</v>
      </c>
      <c r="Z1257" s="18">
        <f>grand[[#This Row],[av. Transportation loss]]/grand[[#This Row],[av.total weight]]</f>
        <v>0</v>
      </c>
      <c r="AA1257" s="12">
        <f>AVERAGE((grand[[#This Row],[am]]/25),(grand[[#This Row],[pm]]/50))</f>
        <v>0.96689655172413791</v>
      </c>
      <c r="AB1257" s="3">
        <f>grand[[#This Row],[ carcass weight]]/grand[[#This Row],[total weight]]</f>
        <v>0.58149271844660189</v>
      </c>
      <c r="AC1257" s="18">
        <f>SUM(grand[[#This Row],[am]:[meat transportation]])/100</f>
        <v>0.90189655172413796</v>
      </c>
      <c r="AK1257" s="1"/>
      <c r="AL1257" s="1"/>
    </row>
    <row r="1258" spans="1:38" hidden="1" x14ac:dyDescent="0.2">
      <c r="A1258" s="11">
        <v>45745</v>
      </c>
      <c r="B1258" s="53" t="s">
        <v>2184</v>
      </c>
      <c r="C1258" s="52" t="str">
        <f>IF(MID(B1258,4,2)="09","Ramadan",IF(AND(MID(B1258,4,2)="12",VALUE(LEFT(B1258,2))&lt;=9),"Adha Season","Normal"))</f>
        <v>Ramadan</v>
      </c>
      <c r="D1258" s="1" t="s">
        <v>45</v>
      </c>
      <c r="E1258" s="1" t="s">
        <v>483</v>
      </c>
      <c r="F1258" s="4" t="s">
        <v>576</v>
      </c>
      <c r="G1258" s="1">
        <v>74</v>
      </c>
      <c r="H1258" s="1">
        <v>74</v>
      </c>
      <c r="I1258" s="1">
        <f>grand[[#This Row],[number]]-grand[[#This Row],[received]]</f>
        <v>0</v>
      </c>
      <c r="J1258" s="30"/>
      <c r="K1258" s="2">
        <v>37874</v>
      </c>
      <c r="L1258" s="2">
        <v>37874</v>
      </c>
      <c r="M1258" s="2">
        <f>K1258-L1258</f>
        <v>0</v>
      </c>
      <c r="N1258" s="2">
        <v>23505.7</v>
      </c>
      <c r="O1258" s="2">
        <v>675</v>
      </c>
      <c r="P1258" s="7">
        <f>grand[[#This Row],[total weight]]/grand[[#This Row],[received]]</f>
        <v>511.81081081081084</v>
      </c>
      <c r="Q1258" s="7">
        <f>grand[[#This Row],[receiving weight]]/grand[[#This Row],[received]]</f>
        <v>511.81081081081084</v>
      </c>
      <c r="R1258" s="7">
        <f>grand[[#This Row],[transportation loss ]]/grand[[#This Row],[received]]</f>
        <v>0</v>
      </c>
      <c r="S1258" s="7">
        <f>grand[[#This Row],[ carcass weight]]/grand[[#This Row],[received]]</f>
        <v>317.64459459459459</v>
      </c>
      <c r="T1258" s="7">
        <f>grand[[#This Row],[ kidneys fat quantity]]/grand[[#This Row],[received]]</f>
        <v>9.121621621621621</v>
      </c>
      <c r="U1258" s="2">
        <v>25</v>
      </c>
      <c r="W1258" s="2">
        <v>49.8</v>
      </c>
      <c r="X1258">
        <v>10</v>
      </c>
      <c r="Y1258" s="8">
        <v>10</v>
      </c>
      <c r="Z1258" s="18">
        <f>grand[[#This Row],[av. Transportation loss]]/grand[[#This Row],[av.total weight]]</f>
        <v>0</v>
      </c>
      <c r="AA1258" s="12">
        <f>AVERAGE((grand[[#This Row],[am]]/25),(grand[[#This Row],[pm]]/50))</f>
        <v>0.998</v>
      </c>
      <c r="AB1258" s="3">
        <f>grand[[#This Row],[ carcass weight]]/grand[[#This Row],[total weight]]</f>
        <v>0.62062892749643561</v>
      </c>
      <c r="AC1258" s="18">
        <f>SUM(grand[[#This Row],[am]:[meat transportation]])/100</f>
        <v>0.94799999999999995</v>
      </c>
      <c r="AK1258" s="1"/>
      <c r="AL1258" s="1"/>
    </row>
    <row r="1259" spans="1:38" hidden="1" x14ac:dyDescent="0.2">
      <c r="A1259" s="11">
        <v>45748</v>
      </c>
      <c r="B1259" s="53" t="s">
        <v>2185</v>
      </c>
      <c r="C1259" s="52" t="str">
        <f>IF(MID(B1259,4,2)="09","Ramadan",IF(AND(MID(B1259,4,2)="12",VALUE(LEFT(B1259,2))&lt;=9),"Adha Season","Normal"))</f>
        <v>Normal</v>
      </c>
      <c r="D1259" s="1" t="s">
        <v>45</v>
      </c>
      <c r="E1259" s="1" t="s">
        <v>528</v>
      </c>
      <c r="F1259" s="4" t="s">
        <v>462</v>
      </c>
      <c r="G1259" s="1">
        <v>19</v>
      </c>
      <c r="H1259" s="1">
        <v>19</v>
      </c>
      <c r="I1259" s="1">
        <f>grand[[#This Row],[number]]-grand[[#This Row],[received]]</f>
        <v>0</v>
      </c>
      <c r="J1259" s="30"/>
      <c r="K1259" s="2">
        <v>8708.1861958266454</v>
      </c>
      <c r="L1259" s="2">
        <v>8708.1861958266454</v>
      </c>
      <c r="M1259" s="2">
        <f>K1259-L1259</f>
        <v>0</v>
      </c>
      <c r="N1259" s="2">
        <v>5425.2</v>
      </c>
      <c r="O1259" s="2">
        <v>0</v>
      </c>
      <c r="P1259" s="7">
        <f>grand[[#This Row],[total weight]]/grand[[#This Row],[received]]</f>
        <v>458.32558925403396</v>
      </c>
      <c r="Q1259" s="7">
        <f>grand[[#This Row],[receiving weight]]/grand[[#This Row],[received]]</f>
        <v>458.32558925403396</v>
      </c>
      <c r="R1259" s="7">
        <f>grand[[#This Row],[transportation loss ]]/grand[[#This Row],[received]]</f>
        <v>0</v>
      </c>
      <c r="S1259" s="7">
        <f>grand[[#This Row],[ carcass weight]]/grand[[#This Row],[received]]</f>
        <v>285.53684210526313</v>
      </c>
      <c r="T1259" s="7">
        <f>grand[[#This Row],[ kidneys fat quantity]]/grand[[#This Row],[received]]</f>
        <v>0</v>
      </c>
      <c r="U1259" s="1">
        <v>25</v>
      </c>
      <c r="V1259" s="1">
        <v>4</v>
      </c>
      <c r="W1259" s="1">
        <v>50</v>
      </c>
      <c r="X1259" s="1">
        <v>10</v>
      </c>
      <c r="Y1259" s="1">
        <v>8.5</v>
      </c>
      <c r="Z1259" s="18">
        <f>grand[[#This Row],[av. Transportation loss]]/grand[[#This Row],[av.total weight]]</f>
        <v>0</v>
      </c>
      <c r="AA1259" s="12">
        <f>AVERAGE((grand[[#This Row],[am]]/25),(grand[[#This Row],[pm]]/50))</f>
        <v>1</v>
      </c>
      <c r="AB1259" s="3">
        <f>grand[[#This Row],[ carcass weight]]/grand[[#This Row],[total weight]]</f>
        <v>0.623</v>
      </c>
      <c r="AC1259" s="18">
        <f>SUM(grand[[#This Row],[am]:[meat transportation]])/100</f>
        <v>0.97499999999999998</v>
      </c>
      <c r="AK1259" s="1"/>
      <c r="AL1259" s="1"/>
    </row>
    <row r="1260" spans="1:38" hidden="1" x14ac:dyDescent="0.2">
      <c r="A1260" s="11">
        <v>45752</v>
      </c>
      <c r="B1260" s="53" t="s">
        <v>2186</v>
      </c>
      <c r="C1260" s="52" t="str">
        <f>IF(MID(B1260,4,2)="09","Ramadan",IF(AND(MID(B1260,4,2)="12",VALUE(LEFT(B1260,2))&lt;=9),"Adha Season","Normal"))</f>
        <v>Normal</v>
      </c>
      <c r="D1260" s="1" t="s">
        <v>45</v>
      </c>
      <c r="E1260" s="1" t="s">
        <v>528</v>
      </c>
      <c r="F1260" s="4" t="s">
        <v>43</v>
      </c>
      <c r="G1260" s="1">
        <v>39</v>
      </c>
      <c r="H1260" s="1">
        <v>39</v>
      </c>
      <c r="I1260" s="1">
        <f>grand[[#This Row],[number]]-grand[[#This Row],[received]]</f>
        <v>0</v>
      </c>
      <c r="J1260" s="30"/>
      <c r="K1260" s="2">
        <v>24453</v>
      </c>
      <c r="L1260" s="2">
        <v>22925</v>
      </c>
      <c r="M1260" s="2">
        <f>K1260-L1260</f>
        <v>1528</v>
      </c>
      <c r="N1260" s="2">
        <v>15012.9</v>
      </c>
      <c r="O1260" s="2">
        <v>0</v>
      </c>
      <c r="P1260" s="7">
        <f>grand[[#This Row],[total weight]]/grand[[#This Row],[received]]</f>
        <v>627</v>
      </c>
      <c r="Q1260" s="7">
        <f>grand[[#This Row],[receiving weight]]/grand[[#This Row],[received]]</f>
        <v>587.82051282051282</v>
      </c>
      <c r="R1260" s="7">
        <f>grand[[#This Row],[transportation loss ]]/grand[[#This Row],[received]]</f>
        <v>39.179487179487182</v>
      </c>
      <c r="S1260" s="7">
        <f>grand[[#This Row],[ carcass weight]]/grand[[#This Row],[received]]</f>
        <v>384.94615384615383</v>
      </c>
      <c r="T1260" s="7">
        <f>grand[[#This Row],[ kidneys fat quantity]]/grand[[#This Row],[received]]</f>
        <v>0</v>
      </c>
      <c r="U1260" s="1">
        <v>20</v>
      </c>
      <c r="V1260" s="1">
        <v>0</v>
      </c>
      <c r="W1260" s="1">
        <v>46.794871794871796</v>
      </c>
      <c r="X1260" s="1">
        <v>10</v>
      </c>
      <c r="Y1260" s="1">
        <v>8.5</v>
      </c>
      <c r="Z1260" s="18">
        <f>grand[[#This Row],[av. Transportation loss]]/grand[[#This Row],[av.total weight]]</f>
        <v>6.2487220381957226E-2</v>
      </c>
      <c r="AA1260" s="12">
        <f>AVERAGE((grand[[#This Row],[am]]/25),(grand[[#This Row],[pm]]/50))</f>
        <v>0.86794871794871797</v>
      </c>
      <c r="AB1260" s="3">
        <f>grand[[#This Row],[ carcass weight]]/grand[[#This Row],[total weight]]</f>
        <v>0.61394920868605074</v>
      </c>
      <c r="AC1260" s="18">
        <f>SUM(grand[[#This Row],[am]:[meat transportation]])/100</f>
        <v>0.85294871794871796</v>
      </c>
      <c r="AJ1260" s="1">
        <v>14</v>
      </c>
      <c r="AK1260" s="1"/>
      <c r="AL1260" s="1"/>
    </row>
    <row r="1261" spans="1:38" hidden="1" x14ac:dyDescent="0.2">
      <c r="A1261" s="11">
        <v>45752</v>
      </c>
      <c r="B1261" s="53" t="s">
        <v>2186</v>
      </c>
      <c r="C1261" s="52" t="str">
        <f>IF(MID(B1261,4,2)="09","Ramadan",IF(AND(MID(B1261,4,2)="12",VALUE(LEFT(B1261,2))&lt;=9),"Adha Season","Normal"))</f>
        <v>Normal</v>
      </c>
      <c r="D1261" s="1" t="s">
        <v>45</v>
      </c>
      <c r="E1261" s="1" t="s">
        <v>528</v>
      </c>
      <c r="F1261" s="4" t="s">
        <v>462</v>
      </c>
      <c r="G1261" s="1">
        <v>48</v>
      </c>
      <c r="H1261" s="1">
        <v>48</v>
      </c>
      <c r="I1261" s="1">
        <f>grand[[#This Row],[number]]-grand[[#This Row],[received]]</f>
        <v>0</v>
      </c>
      <c r="J1261" s="30"/>
      <c r="K1261" s="2">
        <v>21706.012658227846</v>
      </c>
      <c r="L1261" s="2">
        <v>21706.012658227846</v>
      </c>
      <c r="M1261" s="2">
        <f>K1261-L1261</f>
        <v>0</v>
      </c>
      <c r="N1261" s="2">
        <v>13718.2</v>
      </c>
      <c r="O1261" s="2">
        <v>0</v>
      </c>
      <c r="P1261" s="7">
        <f>grand[[#This Row],[total weight]]/grand[[#This Row],[received]]</f>
        <v>452.20859704641344</v>
      </c>
      <c r="Q1261" s="7">
        <f>grand[[#This Row],[receiving weight]]/grand[[#This Row],[received]]</f>
        <v>452.20859704641344</v>
      </c>
      <c r="R1261" s="7">
        <f>grand[[#This Row],[transportation loss ]]/grand[[#This Row],[received]]</f>
        <v>0</v>
      </c>
      <c r="S1261" s="7">
        <f>grand[[#This Row],[ carcass weight]]/grand[[#This Row],[received]]</f>
        <v>285.79583333333335</v>
      </c>
      <c r="T1261" s="7">
        <f>grand[[#This Row],[ kidneys fat quantity]]/grand[[#This Row],[received]]</f>
        <v>0</v>
      </c>
      <c r="U1261" s="1">
        <v>25</v>
      </c>
      <c r="V1261" s="1">
        <v>4</v>
      </c>
      <c r="W1261" s="1">
        <v>49.895833333333329</v>
      </c>
      <c r="X1261" s="1">
        <v>10</v>
      </c>
      <c r="Y1261" s="1">
        <v>8.5</v>
      </c>
      <c r="Z1261" s="18">
        <f>grand[[#This Row],[av. Transportation loss]]/grand[[#This Row],[av.total weight]]</f>
        <v>0</v>
      </c>
      <c r="AA1261" s="12">
        <f>AVERAGE((grand[[#This Row],[am]]/25),(grand[[#This Row],[pm]]/50))</f>
        <v>0.99895833333333328</v>
      </c>
      <c r="AB1261" s="3">
        <f>grand[[#This Row],[ carcass weight]]/grand[[#This Row],[total weight]]</f>
        <v>0.63200000000000012</v>
      </c>
      <c r="AC1261" s="18">
        <f>SUM(grand[[#This Row],[am]:[meat transportation]])/100</f>
        <v>0.97395833333333326</v>
      </c>
      <c r="AK1261" s="1"/>
      <c r="AL1261" s="1"/>
    </row>
    <row r="1262" spans="1:38" hidden="1" x14ac:dyDescent="0.2">
      <c r="A1262" s="11">
        <v>45753</v>
      </c>
      <c r="B1262" s="53" t="s">
        <v>2187</v>
      </c>
      <c r="C1262" s="52" t="str">
        <f>IF(MID(B1262,4,2)="09","Ramadan",IF(AND(MID(B1262,4,2)="12",VALUE(LEFT(B1262,2))&lt;=9),"Adha Season","Normal"))</f>
        <v>Normal</v>
      </c>
      <c r="D1262" s="1" t="s">
        <v>45</v>
      </c>
      <c r="E1262" s="1" t="s">
        <v>528</v>
      </c>
      <c r="F1262" s="4" t="s">
        <v>462</v>
      </c>
      <c r="G1262" s="1">
        <v>45</v>
      </c>
      <c r="H1262" s="1">
        <v>45</v>
      </c>
      <c r="I1262" s="1">
        <f>grand[[#This Row],[number]]-grand[[#This Row],[received]]</f>
        <v>0</v>
      </c>
      <c r="J1262" s="30"/>
      <c r="K1262" s="2">
        <v>20283.227848101265</v>
      </c>
      <c r="L1262" s="2">
        <v>20283.227848101265</v>
      </c>
      <c r="M1262" s="2">
        <f>K1262-L1262</f>
        <v>0</v>
      </c>
      <c r="N1262" s="2">
        <v>12819</v>
      </c>
      <c r="O1262" s="2">
        <v>0</v>
      </c>
      <c r="P1262" s="7">
        <f>grand[[#This Row],[total weight]]/grand[[#This Row],[received]]</f>
        <v>450.73839662447256</v>
      </c>
      <c r="Q1262" s="7">
        <f>grand[[#This Row],[receiving weight]]/grand[[#This Row],[received]]</f>
        <v>450.73839662447256</v>
      </c>
      <c r="R1262" s="7">
        <f>grand[[#This Row],[transportation loss ]]/grand[[#This Row],[received]]</f>
        <v>0</v>
      </c>
      <c r="S1262" s="7">
        <f>grand[[#This Row],[ carcass weight]]/grand[[#This Row],[received]]</f>
        <v>284.86666666666667</v>
      </c>
      <c r="T1262" s="7">
        <f>grand[[#This Row],[ kidneys fat quantity]]/grand[[#This Row],[received]]</f>
        <v>0</v>
      </c>
      <c r="U1262" s="1">
        <v>24.888888888888889</v>
      </c>
      <c r="V1262" s="1">
        <v>4</v>
      </c>
      <c r="W1262" s="1">
        <v>50</v>
      </c>
      <c r="X1262" s="1">
        <v>9.6666666666666679</v>
      </c>
      <c r="Y1262" s="1">
        <v>8.5</v>
      </c>
      <c r="Z1262" s="18">
        <f>grand[[#This Row],[av. Transportation loss]]/grand[[#This Row],[av.total weight]]</f>
        <v>0</v>
      </c>
      <c r="AA1262" s="12">
        <f>AVERAGE((grand[[#This Row],[am]]/25),(grand[[#This Row],[pm]]/50))</f>
        <v>0.99777777777777776</v>
      </c>
      <c r="AB1262" s="3">
        <f>grand[[#This Row],[ carcass weight]]/grand[[#This Row],[total weight]]</f>
        <v>0.63200000000000001</v>
      </c>
      <c r="AC1262" s="18">
        <f>SUM(grand[[#This Row],[am]:[meat transportation]])/100</f>
        <v>0.97055555555555562</v>
      </c>
      <c r="AK1262" s="1"/>
      <c r="AL1262" s="1"/>
    </row>
    <row r="1263" spans="1:38" hidden="1" x14ac:dyDescent="0.2">
      <c r="A1263" s="11">
        <v>45755</v>
      </c>
      <c r="B1263" s="53" t="s">
        <v>2188</v>
      </c>
      <c r="C1263" s="52" t="str">
        <f>IF(MID(B1263,4,2)="09","Ramadan",IF(AND(MID(B1263,4,2)="12",VALUE(LEFT(B1263,2))&lt;=9),"Adha Season","Normal"))</f>
        <v>Normal</v>
      </c>
      <c r="D1263" s="2" t="s">
        <v>294</v>
      </c>
      <c r="F1263" s="4" t="s">
        <v>656</v>
      </c>
      <c r="G1263" s="1">
        <v>33</v>
      </c>
      <c r="H1263" s="1">
        <v>33</v>
      </c>
      <c r="I1263" s="1">
        <f>grand[[#This Row],[number]]-grand[[#This Row],[received]]</f>
        <v>0</v>
      </c>
      <c r="J1263" s="30"/>
      <c r="K1263" s="2">
        <v>1770</v>
      </c>
      <c r="L1263" s="2">
        <v>1740</v>
      </c>
      <c r="M1263" s="2">
        <f>K1263-L1263</f>
        <v>30</v>
      </c>
      <c r="N1263" s="2">
        <v>978.5</v>
      </c>
      <c r="O1263" s="2">
        <v>0</v>
      </c>
      <c r="P1263" s="7">
        <f>grand[[#This Row],[total weight]]/grand[[#This Row],[received]]</f>
        <v>53.636363636363633</v>
      </c>
      <c r="Q1263" s="7">
        <f>grand[[#This Row],[receiving weight]]/grand[[#This Row],[received]]</f>
        <v>52.727272727272727</v>
      </c>
      <c r="R1263" s="7">
        <f>grand[[#This Row],[transportation loss ]]/grand[[#This Row],[received]]</f>
        <v>0.90909090909090906</v>
      </c>
      <c r="S1263" s="7">
        <f>grand[[#This Row],[ carcass weight]]/grand[[#This Row],[received]]</f>
        <v>29.651515151515152</v>
      </c>
      <c r="T1263" s="7">
        <f>grand[[#This Row],[ kidneys fat quantity]]/grand[[#This Row],[received]]</f>
        <v>0</v>
      </c>
      <c r="U1263" s="1">
        <v>25</v>
      </c>
      <c r="V1263" s="1">
        <v>0</v>
      </c>
      <c r="W1263" s="1">
        <v>46.212121212121211</v>
      </c>
      <c r="X1263" s="1">
        <v>10</v>
      </c>
      <c r="Y1263" s="1">
        <v>8.5</v>
      </c>
      <c r="Z1263" s="18">
        <f>grand[[#This Row],[av. Transportation loss]]/grand[[#This Row],[av.total weight]]</f>
        <v>1.6949152542372881E-2</v>
      </c>
      <c r="AA1263" s="12">
        <f>AVERAGE((grand[[#This Row],[am]]/25),(grand[[#This Row],[pm]]/50))</f>
        <v>0.96212121212121215</v>
      </c>
      <c r="AB1263" s="3">
        <f>grand[[#This Row],[ carcass weight]]/grand[[#This Row],[total weight]]</f>
        <v>0.55282485875706211</v>
      </c>
      <c r="AC1263" s="18">
        <f>SUM(grand[[#This Row],[am]:[meat transportation]])/100</f>
        <v>0.89712121212121221</v>
      </c>
      <c r="AK1263" s="1"/>
      <c r="AL1263" s="1"/>
    </row>
    <row r="1264" spans="1:38" hidden="1" x14ac:dyDescent="0.2">
      <c r="A1264" s="11">
        <v>45755</v>
      </c>
      <c r="B1264" s="53" t="s">
        <v>2188</v>
      </c>
      <c r="C1264" s="52" t="str">
        <f>IF(MID(B1264,4,2)="09","Ramadan",IF(AND(MID(B1264,4,2)="12",VALUE(LEFT(B1264,2))&lt;=9),"Adha Season","Normal"))</f>
        <v>Normal</v>
      </c>
      <c r="D1264" s="1" t="s">
        <v>45</v>
      </c>
      <c r="E1264" s="1" t="s">
        <v>483</v>
      </c>
      <c r="F1264" s="4" t="s">
        <v>959</v>
      </c>
      <c r="G1264" s="1">
        <v>52</v>
      </c>
      <c r="H1264" s="1">
        <v>52</v>
      </c>
      <c r="I1264" s="1">
        <f>grand[[#This Row],[number]]-grand[[#This Row],[received]]</f>
        <v>0</v>
      </c>
      <c r="J1264" s="30"/>
      <c r="K1264" s="2">
        <v>23317</v>
      </c>
      <c r="L1264" s="2">
        <v>22630</v>
      </c>
      <c r="M1264" s="2">
        <f>K1264-L1264</f>
        <v>687</v>
      </c>
      <c r="N1264" s="2">
        <v>13990</v>
      </c>
      <c r="O1264" s="2">
        <v>389</v>
      </c>
      <c r="P1264" s="7">
        <f>grand[[#This Row],[total weight]]/grand[[#This Row],[received]]</f>
        <v>448.40384615384613</v>
      </c>
      <c r="Q1264" s="7">
        <f>grand[[#This Row],[receiving weight]]/grand[[#This Row],[received]]</f>
        <v>435.19230769230768</v>
      </c>
      <c r="R1264" s="7">
        <f>grand[[#This Row],[transportation loss ]]/grand[[#This Row],[received]]</f>
        <v>13.211538461538462</v>
      </c>
      <c r="S1264" s="7">
        <f>grand[[#This Row],[ carcass weight]]/grand[[#This Row],[received]]</f>
        <v>269.03846153846155</v>
      </c>
      <c r="T1264" s="7">
        <f>grand[[#This Row],[ kidneys fat quantity]]/grand[[#This Row],[received]]</f>
        <v>7.4807692307692308</v>
      </c>
      <c r="U1264" s="1">
        <v>25</v>
      </c>
      <c r="V1264" s="1">
        <v>0</v>
      </c>
      <c r="W1264" s="1">
        <v>48.326923076923073</v>
      </c>
      <c r="X1264" s="1">
        <v>10</v>
      </c>
      <c r="Y1264" s="1">
        <v>8.5</v>
      </c>
      <c r="Z1264" s="18">
        <f>grand[[#This Row],[av. Transportation loss]]/grand[[#This Row],[av.total weight]]</f>
        <v>2.9463481579963119E-2</v>
      </c>
      <c r="AA1264" s="12">
        <f>AVERAGE((grand[[#This Row],[am]]/25),(grand[[#This Row],[pm]]/50))</f>
        <v>0.98326923076923078</v>
      </c>
      <c r="AB1264" s="3">
        <f>grand[[#This Row],[ carcass weight]]/grand[[#This Row],[total weight]]</f>
        <v>0.5999914225672256</v>
      </c>
      <c r="AC1264" s="18">
        <f>SUM(grand[[#This Row],[am]:[meat transportation]])/100</f>
        <v>0.91826923076923062</v>
      </c>
      <c r="AK1264" s="1"/>
      <c r="AL1264" s="1"/>
    </row>
    <row r="1265" spans="1:38" hidden="1" x14ac:dyDescent="0.2">
      <c r="A1265" s="11">
        <v>45756</v>
      </c>
      <c r="B1265" s="53" t="s">
        <v>2189</v>
      </c>
      <c r="C1265" s="52" t="str">
        <f>IF(MID(B1265,4,2)="09","Ramadan",IF(AND(MID(B1265,4,2)="12",VALUE(LEFT(B1265,2))&lt;=9),"Adha Season","Normal"))</f>
        <v>Normal</v>
      </c>
      <c r="D1265" s="2" t="s">
        <v>294</v>
      </c>
      <c r="F1265" s="4" t="s">
        <v>656</v>
      </c>
      <c r="G1265" s="1">
        <v>32</v>
      </c>
      <c r="H1265" s="1">
        <v>32</v>
      </c>
      <c r="I1265" s="1">
        <f>grand[[#This Row],[number]]-grand[[#This Row],[received]]</f>
        <v>0</v>
      </c>
      <c r="J1265" s="30"/>
      <c r="K1265" s="2">
        <v>1755</v>
      </c>
      <c r="L1265" s="2">
        <v>1755</v>
      </c>
      <c r="M1265" s="2">
        <f>K1265-L1265</f>
        <v>0</v>
      </c>
      <c r="N1265" s="2">
        <v>982.7</v>
      </c>
      <c r="O1265" s="2">
        <v>0</v>
      </c>
      <c r="P1265" s="7">
        <f>grand[[#This Row],[total weight]]/grand[[#This Row],[received]]</f>
        <v>54.84375</v>
      </c>
      <c r="Q1265" s="7">
        <f>grand[[#This Row],[receiving weight]]/grand[[#This Row],[received]]</f>
        <v>54.84375</v>
      </c>
      <c r="R1265" s="7">
        <f>grand[[#This Row],[transportation loss ]]/grand[[#This Row],[received]]</f>
        <v>0</v>
      </c>
      <c r="S1265" s="7">
        <f>grand[[#This Row],[ carcass weight]]/grand[[#This Row],[received]]</f>
        <v>30.709375000000001</v>
      </c>
      <c r="T1265" s="7">
        <f>grand[[#This Row],[ kidneys fat quantity]]/grand[[#This Row],[received]]</f>
        <v>0</v>
      </c>
      <c r="U1265" s="1">
        <v>25</v>
      </c>
      <c r="V1265" s="1">
        <v>0</v>
      </c>
      <c r="W1265" s="1">
        <v>46.6875</v>
      </c>
      <c r="X1265" s="1">
        <v>10</v>
      </c>
      <c r="Y1265" s="1">
        <v>8.5</v>
      </c>
      <c r="Z1265" s="18">
        <f>grand[[#This Row],[av. Transportation loss]]/grand[[#This Row],[av.total weight]]</f>
        <v>0</v>
      </c>
      <c r="AA1265" s="12">
        <f>AVERAGE((grand[[#This Row],[am]]/25),(grand[[#This Row],[pm]]/50))</f>
        <v>0.96687499999999993</v>
      </c>
      <c r="AB1265" s="3">
        <f>grand[[#This Row],[ carcass weight]]/grand[[#This Row],[total weight]]</f>
        <v>0.55994301994301998</v>
      </c>
      <c r="AC1265" s="18">
        <f>SUM(grand[[#This Row],[am]:[meat transportation]])/100</f>
        <v>0.90187499999999998</v>
      </c>
      <c r="AK1265" s="1"/>
      <c r="AL1265" s="1"/>
    </row>
    <row r="1266" spans="1:38" hidden="1" x14ac:dyDescent="0.2">
      <c r="A1266" s="11">
        <v>45756</v>
      </c>
      <c r="B1266" s="53" t="s">
        <v>2189</v>
      </c>
      <c r="C1266" s="52" t="str">
        <f>IF(MID(B1266,4,2)="09","Ramadan",IF(AND(MID(B1266,4,2)="12",VALUE(LEFT(B1266,2))&lt;=9),"Adha Season","Normal"))</f>
        <v>Normal</v>
      </c>
      <c r="D1266" s="1" t="s">
        <v>45</v>
      </c>
      <c r="E1266" s="1" t="s">
        <v>483</v>
      </c>
      <c r="F1266" s="4" t="s">
        <v>959</v>
      </c>
      <c r="G1266" s="1">
        <v>34</v>
      </c>
      <c r="H1266" s="1">
        <v>32</v>
      </c>
      <c r="I1266" s="1">
        <f>grand[[#This Row],[number]]-grand[[#This Row],[received]]</f>
        <v>2</v>
      </c>
      <c r="J1266" s="64" t="s">
        <v>693</v>
      </c>
      <c r="K1266" s="2">
        <v>13793</v>
      </c>
      <c r="L1266" s="2">
        <v>13098</v>
      </c>
      <c r="M1266" s="2">
        <f>K1266-L1266</f>
        <v>695</v>
      </c>
      <c r="N1266" s="2">
        <v>8283.7999999999993</v>
      </c>
      <c r="O1266" s="2">
        <v>0</v>
      </c>
      <c r="P1266" s="7">
        <f>grand[[#This Row],[total weight]]/grand[[#This Row],[received]]</f>
        <v>431.03125</v>
      </c>
      <c r="Q1266" s="7">
        <f>grand[[#This Row],[receiving weight]]/grand[[#This Row],[received]]</f>
        <v>409.3125</v>
      </c>
      <c r="R1266" s="7">
        <f>grand[[#This Row],[transportation loss ]]/grand[[#This Row],[received]]</f>
        <v>21.71875</v>
      </c>
      <c r="S1266" s="7">
        <f>grand[[#This Row],[ carcass weight]]/grand[[#This Row],[received]]</f>
        <v>258.86874999999998</v>
      </c>
      <c r="T1266" s="7">
        <f>grand[[#This Row],[ kidneys fat quantity]]/grand[[#This Row],[received]]</f>
        <v>0</v>
      </c>
      <c r="U1266" s="1">
        <v>25</v>
      </c>
      <c r="V1266" s="1">
        <v>0</v>
      </c>
      <c r="W1266" s="1">
        <v>49.09375</v>
      </c>
      <c r="X1266" s="1">
        <v>10</v>
      </c>
      <c r="Y1266" s="1">
        <v>8.5</v>
      </c>
      <c r="Z1266" s="18">
        <f>grand[[#This Row],[av. Transportation loss]]/grand[[#This Row],[av.total weight]]</f>
        <v>5.0387877909084319E-2</v>
      </c>
      <c r="AA1266" s="12">
        <f>AVERAGE((grand[[#This Row],[am]]/25),(grand[[#This Row],[pm]]/50))</f>
        <v>0.99093750000000003</v>
      </c>
      <c r="AB1266" s="3">
        <f>grand[[#This Row],[ carcass weight]]/grand[[#This Row],[total weight]]</f>
        <v>0.60058000435003256</v>
      </c>
      <c r="AC1266" s="18">
        <f>SUM(grand[[#This Row],[am]:[meat transportation]])/100</f>
        <v>0.92593749999999997</v>
      </c>
      <c r="AK1266" s="1"/>
      <c r="AL1266" s="1"/>
    </row>
    <row r="1267" spans="1:38" hidden="1" x14ac:dyDescent="0.2">
      <c r="A1267" s="11">
        <v>45757</v>
      </c>
      <c r="B1267" s="53" t="s">
        <v>2190</v>
      </c>
      <c r="C1267" s="52" t="str">
        <f>IF(MID(B1267,4,2)="09","Ramadan",IF(AND(MID(B1267,4,2)="12",VALUE(LEFT(B1267,2))&lt;=9),"Adha Season","Normal"))</f>
        <v>Normal</v>
      </c>
      <c r="D1267" s="2" t="s">
        <v>294</v>
      </c>
      <c r="F1267" s="4" t="s">
        <v>280</v>
      </c>
      <c r="G1267" s="1">
        <v>35</v>
      </c>
      <c r="H1267" s="1">
        <v>35</v>
      </c>
      <c r="I1267" s="1">
        <f>grand[[#This Row],[number]]-grand[[#This Row],[received]]</f>
        <v>0</v>
      </c>
      <c r="J1267" s="30"/>
      <c r="K1267" s="2">
        <v>1995</v>
      </c>
      <c r="L1267" s="2">
        <v>1980</v>
      </c>
      <c r="M1267" s="2">
        <f>K1267-L1267</f>
        <v>15</v>
      </c>
      <c r="N1267" s="2">
        <v>1144.3</v>
      </c>
      <c r="O1267" s="2">
        <v>0</v>
      </c>
      <c r="P1267" s="7">
        <f>grand[[#This Row],[total weight]]/grand[[#This Row],[received]]</f>
        <v>57</v>
      </c>
      <c r="Q1267" s="7">
        <f>grand[[#This Row],[receiving weight]]/grand[[#This Row],[received]]</f>
        <v>56.571428571428569</v>
      </c>
      <c r="R1267" s="7">
        <f>grand[[#This Row],[transportation loss ]]/grand[[#This Row],[received]]</f>
        <v>0.42857142857142855</v>
      </c>
      <c r="S1267" s="7">
        <f>grand[[#This Row],[ carcass weight]]/grand[[#This Row],[received]]</f>
        <v>32.694285714285712</v>
      </c>
      <c r="T1267" s="7">
        <f>grand[[#This Row],[ kidneys fat quantity]]/grand[[#This Row],[received]]</f>
        <v>0</v>
      </c>
      <c r="U1267" s="1">
        <v>25</v>
      </c>
      <c r="V1267" s="1">
        <v>0</v>
      </c>
      <c r="W1267" s="1">
        <v>48.257142857142853</v>
      </c>
      <c r="X1267" s="1">
        <v>10</v>
      </c>
      <c r="Y1267" s="1">
        <v>8.5</v>
      </c>
      <c r="Z1267" s="18">
        <f>grand[[#This Row],[av. Transportation loss]]/grand[[#This Row],[av.total weight]]</f>
        <v>7.5187969924812026E-3</v>
      </c>
      <c r="AA1267" s="12">
        <f>AVERAGE((grand[[#This Row],[am]]/25),(grand[[#This Row],[pm]]/50))</f>
        <v>0.98257142857142854</v>
      </c>
      <c r="AB1267" s="3">
        <f>grand[[#This Row],[ carcass weight]]/grand[[#This Row],[total weight]]</f>
        <v>0.57358395989974931</v>
      </c>
      <c r="AC1267" s="18">
        <f>SUM(grand[[#This Row],[am]:[meat transportation]])/100</f>
        <v>0.91757142857142848</v>
      </c>
      <c r="AK1267" s="1"/>
      <c r="AL1267" s="1"/>
    </row>
    <row r="1268" spans="1:38" hidden="1" x14ac:dyDescent="0.2">
      <c r="A1268" s="11">
        <v>45757</v>
      </c>
      <c r="B1268" s="53" t="s">
        <v>2190</v>
      </c>
      <c r="C1268" s="52" t="str">
        <f>IF(MID(B1268,4,2)="09","Ramadan",IF(AND(MID(B1268,4,2)="12",VALUE(LEFT(B1268,2))&lt;=9),"Adha Season","Normal"))</f>
        <v>Normal</v>
      </c>
      <c r="D1268" s="1" t="s">
        <v>45</v>
      </c>
      <c r="E1268" s="1" t="s">
        <v>528</v>
      </c>
      <c r="F1268" s="4" t="s">
        <v>280</v>
      </c>
      <c r="G1268" s="1">
        <v>60</v>
      </c>
      <c r="H1268" s="1">
        <v>60</v>
      </c>
      <c r="I1268" s="1">
        <f>grand[[#This Row],[number]]-grand[[#This Row],[received]]</f>
        <v>0</v>
      </c>
      <c r="J1268" s="30"/>
      <c r="K1268" s="2">
        <v>36000</v>
      </c>
      <c r="L1268" s="2">
        <v>35252</v>
      </c>
      <c r="M1268" s="2">
        <f>K1268-L1268</f>
        <v>748</v>
      </c>
      <c r="N1268" s="2">
        <v>22272.799999999999</v>
      </c>
      <c r="O1268" s="2">
        <v>478</v>
      </c>
      <c r="P1268" s="7">
        <f>grand[[#This Row],[total weight]]/grand[[#This Row],[received]]</f>
        <v>600</v>
      </c>
      <c r="Q1268" s="7">
        <f>grand[[#This Row],[receiving weight]]/grand[[#This Row],[received]]</f>
        <v>587.5333333333333</v>
      </c>
      <c r="R1268" s="7">
        <f>grand[[#This Row],[transportation loss ]]/grand[[#This Row],[received]]</f>
        <v>12.466666666666667</v>
      </c>
      <c r="S1268" s="7">
        <f>grand[[#This Row],[ carcass weight]]/grand[[#This Row],[received]]</f>
        <v>371.21333333333331</v>
      </c>
      <c r="T1268" s="7">
        <f>grand[[#This Row],[ kidneys fat quantity]]/grand[[#This Row],[received]]</f>
        <v>7.9666666666666668</v>
      </c>
      <c r="U1268" s="1">
        <v>20</v>
      </c>
      <c r="V1268" s="1">
        <v>0</v>
      </c>
      <c r="W1268" s="1">
        <v>49.283333333333331</v>
      </c>
      <c r="X1268" s="1">
        <v>10</v>
      </c>
      <c r="Y1268" s="1">
        <v>8.5</v>
      </c>
      <c r="Z1268" s="18">
        <f>grand[[#This Row],[av. Transportation loss]]/grand[[#This Row],[av.total weight]]</f>
        <v>2.0777777777777777E-2</v>
      </c>
      <c r="AA1268" s="12">
        <f>AVERAGE((grand[[#This Row],[am]]/25),(grand[[#This Row],[pm]]/50))</f>
        <v>0.89283333333333337</v>
      </c>
      <c r="AB1268" s="3">
        <f>grand[[#This Row],[ carcass weight]]/grand[[#This Row],[total weight]]</f>
        <v>0.61868888888888884</v>
      </c>
      <c r="AC1268" s="18">
        <f>SUM(grand[[#This Row],[am]:[meat transportation]])/100</f>
        <v>0.87783333333333335</v>
      </c>
      <c r="AJ1268" s="1">
        <v>7</v>
      </c>
      <c r="AK1268" s="1"/>
      <c r="AL1268" s="1"/>
    </row>
    <row r="1269" spans="1:38" hidden="1" x14ac:dyDescent="0.2">
      <c r="A1269" s="11">
        <v>45759</v>
      </c>
      <c r="B1269" s="53" t="s">
        <v>2191</v>
      </c>
      <c r="C1269" s="52" t="str">
        <f>IF(MID(B1269,4,2)="09","Ramadan",IF(AND(MID(B1269,4,2)="12",VALUE(LEFT(B1269,2))&lt;=9),"Adha Season","Normal"))</f>
        <v>Normal</v>
      </c>
      <c r="D1269" s="2" t="s">
        <v>294</v>
      </c>
      <c r="F1269" s="4" t="s">
        <v>640</v>
      </c>
      <c r="G1269" s="1">
        <v>27</v>
      </c>
      <c r="H1269" s="1">
        <v>27</v>
      </c>
      <c r="I1269" s="1">
        <f>grand[[#This Row],[number]]-grand[[#This Row],[received]]</f>
        <v>0</v>
      </c>
      <c r="J1269" s="30"/>
      <c r="K1269" s="2">
        <v>1321</v>
      </c>
      <c r="L1269" s="2">
        <v>1321</v>
      </c>
      <c r="M1269" s="2">
        <f>K1269-L1269</f>
        <v>0</v>
      </c>
      <c r="N1269" s="2">
        <v>747.9</v>
      </c>
      <c r="O1269" s="2">
        <v>0</v>
      </c>
      <c r="P1269" s="7">
        <f>grand[[#This Row],[total weight]]/grand[[#This Row],[received]]</f>
        <v>48.925925925925924</v>
      </c>
      <c r="Q1269" s="7">
        <f>grand[[#This Row],[receiving weight]]/grand[[#This Row],[received]]</f>
        <v>48.925925925925924</v>
      </c>
      <c r="R1269" s="7">
        <f>grand[[#This Row],[transportation loss ]]/grand[[#This Row],[received]]</f>
        <v>0</v>
      </c>
      <c r="S1269" s="7">
        <f>grand[[#This Row],[ carcass weight]]/grand[[#This Row],[received]]</f>
        <v>27.7</v>
      </c>
      <c r="T1269" s="7">
        <f>grand[[#This Row],[ kidneys fat quantity]]/grand[[#This Row],[received]]</f>
        <v>0</v>
      </c>
      <c r="U1269" s="1">
        <v>25</v>
      </c>
      <c r="V1269" s="1">
        <v>0</v>
      </c>
      <c r="W1269" s="1">
        <v>47.481481481481481</v>
      </c>
      <c r="X1269" s="1">
        <v>10</v>
      </c>
      <c r="Y1269" s="1">
        <v>8.5</v>
      </c>
      <c r="Z1269" s="18">
        <f>grand[[#This Row],[av. Transportation loss]]/grand[[#This Row],[av.total weight]]</f>
        <v>0</v>
      </c>
      <c r="AA1269" s="12">
        <f>AVERAGE((grand[[#This Row],[am]]/25),(grand[[#This Row],[pm]]/50))</f>
        <v>0.9748148148148148</v>
      </c>
      <c r="AB1269" s="3">
        <f>grand[[#This Row],[ carcass weight]]/grand[[#This Row],[total weight]]</f>
        <v>0.56616199848599547</v>
      </c>
      <c r="AC1269" s="18">
        <f>SUM(grand[[#This Row],[am]:[meat transportation]])/100</f>
        <v>0.90981481481481485</v>
      </c>
      <c r="AK1269" s="1"/>
      <c r="AL1269" s="1"/>
    </row>
    <row r="1270" spans="1:38" hidden="1" x14ac:dyDescent="0.2">
      <c r="A1270" s="11">
        <v>45759</v>
      </c>
      <c r="B1270" s="53" t="s">
        <v>2191</v>
      </c>
      <c r="C1270" s="52" t="str">
        <f>IF(MID(B1270,4,2)="09","Ramadan",IF(AND(MID(B1270,4,2)="12",VALUE(LEFT(B1270,2))&lt;=9),"Adha Season","Normal"))</f>
        <v>Normal</v>
      </c>
      <c r="D1270" s="1" t="s">
        <v>45</v>
      </c>
      <c r="E1270" s="1" t="s">
        <v>528</v>
      </c>
      <c r="F1270" s="4" t="s">
        <v>462</v>
      </c>
      <c r="G1270" s="1">
        <v>48</v>
      </c>
      <c r="H1270" s="1">
        <v>48</v>
      </c>
      <c r="I1270" s="1">
        <f>grand[[#This Row],[number]]-grand[[#This Row],[received]]</f>
        <v>0</v>
      </c>
      <c r="J1270" s="30"/>
      <c r="K1270" s="2">
        <v>21869.936708860758</v>
      </c>
      <c r="L1270" s="2">
        <v>21869.936708860758</v>
      </c>
      <c r="M1270" s="2">
        <f>K1270-L1270</f>
        <v>0</v>
      </c>
      <c r="N1270" s="2">
        <v>13821.8</v>
      </c>
      <c r="O1270" s="2">
        <v>0</v>
      </c>
      <c r="P1270" s="7">
        <f>grand[[#This Row],[total weight]]/grand[[#This Row],[received]]</f>
        <v>455.62368143459912</v>
      </c>
      <c r="Q1270" s="7">
        <f>grand[[#This Row],[receiving weight]]/grand[[#This Row],[received]]</f>
        <v>455.62368143459912</v>
      </c>
      <c r="R1270" s="7">
        <f>grand[[#This Row],[transportation loss ]]/grand[[#This Row],[received]]</f>
        <v>0</v>
      </c>
      <c r="S1270" s="7">
        <f>grand[[#This Row],[ carcass weight]]/grand[[#This Row],[received]]</f>
        <v>287.95416666666665</v>
      </c>
      <c r="T1270" s="7">
        <f>grand[[#This Row],[ kidneys fat quantity]]/grand[[#This Row],[received]]</f>
        <v>0</v>
      </c>
      <c r="U1270" s="1">
        <v>25</v>
      </c>
      <c r="V1270" s="1">
        <v>4</v>
      </c>
      <c r="W1270" s="1">
        <v>50</v>
      </c>
      <c r="X1270" s="1">
        <v>9.8958333333333321</v>
      </c>
      <c r="Y1270" s="1">
        <v>8.5</v>
      </c>
      <c r="Z1270" s="18">
        <f>grand[[#This Row],[av. Transportation loss]]/grand[[#This Row],[av.total weight]]</f>
        <v>0</v>
      </c>
      <c r="AA1270" s="12">
        <f>AVERAGE((grand[[#This Row],[am]]/25),(grand[[#This Row],[pm]]/50))</f>
        <v>1</v>
      </c>
      <c r="AB1270" s="3">
        <f>grand[[#This Row],[ carcass weight]]/grand[[#This Row],[total weight]]</f>
        <v>0.63200000000000001</v>
      </c>
      <c r="AC1270" s="18">
        <f>SUM(grand[[#This Row],[am]:[meat transportation]])/100</f>
        <v>0.97395833333333326</v>
      </c>
      <c r="AJ1270" s="1">
        <v>3</v>
      </c>
      <c r="AK1270" s="1"/>
      <c r="AL1270" s="1"/>
    </row>
    <row r="1271" spans="1:38" hidden="1" x14ac:dyDescent="0.2">
      <c r="A1271" s="11">
        <v>45759</v>
      </c>
      <c r="B1271" s="53" t="s">
        <v>2191</v>
      </c>
      <c r="C1271" s="52" t="str">
        <f>IF(MID(B1271,4,2)="09","Ramadan",IF(AND(MID(B1271,4,2)="12",VALUE(LEFT(B1271,2))&lt;=9),"Adha Season","Normal"))</f>
        <v>Normal</v>
      </c>
      <c r="D1271" s="1" t="s">
        <v>45</v>
      </c>
      <c r="E1271" s="1" t="s">
        <v>483</v>
      </c>
      <c r="F1271" s="4" t="s">
        <v>46</v>
      </c>
      <c r="G1271" s="1">
        <v>25</v>
      </c>
      <c r="H1271" s="1">
        <v>24</v>
      </c>
      <c r="I1271" s="1">
        <f>grand[[#This Row],[number]]-grand[[#This Row],[received]]</f>
        <v>1</v>
      </c>
      <c r="J1271" s="64" t="s">
        <v>694</v>
      </c>
      <c r="K1271" s="2">
        <v>12744</v>
      </c>
      <c r="L1271" s="2">
        <v>12744</v>
      </c>
      <c r="M1271" s="2">
        <f>K1271-L1271</f>
        <v>0</v>
      </c>
      <c r="N1271" s="2">
        <v>7646.5</v>
      </c>
      <c r="O1271" s="2">
        <v>262</v>
      </c>
      <c r="P1271" s="7">
        <f>grand[[#This Row],[total weight]]/grand[[#This Row],[received]]</f>
        <v>531</v>
      </c>
      <c r="Q1271" s="7">
        <f>grand[[#This Row],[receiving weight]]/grand[[#This Row],[received]]</f>
        <v>531</v>
      </c>
      <c r="R1271" s="7">
        <f>grand[[#This Row],[transportation loss ]]/grand[[#This Row],[received]]</f>
        <v>0</v>
      </c>
      <c r="S1271" s="7">
        <f>grand[[#This Row],[ carcass weight]]/grand[[#This Row],[received]]</f>
        <v>318.60416666666669</v>
      </c>
      <c r="T1271" s="7">
        <f>grand[[#This Row],[ kidneys fat quantity]]/grand[[#This Row],[received]]</f>
        <v>10.916666666666666</v>
      </c>
      <c r="U1271" s="1">
        <v>25</v>
      </c>
      <c r="V1271" s="1">
        <v>0</v>
      </c>
      <c r="W1271" s="1">
        <v>49.208333333333329</v>
      </c>
      <c r="X1271" s="1">
        <v>10</v>
      </c>
      <c r="Y1271" s="1">
        <v>8.5</v>
      </c>
      <c r="Z1271" s="18">
        <f>grand[[#This Row],[av. Transportation loss]]/grand[[#This Row],[av.total weight]]</f>
        <v>0</v>
      </c>
      <c r="AA1271" s="12">
        <f>AVERAGE((grand[[#This Row],[am]]/25),(grand[[#This Row],[pm]]/50))</f>
        <v>0.99208333333333321</v>
      </c>
      <c r="AB1271" s="3">
        <f>grand[[#This Row],[ carcass weight]]/grand[[#This Row],[total weight]]</f>
        <v>0.60000784682988073</v>
      </c>
      <c r="AC1271" s="18">
        <f>SUM(grand[[#This Row],[am]:[meat transportation]])/100</f>
        <v>0.92708333333333326</v>
      </c>
      <c r="AJ1271" s="1">
        <v>6</v>
      </c>
      <c r="AK1271" s="1"/>
      <c r="AL1271" s="1"/>
    </row>
    <row r="1272" spans="1:38" hidden="1" x14ac:dyDescent="0.2">
      <c r="A1272" s="11">
        <v>45761</v>
      </c>
      <c r="B1272" s="53" t="s">
        <v>2192</v>
      </c>
      <c r="C1272" s="52" t="str">
        <f>IF(MID(B1272,4,2)="09","Ramadan",IF(AND(MID(B1272,4,2)="12",VALUE(LEFT(B1272,2))&lt;=9),"Adha Season","Normal"))</f>
        <v>Normal</v>
      </c>
      <c r="D1272" s="1" t="s">
        <v>45</v>
      </c>
      <c r="E1272" s="1" t="s">
        <v>528</v>
      </c>
      <c r="F1272" s="4" t="s">
        <v>43</v>
      </c>
      <c r="G1272" s="1">
        <v>28</v>
      </c>
      <c r="H1272" s="1">
        <v>28</v>
      </c>
      <c r="I1272" s="1">
        <f>grand[[#This Row],[number]]-grand[[#This Row],[received]]</f>
        <v>0</v>
      </c>
      <c r="J1272" s="30"/>
      <c r="K1272" s="2">
        <v>16472</v>
      </c>
      <c r="L1272" s="2">
        <v>15580</v>
      </c>
      <c r="M1272" s="2">
        <f>K1272-L1272</f>
        <v>892</v>
      </c>
      <c r="N1272" s="2">
        <v>10255.4</v>
      </c>
      <c r="O1272" s="2">
        <v>230</v>
      </c>
      <c r="P1272" s="7">
        <f>grand[[#This Row],[total weight]]/grand[[#This Row],[received]]</f>
        <v>588.28571428571433</v>
      </c>
      <c r="Q1272" s="7">
        <f>grand[[#This Row],[receiving weight]]/grand[[#This Row],[received]]</f>
        <v>556.42857142857144</v>
      </c>
      <c r="R1272" s="7">
        <f>grand[[#This Row],[transportation loss ]]/grand[[#This Row],[received]]</f>
        <v>31.857142857142858</v>
      </c>
      <c r="S1272" s="7">
        <f>grand[[#This Row],[ carcass weight]]/grand[[#This Row],[received]]</f>
        <v>366.26428571428568</v>
      </c>
      <c r="T1272" s="7">
        <f>grand[[#This Row],[ kidneys fat quantity]]/grand[[#This Row],[received]]</f>
        <v>8.2142857142857135</v>
      </c>
      <c r="U1272" s="1">
        <v>25</v>
      </c>
      <c r="V1272" s="1">
        <v>0</v>
      </c>
      <c r="W1272" s="1">
        <v>46.142857142857146</v>
      </c>
      <c r="X1272" s="1">
        <v>10</v>
      </c>
      <c r="Y1272" s="1">
        <v>8.5</v>
      </c>
      <c r="Z1272" s="18">
        <f>grand[[#This Row],[av. Transportation loss]]/grand[[#This Row],[av.total weight]]</f>
        <v>5.4152501214181636E-2</v>
      </c>
      <c r="AA1272" s="12">
        <f>AVERAGE((grand[[#This Row],[am]]/25),(grand[[#This Row],[pm]]/50))</f>
        <v>0.96142857142857152</v>
      </c>
      <c r="AB1272" s="3">
        <f>grand[[#This Row],[ carcass weight]]/grand[[#This Row],[total weight]]</f>
        <v>0.62259592034968425</v>
      </c>
      <c r="AC1272" s="18">
        <f>SUM(grand[[#This Row],[am]:[meat transportation]])/100</f>
        <v>0.89642857142857135</v>
      </c>
      <c r="AJ1272" s="1">
        <v>7</v>
      </c>
      <c r="AK1272" s="1"/>
      <c r="AL1272" s="1"/>
    </row>
    <row r="1273" spans="1:38" hidden="1" x14ac:dyDescent="0.2">
      <c r="A1273" s="11">
        <v>45762</v>
      </c>
      <c r="B1273" s="53" t="s">
        <v>2193</v>
      </c>
      <c r="C1273" s="52" t="str">
        <f>IF(MID(B1273,4,2)="09","Ramadan",IF(AND(MID(B1273,4,2)="12",VALUE(LEFT(B1273,2))&lt;=9),"Adha Season","Normal"))</f>
        <v>Normal</v>
      </c>
      <c r="D1273" s="2" t="s">
        <v>294</v>
      </c>
      <c r="F1273" s="4" t="s">
        <v>656</v>
      </c>
      <c r="G1273" s="1">
        <v>33</v>
      </c>
      <c r="H1273" s="1">
        <v>33</v>
      </c>
      <c r="I1273" s="1">
        <f>grand[[#This Row],[number]]-grand[[#This Row],[received]]</f>
        <v>0</v>
      </c>
      <c r="J1273" s="30"/>
      <c r="K1273" s="2">
        <v>1812</v>
      </c>
      <c r="L1273" s="2">
        <v>1805</v>
      </c>
      <c r="M1273" s="2">
        <f>K1273-L1273</f>
        <v>7</v>
      </c>
      <c r="N1273" s="2">
        <v>1020.5</v>
      </c>
      <c r="O1273" s="2">
        <v>0</v>
      </c>
      <c r="P1273" s="7">
        <f>grand[[#This Row],[total weight]]/grand[[#This Row],[received]]</f>
        <v>54.909090909090907</v>
      </c>
      <c r="Q1273" s="7">
        <f>grand[[#This Row],[receiving weight]]/grand[[#This Row],[received]]</f>
        <v>54.696969696969695</v>
      </c>
      <c r="R1273" s="7">
        <f>grand[[#This Row],[transportation loss ]]/grand[[#This Row],[received]]</f>
        <v>0.21212121212121213</v>
      </c>
      <c r="S1273" s="7">
        <f>grand[[#This Row],[ carcass weight]]/grand[[#This Row],[received]]</f>
        <v>30.924242424242426</v>
      </c>
      <c r="T1273" s="7">
        <f>grand[[#This Row],[ kidneys fat quantity]]/grand[[#This Row],[received]]</f>
        <v>0</v>
      </c>
      <c r="U1273" s="1">
        <v>25</v>
      </c>
      <c r="V1273" s="1">
        <v>0</v>
      </c>
      <c r="W1273" s="1">
        <v>46.848484848484851</v>
      </c>
      <c r="X1273" s="1">
        <v>10</v>
      </c>
      <c r="Y1273" s="1">
        <v>8.5</v>
      </c>
      <c r="Z1273" s="18">
        <f>grand[[#This Row],[av. Transportation loss]]/grand[[#This Row],[av.total weight]]</f>
        <v>3.8631346578366448E-3</v>
      </c>
      <c r="AA1273" s="12">
        <f>AVERAGE((grand[[#This Row],[am]]/25),(grand[[#This Row],[pm]]/50))</f>
        <v>0.9684848484848485</v>
      </c>
      <c r="AB1273" s="3">
        <f>grand[[#This Row],[ carcass weight]]/grand[[#This Row],[total weight]]</f>
        <v>0.5631898454746137</v>
      </c>
      <c r="AC1273" s="18">
        <f>SUM(grand[[#This Row],[am]:[meat transportation]])/100</f>
        <v>0.90348484848484845</v>
      </c>
      <c r="AK1273" s="1"/>
      <c r="AL1273" s="1"/>
    </row>
    <row r="1274" spans="1:38" hidden="1" x14ac:dyDescent="0.2">
      <c r="A1274" s="11">
        <v>45762</v>
      </c>
      <c r="B1274" s="53" t="s">
        <v>2193</v>
      </c>
      <c r="C1274" s="52" t="str">
        <f>IF(MID(B1274,4,2)="09","Ramadan",IF(AND(MID(B1274,4,2)="12",VALUE(LEFT(B1274,2))&lt;=9),"Adha Season","Normal"))</f>
        <v>Normal</v>
      </c>
      <c r="D1274" s="1" t="s">
        <v>45</v>
      </c>
      <c r="E1274" s="1" t="s">
        <v>528</v>
      </c>
      <c r="F1274" s="4" t="s">
        <v>43</v>
      </c>
      <c r="G1274" s="1">
        <v>40</v>
      </c>
      <c r="H1274" s="1">
        <v>35</v>
      </c>
      <c r="I1274" s="1">
        <f>grand[[#This Row],[number]]-grand[[#This Row],[received]]</f>
        <v>5</v>
      </c>
      <c r="J1274" s="64" t="s">
        <v>695</v>
      </c>
      <c r="K1274" s="2">
        <v>21835</v>
      </c>
      <c r="L1274" s="2">
        <v>20540</v>
      </c>
      <c r="M1274" s="2">
        <f>K1274-L1274</f>
        <v>1295</v>
      </c>
      <c r="N1274" s="2">
        <v>13442.5</v>
      </c>
      <c r="O1274" s="2">
        <v>324</v>
      </c>
      <c r="P1274" s="7">
        <f>grand[[#This Row],[total weight]]/grand[[#This Row],[received]]</f>
        <v>623.85714285714289</v>
      </c>
      <c r="Q1274" s="7">
        <f>grand[[#This Row],[receiving weight]]/grand[[#This Row],[received]]</f>
        <v>586.85714285714289</v>
      </c>
      <c r="R1274" s="7">
        <f>grand[[#This Row],[transportation loss ]]/grand[[#This Row],[received]]</f>
        <v>37</v>
      </c>
      <c r="S1274" s="7">
        <f>grand[[#This Row],[ carcass weight]]/grand[[#This Row],[received]]</f>
        <v>384.07142857142856</v>
      </c>
      <c r="T1274" s="7">
        <f>grand[[#This Row],[ kidneys fat quantity]]/grand[[#This Row],[received]]</f>
        <v>9.257142857142858</v>
      </c>
      <c r="U1274" s="1">
        <v>24.857142857142858</v>
      </c>
      <c r="V1274" s="1">
        <v>0</v>
      </c>
      <c r="W1274" s="1">
        <v>41.714285714285715</v>
      </c>
      <c r="X1274" s="1">
        <v>10</v>
      </c>
      <c r="Y1274" s="1">
        <v>8.5</v>
      </c>
      <c r="Z1274" s="18">
        <f>grand[[#This Row],[av. Transportation loss]]/grand[[#This Row],[av.total weight]]</f>
        <v>5.9308449736661321E-2</v>
      </c>
      <c r="AA1274" s="12">
        <f>AVERAGE((grand[[#This Row],[am]]/25),(grand[[#This Row],[pm]]/50))</f>
        <v>0.91428571428571437</v>
      </c>
      <c r="AB1274" s="3">
        <f>grand[[#This Row],[ carcass weight]]/grand[[#This Row],[total weight]]</f>
        <v>0.61564002747881841</v>
      </c>
      <c r="AC1274" s="18">
        <f>SUM(grand[[#This Row],[am]:[meat transportation]])/100</f>
        <v>0.85071428571428565</v>
      </c>
      <c r="AJ1274" s="1">
        <v>16</v>
      </c>
      <c r="AK1274" s="1"/>
      <c r="AL1274" s="1"/>
    </row>
    <row r="1275" spans="1:38" hidden="1" x14ac:dyDescent="0.2">
      <c r="A1275" s="11">
        <v>45763</v>
      </c>
      <c r="B1275" s="53" t="s">
        <v>2194</v>
      </c>
      <c r="C1275" s="52" t="str">
        <f>IF(MID(B1275,4,2)="09","Ramadan",IF(AND(MID(B1275,4,2)="12",VALUE(LEFT(B1275,2))&lt;=9),"Adha Season","Normal"))</f>
        <v>Normal</v>
      </c>
      <c r="D1275" s="1" t="s">
        <v>45</v>
      </c>
      <c r="E1275" s="1" t="s">
        <v>483</v>
      </c>
      <c r="F1275" s="4" t="s">
        <v>959</v>
      </c>
      <c r="G1275" s="1">
        <v>30</v>
      </c>
      <c r="H1275" s="1">
        <v>30</v>
      </c>
      <c r="I1275" s="1">
        <f>grand[[#This Row],[number]]-grand[[#This Row],[received]]</f>
        <v>0</v>
      </c>
      <c r="J1275" s="30"/>
      <c r="K1275" s="2">
        <v>13052</v>
      </c>
      <c r="L1275" s="2">
        <v>12385</v>
      </c>
      <c r="M1275" s="2">
        <f>K1275-L1275</f>
        <v>667</v>
      </c>
      <c r="N1275" s="2">
        <v>7862.25</v>
      </c>
      <c r="O1275" s="2">
        <v>201</v>
      </c>
      <c r="P1275" s="7">
        <f>grand[[#This Row],[total weight]]/grand[[#This Row],[received]]</f>
        <v>435.06666666666666</v>
      </c>
      <c r="Q1275" s="7">
        <f>grand[[#This Row],[receiving weight]]/grand[[#This Row],[received]]</f>
        <v>412.83333333333331</v>
      </c>
      <c r="R1275" s="7">
        <f>grand[[#This Row],[transportation loss ]]/grand[[#This Row],[received]]</f>
        <v>22.233333333333334</v>
      </c>
      <c r="S1275" s="7">
        <f>grand[[#This Row],[ carcass weight]]/grand[[#This Row],[received]]</f>
        <v>262.07499999999999</v>
      </c>
      <c r="T1275" s="7">
        <f>grand[[#This Row],[ kidneys fat quantity]]/grand[[#This Row],[received]]</f>
        <v>6.7</v>
      </c>
      <c r="U1275" s="1">
        <v>25</v>
      </c>
      <c r="V1275" s="1">
        <v>0</v>
      </c>
      <c r="W1275" s="1">
        <v>49.833333333333336</v>
      </c>
      <c r="X1275" s="1">
        <v>10</v>
      </c>
      <c r="Y1275" s="1">
        <v>8.5</v>
      </c>
      <c r="Z1275" s="18">
        <f>grand[[#This Row],[av. Transportation loss]]/grand[[#This Row],[av.total weight]]</f>
        <v>5.1103279190928594E-2</v>
      </c>
      <c r="AA1275" s="12">
        <f>AVERAGE((grand[[#This Row],[am]]/25),(grand[[#This Row],[pm]]/50))</f>
        <v>0.99833333333333329</v>
      </c>
      <c r="AB1275" s="3">
        <f>grand[[#This Row],[ carcass weight]]/grand[[#This Row],[total weight]]</f>
        <v>0.60237894575543982</v>
      </c>
      <c r="AC1275" s="18">
        <f>SUM(grand[[#This Row],[am]:[meat transportation]])/100</f>
        <v>0.93333333333333346</v>
      </c>
      <c r="AK1275" s="1"/>
      <c r="AL1275" s="1"/>
    </row>
    <row r="1276" spans="1:38" hidden="1" x14ac:dyDescent="0.2">
      <c r="A1276" s="11">
        <v>45763</v>
      </c>
      <c r="B1276" s="53" t="s">
        <v>2194</v>
      </c>
      <c r="C1276" s="52" t="str">
        <f>IF(MID(B1276,4,2)="09","Ramadan",IF(AND(MID(B1276,4,2)="12",VALUE(LEFT(B1276,2))&lt;=9),"Adha Season","Normal"))</f>
        <v>Normal</v>
      </c>
      <c r="D1276" s="1" t="s">
        <v>45</v>
      </c>
      <c r="E1276" s="1" t="s">
        <v>528</v>
      </c>
      <c r="F1276" s="4" t="s">
        <v>462</v>
      </c>
      <c r="G1276" s="1">
        <v>21</v>
      </c>
      <c r="H1276" s="1">
        <v>21</v>
      </c>
      <c r="I1276" s="1">
        <f>grand[[#This Row],[number]]-grand[[#This Row],[received]]</f>
        <v>0</v>
      </c>
      <c r="J1276" s="30"/>
      <c r="K1276" s="2">
        <v>9381.32911392405</v>
      </c>
      <c r="L1276" s="2">
        <v>9381.32911392405</v>
      </c>
      <c r="M1276" s="2">
        <f>K1276-L1276</f>
        <v>0</v>
      </c>
      <c r="N1276" s="2">
        <v>5929</v>
      </c>
      <c r="O1276" s="2">
        <v>0</v>
      </c>
      <c r="P1276" s="7">
        <f>grand[[#This Row],[total weight]]/grand[[#This Row],[received]]</f>
        <v>446.72995780590713</v>
      </c>
      <c r="Q1276" s="7">
        <f>grand[[#This Row],[receiving weight]]/grand[[#This Row],[received]]</f>
        <v>446.72995780590713</v>
      </c>
      <c r="R1276" s="7">
        <f>grand[[#This Row],[transportation loss ]]/grand[[#This Row],[received]]</f>
        <v>0</v>
      </c>
      <c r="S1276" s="7">
        <f>grand[[#This Row],[ carcass weight]]/grand[[#This Row],[received]]</f>
        <v>282.33333333333331</v>
      </c>
      <c r="T1276" s="7">
        <f>grand[[#This Row],[ kidneys fat quantity]]/grand[[#This Row],[received]]</f>
        <v>0</v>
      </c>
      <c r="U1276" s="1">
        <v>25</v>
      </c>
      <c r="V1276" s="1">
        <v>4</v>
      </c>
      <c r="W1276" s="1">
        <v>50</v>
      </c>
      <c r="X1276" s="1">
        <v>10</v>
      </c>
      <c r="Y1276" s="1">
        <v>8.5</v>
      </c>
      <c r="Z1276" s="18">
        <f>grand[[#This Row],[av. Transportation loss]]/grand[[#This Row],[av.total weight]]</f>
        <v>0</v>
      </c>
      <c r="AA1276" s="12">
        <f>AVERAGE((grand[[#This Row],[am]]/25),(grand[[#This Row],[pm]]/50))</f>
        <v>1</v>
      </c>
      <c r="AB1276" s="3">
        <f>grand[[#This Row],[ carcass weight]]/grand[[#This Row],[total weight]]</f>
        <v>0.63200000000000001</v>
      </c>
      <c r="AC1276" s="18">
        <f>SUM(grand[[#This Row],[am]:[meat transportation]])/100</f>
        <v>0.97499999999999998</v>
      </c>
      <c r="AK1276" s="1"/>
      <c r="AL1276" s="1"/>
    </row>
    <row r="1277" spans="1:38" hidden="1" x14ac:dyDescent="0.2">
      <c r="A1277" s="11">
        <v>45764</v>
      </c>
      <c r="B1277" s="53" t="s">
        <v>2195</v>
      </c>
      <c r="C1277" s="52" t="str">
        <f>IF(MID(B1277,4,2)="09","Ramadan",IF(AND(MID(B1277,4,2)="12",VALUE(LEFT(B1277,2))&lt;=9),"Adha Season","Normal"))</f>
        <v>Normal</v>
      </c>
      <c r="D1277" s="2" t="s">
        <v>294</v>
      </c>
      <c r="F1277" s="4" t="s">
        <v>280</v>
      </c>
      <c r="G1277" s="1">
        <v>36</v>
      </c>
      <c r="H1277" s="1">
        <v>36</v>
      </c>
      <c r="I1277" s="1">
        <f>grand[[#This Row],[number]]-grand[[#This Row],[received]]</f>
        <v>0</v>
      </c>
      <c r="J1277" s="30"/>
      <c r="K1277" s="2">
        <v>1972</v>
      </c>
      <c r="L1277" s="2">
        <v>1960</v>
      </c>
      <c r="M1277" s="2">
        <f>K1277-L1277</f>
        <v>12</v>
      </c>
      <c r="N1277" s="2">
        <v>1113.2</v>
      </c>
      <c r="O1277" s="2">
        <v>0</v>
      </c>
      <c r="P1277" s="7">
        <f>grand[[#This Row],[total weight]]/grand[[#This Row],[received]]</f>
        <v>54.777777777777779</v>
      </c>
      <c r="Q1277" s="7">
        <f>grand[[#This Row],[receiving weight]]/grand[[#This Row],[received]]</f>
        <v>54.444444444444443</v>
      </c>
      <c r="R1277" s="7">
        <f>grand[[#This Row],[transportation loss ]]/grand[[#This Row],[received]]</f>
        <v>0.33333333333333331</v>
      </c>
      <c r="S1277" s="7">
        <f>grand[[#This Row],[ carcass weight]]/grand[[#This Row],[received]]</f>
        <v>30.922222222222224</v>
      </c>
      <c r="T1277" s="7">
        <f>grand[[#This Row],[ kidneys fat quantity]]/grand[[#This Row],[received]]</f>
        <v>0</v>
      </c>
      <c r="U1277" s="1">
        <v>25</v>
      </c>
      <c r="V1277" s="1">
        <v>0</v>
      </c>
      <c r="W1277" s="1">
        <v>47.666666666666657</v>
      </c>
      <c r="X1277" s="1">
        <v>10</v>
      </c>
      <c r="Y1277" s="1">
        <v>8.5</v>
      </c>
      <c r="Z1277" s="18">
        <f>grand[[#This Row],[av. Transportation loss]]/grand[[#This Row],[av.total weight]]</f>
        <v>6.0851926977687626E-3</v>
      </c>
      <c r="AA1277" s="12">
        <f>AVERAGE((grand[[#This Row],[am]]/25),(grand[[#This Row],[pm]]/50))</f>
        <v>0.97666666666666657</v>
      </c>
      <c r="AB1277" s="3">
        <f>grand[[#This Row],[ carcass weight]]/grand[[#This Row],[total weight]]</f>
        <v>0.56450304259634887</v>
      </c>
      <c r="AC1277" s="18">
        <f>SUM(grand[[#This Row],[am]:[meat transportation]])/100</f>
        <v>0.91166666666666663</v>
      </c>
      <c r="AK1277" s="1"/>
      <c r="AL1277" s="1"/>
    </row>
    <row r="1278" spans="1:38" hidden="1" x14ac:dyDescent="0.2">
      <c r="A1278" s="11">
        <v>45764</v>
      </c>
      <c r="B1278" s="53" t="s">
        <v>2195</v>
      </c>
      <c r="C1278" s="52" t="str">
        <f>IF(MID(B1278,4,2)="09","Ramadan",IF(AND(MID(B1278,4,2)="12",VALUE(LEFT(B1278,2))&lt;=9),"Adha Season","Normal"))</f>
        <v>Normal</v>
      </c>
      <c r="D1278" s="1" t="s">
        <v>45</v>
      </c>
      <c r="E1278" s="1" t="s">
        <v>528</v>
      </c>
      <c r="F1278" s="4" t="s">
        <v>280</v>
      </c>
      <c r="G1278" s="1">
        <v>40</v>
      </c>
      <c r="H1278" s="1">
        <v>39</v>
      </c>
      <c r="I1278" s="1">
        <f>grand[[#This Row],[number]]-grand[[#This Row],[received]]</f>
        <v>1</v>
      </c>
      <c r="J1278" s="64" t="s">
        <v>696</v>
      </c>
      <c r="K1278" s="2">
        <v>25412</v>
      </c>
      <c r="L1278" s="2">
        <v>24813</v>
      </c>
      <c r="M1278" s="2">
        <f>K1278-L1278</f>
        <v>599</v>
      </c>
      <c r="N1278" s="2">
        <v>15532</v>
      </c>
      <c r="O1278" s="2">
        <v>329</v>
      </c>
      <c r="P1278" s="7">
        <f>grand[[#This Row],[total weight]]/grand[[#This Row],[received]]</f>
        <v>651.58974358974353</v>
      </c>
      <c r="Q1278" s="7">
        <f>grand[[#This Row],[receiving weight]]/grand[[#This Row],[received]]</f>
        <v>636.23076923076928</v>
      </c>
      <c r="R1278" s="7">
        <f>grand[[#This Row],[transportation loss ]]/grand[[#This Row],[received]]</f>
        <v>15.358974358974359</v>
      </c>
      <c r="S1278" s="7">
        <f>grand[[#This Row],[ carcass weight]]/grand[[#This Row],[received]]</f>
        <v>398.25641025641028</v>
      </c>
      <c r="T1278" s="7">
        <f>grand[[#This Row],[ kidneys fat quantity]]/grand[[#This Row],[received]]</f>
        <v>8.4358974358974361</v>
      </c>
      <c r="U1278" s="1">
        <v>25</v>
      </c>
      <c r="V1278" s="1">
        <v>0</v>
      </c>
      <c r="W1278" s="1">
        <v>43.256410256410255</v>
      </c>
      <c r="X1278" s="1">
        <v>10</v>
      </c>
      <c r="Y1278" s="1">
        <v>8.5</v>
      </c>
      <c r="Z1278" s="18">
        <f>grand[[#This Row],[av. Transportation loss]]/grand[[#This Row],[av.total weight]]</f>
        <v>2.3571541004249963E-2</v>
      </c>
      <c r="AA1278" s="12">
        <f>AVERAGE((grand[[#This Row],[am]]/25),(grand[[#This Row],[pm]]/50))</f>
        <v>0.93256410256410249</v>
      </c>
      <c r="AB1278" s="3">
        <f>grand[[#This Row],[ carcass weight]]/grand[[#This Row],[total weight]]</f>
        <v>0.61120730363607745</v>
      </c>
      <c r="AC1278" s="18">
        <f>SUM(grand[[#This Row],[am]:[meat transportation]])/100</f>
        <v>0.86756410256410244</v>
      </c>
      <c r="AJ1278" s="1">
        <v>7</v>
      </c>
      <c r="AK1278" s="1"/>
      <c r="AL1278" s="1"/>
    </row>
    <row r="1279" spans="1:38" hidden="1" x14ac:dyDescent="0.2">
      <c r="A1279" s="11">
        <v>45766</v>
      </c>
      <c r="B1279" s="53" t="s">
        <v>2196</v>
      </c>
      <c r="C1279" s="52" t="str">
        <f>IF(MID(B1279,4,2)="09","Ramadan",IF(AND(MID(B1279,4,2)="12",VALUE(LEFT(B1279,2))&lt;=9),"Adha Season","Normal"))</f>
        <v>Normal</v>
      </c>
      <c r="D1279" s="1" t="s">
        <v>45</v>
      </c>
      <c r="E1279" s="1" t="s">
        <v>528</v>
      </c>
      <c r="F1279" s="4" t="s">
        <v>462</v>
      </c>
      <c r="G1279" s="1">
        <v>45</v>
      </c>
      <c r="H1279" s="1">
        <v>45</v>
      </c>
      <c r="I1279" s="1">
        <f>grand[[#This Row],[number]]-grand[[#This Row],[received]]</f>
        <v>0</v>
      </c>
      <c r="J1279" s="30"/>
      <c r="K1279" s="2">
        <v>20444.303797468354</v>
      </c>
      <c r="L1279" s="2">
        <v>20444.303797468354</v>
      </c>
      <c r="M1279" s="2">
        <f>K1279-L1279</f>
        <v>0</v>
      </c>
      <c r="N1279" s="2">
        <v>12920.8</v>
      </c>
      <c r="O1279" s="2">
        <v>0</v>
      </c>
      <c r="P1279" s="7">
        <f>grand[[#This Row],[total weight]]/grand[[#This Row],[received]]</f>
        <v>454.31786216596345</v>
      </c>
      <c r="Q1279" s="7">
        <f>grand[[#This Row],[receiving weight]]/grand[[#This Row],[received]]</f>
        <v>454.31786216596345</v>
      </c>
      <c r="R1279" s="7">
        <f>grand[[#This Row],[transportation loss ]]/grand[[#This Row],[received]]</f>
        <v>0</v>
      </c>
      <c r="S1279" s="7">
        <f>grand[[#This Row],[ carcass weight]]/grand[[#This Row],[received]]</f>
        <v>287.12888888888887</v>
      </c>
      <c r="T1279" s="7">
        <f>grand[[#This Row],[ kidneys fat quantity]]/grand[[#This Row],[received]]</f>
        <v>0</v>
      </c>
      <c r="U1279" s="1">
        <v>25</v>
      </c>
      <c r="V1279" s="1">
        <v>4</v>
      </c>
      <c r="W1279" s="1">
        <v>50</v>
      </c>
      <c r="X1279" s="1">
        <v>9.8888888888888893</v>
      </c>
      <c r="Y1279" s="1">
        <v>8.5</v>
      </c>
      <c r="Z1279" s="18">
        <f>grand[[#This Row],[av. Transportation loss]]/grand[[#This Row],[av.total weight]]</f>
        <v>0</v>
      </c>
      <c r="AA1279" s="12">
        <f>AVERAGE((grand[[#This Row],[am]]/25),(grand[[#This Row],[pm]]/50))</f>
        <v>1</v>
      </c>
      <c r="AB1279" s="3">
        <f>grand[[#This Row],[ carcass weight]]/grand[[#This Row],[total weight]]</f>
        <v>0.63200000000000001</v>
      </c>
      <c r="AC1279" s="18">
        <f>SUM(grand[[#This Row],[am]:[meat transportation]])/100</f>
        <v>0.9738888888888888</v>
      </c>
      <c r="AK1279" s="1"/>
      <c r="AL1279" s="1"/>
    </row>
    <row r="1280" spans="1:38" hidden="1" x14ac:dyDescent="0.2">
      <c r="A1280" s="11">
        <v>45766</v>
      </c>
      <c r="B1280" s="53" t="s">
        <v>2196</v>
      </c>
      <c r="C1280" s="52" t="str">
        <f>IF(MID(B1280,4,2)="09","Ramadan",IF(AND(MID(B1280,4,2)="12",VALUE(LEFT(B1280,2))&lt;=9),"Adha Season","Normal"))</f>
        <v>Normal</v>
      </c>
      <c r="D1280" s="2" t="s">
        <v>294</v>
      </c>
      <c r="F1280" s="4" t="s">
        <v>656</v>
      </c>
      <c r="G1280" s="1">
        <v>28</v>
      </c>
      <c r="H1280" s="1">
        <v>27</v>
      </c>
      <c r="I1280" s="1">
        <f>grand[[#This Row],[number]]-grand[[#This Row],[received]]</f>
        <v>1</v>
      </c>
      <c r="J1280" s="64" t="s">
        <v>697</v>
      </c>
      <c r="K1280" s="2">
        <v>1485</v>
      </c>
      <c r="L1280" s="2">
        <v>1485</v>
      </c>
      <c r="M1280" s="2">
        <f>K1280-L1280</f>
        <v>0</v>
      </c>
      <c r="N1280" s="2">
        <v>881.9</v>
      </c>
      <c r="O1280" s="2">
        <v>0</v>
      </c>
      <c r="P1280" s="7">
        <f>grand[[#This Row],[total weight]]/grand[[#This Row],[received]]</f>
        <v>55</v>
      </c>
      <c r="Q1280" s="7">
        <f>grand[[#This Row],[receiving weight]]/grand[[#This Row],[received]]</f>
        <v>55</v>
      </c>
      <c r="R1280" s="7">
        <f>grand[[#This Row],[transportation loss ]]/grand[[#This Row],[received]]</f>
        <v>0</v>
      </c>
      <c r="S1280" s="7">
        <f>grand[[#This Row],[ carcass weight]]/grand[[#This Row],[received]]</f>
        <v>32.662962962962965</v>
      </c>
      <c r="T1280" s="7">
        <f>grand[[#This Row],[ kidneys fat quantity]]/grand[[#This Row],[received]]</f>
        <v>0</v>
      </c>
      <c r="U1280" s="1">
        <v>25</v>
      </c>
      <c r="V1280" s="1">
        <v>0</v>
      </c>
      <c r="W1280" s="1">
        <v>46.296296296296298</v>
      </c>
      <c r="X1280" s="1">
        <v>10</v>
      </c>
      <c r="Y1280" s="1">
        <v>8.5</v>
      </c>
      <c r="Z1280" s="18">
        <f>grand[[#This Row],[av. Transportation loss]]/grand[[#This Row],[av.total weight]]</f>
        <v>0</v>
      </c>
      <c r="AA1280" s="12">
        <f>AVERAGE((grand[[#This Row],[am]]/25),(grand[[#This Row],[pm]]/50))</f>
        <v>0.96296296296296302</v>
      </c>
      <c r="AB1280" s="3">
        <f>grand[[#This Row],[ carcass weight]]/grand[[#This Row],[total weight]]</f>
        <v>0.59387205387205388</v>
      </c>
      <c r="AC1280" s="18">
        <f>SUM(grand[[#This Row],[am]:[meat transportation]])/100</f>
        <v>0.89796296296296307</v>
      </c>
      <c r="AK1280" s="1"/>
      <c r="AL1280" s="1"/>
    </row>
    <row r="1281" spans="1:38" hidden="1" x14ac:dyDescent="0.2">
      <c r="A1281" s="11">
        <v>45766</v>
      </c>
      <c r="B1281" s="53" t="s">
        <v>2196</v>
      </c>
      <c r="C1281" s="52" t="str">
        <f>IF(MID(B1281,4,2)="09","Ramadan",IF(AND(MID(B1281,4,2)="12",VALUE(LEFT(B1281,2))&lt;=9),"Adha Season","Normal"))</f>
        <v>Normal</v>
      </c>
      <c r="D1281" s="1" t="s">
        <v>45</v>
      </c>
      <c r="E1281" s="1" t="s">
        <v>483</v>
      </c>
      <c r="F1281" s="4" t="s">
        <v>959</v>
      </c>
      <c r="G1281" s="1">
        <v>23</v>
      </c>
      <c r="H1281" s="1">
        <v>22</v>
      </c>
      <c r="I1281" s="1">
        <f>grand[[#This Row],[number]]-grand[[#This Row],[received]]</f>
        <v>1</v>
      </c>
      <c r="J1281" s="64" t="s">
        <v>698</v>
      </c>
      <c r="K1281" s="2">
        <v>9493</v>
      </c>
      <c r="L1281" s="2">
        <v>9016</v>
      </c>
      <c r="M1281" s="2">
        <f>K1281-L1281</f>
        <v>477</v>
      </c>
      <c r="N1281" s="2">
        <v>5695.8</v>
      </c>
      <c r="O1281" s="2">
        <v>154</v>
      </c>
      <c r="P1281" s="7">
        <f>grand[[#This Row],[total weight]]/grand[[#This Row],[received]]</f>
        <v>431.5</v>
      </c>
      <c r="Q1281" s="7">
        <f>grand[[#This Row],[receiving weight]]/grand[[#This Row],[received]]</f>
        <v>409.81818181818181</v>
      </c>
      <c r="R1281" s="7">
        <f>grand[[#This Row],[transportation loss ]]/grand[[#This Row],[received]]</f>
        <v>21.681818181818183</v>
      </c>
      <c r="S1281" s="7">
        <f>grand[[#This Row],[ carcass weight]]/grand[[#This Row],[received]]</f>
        <v>258.90000000000003</v>
      </c>
      <c r="T1281" s="7">
        <f>grand[[#This Row],[ kidneys fat quantity]]/grand[[#This Row],[received]]</f>
        <v>7</v>
      </c>
      <c r="U1281" s="1">
        <v>25</v>
      </c>
      <c r="V1281" s="1">
        <v>0</v>
      </c>
      <c r="W1281" s="1">
        <v>50</v>
      </c>
      <c r="X1281" s="1">
        <v>10</v>
      </c>
      <c r="Y1281" s="1">
        <v>8.5</v>
      </c>
      <c r="Z1281" s="18">
        <f>grand[[#This Row],[av. Transportation loss]]/grand[[#This Row],[av.total weight]]</f>
        <v>5.0247550826925107E-2</v>
      </c>
      <c r="AA1281" s="12">
        <f>AVERAGE((grand[[#This Row],[am]]/25),(grand[[#This Row],[pm]]/50))</f>
        <v>1</v>
      </c>
      <c r="AB1281" s="3">
        <f>grand[[#This Row],[ carcass weight]]/grand[[#This Row],[total weight]]</f>
        <v>0.6</v>
      </c>
      <c r="AC1281" s="18">
        <f>SUM(grand[[#This Row],[am]:[meat transportation]])/100</f>
        <v>0.93500000000000005</v>
      </c>
      <c r="AJ1281" s="1">
        <v>3</v>
      </c>
      <c r="AK1281" s="1"/>
      <c r="AL1281" s="1"/>
    </row>
    <row r="1282" spans="1:38" hidden="1" x14ac:dyDescent="0.2">
      <c r="A1282" s="11">
        <v>45767</v>
      </c>
      <c r="B1282" s="53" t="s">
        <v>2197</v>
      </c>
      <c r="C1282" s="52" t="str">
        <f>IF(MID(B1282,4,2)="09","Ramadan",IF(AND(MID(B1282,4,2)="12",VALUE(LEFT(B1282,2))&lt;=9),"Adha Season","Normal"))</f>
        <v>Normal</v>
      </c>
      <c r="D1282" s="1" t="s">
        <v>45</v>
      </c>
      <c r="E1282" s="1" t="s">
        <v>528</v>
      </c>
      <c r="F1282" s="4" t="s">
        <v>43</v>
      </c>
      <c r="G1282" s="1">
        <v>24</v>
      </c>
      <c r="H1282" s="1">
        <v>20</v>
      </c>
      <c r="I1282" s="1">
        <f>grand[[#This Row],[number]]-grand[[#This Row],[received]]</f>
        <v>4</v>
      </c>
      <c r="J1282" s="64" t="s">
        <v>699</v>
      </c>
      <c r="K1282" s="2">
        <v>11603</v>
      </c>
      <c r="L1282" s="2">
        <v>10548</v>
      </c>
      <c r="M1282" s="2">
        <f>K1282-L1282</f>
        <v>1055</v>
      </c>
      <c r="N1282" s="2">
        <v>6961.9</v>
      </c>
      <c r="O1282" s="2">
        <v>0</v>
      </c>
      <c r="P1282" s="7">
        <f>grand[[#This Row],[total weight]]/grand[[#This Row],[received]]</f>
        <v>580.15</v>
      </c>
      <c r="Q1282" s="7">
        <f>grand[[#This Row],[receiving weight]]/grand[[#This Row],[received]]</f>
        <v>527.4</v>
      </c>
      <c r="R1282" s="7">
        <f>grand[[#This Row],[transportation loss ]]/grand[[#This Row],[received]]</f>
        <v>52.75</v>
      </c>
      <c r="S1282" s="7">
        <f>grand[[#This Row],[ carcass weight]]/grand[[#This Row],[received]]</f>
        <v>348.09499999999997</v>
      </c>
      <c r="T1282" s="7">
        <f>grand[[#This Row],[ kidneys fat quantity]]/grand[[#This Row],[received]]</f>
        <v>0</v>
      </c>
      <c r="U1282" s="1">
        <v>25</v>
      </c>
      <c r="V1282" s="1">
        <v>0</v>
      </c>
      <c r="W1282" s="1">
        <v>42.95</v>
      </c>
      <c r="X1282" s="1">
        <v>10</v>
      </c>
      <c r="Y1282" s="1">
        <v>8.5</v>
      </c>
      <c r="Z1282" s="18">
        <f>grand[[#This Row],[av. Transportation loss]]/grand[[#This Row],[av.total weight]]</f>
        <v>9.0924760837714391E-2</v>
      </c>
      <c r="AA1282" s="12">
        <f>AVERAGE((grand[[#This Row],[am]]/25),(grand[[#This Row],[pm]]/50))</f>
        <v>0.92949999999999999</v>
      </c>
      <c r="AB1282" s="3">
        <f>grand[[#This Row],[ carcass weight]]/grand[[#This Row],[total weight]]</f>
        <v>0.60000861846074283</v>
      </c>
      <c r="AC1282" s="18">
        <f>SUM(grand[[#This Row],[am]:[meat transportation]])/100</f>
        <v>0.86450000000000005</v>
      </c>
      <c r="AJ1282" s="1">
        <v>2</v>
      </c>
      <c r="AK1282" s="1"/>
      <c r="AL1282" s="1"/>
    </row>
    <row r="1283" spans="1:38" hidden="1" x14ac:dyDescent="0.2">
      <c r="A1283" s="11">
        <v>45769</v>
      </c>
      <c r="B1283" s="53" t="s">
        <v>2198</v>
      </c>
      <c r="C1283" s="52" t="str">
        <f>IF(MID(B1283,4,2)="09","Ramadan",IF(AND(MID(B1283,4,2)="12",VALUE(LEFT(B1283,2))&lt;=9),"Adha Season","Normal"))</f>
        <v>Normal</v>
      </c>
      <c r="D1283" s="2" t="s">
        <v>294</v>
      </c>
      <c r="F1283" s="4" t="s">
        <v>656</v>
      </c>
      <c r="G1283" s="1">
        <v>40</v>
      </c>
      <c r="H1283" s="1">
        <v>40</v>
      </c>
      <c r="I1283" s="1">
        <f>grand[[#This Row],[number]]-grand[[#This Row],[received]]</f>
        <v>0</v>
      </c>
      <c r="J1283" s="30"/>
      <c r="K1283" s="2">
        <v>2152</v>
      </c>
      <c r="L1283" s="2">
        <v>2125</v>
      </c>
      <c r="M1283" s="2">
        <f>K1283-L1283</f>
        <v>27</v>
      </c>
      <c r="N1283" s="2">
        <v>1288.0999999999999</v>
      </c>
      <c r="O1283" s="2">
        <v>0</v>
      </c>
      <c r="P1283" s="7">
        <f>grand[[#This Row],[total weight]]/grand[[#This Row],[received]]</f>
        <v>53.8</v>
      </c>
      <c r="Q1283" s="7">
        <f>grand[[#This Row],[receiving weight]]/grand[[#This Row],[received]]</f>
        <v>53.125</v>
      </c>
      <c r="R1283" s="7">
        <f>grand[[#This Row],[transportation loss ]]/grand[[#This Row],[received]]</f>
        <v>0.67500000000000004</v>
      </c>
      <c r="S1283" s="7">
        <f>grand[[#This Row],[ carcass weight]]/grand[[#This Row],[received]]</f>
        <v>32.202500000000001</v>
      </c>
      <c r="T1283" s="7">
        <f>grand[[#This Row],[ kidneys fat quantity]]/grand[[#This Row],[received]]</f>
        <v>0</v>
      </c>
      <c r="U1283" s="1">
        <v>25</v>
      </c>
      <c r="V1283" s="1">
        <v>0</v>
      </c>
      <c r="W1283" s="1">
        <v>48.75</v>
      </c>
      <c r="X1283" s="1">
        <v>10</v>
      </c>
      <c r="Y1283" s="1">
        <v>8.5</v>
      </c>
      <c r="Z1283" s="18">
        <f>grand[[#This Row],[av. Transportation loss]]/grand[[#This Row],[av.total weight]]</f>
        <v>1.2546468401486991E-2</v>
      </c>
      <c r="AA1283" s="12">
        <f>AVERAGE((grand[[#This Row],[am]]/25),(grand[[#This Row],[pm]]/50))</f>
        <v>0.98750000000000004</v>
      </c>
      <c r="AB1283" s="3">
        <f>grand[[#This Row],[ carcass weight]]/grand[[#This Row],[total weight]]</f>
        <v>0.59855947955390332</v>
      </c>
      <c r="AC1283" s="18">
        <f>SUM(grand[[#This Row],[am]:[meat transportation]])/100</f>
        <v>0.92249999999999999</v>
      </c>
      <c r="AK1283" s="1"/>
      <c r="AL1283" s="1"/>
    </row>
    <row r="1284" spans="1:38" hidden="1" x14ac:dyDescent="0.2">
      <c r="A1284" s="11">
        <v>45769</v>
      </c>
      <c r="B1284" s="53" t="s">
        <v>2198</v>
      </c>
      <c r="C1284" s="52" t="str">
        <f>IF(MID(B1284,4,2)="09","Ramadan",IF(AND(MID(B1284,4,2)="12",VALUE(LEFT(B1284,2))&lt;=9),"Adha Season","Normal"))</f>
        <v>Normal</v>
      </c>
      <c r="D1284" s="1" t="s">
        <v>45</v>
      </c>
      <c r="E1284" s="1" t="s">
        <v>483</v>
      </c>
      <c r="F1284" s="4" t="s">
        <v>959</v>
      </c>
      <c r="G1284" s="1">
        <v>42</v>
      </c>
      <c r="H1284" s="1">
        <v>42</v>
      </c>
      <c r="I1284" s="1">
        <f>grand[[#This Row],[number]]-grand[[#This Row],[received]]</f>
        <v>0</v>
      </c>
      <c r="J1284" s="30"/>
      <c r="K1284" s="2">
        <v>17678</v>
      </c>
      <c r="L1284" s="2">
        <v>17285</v>
      </c>
      <c r="M1284" s="2">
        <f>K1284-L1284</f>
        <v>393</v>
      </c>
      <c r="N1284" s="2">
        <v>10606.9</v>
      </c>
      <c r="O1284" s="2">
        <v>243</v>
      </c>
      <c r="P1284" s="7">
        <f>grand[[#This Row],[total weight]]/grand[[#This Row],[received]]</f>
        <v>420.90476190476193</v>
      </c>
      <c r="Q1284" s="7">
        <f>grand[[#This Row],[receiving weight]]/grand[[#This Row],[received]]</f>
        <v>411.54761904761904</v>
      </c>
      <c r="R1284" s="7">
        <f>grand[[#This Row],[transportation loss ]]/grand[[#This Row],[received]]</f>
        <v>9.3571428571428577</v>
      </c>
      <c r="S1284" s="7">
        <f>grand[[#This Row],[ carcass weight]]/grand[[#This Row],[received]]</f>
        <v>252.54523809523809</v>
      </c>
      <c r="T1284" s="7">
        <f>grand[[#This Row],[ kidneys fat quantity]]/grand[[#This Row],[received]]</f>
        <v>5.7857142857142856</v>
      </c>
      <c r="U1284" s="1">
        <v>25</v>
      </c>
      <c r="V1284" s="1">
        <v>0</v>
      </c>
      <c r="W1284" s="1">
        <v>49.952380952380949</v>
      </c>
      <c r="X1284" s="1">
        <v>10</v>
      </c>
      <c r="Y1284" s="1">
        <v>8.5</v>
      </c>
      <c r="Z1284" s="18">
        <f>grand[[#This Row],[av. Transportation loss]]/grand[[#This Row],[av.total weight]]</f>
        <v>2.2231021608779274E-2</v>
      </c>
      <c r="AA1284" s="12">
        <f>AVERAGE((grand[[#This Row],[am]]/25),(grand[[#This Row],[pm]]/50))</f>
        <v>0.99952380952380948</v>
      </c>
      <c r="AB1284" s="3">
        <f>grand[[#This Row],[ carcass weight]]/grand[[#This Row],[total weight]]</f>
        <v>0.60000565674850093</v>
      </c>
      <c r="AC1284" s="18">
        <f>SUM(grand[[#This Row],[am]:[meat transportation]])/100</f>
        <v>0.93452380952380953</v>
      </c>
      <c r="AK1284" s="1"/>
      <c r="AL1284" s="1"/>
    </row>
    <row r="1285" spans="1:38" hidden="1" x14ac:dyDescent="0.2">
      <c r="A1285" s="11">
        <v>45769</v>
      </c>
      <c r="B1285" s="53" t="s">
        <v>2198</v>
      </c>
      <c r="C1285" s="52" t="str">
        <f>IF(MID(B1285,4,2)="09","Ramadan",IF(AND(MID(B1285,4,2)="12",VALUE(LEFT(B1285,2))&lt;=9),"Adha Season","Normal"))</f>
        <v>Normal</v>
      </c>
      <c r="D1285" s="1" t="s">
        <v>45</v>
      </c>
      <c r="E1285" s="1" t="s">
        <v>528</v>
      </c>
      <c r="F1285" s="4" t="s">
        <v>462</v>
      </c>
      <c r="G1285" s="1">
        <v>24</v>
      </c>
      <c r="H1285" s="1">
        <v>23</v>
      </c>
      <c r="I1285" s="1">
        <f>grand[[#This Row],[number]]-grand[[#This Row],[received]]</f>
        <v>1</v>
      </c>
      <c r="J1285" s="64" t="s">
        <v>700</v>
      </c>
      <c r="K1285" s="2">
        <v>10473.101265822785</v>
      </c>
      <c r="L1285" s="2">
        <v>10473.101265822785</v>
      </c>
      <c r="M1285" s="2">
        <f>K1285-L1285</f>
        <v>0</v>
      </c>
      <c r="N1285" s="2">
        <v>6619</v>
      </c>
      <c r="O1285" s="2">
        <v>0</v>
      </c>
      <c r="P1285" s="7">
        <f>grand[[#This Row],[total weight]]/grand[[#This Row],[received]]</f>
        <v>455.35222894881673</v>
      </c>
      <c r="Q1285" s="7">
        <f>grand[[#This Row],[receiving weight]]/grand[[#This Row],[received]]</f>
        <v>455.35222894881673</v>
      </c>
      <c r="R1285" s="7">
        <f>grand[[#This Row],[transportation loss ]]/grand[[#This Row],[received]]</f>
        <v>0</v>
      </c>
      <c r="S1285" s="7">
        <f>grand[[#This Row],[ carcass weight]]/grand[[#This Row],[received]]</f>
        <v>287.78260869565219</v>
      </c>
      <c r="T1285" s="7">
        <f>grand[[#This Row],[ kidneys fat quantity]]/grand[[#This Row],[received]]</f>
        <v>0</v>
      </c>
      <c r="U1285" s="1">
        <v>25</v>
      </c>
      <c r="V1285" s="1">
        <v>4</v>
      </c>
      <c r="W1285" s="1">
        <v>50</v>
      </c>
      <c r="X1285" s="1">
        <v>10</v>
      </c>
      <c r="Y1285" s="1">
        <v>8.5</v>
      </c>
      <c r="Z1285" s="18">
        <f>grand[[#This Row],[av. Transportation loss]]/grand[[#This Row],[av.total weight]]</f>
        <v>0</v>
      </c>
      <c r="AA1285" s="12">
        <f>AVERAGE((grand[[#This Row],[am]]/25),(grand[[#This Row],[pm]]/50))</f>
        <v>1</v>
      </c>
      <c r="AB1285" s="3">
        <f>grand[[#This Row],[ carcass weight]]/grand[[#This Row],[total weight]]</f>
        <v>0.63200000000000001</v>
      </c>
      <c r="AC1285" s="18">
        <f>SUM(grand[[#This Row],[am]:[meat transportation]])/100</f>
        <v>0.97499999999999998</v>
      </c>
      <c r="AJ1285" s="1">
        <v>2</v>
      </c>
      <c r="AK1285" s="1"/>
      <c r="AL1285" s="1"/>
    </row>
    <row r="1286" spans="1:38" hidden="1" x14ac:dyDescent="0.2">
      <c r="A1286" s="11">
        <v>45770</v>
      </c>
      <c r="B1286" s="53" t="s">
        <v>2199</v>
      </c>
      <c r="C1286" s="52" t="str">
        <f>IF(MID(B1286,4,2)="09","Ramadan",IF(AND(MID(B1286,4,2)="12",VALUE(LEFT(B1286,2))&lt;=9),"Adha Season","Normal"))</f>
        <v>Normal</v>
      </c>
      <c r="D1286" s="1" t="s">
        <v>45</v>
      </c>
      <c r="E1286" s="1" t="s">
        <v>528</v>
      </c>
      <c r="F1286" s="4" t="s">
        <v>462</v>
      </c>
      <c r="G1286" s="1">
        <v>35</v>
      </c>
      <c r="H1286" s="1">
        <v>35</v>
      </c>
      <c r="I1286" s="1">
        <f>grand[[#This Row],[number]]-grand[[#This Row],[received]]</f>
        <v>0</v>
      </c>
      <c r="J1286" s="30"/>
      <c r="K1286" s="2">
        <v>15974.367088607592</v>
      </c>
      <c r="L1286" s="2">
        <v>15974.367088607592</v>
      </c>
      <c r="M1286" s="2">
        <f>K1286-L1286</f>
        <v>0</v>
      </c>
      <c r="N1286" s="2">
        <v>10095.799999999999</v>
      </c>
      <c r="O1286" s="2">
        <v>0</v>
      </c>
      <c r="P1286" s="7">
        <f>grand[[#This Row],[total weight]]/grand[[#This Row],[received]]</f>
        <v>456.41048824593122</v>
      </c>
      <c r="Q1286" s="7">
        <f>grand[[#This Row],[receiving weight]]/grand[[#This Row],[received]]</f>
        <v>456.41048824593122</v>
      </c>
      <c r="R1286" s="7">
        <f>grand[[#This Row],[transportation loss ]]/grand[[#This Row],[received]]</f>
        <v>0</v>
      </c>
      <c r="S1286" s="7">
        <f>grand[[#This Row],[ carcass weight]]/grand[[#This Row],[received]]</f>
        <v>288.45142857142855</v>
      </c>
      <c r="T1286" s="7">
        <f>grand[[#This Row],[ kidneys fat quantity]]/grand[[#This Row],[received]]</f>
        <v>0</v>
      </c>
      <c r="U1286" s="1">
        <v>24.857142857142858</v>
      </c>
      <c r="V1286" s="1">
        <v>4</v>
      </c>
      <c r="W1286" s="1">
        <v>50</v>
      </c>
      <c r="X1286" s="1">
        <v>10</v>
      </c>
      <c r="Y1286" s="1">
        <v>8.5</v>
      </c>
      <c r="Z1286" s="18">
        <f>grand[[#This Row],[av. Transportation loss]]/grand[[#This Row],[av.total weight]]</f>
        <v>0</v>
      </c>
      <c r="AA1286" s="12">
        <f>AVERAGE((grand[[#This Row],[am]]/25),(grand[[#This Row],[pm]]/50))</f>
        <v>0.99714285714285711</v>
      </c>
      <c r="AB1286" s="3">
        <f>grand[[#This Row],[ carcass weight]]/grand[[#This Row],[total weight]]</f>
        <v>0.63200000000000001</v>
      </c>
      <c r="AC1286" s="18">
        <f>SUM(grand[[#This Row],[am]:[meat transportation]])/100</f>
        <v>0.97357142857142864</v>
      </c>
      <c r="AJ1286" s="1">
        <v>5</v>
      </c>
      <c r="AK1286" s="1"/>
      <c r="AL1286" s="1"/>
    </row>
    <row r="1287" spans="1:38" hidden="1" x14ac:dyDescent="0.2">
      <c r="A1287" s="11">
        <v>45771</v>
      </c>
      <c r="B1287" s="53" t="s">
        <v>2200</v>
      </c>
      <c r="C1287" s="52" t="str">
        <f>IF(MID(B1287,4,2)="09","Ramadan",IF(AND(MID(B1287,4,2)="12",VALUE(LEFT(B1287,2))&lt;=9),"Adha Season","Normal"))</f>
        <v>Normal</v>
      </c>
      <c r="D1287" s="2" t="s">
        <v>294</v>
      </c>
      <c r="F1287" s="4" t="s">
        <v>280</v>
      </c>
      <c r="G1287" s="1">
        <v>30</v>
      </c>
      <c r="H1287" s="1">
        <v>30</v>
      </c>
      <c r="I1287" s="1">
        <f>grand[[#This Row],[number]]-grand[[#This Row],[received]]</f>
        <v>0</v>
      </c>
      <c r="J1287" s="30"/>
      <c r="K1287" s="13">
        <v>1643</v>
      </c>
      <c r="L1287" s="13">
        <v>1633</v>
      </c>
      <c r="M1287" s="2">
        <f>K1287-L1287</f>
        <v>10</v>
      </c>
      <c r="N1287" s="13">
        <v>928</v>
      </c>
      <c r="O1287" s="13">
        <f>O1278/36*30</f>
        <v>274.16666666666669</v>
      </c>
      <c r="P1287" s="7">
        <f>grand[[#This Row],[total weight]]/grand[[#This Row],[received]]</f>
        <v>54.766666666666666</v>
      </c>
      <c r="Q1287" s="7">
        <f>grand[[#This Row],[receiving weight]]/grand[[#This Row],[received]]</f>
        <v>54.43333333333333</v>
      </c>
      <c r="R1287" s="7">
        <f>grand[[#This Row],[transportation loss ]]/grand[[#This Row],[received]]</f>
        <v>0.33333333333333331</v>
      </c>
      <c r="S1287" s="7">
        <f>grand[[#This Row],[ carcass weight]]/grand[[#This Row],[received]]</f>
        <v>30.933333333333334</v>
      </c>
      <c r="T1287" s="7">
        <f>grand[[#This Row],[ kidneys fat quantity]]/grand[[#This Row],[received]]</f>
        <v>9.1388888888888893</v>
      </c>
      <c r="U1287" s="1">
        <v>25</v>
      </c>
      <c r="V1287" s="1">
        <v>0</v>
      </c>
      <c r="W1287" s="1">
        <v>48.233333333333327</v>
      </c>
      <c r="X1287" s="1">
        <v>10</v>
      </c>
      <c r="Y1287" s="1">
        <v>8.5</v>
      </c>
      <c r="Z1287" s="18">
        <f>grand[[#This Row],[av. Transportation loss]]/grand[[#This Row],[av.total weight]]</f>
        <v>6.0864272671941567E-3</v>
      </c>
      <c r="AA1287" s="12">
        <f>AVERAGE((grand[[#This Row],[am]]/25),(grand[[#This Row],[pm]]/50))</f>
        <v>0.98233333333333328</v>
      </c>
      <c r="AB1287" s="3">
        <f>grand[[#This Row],[ carcass weight]]/grand[[#This Row],[total weight]]</f>
        <v>0.56482045039561779</v>
      </c>
      <c r="AC1287" s="18">
        <f>SUM(grand[[#This Row],[am]:[meat transportation]])/100</f>
        <v>0.91733333333333322</v>
      </c>
      <c r="AK1287" s="1"/>
      <c r="AL1287" s="1"/>
    </row>
    <row r="1288" spans="1:38" hidden="1" x14ac:dyDescent="0.2">
      <c r="A1288" s="11">
        <v>45771</v>
      </c>
      <c r="B1288" s="53" t="s">
        <v>2200</v>
      </c>
      <c r="C1288" s="52" t="str">
        <f>IF(MID(B1288,4,2)="09","Ramadan",IF(AND(MID(B1288,4,2)="12",VALUE(LEFT(B1288,2))&lt;=9),"Adha Season","Normal"))</f>
        <v>Normal</v>
      </c>
      <c r="D1288" s="1" t="s">
        <v>45</v>
      </c>
      <c r="E1288" s="1" t="s">
        <v>483</v>
      </c>
      <c r="F1288" s="4" t="s">
        <v>46</v>
      </c>
      <c r="G1288" s="1">
        <v>24</v>
      </c>
      <c r="H1288" s="1">
        <v>24</v>
      </c>
      <c r="I1288" s="1">
        <f>grand[[#This Row],[number]]-grand[[#This Row],[received]]</f>
        <v>0</v>
      </c>
      <c r="J1288" s="30"/>
      <c r="K1288" s="2">
        <v>12305</v>
      </c>
      <c r="L1288" s="2">
        <v>11415</v>
      </c>
      <c r="M1288" s="2">
        <f>K1288-L1288</f>
        <v>890</v>
      </c>
      <c r="N1288" s="2">
        <v>7384.3</v>
      </c>
      <c r="O1288" s="2">
        <v>206</v>
      </c>
      <c r="P1288" s="7">
        <f>grand[[#This Row],[total weight]]/grand[[#This Row],[received]]</f>
        <v>512.70833333333337</v>
      </c>
      <c r="Q1288" s="7">
        <f>grand[[#This Row],[receiving weight]]/grand[[#This Row],[received]]</f>
        <v>475.625</v>
      </c>
      <c r="R1288" s="7">
        <f>grand[[#This Row],[transportation loss ]]/grand[[#This Row],[received]]</f>
        <v>37.083333333333336</v>
      </c>
      <c r="S1288" s="7">
        <f>grand[[#This Row],[ carcass weight]]/grand[[#This Row],[received]]</f>
        <v>307.67916666666667</v>
      </c>
      <c r="T1288" s="7">
        <f>grand[[#This Row],[ kidneys fat quantity]]/grand[[#This Row],[received]]</f>
        <v>8.5833333333333339</v>
      </c>
      <c r="U1288" s="1">
        <v>25</v>
      </c>
      <c r="V1288" s="1">
        <v>0</v>
      </c>
      <c r="W1288" s="1">
        <v>49.208333333333329</v>
      </c>
      <c r="X1288" s="1">
        <v>10</v>
      </c>
      <c r="Y1288" s="1">
        <v>8.5</v>
      </c>
      <c r="Z1288" s="18">
        <f>grand[[#This Row],[av. Transportation loss]]/grand[[#This Row],[av.total weight]]</f>
        <v>7.2328321820398209E-2</v>
      </c>
      <c r="AA1288" s="12">
        <f>AVERAGE((grand[[#This Row],[am]]/25),(grand[[#This Row],[pm]]/50))</f>
        <v>0.99208333333333321</v>
      </c>
      <c r="AB1288" s="3">
        <f>grand[[#This Row],[ carcass weight]]/grand[[#This Row],[total weight]]</f>
        <v>0.60010564811052414</v>
      </c>
      <c r="AC1288" s="18">
        <f>SUM(grand[[#This Row],[am]:[meat transportation]])/100</f>
        <v>0.92708333333333326</v>
      </c>
      <c r="AK1288" s="1"/>
      <c r="AL1288" s="1"/>
    </row>
    <row r="1289" spans="1:38" hidden="1" x14ac:dyDescent="0.2">
      <c r="A1289" s="11">
        <v>45773</v>
      </c>
      <c r="B1289" s="53" t="s">
        <v>2201</v>
      </c>
      <c r="C1289" s="52" t="str">
        <f>IF(MID(B1289,4,2)="09","Ramadan",IF(AND(MID(B1289,4,2)="12",VALUE(LEFT(B1289,2))&lt;=9),"Adha Season","Normal"))</f>
        <v>Normal</v>
      </c>
      <c r="D1289" s="1" t="s">
        <v>45</v>
      </c>
      <c r="E1289" s="1" t="s">
        <v>528</v>
      </c>
      <c r="F1289" s="4" t="s">
        <v>462</v>
      </c>
      <c r="G1289" s="1">
        <v>44</v>
      </c>
      <c r="H1289" s="1">
        <v>44</v>
      </c>
      <c r="I1289" s="1">
        <f>grand[[#This Row],[number]]-grand[[#This Row],[received]]</f>
        <v>0</v>
      </c>
      <c r="J1289" s="30"/>
      <c r="K1289" s="2">
        <v>21345.569620253165</v>
      </c>
      <c r="L1289" s="2">
        <v>21345.569620253165</v>
      </c>
      <c r="M1289" s="2">
        <f>K1289-L1289</f>
        <v>0</v>
      </c>
      <c r="N1289" s="2">
        <v>13490.4</v>
      </c>
      <c r="O1289" s="2">
        <v>0</v>
      </c>
      <c r="P1289" s="7">
        <f>grand[[#This Row],[total weight]]/grand[[#This Row],[received]]</f>
        <v>485.12658227848101</v>
      </c>
      <c r="Q1289" s="7">
        <f>grand[[#This Row],[receiving weight]]/grand[[#This Row],[received]]</f>
        <v>485.12658227848101</v>
      </c>
      <c r="R1289" s="7">
        <f>grand[[#This Row],[transportation loss ]]/grand[[#This Row],[received]]</f>
        <v>0</v>
      </c>
      <c r="S1289" s="7">
        <f>grand[[#This Row],[ carcass weight]]/grand[[#This Row],[received]]</f>
        <v>306.59999999999997</v>
      </c>
      <c r="T1289" s="7">
        <f>grand[[#This Row],[ kidneys fat quantity]]/grand[[#This Row],[received]]</f>
        <v>0</v>
      </c>
      <c r="U1289" s="1">
        <v>25</v>
      </c>
      <c r="V1289" s="1">
        <v>4</v>
      </c>
      <c r="W1289" s="1">
        <v>50</v>
      </c>
      <c r="X1289" s="1">
        <v>10</v>
      </c>
      <c r="Y1289" s="1">
        <v>8.5</v>
      </c>
      <c r="Z1289" s="18">
        <f>grand[[#This Row],[av. Transportation loss]]/grand[[#This Row],[av.total weight]]</f>
        <v>0</v>
      </c>
      <c r="AA1289" s="12">
        <f>AVERAGE((grand[[#This Row],[am]]/25),(grand[[#This Row],[pm]]/50))</f>
        <v>1</v>
      </c>
      <c r="AB1289" s="3">
        <f>grand[[#This Row],[ carcass weight]]/grand[[#This Row],[total weight]]</f>
        <v>0.63200000000000001</v>
      </c>
      <c r="AC1289" s="18">
        <f>SUM(grand[[#This Row],[am]:[meat transportation]])/100</f>
        <v>0.97499999999999998</v>
      </c>
      <c r="AJ1289" s="1">
        <v>5</v>
      </c>
      <c r="AK1289" s="1"/>
      <c r="AL1289" s="1"/>
    </row>
    <row r="1290" spans="1:38" hidden="1" x14ac:dyDescent="0.2">
      <c r="A1290" s="11">
        <v>45774</v>
      </c>
      <c r="B1290" s="53" t="s">
        <v>2202</v>
      </c>
      <c r="C1290" s="52" t="str">
        <f>IF(MID(B1290,4,2)="09","Ramadan",IF(AND(MID(B1290,4,2)="12",VALUE(LEFT(B1290,2))&lt;=9),"Adha Season","Normal"))</f>
        <v>Normal</v>
      </c>
      <c r="D1290" s="2" t="s">
        <v>294</v>
      </c>
      <c r="F1290" s="4" t="s">
        <v>43</v>
      </c>
      <c r="G1290" s="1">
        <v>45</v>
      </c>
      <c r="H1290" s="1">
        <v>45</v>
      </c>
      <c r="I1290" s="1">
        <f>grand[[#This Row],[number]]-grand[[#This Row],[received]]</f>
        <v>0</v>
      </c>
      <c r="J1290" s="30"/>
      <c r="K1290" s="2">
        <v>2139.2857142857142</v>
      </c>
      <c r="L1290" s="2">
        <v>2139.2857142857142</v>
      </c>
      <c r="M1290" s="2">
        <f>K1290-L1290</f>
        <v>0</v>
      </c>
      <c r="N1290" s="2">
        <v>1198</v>
      </c>
      <c r="O1290" s="2">
        <v>0</v>
      </c>
      <c r="P1290" s="7">
        <f>grand[[#This Row],[total weight]]/grand[[#This Row],[received]]</f>
        <v>47.539682539682538</v>
      </c>
      <c r="Q1290" s="7">
        <f>grand[[#This Row],[receiving weight]]/grand[[#This Row],[received]]</f>
        <v>47.539682539682538</v>
      </c>
      <c r="R1290" s="7">
        <f>grand[[#This Row],[transportation loss ]]/grand[[#This Row],[received]]</f>
        <v>0</v>
      </c>
      <c r="S1290" s="7">
        <f>grand[[#This Row],[ carcass weight]]/grand[[#This Row],[received]]</f>
        <v>26.622222222222224</v>
      </c>
      <c r="T1290" s="7">
        <f>grand[[#This Row],[ kidneys fat quantity]]/grand[[#This Row],[received]]</f>
        <v>0</v>
      </c>
      <c r="U1290" s="1">
        <v>25</v>
      </c>
      <c r="V1290" s="1">
        <v>0</v>
      </c>
      <c r="W1290" s="1">
        <v>49.533333333333331</v>
      </c>
      <c r="X1290" s="1">
        <v>10</v>
      </c>
      <c r="Y1290" s="1">
        <v>8.5</v>
      </c>
      <c r="Z1290" s="18">
        <f>grand[[#This Row],[av. Transportation loss]]/grand[[#This Row],[av.total weight]]</f>
        <v>0</v>
      </c>
      <c r="AA1290" s="12">
        <f>AVERAGE((grand[[#This Row],[am]]/25),(grand[[#This Row],[pm]]/50))</f>
        <v>0.99533333333333329</v>
      </c>
      <c r="AB1290" s="3">
        <f>grand[[#This Row],[ carcass weight]]/grand[[#This Row],[total weight]]</f>
        <v>0.56000000000000005</v>
      </c>
      <c r="AC1290" s="18">
        <f>SUM(grand[[#This Row],[am]:[meat transportation]])/100</f>
        <v>0.93033333333333335</v>
      </c>
      <c r="AK1290" s="1"/>
      <c r="AL1290" s="1"/>
    </row>
    <row r="1291" spans="1:38" hidden="1" x14ac:dyDescent="0.2">
      <c r="A1291" s="11">
        <v>45774</v>
      </c>
      <c r="B1291" s="53" t="s">
        <v>2202</v>
      </c>
      <c r="C1291" s="52" t="str">
        <f>IF(MID(B1291,4,2)="09","Ramadan",IF(AND(MID(B1291,4,2)="12",VALUE(LEFT(B1291,2))&lt;=9),"Adha Season","Normal"))</f>
        <v>Normal</v>
      </c>
      <c r="D1291" s="1" t="s">
        <v>45</v>
      </c>
      <c r="E1291" s="1" t="s">
        <v>528</v>
      </c>
      <c r="F1291" s="4" t="s">
        <v>462</v>
      </c>
      <c r="G1291" s="1">
        <v>24</v>
      </c>
      <c r="H1291" s="1">
        <v>24</v>
      </c>
      <c r="I1291" s="1">
        <f>grand[[#This Row],[number]]-grand[[#This Row],[received]]</f>
        <v>0</v>
      </c>
      <c r="J1291" s="30"/>
      <c r="K1291" s="2">
        <v>11118.354430379746</v>
      </c>
      <c r="L1291" s="2">
        <v>11118.354430379746</v>
      </c>
      <c r="M1291" s="2">
        <f>K1291-L1291</f>
        <v>0</v>
      </c>
      <c r="N1291" s="2">
        <v>7026.8</v>
      </c>
      <c r="O1291" s="2">
        <v>0</v>
      </c>
      <c r="P1291" s="7">
        <f>grand[[#This Row],[total weight]]/grand[[#This Row],[received]]</f>
        <v>463.26476793248941</v>
      </c>
      <c r="Q1291" s="7">
        <f>grand[[#This Row],[receiving weight]]/grand[[#This Row],[received]]</f>
        <v>463.26476793248941</v>
      </c>
      <c r="R1291" s="7">
        <f>grand[[#This Row],[transportation loss ]]/grand[[#This Row],[received]]</f>
        <v>0</v>
      </c>
      <c r="S1291" s="7">
        <f>grand[[#This Row],[ carcass weight]]/grand[[#This Row],[received]]</f>
        <v>292.78333333333336</v>
      </c>
      <c r="T1291" s="7">
        <f>grand[[#This Row],[ kidneys fat quantity]]/grand[[#This Row],[received]]</f>
        <v>0</v>
      </c>
      <c r="U1291" s="1">
        <v>25</v>
      </c>
      <c r="V1291" s="1">
        <v>4</v>
      </c>
      <c r="W1291" s="1">
        <v>50</v>
      </c>
      <c r="X1291" s="1">
        <v>10</v>
      </c>
      <c r="Y1291" s="1">
        <v>8.5</v>
      </c>
      <c r="Z1291" s="18">
        <f>grand[[#This Row],[av. Transportation loss]]/grand[[#This Row],[av.total weight]]</f>
        <v>0</v>
      </c>
      <c r="AA1291" s="12">
        <f>AVERAGE((grand[[#This Row],[am]]/25),(grand[[#This Row],[pm]]/50))</f>
        <v>1</v>
      </c>
      <c r="AB1291" s="3">
        <f>grand[[#This Row],[ carcass weight]]/grand[[#This Row],[total weight]]</f>
        <v>0.63200000000000001</v>
      </c>
      <c r="AC1291" s="18">
        <f>SUM(grand[[#This Row],[am]:[meat transportation]])/100</f>
        <v>0.97499999999999998</v>
      </c>
      <c r="AJ1291" s="1">
        <v>3</v>
      </c>
      <c r="AK1291" s="1"/>
      <c r="AL1291" s="1"/>
    </row>
    <row r="1292" spans="1:38" hidden="1" x14ac:dyDescent="0.2">
      <c r="A1292" s="11">
        <v>45774</v>
      </c>
      <c r="B1292" s="53" t="s">
        <v>2202</v>
      </c>
      <c r="C1292" s="52" t="str">
        <f>IF(MID(B1292,4,2)="09","Ramadan",IF(AND(MID(B1292,4,2)="12",VALUE(LEFT(B1292,2))&lt;=9),"Adha Season","Normal"))</f>
        <v>Normal</v>
      </c>
      <c r="D1292" s="1" t="s">
        <v>45</v>
      </c>
      <c r="E1292" s="1" t="s">
        <v>483</v>
      </c>
      <c r="F1292" s="4" t="s">
        <v>43</v>
      </c>
      <c r="G1292" s="1">
        <v>39</v>
      </c>
      <c r="H1292" s="1">
        <v>37</v>
      </c>
      <c r="I1292" s="1">
        <f>grand[[#This Row],[number]]-grand[[#This Row],[received]]</f>
        <v>2</v>
      </c>
      <c r="J1292" s="64" t="s">
        <v>701</v>
      </c>
      <c r="K1292" s="2">
        <v>19062</v>
      </c>
      <c r="L1292" s="2">
        <v>18375</v>
      </c>
      <c r="M1292" s="2">
        <f>K1292-L1292</f>
        <v>687</v>
      </c>
      <c r="N1292" s="2">
        <v>11437.8</v>
      </c>
      <c r="O1292" s="2">
        <v>370</v>
      </c>
      <c r="P1292" s="7">
        <f>grand[[#This Row],[total weight]]/grand[[#This Row],[received]]</f>
        <v>515.18918918918916</v>
      </c>
      <c r="Q1292" s="7">
        <f>grand[[#This Row],[receiving weight]]/grand[[#This Row],[received]]</f>
        <v>496.62162162162161</v>
      </c>
      <c r="R1292" s="7">
        <f>grand[[#This Row],[transportation loss ]]/grand[[#This Row],[received]]</f>
        <v>18.567567567567568</v>
      </c>
      <c r="S1292" s="7">
        <f>grand[[#This Row],[ carcass weight]]/grand[[#This Row],[received]]</f>
        <v>309.12972972972972</v>
      </c>
      <c r="T1292" s="7">
        <f>grand[[#This Row],[ kidneys fat quantity]]/grand[[#This Row],[received]]</f>
        <v>10</v>
      </c>
      <c r="U1292" s="1">
        <v>25</v>
      </c>
      <c r="V1292" s="1">
        <v>0</v>
      </c>
      <c r="W1292" s="1">
        <v>48</v>
      </c>
      <c r="X1292" s="1">
        <v>10</v>
      </c>
      <c r="Y1292" s="1">
        <v>8.5</v>
      </c>
      <c r="Z1292" s="18">
        <f>grand[[#This Row],[av. Transportation loss]]/grand[[#This Row],[av.total weight]]</f>
        <v>3.604028958136607E-2</v>
      </c>
      <c r="AA1292" s="12">
        <f>AVERAGE((grand[[#This Row],[am]]/25),(grand[[#This Row],[pm]]/50))</f>
        <v>0.98</v>
      </c>
      <c r="AB1292" s="3">
        <f>grand[[#This Row],[ carcass weight]]/grand[[#This Row],[total weight]]</f>
        <v>0.60003147623544217</v>
      </c>
      <c r="AC1292" s="18">
        <f>SUM(grand[[#This Row],[am]:[meat transportation]])/100</f>
        <v>0.91500000000000004</v>
      </c>
      <c r="AJ1292" s="1">
        <v>11</v>
      </c>
      <c r="AK1292" s="1"/>
      <c r="AL1292" s="1"/>
    </row>
    <row r="1293" spans="1:38" hidden="1" x14ac:dyDescent="0.2">
      <c r="A1293" s="11">
        <v>45775</v>
      </c>
      <c r="B1293" s="53" t="s">
        <v>2203</v>
      </c>
      <c r="C1293" s="52" t="str">
        <f>IF(MID(B1293,4,2)="09","Ramadan",IF(AND(MID(B1293,4,2)="12",VALUE(LEFT(B1293,2))&lt;=9),"Adha Season","Normal"))</f>
        <v>Normal</v>
      </c>
      <c r="D1293" s="1" t="s">
        <v>45</v>
      </c>
      <c r="E1293" s="1" t="s">
        <v>528</v>
      </c>
      <c r="F1293" s="4" t="s">
        <v>462</v>
      </c>
      <c r="G1293" s="1">
        <v>40</v>
      </c>
      <c r="H1293" s="1">
        <v>38</v>
      </c>
      <c r="I1293" s="1">
        <f>grand[[#This Row],[number]]-grand[[#This Row],[received]]</f>
        <v>2</v>
      </c>
      <c r="J1293" s="64" t="s">
        <v>702</v>
      </c>
      <c r="K1293" s="2">
        <v>16974.683544303796</v>
      </c>
      <c r="L1293" s="2">
        <v>16974.683544303796</v>
      </c>
      <c r="M1293" s="2">
        <f>K1293-L1293</f>
        <v>0</v>
      </c>
      <c r="N1293" s="2">
        <v>10728</v>
      </c>
      <c r="O1293" s="2">
        <v>0</v>
      </c>
      <c r="P1293" s="7">
        <f>grand[[#This Row],[total weight]]/grand[[#This Row],[received]]</f>
        <v>446.70219853431041</v>
      </c>
      <c r="Q1293" s="7">
        <f>grand[[#This Row],[receiving weight]]/grand[[#This Row],[received]]</f>
        <v>446.70219853431041</v>
      </c>
      <c r="R1293" s="7">
        <f>grand[[#This Row],[transportation loss ]]/grand[[#This Row],[received]]</f>
        <v>0</v>
      </c>
      <c r="S1293" s="7">
        <f>grand[[#This Row],[ carcass weight]]/grand[[#This Row],[received]]</f>
        <v>282.31578947368422</v>
      </c>
      <c r="T1293" s="7">
        <f>grand[[#This Row],[ kidneys fat quantity]]/grand[[#This Row],[received]]</f>
        <v>0</v>
      </c>
      <c r="U1293" s="1">
        <v>25</v>
      </c>
      <c r="V1293" s="1">
        <v>4</v>
      </c>
      <c r="W1293" s="1">
        <v>50</v>
      </c>
      <c r="X1293" s="1">
        <v>10</v>
      </c>
      <c r="Y1293" s="1">
        <v>8.5</v>
      </c>
      <c r="Z1293" s="18">
        <f>grand[[#This Row],[av. Transportation loss]]/grand[[#This Row],[av.total weight]]</f>
        <v>0</v>
      </c>
      <c r="AA1293" s="12">
        <f>AVERAGE((grand[[#This Row],[am]]/25),(grand[[#This Row],[pm]]/50))</f>
        <v>1</v>
      </c>
      <c r="AB1293" s="3">
        <f>grand[[#This Row],[ carcass weight]]/grand[[#This Row],[total weight]]</f>
        <v>0.63200000000000001</v>
      </c>
      <c r="AC1293" s="18">
        <f>SUM(grand[[#This Row],[am]:[meat transportation]])/100</f>
        <v>0.97499999999999998</v>
      </c>
      <c r="AK1293" s="1"/>
      <c r="AL1293" s="1"/>
    </row>
    <row r="1294" spans="1:38" hidden="1" x14ac:dyDescent="0.2">
      <c r="A1294" s="11">
        <v>45776</v>
      </c>
      <c r="B1294" s="53" t="s">
        <v>2204</v>
      </c>
      <c r="C1294" s="52" t="str">
        <f>IF(MID(B1294,4,2)="09","Ramadan",IF(AND(MID(B1294,4,2)="12",VALUE(LEFT(B1294,2))&lt;=9),"Adha Season","Normal"))</f>
        <v>Normal</v>
      </c>
      <c r="D1294" s="1" t="s">
        <v>45</v>
      </c>
      <c r="E1294" s="1" t="s">
        <v>483</v>
      </c>
      <c r="F1294" s="4" t="s">
        <v>46</v>
      </c>
      <c r="G1294" s="1">
        <v>34</v>
      </c>
      <c r="H1294" s="1">
        <v>33</v>
      </c>
      <c r="I1294" s="1">
        <f>grand[[#This Row],[number]]-grand[[#This Row],[received]]</f>
        <v>1</v>
      </c>
      <c r="J1294" s="64" t="s">
        <v>703</v>
      </c>
      <c r="K1294" s="2">
        <v>16630</v>
      </c>
      <c r="L1294" s="2">
        <v>16150</v>
      </c>
      <c r="M1294" s="2">
        <f>K1294-L1294</f>
        <v>480</v>
      </c>
      <c r="N1294" s="2">
        <v>9978.2000000000007</v>
      </c>
      <c r="O1294" s="2">
        <v>297</v>
      </c>
      <c r="P1294" s="7">
        <f>grand[[#This Row],[total weight]]/grand[[#This Row],[received]]</f>
        <v>503.93939393939394</v>
      </c>
      <c r="Q1294" s="7">
        <f>grand[[#This Row],[receiving weight]]/grand[[#This Row],[received]]</f>
        <v>489.39393939393938</v>
      </c>
      <c r="R1294" s="7">
        <f>grand[[#This Row],[transportation loss ]]/grand[[#This Row],[received]]</f>
        <v>14.545454545454545</v>
      </c>
      <c r="S1294" s="7">
        <f>grand[[#This Row],[ carcass weight]]/grand[[#This Row],[received]]</f>
        <v>302.36969696969697</v>
      </c>
      <c r="T1294" s="7">
        <f>grand[[#This Row],[ kidneys fat quantity]]/grand[[#This Row],[received]]</f>
        <v>9</v>
      </c>
      <c r="U1294" s="1">
        <v>25</v>
      </c>
      <c r="V1294" s="1">
        <v>0</v>
      </c>
      <c r="W1294" s="1">
        <v>48.575757575757571</v>
      </c>
      <c r="X1294" s="1">
        <v>9.8484848484848477</v>
      </c>
      <c r="Y1294" s="1">
        <v>8.5</v>
      </c>
      <c r="Z1294" s="18">
        <f>grand[[#This Row],[av. Transportation loss]]/grand[[#This Row],[av.total weight]]</f>
        <v>2.8863499699338543E-2</v>
      </c>
      <c r="AA1294" s="12">
        <f>AVERAGE((grand[[#This Row],[am]]/25),(grand[[#This Row],[pm]]/50))</f>
        <v>0.98575757575757572</v>
      </c>
      <c r="AB1294" s="3">
        <f>grand[[#This Row],[ carcass weight]]/grand[[#This Row],[total weight]]</f>
        <v>0.60001202645820806</v>
      </c>
      <c r="AC1294" s="18">
        <f>SUM(grand[[#This Row],[am]:[meat transportation]])/100</f>
        <v>0.91924242424242408</v>
      </c>
      <c r="AJ1294" s="1">
        <v>12</v>
      </c>
      <c r="AK1294" s="1"/>
      <c r="AL1294" s="1"/>
    </row>
    <row r="1295" spans="1:38" hidden="1" x14ac:dyDescent="0.2">
      <c r="A1295" s="11">
        <v>45778</v>
      </c>
      <c r="B1295" s="53" t="s">
        <v>2205</v>
      </c>
      <c r="C1295" s="52" t="str">
        <f>IF(MID(B1295,4,2)="09","Ramadan",IF(AND(MID(B1295,4,2)="12",VALUE(LEFT(B1295,2))&lt;=9),"Adha Season","Normal"))</f>
        <v>Normal</v>
      </c>
      <c r="D1295" s="2" t="s">
        <v>294</v>
      </c>
      <c r="F1295" s="4" t="s">
        <v>43</v>
      </c>
      <c r="G1295" s="1">
        <v>50</v>
      </c>
      <c r="H1295" s="1">
        <v>50</v>
      </c>
      <c r="I1295" s="1">
        <f>grand[[#This Row],[number]]-grand[[#This Row],[received]]</f>
        <v>0</v>
      </c>
      <c r="J1295" s="30"/>
      <c r="K1295" s="2">
        <v>2416</v>
      </c>
      <c r="L1295" s="2">
        <v>2416</v>
      </c>
      <c r="M1295" s="2">
        <f>K1295-L1295</f>
        <v>0</v>
      </c>
      <c r="N1295" s="2">
        <v>1328.8</v>
      </c>
      <c r="O1295" s="2">
        <v>0</v>
      </c>
      <c r="P1295" s="7">
        <f>grand[[#This Row],[total weight]]/grand[[#This Row],[received]]</f>
        <v>48.32</v>
      </c>
      <c r="Q1295" s="7">
        <f>grand[[#This Row],[receiving weight]]/grand[[#This Row],[received]]</f>
        <v>48.32</v>
      </c>
      <c r="R1295" s="7">
        <f>grand[[#This Row],[transportation loss ]]/grand[[#This Row],[received]]</f>
        <v>0</v>
      </c>
      <c r="S1295" s="7">
        <f>grand[[#This Row],[ carcass weight]]/grand[[#This Row],[received]]</f>
        <v>26.576000000000001</v>
      </c>
      <c r="T1295" s="7">
        <f>grand[[#This Row],[ kidneys fat quantity]]/grand[[#This Row],[received]]</f>
        <v>0</v>
      </c>
      <c r="U1295" s="1">
        <v>25</v>
      </c>
      <c r="V1295" s="1">
        <v>0</v>
      </c>
      <c r="W1295" s="1">
        <v>47.12</v>
      </c>
      <c r="X1295" s="1">
        <v>10</v>
      </c>
      <c r="Y1295" s="1">
        <v>8.5</v>
      </c>
      <c r="Z1295" s="18">
        <f>grand[[#This Row],[av. Transportation loss]]/grand[[#This Row],[av.total weight]]</f>
        <v>0</v>
      </c>
      <c r="AA1295" s="12">
        <f>AVERAGE((grand[[#This Row],[am]]/25),(grand[[#This Row],[pm]]/50))</f>
        <v>0.97119999999999995</v>
      </c>
      <c r="AB1295" s="3">
        <f>grand[[#This Row],[ carcass weight]]/grand[[#This Row],[total weight]]</f>
        <v>0.54999999999999993</v>
      </c>
      <c r="AC1295" s="18">
        <f>SUM(grand[[#This Row],[am]:[meat transportation]])/100</f>
        <v>0.90620000000000001</v>
      </c>
      <c r="AK1295" s="1"/>
      <c r="AL1295" s="1"/>
    </row>
    <row r="1296" spans="1:38" hidden="1" x14ac:dyDescent="0.2">
      <c r="A1296" s="11">
        <v>45778</v>
      </c>
      <c r="B1296" s="53" t="s">
        <v>2205</v>
      </c>
      <c r="C1296" s="52" t="str">
        <f>IF(MID(B1296,4,2)="09","Ramadan",IF(AND(MID(B1296,4,2)="12",VALUE(LEFT(B1296,2))&lt;=9),"Adha Season","Normal"))</f>
        <v>Normal</v>
      </c>
      <c r="D1296" s="1" t="s">
        <v>45</v>
      </c>
      <c r="E1296" s="1" t="s">
        <v>528</v>
      </c>
      <c r="F1296" s="4" t="s">
        <v>462</v>
      </c>
      <c r="G1296" s="1">
        <v>48</v>
      </c>
      <c r="H1296" s="1">
        <v>48</v>
      </c>
      <c r="I1296" s="1">
        <f>grand[[#This Row],[number]]-grand[[#This Row],[received]]</f>
        <v>0</v>
      </c>
      <c r="J1296" s="30"/>
      <c r="K1296" s="2">
        <v>22890.348101265823</v>
      </c>
      <c r="L1296" s="2">
        <v>22890.348101265823</v>
      </c>
      <c r="M1296" s="2">
        <f>K1296-L1296</f>
        <v>0</v>
      </c>
      <c r="N1296" s="2">
        <v>14466.7</v>
      </c>
      <c r="O1296" s="2">
        <v>0</v>
      </c>
      <c r="P1296" s="7">
        <f>grand[[#This Row],[total weight]]/grand[[#This Row],[received]]</f>
        <v>476.88225210970467</v>
      </c>
      <c r="Q1296" s="7">
        <f>grand[[#This Row],[receiving weight]]/grand[[#This Row],[received]]</f>
        <v>476.88225210970467</v>
      </c>
      <c r="R1296" s="7">
        <f>grand[[#This Row],[transportation loss ]]/grand[[#This Row],[received]]</f>
        <v>0</v>
      </c>
      <c r="S1296" s="7">
        <f>grand[[#This Row],[ carcass weight]]/grand[[#This Row],[received]]</f>
        <v>301.38958333333335</v>
      </c>
      <c r="T1296" s="7">
        <f>grand[[#This Row],[ kidneys fat quantity]]/grand[[#This Row],[received]]</f>
        <v>0</v>
      </c>
      <c r="U1296" s="1">
        <v>25</v>
      </c>
      <c r="V1296" s="1">
        <v>4</v>
      </c>
      <c r="W1296" s="1">
        <v>50</v>
      </c>
      <c r="X1296" s="1">
        <v>10</v>
      </c>
      <c r="Y1296" s="1">
        <v>8.5</v>
      </c>
      <c r="Z1296" s="18">
        <f>grand[[#This Row],[av. Transportation loss]]/grand[[#This Row],[av.total weight]]</f>
        <v>0</v>
      </c>
      <c r="AA1296" s="12">
        <f>AVERAGE((grand[[#This Row],[am]]/25),(grand[[#This Row],[pm]]/50))</f>
        <v>1</v>
      </c>
      <c r="AB1296" s="3">
        <f>grand[[#This Row],[ carcass weight]]/grand[[#This Row],[total weight]]</f>
        <v>0.63200000000000001</v>
      </c>
      <c r="AC1296" s="18">
        <f>SUM(grand[[#This Row],[am]:[meat transportation]])/100</f>
        <v>0.97499999999999998</v>
      </c>
      <c r="AK1296" s="1"/>
      <c r="AL1296" s="1"/>
    </row>
    <row r="1297" spans="1:38" hidden="1" x14ac:dyDescent="0.2">
      <c r="A1297" s="11">
        <v>45778</v>
      </c>
      <c r="B1297" s="53" t="s">
        <v>2205</v>
      </c>
      <c r="C1297" s="52" t="str">
        <f>IF(MID(B1297,4,2)="09","Ramadan",IF(AND(MID(B1297,4,2)="12",VALUE(LEFT(B1297,2))&lt;=9),"Adha Season","Normal"))</f>
        <v>Normal</v>
      </c>
      <c r="D1297" s="1" t="s">
        <v>45</v>
      </c>
      <c r="E1297" s="1" t="s">
        <v>483</v>
      </c>
      <c r="F1297" s="4" t="s">
        <v>43</v>
      </c>
      <c r="G1297" s="1">
        <v>28</v>
      </c>
      <c r="H1297" s="1">
        <v>14</v>
      </c>
      <c r="I1297" s="1">
        <f>grand[[#This Row],[number]]-grand[[#This Row],[received]]</f>
        <v>14</v>
      </c>
      <c r="J1297" s="64" t="s">
        <v>704</v>
      </c>
      <c r="K1297" s="2">
        <v>7356</v>
      </c>
      <c r="L1297" s="2">
        <v>6940</v>
      </c>
      <c r="M1297" s="2">
        <f>K1297-L1297</f>
        <v>416</v>
      </c>
      <c r="N1297" s="2">
        <v>4413.8</v>
      </c>
      <c r="O1297" s="2">
        <v>0</v>
      </c>
      <c r="P1297" s="7">
        <f>grand[[#This Row],[total weight]]/grand[[#This Row],[received]]</f>
        <v>525.42857142857144</v>
      </c>
      <c r="Q1297" s="7">
        <f>grand[[#This Row],[receiving weight]]/grand[[#This Row],[received]]</f>
        <v>495.71428571428572</v>
      </c>
      <c r="R1297" s="7">
        <f>grand[[#This Row],[transportation loss ]]/grand[[#This Row],[received]]</f>
        <v>29.714285714285715</v>
      </c>
      <c r="S1297" s="7">
        <f>grand[[#This Row],[ carcass weight]]/grand[[#This Row],[received]]</f>
        <v>315.2714285714286</v>
      </c>
      <c r="T1297" s="7">
        <f>grand[[#This Row],[ kidneys fat quantity]]/grand[[#This Row],[received]]</f>
        <v>0</v>
      </c>
      <c r="U1297" s="1">
        <v>25</v>
      </c>
      <c r="V1297" s="1">
        <v>0</v>
      </c>
      <c r="W1297" s="1">
        <v>42.785714285714285</v>
      </c>
      <c r="X1297" s="1">
        <v>10</v>
      </c>
      <c r="Y1297" s="1">
        <v>8.5</v>
      </c>
      <c r="Z1297" s="18">
        <f>grand[[#This Row],[av. Transportation loss]]/grand[[#This Row],[av.total weight]]</f>
        <v>5.6552474170744972E-2</v>
      </c>
      <c r="AA1297" s="12">
        <f>AVERAGE((grand[[#This Row],[am]]/25),(grand[[#This Row],[pm]]/50))</f>
        <v>0.92785714285714282</v>
      </c>
      <c r="AB1297" s="3">
        <f>grand[[#This Row],[ carcass weight]]/grand[[#This Row],[total weight]]</f>
        <v>0.60002718868950522</v>
      </c>
      <c r="AC1297" s="18">
        <f>SUM(grand[[#This Row],[am]:[meat transportation]])/100</f>
        <v>0.86285714285714277</v>
      </c>
      <c r="AJ1297" s="1">
        <v>11</v>
      </c>
      <c r="AK1297" s="1"/>
      <c r="AL1297" s="1"/>
    </row>
    <row r="1298" spans="1:38" hidden="1" x14ac:dyDescent="0.2">
      <c r="A1298" s="11">
        <v>45780</v>
      </c>
      <c r="B1298" s="53" t="s">
        <v>2206</v>
      </c>
      <c r="C1298" s="52" t="str">
        <f>IF(MID(B1298,4,2)="09","Ramadan",IF(AND(MID(B1298,4,2)="12",VALUE(LEFT(B1298,2))&lt;=9),"Adha Season","Normal"))</f>
        <v>Normal</v>
      </c>
      <c r="D1298" s="2" t="s">
        <v>294</v>
      </c>
      <c r="F1298" s="4" t="s">
        <v>640</v>
      </c>
      <c r="G1298" s="1">
        <v>25</v>
      </c>
      <c r="H1298" s="1">
        <v>25</v>
      </c>
      <c r="I1298" s="1">
        <f>grand[[#This Row],[number]]-grand[[#This Row],[received]]</f>
        <v>0</v>
      </c>
      <c r="J1298" s="30"/>
      <c r="K1298" s="2">
        <v>1148</v>
      </c>
      <c r="L1298" s="2">
        <v>1148</v>
      </c>
      <c r="M1298" s="2">
        <f>K1298-L1298</f>
        <v>0</v>
      </c>
      <c r="N1298" s="2">
        <v>640.4</v>
      </c>
      <c r="O1298" s="2">
        <v>0</v>
      </c>
      <c r="P1298" s="7">
        <f>grand[[#This Row],[total weight]]/grand[[#This Row],[received]]</f>
        <v>45.92</v>
      </c>
      <c r="Q1298" s="7">
        <f>grand[[#This Row],[receiving weight]]/grand[[#This Row],[received]]</f>
        <v>45.92</v>
      </c>
      <c r="R1298" s="7">
        <f>grand[[#This Row],[transportation loss ]]/grand[[#This Row],[received]]</f>
        <v>0</v>
      </c>
      <c r="S1298" s="7">
        <f>grand[[#This Row],[ carcass weight]]/grand[[#This Row],[received]]</f>
        <v>25.616</v>
      </c>
      <c r="T1298" s="7">
        <f>grand[[#This Row],[ kidneys fat quantity]]/grand[[#This Row],[received]]</f>
        <v>0</v>
      </c>
      <c r="U1298" s="1">
        <v>25</v>
      </c>
      <c r="V1298" s="1">
        <v>0</v>
      </c>
      <c r="W1298" s="1">
        <v>47.640000000000008</v>
      </c>
      <c r="X1298" s="1">
        <v>10</v>
      </c>
      <c r="Y1298" s="1">
        <v>8.5</v>
      </c>
      <c r="Z1298" s="18">
        <f>grand[[#This Row],[av. Transportation loss]]/grand[[#This Row],[av.total weight]]</f>
        <v>0</v>
      </c>
      <c r="AA1298" s="12">
        <f>AVERAGE((grand[[#This Row],[am]]/25),(grand[[#This Row],[pm]]/50))</f>
        <v>0.97640000000000016</v>
      </c>
      <c r="AB1298" s="3">
        <f>grand[[#This Row],[ carcass weight]]/grand[[#This Row],[total weight]]</f>
        <v>0.55783972125435544</v>
      </c>
      <c r="AC1298" s="18">
        <f>SUM(grand[[#This Row],[am]:[meat transportation]])/100</f>
        <v>0.9114000000000001</v>
      </c>
      <c r="AK1298" s="1"/>
      <c r="AL1298" s="1"/>
    </row>
    <row r="1299" spans="1:38" hidden="1" x14ac:dyDescent="0.2">
      <c r="A1299" s="11">
        <v>45780</v>
      </c>
      <c r="B1299" s="53" t="s">
        <v>2206</v>
      </c>
      <c r="C1299" s="52" t="str">
        <f>IF(MID(B1299,4,2)="09","Ramadan",IF(AND(MID(B1299,4,2)="12",VALUE(LEFT(B1299,2))&lt;=9),"Adha Season","Normal"))</f>
        <v>Normal</v>
      </c>
      <c r="D1299" s="1" t="s">
        <v>45</v>
      </c>
      <c r="E1299" s="1" t="s">
        <v>528</v>
      </c>
      <c r="F1299" s="4" t="s">
        <v>462</v>
      </c>
      <c r="G1299" s="1">
        <v>66</v>
      </c>
      <c r="H1299" s="1">
        <v>65</v>
      </c>
      <c r="I1299" s="1">
        <f>grand[[#This Row],[number]]-grand[[#This Row],[received]]</f>
        <v>1</v>
      </c>
      <c r="J1299" s="64" t="s">
        <v>705</v>
      </c>
      <c r="K1299" s="2">
        <v>26880.696202531642</v>
      </c>
      <c r="L1299" s="2">
        <v>26880.696202531642</v>
      </c>
      <c r="M1299" s="2">
        <f>K1299-L1299</f>
        <v>0</v>
      </c>
      <c r="N1299" s="2">
        <v>16988.599999999999</v>
      </c>
      <c r="O1299" s="2">
        <v>0</v>
      </c>
      <c r="P1299" s="7">
        <f>grand[[#This Row],[total weight]]/grand[[#This Row],[received]]</f>
        <v>413.54917234664066</v>
      </c>
      <c r="Q1299" s="7">
        <f>grand[[#This Row],[receiving weight]]/grand[[#This Row],[received]]</f>
        <v>413.54917234664066</v>
      </c>
      <c r="R1299" s="7">
        <f>grand[[#This Row],[transportation loss ]]/grand[[#This Row],[received]]</f>
        <v>0</v>
      </c>
      <c r="S1299" s="7">
        <f>grand[[#This Row],[ carcass weight]]/grand[[#This Row],[received]]</f>
        <v>261.3630769230769</v>
      </c>
      <c r="T1299" s="7">
        <f>grand[[#This Row],[ kidneys fat quantity]]/grand[[#This Row],[received]]</f>
        <v>0</v>
      </c>
      <c r="U1299" s="1">
        <v>25</v>
      </c>
      <c r="V1299" s="1">
        <v>4</v>
      </c>
      <c r="W1299" s="1">
        <v>50</v>
      </c>
      <c r="X1299" s="1">
        <v>10</v>
      </c>
      <c r="Y1299" s="1">
        <v>8.5</v>
      </c>
      <c r="Z1299" s="18">
        <f>grand[[#This Row],[av. Transportation loss]]/grand[[#This Row],[av.total weight]]</f>
        <v>0</v>
      </c>
      <c r="AA1299" s="12">
        <f>AVERAGE((grand[[#This Row],[am]]/25),(grand[[#This Row],[pm]]/50))</f>
        <v>1</v>
      </c>
      <c r="AB1299" s="3">
        <f>grand[[#This Row],[ carcass weight]]/grand[[#This Row],[total weight]]</f>
        <v>0.63200000000000001</v>
      </c>
      <c r="AC1299" s="18">
        <f>SUM(grand[[#This Row],[am]:[meat transportation]])/100</f>
        <v>0.97499999999999998</v>
      </c>
      <c r="AK1299" s="1"/>
      <c r="AL1299" s="1"/>
    </row>
    <row r="1300" spans="1:38" hidden="1" x14ac:dyDescent="0.2">
      <c r="A1300" s="11">
        <v>45781</v>
      </c>
      <c r="B1300" s="53" t="s">
        <v>2207</v>
      </c>
      <c r="C1300" s="52" t="str">
        <f>IF(MID(B1300,4,2)="09","Ramadan",IF(AND(MID(B1300,4,2)="12",VALUE(LEFT(B1300,2))&lt;=9),"Adha Season","Normal"))</f>
        <v>Normal</v>
      </c>
      <c r="D1300" s="1" t="s">
        <v>45</v>
      </c>
      <c r="E1300" s="1" t="s">
        <v>528</v>
      </c>
      <c r="F1300" s="4" t="s">
        <v>462</v>
      </c>
      <c r="G1300" s="1">
        <v>35</v>
      </c>
      <c r="H1300" s="1">
        <v>33</v>
      </c>
      <c r="I1300" s="1">
        <f>grand[[#This Row],[number]]-grand[[#This Row],[received]]</f>
        <v>2</v>
      </c>
      <c r="J1300" s="64" t="s">
        <v>706</v>
      </c>
      <c r="K1300" s="2">
        <v>15467.72151898734</v>
      </c>
      <c r="L1300" s="2">
        <v>15467.72151898734</v>
      </c>
      <c r="M1300" s="2">
        <f>K1300-L1300</f>
        <v>0</v>
      </c>
      <c r="N1300" s="2">
        <v>9775.6</v>
      </c>
      <c r="O1300" s="2">
        <v>0</v>
      </c>
      <c r="P1300" s="7">
        <f>grand[[#This Row],[total weight]]/grand[[#This Row],[received]]</f>
        <v>468.71883390870727</v>
      </c>
      <c r="Q1300" s="7">
        <f>grand[[#This Row],[receiving weight]]/grand[[#This Row],[received]]</f>
        <v>468.71883390870727</v>
      </c>
      <c r="R1300" s="7">
        <f>grand[[#This Row],[transportation loss ]]/grand[[#This Row],[received]]</f>
        <v>0</v>
      </c>
      <c r="S1300" s="7">
        <f>grand[[#This Row],[ carcass weight]]/grand[[#This Row],[received]]</f>
        <v>296.23030303030305</v>
      </c>
      <c r="T1300" s="7">
        <f>grand[[#This Row],[ kidneys fat quantity]]/grand[[#This Row],[received]]</f>
        <v>0</v>
      </c>
      <c r="U1300" s="1">
        <v>25</v>
      </c>
      <c r="V1300" s="1">
        <v>4</v>
      </c>
      <c r="W1300" s="1">
        <v>50</v>
      </c>
      <c r="X1300" s="1">
        <v>9.8484848484848477</v>
      </c>
      <c r="Y1300" s="1">
        <v>8.5</v>
      </c>
      <c r="Z1300" s="18">
        <f>grand[[#This Row],[av. Transportation loss]]/grand[[#This Row],[av.total weight]]</f>
        <v>0</v>
      </c>
      <c r="AA1300" s="12">
        <f>AVERAGE((grand[[#This Row],[am]]/25),(grand[[#This Row],[pm]]/50))</f>
        <v>1</v>
      </c>
      <c r="AB1300" s="3">
        <f>grand[[#This Row],[ carcass weight]]/grand[[#This Row],[total weight]]</f>
        <v>0.63200000000000012</v>
      </c>
      <c r="AC1300" s="18">
        <f>SUM(grand[[#This Row],[am]:[meat transportation]])/100</f>
        <v>0.9734848484848484</v>
      </c>
      <c r="AK1300" s="1"/>
      <c r="AL1300" s="1"/>
    </row>
    <row r="1301" spans="1:38" hidden="1" x14ac:dyDescent="0.2">
      <c r="A1301" s="11">
        <v>45782</v>
      </c>
      <c r="B1301" s="53" t="s">
        <v>2208</v>
      </c>
      <c r="C1301" s="52" t="str">
        <f>IF(MID(B1301,4,2)="09","Ramadan",IF(AND(MID(B1301,4,2)="12",VALUE(LEFT(B1301,2))&lt;=9),"Adha Season","Normal"))</f>
        <v>Normal</v>
      </c>
      <c r="D1301" s="1" t="s">
        <v>45</v>
      </c>
      <c r="E1301" s="1" t="s">
        <v>528</v>
      </c>
      <c r="F1301" s="4" t="s">
        <v>462</v>
      </c>
      <c r="G1301" s="1">
        <v>40</v>
      </c>
      <c r="H1301" s="1">
        <v>40</v>
      </c>
      <c r="I1301" s="1">
        <f>grand[[#This Row],[number]]-grand[[#This Row],[received]]</f>
        <v>0</v>
      </c>
      <c r="J1301" s="30"/>
      <c r="K1301" s="2">
        <v>19376.582278481012</v>
      </c>
      <c r="L1301" s="2">
        <v>19376.582278481012</v>
      </c>
      <c r="M1301" s="2">
        <f>K1301-L1301</f>
        <v>0</v>
      </c>
      <c r="N1301" s="2">
        <v>12246</v>
      </c>
      <c r="O1301" s="2">
        <v>0</v>
      </c>
      <c r="P1301" s="7">
        <f>grand[[#This Row],[total weight]]/grand[[#This Row],[received]]</f>
        <v>484.4145569620253</v>
      </c>
      <c r="Q1301" s="7">
        <f>grand[[#This Row],[receiving weight]]/grand[[#This Row],[received]]</f>
        <v>484.4145569620253</v>
      </c>
      <c r="R1301" s="7">
        <f>grand[[#This Row],[transportation loss ]]/grand[[#This Row],[received]]</f>
        <v>0</v>
      </c>
      <c r="S1301" s="7">
        <f>grand[[#This Row],[ carcass weight]]/grand[[#This Row],[received]]</f>
        <v>306.14999999999998</v>
      </c>
      <c r="T1301" s="7">
        <f>grand[[#This Row],[ kidneys fat quantity]]/grand[[#This Row],[received]]</f>
        <v>0</v>
      </c>
      <c r="U1301" s="1">
        <v>25</v>
      </c>
      <c r="V1301" s="1">
        <v>4</v>
      </c>
      <c r="W1301" s="1">
        <v>50</v>
      </c>
      <c r="X1301" s="1">
        <v>9.875</v>
      </c>
      <c r="Y1301" s="1">
        <v>8.5</v>
      </c>
      <c r="Z1301" s="18">
        <f>grand[[#This Row],[av. Transportation loss]]/grand[[#This Row],[av.total weight]]</f>
        <v>0</v>
      </c>
      <c r="AA1301" s="12">
        <f>AVERAGE((grand[[#This Row],[am]]/25),(grand[[#This Row],[pm]]/50))</f>
        <v>1</v>
      </c>
      <c r="AB1301" s="3">
        <f>grand[[#This Row],[ carcass weight]]/grand[[#This Row],[total weight]]</f>
        <v>0.63200000000000001</v>
      </c>
      <c r="AC1301" s="18">
        <f>SUM(grand[[#This Row],[am]:[meat transportation]])/100</f>
        <v>0.97375</v>
      </c>
      <c r="AK1301" s="1"/>
      <c r="AL1301" s="1"/>
    </row>
    <row r="1302" spans="1:38" hidden="1" x14ac:dyDescent="0.2">
      <c r="A1302" s="11">
        <v>45782</v>
      </c>
      <c r="B1302" s="53" t="s">
        <v>2208</v>
      </c>
      <c r="C1302" s="52" t="str">
        <f>IF(MID(B1302,4,2)="09","Ramadan",IF(AND(MID(B1302,4,2)="12",VALUE(LEFT(B1302,2))&lt;=9),"Adha Season","Normal"))</f>
        <v>Normal</v>
      </c>
      <c r="D1302" s="1" t="s">
        <v>45</v>
      </c>
      <c r="E1302" s="1" t="s">
        <v>528</v>
      </c>
      <c r="F1302" s="4" t="s">
        <v>280</v>
      </c>
      <c r="G1302" s="1">
        <v>45</v>
      </c>
      <c r="H1302" s="1">
        <v>5</v>
      </c>
      <c r="I1302" s="1">
        <f>grand[[#This Row],[number]]-grand[[#This Row],[received]]</f>
        <v>40</v>
      </c>
      <c r="J1302" s="64" t="s">
        <v>1144</v>
      </c>
      <c r="K1302" s="2">
        <v>2584</v>
      </c>
      <c r="L1302" s="2">
        <v>2584</v>
      </c>
      <c r="M1302" s="2">
        <f>K1302-L1302</f>
        <v>0</v>
      </c>
      <c r="N1302" s="2">
        <v>1657.4</v>
      </c>
      <c r="O1302" s="2"/>
      <c r="P1302" s="7">
        <f>grand[[#This Row],[total weight]]/grand[[#This Row],[received]]</f>
        <v>516.79999999999995</v>
      </c>
      <c r="Q1302" s="7">
        <f>grand[[#This Row],[receiving weight]]/grand[[#This Row],[received]]</f>
        <v>516.79999999999995</v>
      </c>
      <c r="R1302" s="7">
        <f>grand[[#This Row],[transportation loss ]]/grand[[#This Row],[received]]</f>
        <v>0</v>
      </c>
      <c r="S1302" s="7">
        <f>grand[[#This Row],[ carcass weight]]/grand[[#This Row],[received]]</f>
        <v>331.48</v>
      </c>
      <c r="T1302" s="7">
        <f>grand[[#This Row],[ kidneys fat quantity]]/grand[[#This Row],[received]]</f>
        <v>0</v>
      </c>
      <c r="U1302" s="1">
        <v>25</v>
      </c>
      <c r="V1302" s="1">
        <v>0</v>
      </c>
      <c r="W1302" s="1">
        <v>44.2</v>
      </c>
      <c r="X1302" s="1">
        <v>10</v>
      </c>
      <c r="Y1302" s="1">
        <v>8.5</v>
      </c>
      <c r="Z1302" s="18">
        <f>grand[[#This Row],[av. Transportation loss]]/grand[[#This Row],[av.total weight]]</f>
        <v>0</v>
      </c>
      <c r="AA1302" s="12">
        <f>AVERAGE((grand[[#This Row],[am]]/25),(grand[[#This Row],[pm]]/50))</f>
        <v>0.94199999999999995</v>
      </c>
      <c r="AB1302" s="3">
        <f>grand[[#This Row],[ carcass weight]]/grand[[#This Row],[total weight]]</f>
        <v>0.64140866873065017</v>
      </c>
      <c r="AC1302" s="18">
        <f>SUM(grand[[#This Row],[am]:[meat transportation]])/100</f>
        <v>0.877</v>
      </c>
      <c r="AK1302" s="1"/>
      <c r="AL1302" s="1"/>
    </row>
    <row r="1303" spans="1:38" hidden="1" x14ac:dyDescent="0.2">
      <c r="A1303" s="11">
        <v>45783</v>
      </c>
      <c r="B1303" s="53" t="s">
        <v>2209</v>
      </c>
      <c r="C1303" s="52" t="str">
        <f>IF(MID(B1303,4,2)="09","Ramadan",IF(AND(MID(B1303,4,2)="12",VALUE(LEFT(B1303,2))&lt;=9),"Adha Season","Normal"))</f>
        <v>Normal</v>
      </c>
      <c r="D1303" s="2" t="s">
        <v>294</v>
      </c>
      <c r="F1303" s="4" t="s">
        <v>656</v>
      </c>
      <c r="G1303" s="1">
        <v>44</v>
      </c>
      <c r="H1303" s="1">
        <v>44</v>
      </c>
      <c r="I1303" s="1">
        <f>grand[[#This Row],[number]]-grand[[#This Row],[received]]</f>
        <v>0</v>
      </c>
      <c r="J1303" s="30"/>
      <c r="K1303" s="2">
        <v>2112</v>
      </c>
      <c r="L1303" s="2">
        <v>2112</v>
      </c>
      <c r="M1303" s="2">
        <f>K1303-L1303</f>
        <v>0</v>
      </c>
      <c r="N1303" s="2">
        <v>1155.7</v>
      </c>
      <c r="O1303" s="2">
        <v>0</v>
      </c>
      <c r="P1303" s="7">
        <f>grand[[#This Row],[total weight]]/grand[[#This Row],[received]]</f>
        <v>48</v>
      </c>
      <c r="Q1303" s="7">
        <f>grand[[#This Row],[receiving weight]]/grand[[#This Row],[received]]</f>
        <v>48</v>
      </c>
      <c r="R1303" s="7">
        <f>grand[[#This Row],[transportation loss ]]/grand[[#This Row],[received]]</f>
        <v>0</v>
      </c>
      <c r="S1303" s="7">
        <f>grand[[#This Row],[ carcass weight]]/grand[[#This Row],[received]]</f>
        <v>26.265909090909091</v>
      </c>
      <c r="T1303" s="7">
        <f>grand[[#This Row],[ kidneys fat quantity]]/grand[[#This Row],[received]]</f>
        <v>0</v>
      </c>
      <c r="U1303" s="1">
        <v>25</v>
      </c>
      <c r="V1303" s="1">
        <v>4</v>
      </c>
      <c r="W1303" s="1">
        <v>45.1</v>
      </c>
      <c r="X1303" s="1">
        <v>10</v>
      </c>
      <c r="Y1303" s="1">
        <v>8.5</v>
      </c>
      <c r="Z1303" s="18">
        <f>grand[[#This Row],[av. Transportation loss]]/grand[[#This Row],[av.total weight]]</f>
        <v>0</v>
      </c>
      <c r="AA1303" s="12">
        <f>AVERAGE((grand[[#This Row],[am]]/25),(grand[[#This Row],[pm]]/50))</f>
        <v>0.95100000000000007</v>
      </c>
      <c r="AB1303" s="3">
        <f>grand[[#This Row],[ carcass weight]]/grand[[#This Row],[total weight]]</f>
        <v>0.54720643939393943</v>
      </c>
      <c r="AC1303" s="18">
        <f>SUM(grand[[#This Row],[am]:[meat transportation]])/100</f>
        <v>0.92599999999999993</v>
      </c>
      <c r="AK1303" s="1"/>
      <c r="AL1303" s="1"/>
    </row>
    <row r="1304" spans="1:38" hidden="1" x14ac:dyDescent="0.2">
      <c r="A1304" s="11">
        <v>45783</v>
      </c>
      <c r="B1304" s="53" t="s">
        <v>2209</v>
      </c>
      <c r="C1304" s="52" t="str">
        <f>IF(MID(B1304,4,2)="09","Ramadan",IF(AND(MID(B1304,4,2)="12",VALUE(LEFT(B1304,2))&lt;=9),"Adha Season","Normal"))</f>
        <v>Normal</v>
      </c>
      <c r="D1304" s="1" t="s">
        <v>45</v>
      </c>
      <c r="E1304" s="1" t="s">
        <v>528</v>
      </c>
      <c r="F1304" s="4" t="s">
        <v>462</v>
      </c>
      <c r="G1304" s="1">
        <v>47</v>
      </c>
      <c r="H1304" s="1">
        <v>47</v>
      </c>
      <c r="I1304" s="1">
        <f>grand[[#This Row],[number]]-grand[[#This Row],[received]]</f>
        <v>0</v>
      </c>
      <c r="J1304" s="30"/>
      <c r="K1304" s="2">
        <v>21378.797468354431</v>
      </c>
      <c r="L1304" s="2">
        <v>21378.797468354431</v>
      </c>
      <c r="M1304" s="2">
        <f>K1304-L1304</f>
        <v>0</v>
      </c>
      <c r="N1304" s="2">
        <v>13511.4</v>
      </c>
      <c r="O1304" s="2">
        <v>0</v>
      </c>
      <c r="P1304" s="7">
        <f>grand[[#This Row],[total weight]]/grand[[#This Row],[received]]</f>
        <v>454.86803124158365</v>
      </c>
      <c r="Q1304" s="7">
        <f>grand[[#This Row],[receiving weight]]/grand[[#This Row],[received]]</f>
        <v>454.86803124158365</v>
      </c>
      <c r="R1304" s="7">
        <f>grand[[#This Row],[transportation loss ]]/grand[[#This Row],[received]]</f>
        <v>0</v>
      </c>
      <c r="S1304" s="7">
        <f>grand[[#This Row],[ carcass weight]]/grand[[#This Row],[received]]</f>
        <v>287.47659574468082</v>
      </c>
      <c r="T1304" s="7">
        <f>grand[[#This Row],[ kidneys fat quantity]]/grand[[#This Row],[received]]</f>
        <v>0</v>
      </c>
      <c r="U1304" s="1">
        <v>25</v>
      </c>
      <c r="V1304" s="1">
        <v>4</v>
      </c>
      <c r="W1304" s="1">
        <v>50</v>
      </c>
      <c r="X1304" s="1">
        <v>10</v>
      </c>
      <c r="Y1304" s="1">
        <v>8.5</v>
      </c>
      <c r="Z1304" s="18">
        <f>grand[[#This Row],[av. Transportation loss]]/grand[[#This Row],[av.total weight]]</f>
        <v>0</v>
      </c>
      <c r="AA1304" s="12">
        <f>AVERAGE((grand[[#This Row],[am]]/25),(grand[[#This Row],[pm]]/50))</f>
        <v>1</v>
      </c>
      <c r="AB1304" s="3">
        <f>grand[[#This Row],[ carcass weight]]/grand[[#This Row],[total weight]]</f>
        <v>0.63200000000000001</v>
      </c>
      <c r="AC1304" s="18">
        <f>SUM(grand[[#This Row],[am]:[meat transportation]])/100</f>
        <v>0.97499999999999998</v>
      </c>
      <c r="AK1304" s="1"/>
      <c r="AL1304" s="1"/>
    </row>
    <row r="1305" spans="1:38" hidden="1" x14ac:dyDescent="0.2">
      <c r="A1305" s="11">
        <v>45784</v>
      </c>
      <c r="B1305" s="53" t="s">
        <v>2210</v>
      </c>
      <c r="C1305" s="52" t="str">
        <f>IF(MID(B1305,4,2)="09","Ramadan",IF(AND(MID(B1305,4,2)="12",VALUE(LEFT(B1305,2))&lt;=9),"Adha Season","Normal"))</f>
        <v>Normal</v>
      </c>
      <c r="D1305" s="1" t="s">
        <v>45</v>
      </c>
      <c r="E1305" s="1" t="s">
        <v>528</v>
      </c>
      <c r="F1305" s="4" t="s">
        <v>462</v>
      </c>
      <c r="G1305" s="1">
        <v>85</v>
      </c>
      <c r="H1305" s="1">
        <v>83</v>
      </c>
      <c r="I1305" s="1">
        <f>grand[[#This Row],[number]]-grand[[#This Row],[received]]</f>
        <v>2</v>
      </c>
      <c r="J1305" s="64" t="s">
        <v>707</v>
      </c>
      <c r="K1305" s="2">
        <v>38351.265822784808</v>
      </c>
      <c r="L1305" s="2">
        <v>38351.265822784808</v>
      </c>
      <c r="M1305" s="2">
        <f>K1305-L1305</f>
        <v>0</v>
      </c>
      <c r="N1305" s="2">
        <v>24238</v>
      </c>
      <c r="O1305" s="2">
        <v>0</v>
      </c>
      <c r="P1305" s="7">
        <f>grand[[#This Row],[total weight]]/grand[[#This Row],[received]]</f>
        <v>462.06344364800975</v>
      </c>
      <c r="Q1305" s="7">
        <f>grand[[#This Row],[receiving weight]]/grand[[#This Row],[received]]</f>
        <v>462.06344364800975</v>
      </c>
      <c r="R1305" s="7">
        <f>grand[[#This Row],[transportation loss ]]/grand[[#This Row],[received]]</f>
        <v>0</v>
      </c>
      <c r="S1305" s="7">
        <f>grand[[#This Row],[ carcass weight]]/grand[[#This Row],[received]]</f>
        <v>292.02409638554218</v>
      </c>
      <c r="T1305" s="7">
        <f>grand[[#This Row],[ kidneys fat quantity]]/grand[[#This Row],[received]]</f>
        <v>0</v>
      </c>
      <c r="U1305" s="1">
        <v>25</v>
      </c>
      <c r="V1305" s="1">
        <v>4</v>
      </c>
      <c r="W1305" s="1">
        <v>50</v>
      </c>
      <c r="X1305" s="1">
        <v>9.9397590361445793</v>
      </c>
      <c r="Y1305" s="1">
        <v>8.5</v>
      </c>
      <c r="Z1305" s="18">
        <f>grand[[#This Row],[av. Transportation loss]]/grand[[#This Row],[av.total weight]]</f>
        <v>0</v>
      </c>
      <c r="AA1305" s="12">
        <f>AVERAGE((grand[[#This Row],[am]]/25),(grand[[#This Row],[pm]]/50))</f>
        <v>1</v>
      </c>
      <c r="AB1305" s="3">
        <f>grand[[#This Row],[ carcass weight]]/grand[[#This Row],[total weight]]</f>
        <v>0.63200000000000001</v>
      </c>
      <c r="AC1305" s="18">
        <f>SUM(grand[[#This Row],[am]:[meat transportation]])/100</f>
        <v>0.9743975903614458</v>
      </c>
      <c r="AJ1305" s="1">
        <v>3</v>
      </c>
      <c r="AK1305" s="1"/>
      <c r="AL1305" s="1"/>
    </row>
    <row r="1306" spans="1:38" hidden="1" x14ac:dyDescent="0.2">
      <c r="A1306" s="11">
        <v>45785</v>
      </c>
      <c r="B1306" s="53" t="s">
        <v>2211</v>
      </c>
      <c r="C1306" s="52" t="str">
        <f>IF(MID(B1306,4,2)="09","Ramadan",IF(AND(MID(B1306,4,2)="12",VALUE(LEFT(B1306,2))&lt;=9),"Adha Season","Normal"))</f>
        <v>Normal</v>
      </c>
      <c r="D1306" s="2" t="s">
        <v>294</v>
      </c>
      <c r="F1306" s="4" t="s">
        <v>280</v>
      </c>
      <c r="G1306" s="1">
        <v>49</v>
      </c>
      <c r="H1306" s="1">
        <v>49</v>
      </c>
      <c r="I1306" s="1">
        <f>grand[[#This Row],[number]]-grand[[#This Row],[received]]</f>
        <v>0</v>
      </c>
      <c r="J1306" s="30"/>
      <c r="K1306" s="2">
        <v>2713</v>
      </c>
      <c r="L1306" s="2">
        <v>2820</v>
      </c>
      <c r="M1306" s="2">
        <f>K1306-L1306</f>
        <v>-107</v>
      </c>
      <c r="N1306" s="2">
        <v>1570.4</v>
      </c>
      <c r="O1306" s="2">
        <v>0</v>
      </c>
      <c r="P1306" s="7">
        <f>grand[[#This Row],[total weight]]/grand[[#This Row],[received]]</f>
        <v>55.367346938775512</v>
      </c>
      <c r="Q1306" s="7">
        <f>grand[[#This Row],[receiving weight]]/grand[[#This Row],[received]]</f>
        <v>57.551020408163268</v>
      </c>
      <c r="R1306" s="7">
        <f>grand[[#This Row],[transportation loss ]]/grand[[#This Row],[received]]</f>
        <v>-2.1836734693877551</v>
      </c>
      <c r="S1306" s="7">
        <f>grand[[#This Row],[ carcass weight]]/grand[[#This Row],[received]]</f>
        <v>32.048979591836734</v>
      </c>
      <c r="T1306" s="7">
        <f>grand[[#This Row],[ kidneys fat quantity]]/grand[[#This Row],[received]]</f>
        <v>0</v>
      </c>
      <c r="U1306" s="1">
        <v>25</v>
      </c>
      <c r="V1306" s="1">
        <v>0</v>
      </c>
      <c r="W1306" s="1">
        <v>49.448979591836732</v>
      </c>
      <c r="X1306" s="1">
        <v>10</v>
      </c>
      <c r="Y1306" s="1">
        <v>8.5</v>
      </c>
      <c r="Z1306" s="18">
        <f>grand[[#This Row],[av. Transportation loss]]/grand[[#This Row],[av.total weight]]</f>
        <v>-3.9439734611131587E-2</v>
      </c>
      <c r="AA1306" s="12">
        <f>AVERAGE((grand[[#This Row],[am]]/25),(grand[[#This Row],[pm]]/50))</f>
        <v>0.99448979591836739</v>
      </c>
      <c r="AB1306" s="3">
        <f>grand[[#This Row],[ carcass weight]]/grand[[#This Row],[total weight]]</f>
        <v>0.57884260965720613</v>
      </c>
      <c r="AC1306" s="18">
        <f>SUM(grand[[#This Row],[am]:[meat transportation]])/100</f>
        <v>0.92948979591836733</v>
      </c>
      <c r="AK1306" s="1"/>
      <c r="AL1306" s="1"/>
    </row>
    <row r="1307" spans="1:38" hidden="1" x14ac:dyDescent="0.2">
      <c r="A1307" s="11">
        <v>45785</v>
      </c>
      <c r="B1307" s="53" t="s">
        <v>2211</v>
      </c>
      <c r="C1307" s="52" t="str">
        <f>IF(MID(B1307,4,2)="09","Ramadan",IF(AND(MID(B1307,4,2)="12",VALUE(LEFT(B1307,2))&lt;=9),"Adha Season","Normal"))</f>
        <v>Normal</v>
      </c>
      <c r="D1307" s="1" t="s">
        <v>45</v>
      </c>
      <c r="E1307" s="1" t="s">
        <v>528</v>
      </c>
      <c r="F1307" s="4" t="s">
        <v>280</v>
      </c>
      <c r="G1307" s="1">
        <v>3</v>
      </c>
      <c r="H1307" s="1">
        <v>3</v>
      </c>
      <c r="I1307" s="1">
        <f>grand[[#This Row],[number]]-grand[[#This Row],[received]]</f>
        <v>0</v>
      </c>
      <c r="J1307" s="30"/>
      <c r="K1307" s="2">
        <v>1578</v>
      </c>
      <c r="L1307" s="2">
        <v>1496</v>
      </c>
      <c r="M1307" s="2">
        <f>K1307-L1307</f>
        <v>82</v>
      </c>
      <c r="N1307" s="2">
        <v>981</v>
      </c>
      <c r="O1307" s="2"/>
      <c r="P1307" s="7">
        <f>grand[[#This Row],[total weight]]/grand[[#This Row],[received]]</f>
        <v>526</v>
      </c>
      <c r="Q1307" s="7">
        <f>grand[[#This Row],[receiving weight]]/grand[[#This Row],[received]]</f>
        <v>498.66666666666669</v>
      </c>
      <c r="R1307" s="7">
        <f>grand[[#This Row],[transportation loss ]]/grand[[#This Row],[received]]</f>
        <v>27.333333333333332</v>
      </c>
      <c r="S1307" s="7">
        <f>grand[[#This Row],[ carcass weight]]/grand[[#This Row],[received]]</f>
        <v>327</v>
      </c>
      <c r="T1307" s="7">
        <f>grand[[#This Row],[ kidneys fat quantity]]/grand[[#This Row],[received]]</f>
        <v>0</v>
      </c>
      <c r="U1307" s="1">
        <v>24.285714285714285</v>
      </c>
      <c r="V1307" s="1">
        <v>0</v>
      </c>
      <c r="W1307" s="1">
        <v>45.821428571428569</v>
      </c>
      <c r="X1307" s="1">
        <v>10</v>
      </c>
      <c r="Y1307" s="1">
        <v>8.5</v>
      </c>
      <c r="Z1307" s="18">
        <f>grand[[#This Row],[av. Transportation loss]]/grand[[#This Row],[av.total weight]]</f>
        <v>5.1964512040557666E-2</v>
      </c>
      <c r="AA1307" s="12">
        <f>AVERAGE((grand[[#This Row],[am]]/25),(grand[[#This Row],[pm]]/50))</f>
        <v>0.94392857142857145</v>
      </c>
      <c r="AB1307" s="3">
        <f>grand[[#This Row],[ carcass weight]]/grand[[#This Row],[total weight]]</f>
        <v>0.62167300380228141</v>
      </c>
      <c r="AC1307" s="18">
        <f>SUM(grand[[#This Row],[am]:[meat transportation]])/100</f>
        <v>0.88607142857142862</v>
      </c>
      <c r="AK1307" s="1"/>
      <c r="AL1307" s="1"/>
    </row>
    <row r="1308" spans="1:38" hidden="1" x14ac:dyDescent="0.2">
      <c r="A1308" s="11">
        <v>45785</v>
      </c>
      <c r="B1308" s="53" t="s">
        <v>2211</v>
      </c>
      <c r="C1308" s="52" t="str">
        <f>IF(MID(B1308,4,2)="09","Ramadan",IF(AND(MID(B1308,4,2)="12",VALUE(LEFT(B1308,2))&lt;=9),"Adha Season","Normal"))</f>
        <v>Normal</v>
      </c>
      <c r="D1308" s="1" t="s">
        <v>45</v>
      </c>
      <c r="E1308" s="1" t="s">
        <v>483</v>
      </c>
      <c r="F1308" s="4" t="s">
        <v>280</v>
      </c>
      <c r="G1308" s="1">
        <v>32</v>
      </c>
      <c r="H1308" s="1">
        <v>28</v>
      </c>
      <c r="I1308" s="1">
        <f>grand[[#This Row],[number]]-grand[[#This Row],[received]]</f>
        <v>4</v>
      </c>
      <c r="J1308" s="64" t="s">
        <v>684</v>
      </c>
      <c r="K1308" s="2">
        <v>13020</v>
      </c>
      <c r="L1308" s="2">
        <v>14940</v>
      </c>
      <c r="M1308" s="2">
        <f>K1308-L1308</f>
        <v>-1920</v>
      </c>
      <c r="N1308" s="2">
        <v>7828.7</v>
      </c>
      <c r="O1308" s="2">
        <v>243</v>
      </c>
      <c r="P1308" s="7">
        <f>grand[[#This Row],[total weight]]/grand[[#This Row],[received]]</f>
        <v>465</v>
      </c>
      <c r="Q1308" s="7">
        <f>grand[[#This Row],[receiving weight]]/grand[[#This Row],[received]]</f>
        <v>533.57142857142856</v>
      </c>
      <c r="R1308" s="7">
        <f>grand[[#This Row],[transportation loss ]]/grand[[#This Row],[received]]</f>
        <v>-68.571428571428569</v>
      </c>
      <c r="S1308" s="7">
        <f>grand[[#This Row],[ carcass weight]]/grand[[#This Row],[received]]</f>
        <v>279.59642857142859</v>
      </c>
      <c r="T1308" s="7">
        <f>grand[[#This Row],[ kidneys fat quantity]]/grand[[#This Row],[received]]</f>
        <v>8.6785714285714288</v>
      </c>
      <c r="U1308" s="1">
        <v>24.285714285714285</v>
      </c>
      <c r="V1308" s="1">
        <v>0</v>
      </c>
      <c r="W1308" s="1">
        <v>45.821428571428569</v>
      </c>
      <c r="X1308" s="1">
        <v>10</v>
      </c>
      <c r="Y1308" s="1">
        <v>8.5</v>
      </c>
      <c r="Z1308" s="18">
        <f>grand[[#This Row],[av. Transportation loss]]/grand[[#This Row],[av.total weight]]</f>
        <v>-0.14746543778801843</v>
      </c>
      <c r="AA1308" s="12">
        <f>AVERAGE((grand[[#This Row],[am]]/25),(grand[[#This Row],[pm]]/50))</f>
        <v>0.94392857142857145</v>
      </c>
      <c r="AB1308" s="3">
        <f>grand[[#This Row],[ carcass weight]]/grand[[#This Row],[total weight]]</f>
        <v>0.60128264208909366</v>
      </c>
      <c r="AC1308" s="18">
        <f>SUM(grand[[#This Row],[am]:[meat transportation]])/100</f>
        <v>0.88607142857142862</v>
      </c>
      <c r="AJ1308" s="1">
        <v>11</v>
      </c>
      <c r="AK1308" s="1"/>
      <c r="AL1308" s="1"/>
    </row>
    <row r="1309" spans="1:38" hidden="1" x14ac:dyDescent="0.2">
      <c r="A1309" s="11">
        <v>45787</v>
      </c>
      <c r="B1309" s="53" t="s">
        <v>2212</v>
      </c>
      <c r="C1309" s="52" t="str">
        <f>IF(MID(B1309,4,2)="09","Ramadan",IF(AND(MID(B1309,4,2)="12",VALUE(LEFT(B1309,2))&lt;=9),"Adha Season","Normal"))</f>
        <v>Normal</v>
      </c>
      <c r="D1309" s="2" t="s">
        <v>294</v>
      </c>
      <c r="F1309" s="4" t="s">
        <v>656</v>
      </c>
      <c r="G1309" s="1">
        <v>30</v>
      </c>
      <c r="H1309" s="1">
        <v>30</v>
      </c>
      <c r="I1309" s="1">
        <f>grand[[#This Row],[number]]-grand[[#This Row],[received]]</f>
        <v>0</v>
      </c>
      <c r="J1309" s="30"/>
      <c r="K1309" s="2">
        <v>1785</v>
      </c>
      <c r="L1309" s="2">
        <v>1785</v>
      </c>
      <c r="M1309" s="2">
        <f>K1309-L1309</f>
        <v>0</v>
      </c>
      <c r="N1309" s="2">
        <v>991.4</v>
      </c>
      <c r="O1309" s="2">
        <v>0</v>
      </c>
      <c r="P1309" s="7">
        <f>grand[[#This Row],[total weight]]/grand[[#This Row],[received]]</f>
        <v>59.5</v>
      </c>
      <c r="Q1309" s="7">
        <f>grand[[#This Row],[receiving weight]]/grand[[#This Row],[received]]</f>
        <v>59.5</v>
      </c>
      <c r="R1309" s="7">
        <f>grand[[#This Row],[transportation loss ]]/grand[[#This Row],[received]]</f>
        <v>0</v>
      </c>
      <c r="S1309" s="7">
        <f>grand[[#This Row],[ carcass weight]]/grand[[#This Row],[received]]</f>
        <v>33.046666666666667</v>
      </c>
      <c r="T1309" s="7">
        <f>grand[[#This Row],[ kidneys fat quantity]]/grand[[#This Row],[received]]</f>
        <v>0</v>
      </c>
      <c r="U1309" s="1">
        <v>25</v>
      </c>
      <c r="V1309" s="1">
        <v>0</v>
      </c>
      <c r="W1309" s="1">
        <v>47.466666666666669</v>
      </c>
      <c r="X1309" s="1">
        <v>10</v>
      </c>
      <c r="Y1309" s="1">
        <v>8.5</v>
      </c>
      <c r="Z1309" s="18">
        <f>grand[[#This Row],[av. Transportation loss]]/grand[[#This Row],[av.total weight]]</f>
        <v>0</v>
      </c>
      <c r="AA1309" s="12">
        <f>AVERAGE((grand[[#This Row],[am]]/25),(grand[[#This Row],[pm]]/50))</f>
        <v>0.97466666666666668</v>
      </c>
      <c r="AB1309" s="3">
        <f>grand[[#This Row],[ carcass weight]]/grand[[#This Row],[total weight]]</f>
        <v>0.55540616246498598</v>
      </c>
      <c r="AC1309" s="18">
        <f>SUM(grand[[#This Row],[am]:[meat transportation]])/100</f>
        <v>0.90966666666666673</v>
      </c>
      <c r="AK1309" s="1"/>
      <c r="AL1309" s="1"/>
    </row>
    <row r="1310" spans="1:38" hidden="1" x14ac:dyDescent="0.2">
      <c r="A1310" s="11">
        <v>45787</v>
      </c>
      <c r="B1310" s="53" t="s">
        <v>2212</v>
      </c>
      <c r="C1310" s="52" t="str">
        <f>IF(MID(B1310,4,2)="09","Ramadan",IF(AND(MID(B1310,4,2)="12",VALUE(LEFT(B1310,2))&lt;=9),"Adha Season","Normal"))</f>
        <v>Normal</v>
      </c>
      <c r="D1310" s="1" t="s">
        <v>45</v>
      </c>
      <c r="E1310" s="1" t="s">
        <v>528</v>
      </c>
      <c r="F1310" s="4" t="s">
        <v>462</v>
      </c>
      <c r="G1310" s="1">
        <v>32</v>
      </c>
      <c r="H1310" s="1">
        <v>30</v>
      </c>
      <c r="I1310" s="1">
        <f>grand[[#This Row],[number]]-grand[[#This Row],[received]]</f>
        <v>2</v>
      </c>
      <c r="J1310" s="64" t="s">
        <v>708</v>
      </c>
      <c r="K1310" s="2">
        <v>13949.683544303798</v>
      </c>
      <c r="L1310" s="2">
        <v>13949.683544303798</v>
      </c>
      <c r="M1310" s="2">
        <f>K1310-L1310</f>
        <v>0</v>
      </c>
      <c r="N1310" s="2">
        <v>8816.2000000000007</v>
      </c>
      <c r="O1310" s="2">
        <v>0</v>
      </c>
      <c r="P1310" s="7">
        <f>grand[[#This Row],[total weight]]/grand[[#This Row],[received]]</f>
        <v>464.98945147679325</v>
      </c>
      <c r="Q1310" s="7">
        <f>grand[[#This Row],[receiving weight]]/grand[[#This Row],[received]]</f>
        <v>464.98945147679325</v>
      </c>
      <c r="R1310" s="7">
        <f>grand[[#This Row],[transportation loss ]]/grand[[#This Row],[received]]</f>
        <v>0</v>
      </c>
      <c r="S1310" s="7">
        <f>grand[[#This Row],[ carcass weight]]/grand[[#This Row],[received]]</f>
        <v>293.87333333333333</v>
      </c>
      <c r="T1310" s="7">
        <f>grand[[#This Row],[ kidneys fat quantity]]/grand[[#This Row],[received]]</f>
        <v>0</v>
      </c>
      <c r="U1310" s="1">
        <v>25</v>
      </c>
      <c r="V1310" s="1">
        <v>4</v>
      </c>
      <c r="W1310" s="1">
        <v>49.84375</v>
      </c>
      <c r="X1310" s="1">
        <v>10</v>
      </c>
      <c r="Y1310" s="1">
        <v>8.5</v>
      </c>
      <c r="Z1310" s="18">
        <f>grand[[#This Row],[av. Transportation loss]]/grand[[#This Row],[av.total weight]]</f>
        <v>0</v>
      </c>
      <c r="AA1310" s="12">
        <f>AVERAGE((grand[[#This Row],[am]]/25),(grand[[#This Row],[pm]]/50))</f>
        <v>0.99843749999999998</v>
      </c>
      <c r="AB1310" s="3">
        <f>grand[[#This Row],[ carcass weight]]/grand[[#This Row],[total weight]]</f>
        <v>0.63200000000000001</v>
      </c>
      <c r="AC1310" s="18">
        <f>SUM(grand[[#This Row],[am]:[meat transportation]])/100</f>
        <v>0.97343749999999996</v>
      </c>
      <c r="AK1310" s="1"/>
      <c r="AL1310" s="1"/>
    </row>
    <row r="1311" spans="1:38" hidden="1" x14ac:dyDescent="0.2">
      <c r="A1311" s="11">
        <v>45788</v>
      </c>
      <c r="B1311" s="53" t="s">
        <v>2213</v>
      </c>
      <c r="C1311" s="52" t="str">
        <f>IF(MID(B1311,4,2)="09","Ramadan",IF(AND(MID(B1311,4,2)="12",VALUE(LEFT(B1311,2))&lt;=9),"Adha Season","Normal"))</f>
        <v>Normal</v>
      </c>
      <c r="D1311" s="1" t="s">
        <v>45</v>
      </c>
      <c r="E1311" s="1" t="s">
        <v>483</v>
      </c>
      <c r="F1311" s="4" t="s">
        <v>43</v>
      </c>
      <c r="G1311" s="1">
        <v>48</v>
      </c>
      <c r="H1311" s="1">
        <v>47</v>
      </c>
      <c r="I1311" s="1">
        <f>grand[[#This Row],[number]]-grand[[#This Row],[received]]</f>
        <v>1</v>
      </c>
      <c r="J1311" s="64" t="s">
        <v>709</v>
      </c>
      <c r="K1311" s="2">
        <v>24850</v>
      </c>
      <c r="L1311" s="2">
        <v>24850</v>
      </c>
      <c r="M1311" s="2">
        <f>K1311-L1311</f>
        <v>0</v>
      </c>
      <c r="N1311" s="2">
        <v>14909.9</v>
      </c>
      <c r="O1311" s="2">
        <v>425</v>
      </c>
      <c r="P1311" s="7">
        <f>grand[[#This Row],[total weight]]/grand[[#This Row],[received]]</f>
        <v>528.72340425531911</v>
      </c>
      <c r="Q1311" s="7">
        <f>grand[[#This Row],[receiving weight]]/grand[[#This Row],[received]]</f>
        <v>528.72340425531911</v>
      </c>
      <c r="R1311" s="7">
        <f>grand[[#This Row],[transportation loss ]]/grand[[#This Row],[received]]</f>
        <v>0</v>
      </c>
      <c r="S1311" s="7">
        <f>grand[[#This Row],[ carcass weight]]/grand[[#This Row],[received]]</f>
        <v>317.23191489361699</v>
      </c>
      <c r="T1311" s="7">
        <f>grand[[#This Row],[ kidneys fat quantity]]/grand[[#This Row],[received]]</f>
        <v>9.0425531914893611</v>
      </c>
      <c r="U1311" s="1">
        <v>25</v>
      </c>
      <c r="V1311" s="1">
        <v>0</v>
      </c>
      <c r="W1311" s="1">
        <v>47.553191489361708</v>
      </c>
      <c r="X1311" s="1">
        <v>10</v>
      </c>
      <c r="Y1311" s="1">
        <v>8.5</v>
      </c>
      <c r="Z1311" s="18">
        <f>grand[[#This Row],[av. Transportation loss]]/grand[[#This Row],[av.total weight]]</f>
        <v>0</v>
      </c>
      <c r="AA1311" s="12">
        <f>AVERAGE((grand[[#This Row],[am]]/25),(grand[[#This Row],[pm]]/50))</f>
        <v>0.97553191489361701</v>
      </c>
      <c r="AB1311" s="3">
        <f>grand[[#This Row],[ carcass weight]]/grand[[#This Row],[total weight]]</f>
        <v>0.59999597585513076</v>
      </c>
      <c r="AC1311" s="18">
        <f>SUM(grand[[#This Row],[am]:[meat transportation]])/100</f>
        <v>0.91053191489361707</v>
      </c>
      <c r="AJ1311" s="1">
        <v>25</v>
      </c>
      <c r="AK1311" s="1"/>
      <c r="AL1311" s="1"/>
    </row>
    <row r="1312" spans="1:38" hidden="1" x14ac:dyDescent="0.2">
      <c r="A1312" s="11">
        <v>45789</v>
      </c>
      <c r="B1312" s="53" t="s">
        <v>2214</v>
      </c>
      <c r="C1312" s="52" t="str">
        <f>IF(MID(B1312,4,2)="09","Ramadan",IF(AND(MID(B1312,4,2)="12",VALUE(LEFT(B1312,2))&lt;=9),"Adha Season","Normal"))</f>
        <v>Normal</v>
      </c>
      <c r="D1312" s="1" t="s">
        <v>45</v>
      </c>
      <c r="E1312" s="1" t="s">
        <v>483</v>
      </c>
      <c r="F1312" s="4" t="s">
        <v>43</v>
      </c>
      <c r="G1312" s="1">
        <v>35</v>
      </c>
      <c r="H1312" s="1">
        <v>33</v>
      </c>
      <c r="I1312" s="1">
        <f>grand[[#This Row],[number]]-grand[[#This Row],[received]]</f>
        <v>2</v>
      </c>
      <c r="J1312" s="64" t="s">
        <v>710</v>
      </c>
      <c r="K1312" s="2">
        <v>18158</v>
      </c>
      <c r="L1312" s="2">
        <v>17248</v>
      </c>
      <c r="M1312" s="2">
        <f>K1312-L1312</f>
        <v>910</v>
      </c>
      <c r="N1312" s="2">
        <v>10894.1</v>
      </c>
      <c r="O1312" s="2">
        <v>348</v>
      </c>
      <c r="P1312" s="7">
        <f>grand[[#This Row],[total weight]]/grand[[#This Row],[received]]</f>
        <v>550.24242424242425</v>
      </c>
      <c r="Q1312" s="7">
        <f>grand[[#This Row],[receiving weight]]/grand[[#This Row],[received]]</f>
        <v>522.66666666666663</v>
      </c>
      <c r="R1312" s="7">
        <f>grand[[#This Row],[transportation loss ]]/grand[[#This Row],[received]]</f>
        <v>27.575757575757574</v>
      </c>
      <c r="S1312" s="7">
        <f>grand[[#This Row],[ carcass weight]]/grand[[#This Row],[received]]</f>
        <v>330.12424242424242</v>
      </c>
      <c r="T1312" s="7">
        <f>grand[[#This Row],[ kidneys fat quantity]]/grand[[#This Row],[received]]</f>
        <v>10.545454545454545</v>
      </c>
      <c r="U1312" s="1">
        <v>24.545454545454547</v>
      </c>
      <c r="V1312" s="1">
        <v>0</v>
      </c>
      <c r="W1312" s="1">
        <v>45.545454545454547</v>
      </c>
      <c r="X1312" s="1">
        <v>10</v>
      </c>
      <c r="Y1312" s="1">
        <v>8.5</v>
      </c>
      <c r="Z1312" s="18">
        <f>grand[[#This Row],[av. Transportation loss]]/grand[[#This Row],[av.total weight]]</f>
        <v>5.0115651503469541E-2</v>
      </c>
      <c r="AA1312" s="12">
        <f>AVERAGE((grand[[#This Row],[am]]/25),(grand[[#This Row],[pm]]/50))</f>
        <v>0.94636363636363641</v>
      </c>
      <c r="AB1312" s="3">
        <f>grand[[#This Row],[ carcass weight]]/grand[[#This Row],[total weight]]</f>
        <v>0.59996144949884356</v>
      </c>
      <c r="AC1312" s="18">
        <f>SUM(grand[[#This Row],[am]:[meat transportation]])/100</f>
        <v>0.88590909090909098</v>
      </c>
      <c r="AJ1312" s="1">
        <v>24</v>
      </c>
      <c r="AK1312" s="1"/>
      <c r="AL1312" s="1"/>
    </row>
    <row r="1313" spans="1:38" hidden="1" x14ac:dyDescent="0.2">
      <c r="A1313" s="11">
        <v>45790</v>
      </c>
      <c r="B1313" s="53" t="s">
        <v>2215</v>
      </c>
      <c r="C1313" s="52" t="str">
        <f>IF(MID(B1313,4,2)="09","Ramadan",IF(AND(MID(B1313,4,2)="12",VALUE(LEFT(B1313,2))&lt;=9),"Adha Season","Normal"))</f>
        <v>Normal</v>
      </c>
      <c r="D1313" s="2" t="s">
        <v>294</v>
      </c>
      <c r="F1313" s="4" t="s">
        <v>656</v>
      </c>
      <c r="G1313" s="1">
        <v>33</v>
      </c>
      <c r="H1313" s="1">
        <v>33</v>
      </c>
      <c r="I1313" s="1">
        <f>grand[[#This Row],[number]]-grand[[#This Row],[received]]</f>
        <v>0</v>
      </c>
      <c r="J1313" s="30"/>
      <c r="K1313" s="2">
        <v>1850</v>
      </c>
      <c r="L1313" s="2">
        <v>1785</v>
      </c>
      <c r="M1313" s="2">
        <f>K1313-L1313</f>
        <v>65</v>
      </c>
      <c r="N1313" s="2">
        <v>1041.5</v>
      </c>
      <c r="O1313" s="2">
        <v>0</v>
      </c>
      <c r="P1313" s="7">
        <f>grand[[#This Row],[total weight]]/grand[[#This Row],[received]]</f>
        <v>56.060606060606062</v>
      </c>
      <c r="Q1313" s="7">
        <f>grand[[#This Row],[receiving weight]]/grand[[#This Row],[received]]</f>
        <v>54.090909090909093</v>
      </c>
      <c r="R1313" s="7">
        <f>grand[[#This Row],[transportation loss ]]/grand[[#This Row],[received]]</f>
        <v>1.9696969696969697</v>
      </c>
      <c r="S1313" s="7">
        <f>grand[[#This Row],[ carcass weight]]/grand[[#This Row],[received]]</f>
        <v>31.560606060606062</v>
      </c>
      <c r="T1313" s="7">
        <f>grand[[#This Row],[ kidneys fat quantity]]/grand[[#This Row],[received]]</f>
        <v>0</v>
      </c>
      <c r="U1313" s="1">
        <v>25</v>
      </c>
      <c r="V1313" s="1">
        <v>0</v>
      </c>
      <c r="W1313" s="1">
        <v>47.575757575757578</v>
      </c>
      <c r="X1313" s="1">
        <v>10</v>
      </c>
      <c r="Y1313" s="1">
        <v>8.5</v>
      </c>
      <c r="Z1313" s="18">
        <f>grand[[#This Row],[av. Transportation loss]]/grand[[#This Row],[av.total weight]]</f>
        <v>3.5135135135135137E-2</v>
      </c>
      <c r="AA1313" s="12">
        <f>AVERAGE((grand[[#This Row],[am]]/25),(grand[[#This Row],[pm]]/50))</f>
        <v>0.97575757575757582</v>
      </c>
      <c r="AB1313" s="3">
        <f>grand[[#This Row],[ carcass weight]]/grand[[#This Row],[total weight]]</f>
        <v>0.562972972972973</v>
      </c>
      <c r="AC1313" s="18">
        <f>SUM(grand[[#This Row],[am]:[meat transportation]])/100</f>
        <v>0.91075757575757577</v>
      </c>
      <c r="AK1313" s="1"/>
      <c r="AL1313" s="1"/>
    </row>
    <row r="1314" spans="1:38" hidden="1" x14ac:dyDescent="0.2">
      <c r="A1314" s="11">
        <v>45790</v>
      </c>
      <c r="B1314" s="53" t="s">
        <v>2215</v>
      </c>
      <c r="C1314" s="52" t="str">
        <f>IF(MID(B1314,4,2)="09","Ramadan",IF(AND(MID(B1314,4,2)="12",VALUE(LEFT(B1314,2))&lt;=9),"Adha Season","Normal"))</f>
        <v>Normal</v>
      </c>
      <c r="D1314" s="1" t="s">
        <v>45</v>
      </c>
      <c r="E1314" s="1" t="s">
        <v>483</v>
      </c>
      <c r="F1314" s="4" t="s">
        <v>46</v>
      </c>
      <c r="G1314" s="1">
        <v>35</v>
      </c>
      <c r="H1314" s="1">
        <v>35</v>
      </c>
      <c r="I1314" s="1">
        <f>grand[[#This Row],[number]]-grand[[#This Row],[received]]</f>
        <v>0</v>
      </c>
      <c r="J1314" s="30"/>
      <c r="K1314" s="2">
        <v>16568</v>
      </c>
      <c r="L1314" s="2">
        <v>15870</v>
      </c>
      <c r="M1314" s="2">
        <f>K1314-L1314</f>
        <v>698</v>
      </c>
      <c r="N1314" s="2">
        <v>9940.9</v>
      </c>
      <c r="O1314" s="2">
        <v>292</v>
      </c>
      <c r="P1314" s="7">
        <f>grand[[#This Row],[total weight]]/grand[[#This Row],[received]]</f>
        <v>473.37142857142857</v>
      </c>
      <c r="Q1314" s="7">
        <f>grand[[#This Row],[receiving weight]]/grand[[#This Row],[received]]</f>
        <v>453.42857142857144</v>
      </c>
      <c r="R1314" s="7">
        <f>grand[[#This Row],[transportation loss ]]/grand[[#This Row],[received]]</f>
        <v>19.942857142857143</v>
      </c>
      <c r="S1314" s="7">
        <f>grand[[#This Row],[ carcass weight]]/grand[[#This Row],[received]]</f>
        <v>284.02571428571429</v>
      </c>
      <c r="T1314" s="7">
        <f>grand[[#This Row],[ kidneys fat quantity]]/grand[[#This Row],[received]]</f>
        <v>8.3428571428571434</v>
      </c>
      <c r="U1314" s="1">
        <v>25</v>
      </c>
      <c r="V1314" s="1">
        <v>0</v>
      </c>
      <c r="W1314" s="1">
        <v>44.400000000000006</v>
      </c>
      <c r="X1314" s="1">
        <v>10</v>
      </c>
      <c r="Y1314" s="1">
        <v>8.5</v>
      </c>
      <c r="Z1314" s="18">
        <f>grand[[#This Row],[av. Transportation loss]]/grand[[#This Row],[av.total weight]]</f>
        <v>4.2129406084017385E-2</v>
      </c>
      <c r="AA1314" s="12">
        <f>AVERAGE((grand[[#This Row],[am]]/25),(grand[[#This Row],[pm]]/50))</f>
        <v>0.94400000000000006</v>
      </c>
      <c r="AB1314" s="3">
        <f>grand[[#This Row],[ carcass weight]]/grand[[#This Row],[total weight]]</f>
        <v>0.60000603573153066</v>
      </c>
      <c r="AC1314" s="18">
        <f>SUM(grand[[#This Row],[am]:[meat transportation]])/100</f>
        <v>0.879</v>
      </c>
      <c r="AJ1314" s="1">
        <v>15</v>
      </c>
      <c r="AK1314" s="1"/>
      <c r="AL1314" s="1"/>
    </row>
    <row r="1315" spans="1:38" hidden="1" x14ac:dyDescent="0.2">
      <c r="A1315" s="11">
        <v>45790</v>
      </c>
      <c r="B1315" s="53" t="s">
        <v>2215</v>
      </c>
      <c r="C1315" s="52" t="str">
        <f>IF(MID(B1315,4,2)="09","Ramadan",IF(AND(MID(B1315,4,2)="12",VALUE(LEFT(B1315,2))&lt;=9),"Adha Season","Normal"))</f>
        <v>Normal</v>
      </c>
      <c r="D1315" s="1" t="s">
        <v>45</v>
      </c>
      <c r="E1315" s="1" t="s">
        <v>528</v>
      </c>
      <c r="F1315" s="4" t="s">
        <v>462</v>
      </c>
      <c r="G1315" s="1">
        <v>33</v>
      </c>
      <c r="H1315" s="1">
        <v>31</v>
      </c>
      <c r="I1315" s="1">
        <f>grand[[#This Row],[number]]-grand[[#This Row],[received]]</f>
        <v>2</v>
      </c>
      <c r="J1315" s="64" t="s">
        <v>711</v>
      </c>
      <c r="K1315" s="2">
        <v>13832.911392405063</v>
      </c>
      <c r="L1315" s="2">
        <v>13832.911392405063</v>
      </c>
      <c r="M1315" s="2">
        <f>K1315-L1315</f>
        <v>0</v>
      </c>
      <c r="N1315" s="2">
        <v>8742.4</v>
      </c>
      <c r="O1315" s="2">
        <v>0</v>
      </c>
      <c r="P1315" s="7">
        <f>grand[[#This Row],[total weight]]/grand[[#This Row],[received]]</f>
        <v>446.2229481420988</v>
      </c>
      <c r="Q1315" s="7">
        <f>grand[[#This Row],[receiving weight]]/grand[[#This Row],[received]]</f>
        <v>446.2229481420988</v>
      </c>
      <c r="R1315" s="7">
        <f>grand[[#This Row],[transportation loss ]]/grand[[#This Row],[received]]</f>
        <v>0</v>
      </c>
      <c r="S1315" s="7">
        <f>grand[[#This Row],[ carcass weight]]/grand[[#This Row],[received]]</f>
        <v>282.01290322580644</v>
      </c>
      <c r="T1315" s="7">
        <f>grand[[#This Row],[ kidneys fat quantity]]/grand[[#This Row],[received]]</f>
        <v>0</v>
      </c>
      <c r="U1315" s="1">
        <v>25</v>
      </c>
      <c r="V1315" s="1">
        <v>4</v>
      </c>
      <c r="W1315" s="1">
        <v>50</v>
      </c>
      <c r="X1315" s="1">
        <v>10</v>
      </c>
      <c r="Y1315" s="1">
        <v>8.5</v>
      </c>
      <c r="Z1315" s="18">
        <f>grand[[#This Row],[av. Transportation loss]]/grand[[#This Row],[av.total weight]]</f>
        <v>0</v>
      </c>
      <c r="AA1315" s="12">
        <f>AVERAGE((grand[[#This Row],[am]]/25),(grand[[#This Row],[pm]]/50))</f>
        <v>1</v>
      </c>
      <c r="AB1315" s="3">
        <f>grand[[#This Row],[ carcass weight]]/grand[[#This Row],[total weight]]</f>
        <v>0.63200000000000001</v>
      </c>
      <c r="AC1315" s="18">
        <f>SUM(grand[[#This Row],[am]:[meat transportation]])/100</f>
        <v>0.97499999999999998</v>
      </c>
      <c r="AK1315" s="1"/>
      <c r="AL1315" s="1"/>
    </row>
    <row r="1316" spans="1:38" hidden="1" x14ac:dyDescent="0.2">
      <c r="A1316" s="11">
        <v>45791</v>
      </c>
      <c r="B1316" s="53" t="s">
        <v>2216</v>
      </c>
      <c r="C1316" s="52" t="str">
        <f>IF(MID(B1316,4,2)="09","Ramadan",IF(AND(MID(B1316,4,2)="12",VALUE(LEFT(B1316,2))&lt;=9),"Adha Season","Normal"))</f>
        <v>Normal</v>
      </c>
      <c r="D1316" s="1" t="s">
        <v>45</v>
      </c>
      <c r="E1316" s="1" t="s">
        <v>528</v>
      </c>
      <c r="F1316" s="4" t="s">
        <v>462</v>
      </c>
      <c r="G1316" s="1">
        <v>31</v>
      </c>
      <c r="H1316" s="1">
        <v>30</v>
      </c>
      <c r="I1316" s="1">
        <f>grand[[#This Row],[number]]-grand[[#This Row],[received]]</f>
        <v>1</v>
      </c>
      <c r="J1316" s="64" t="s">
        <v>712</v>
      </c>
      <c r="K1316" s="2">
        <v>13832.911392405063</v>
      </c>
      <c r="L1316" s="2">
        <v>13832.911392405063</v>
      </c>
      <c r="M1316" s="2">
        <f>K1316-L1316</f>
        <v>0</v>
      </c>
      <c r="N1316" s="2">
        <v>8742.4</v>
      </c>
      <c r="O1316" s="2">
        <v>0</v>
      </c>
      <c r="P1316" s="7">
        <f>grand[[#This Row],[total weight]]/grand[[#This Row],[received]]</f>
        <v>461.09704641350214</v>
      </c>
      <c r="Q1316" s="7">
        <f>grand[[#This Row],[receiving weight]]/grand[[#This Row],[received]]</f>
        <v>461.09704641350214</v>
      </c>
      <c r="R1316" s="7">
        <f>grand[[#This Row],[transportation loss ]]/grand[[#This Row],[received]]</f>
        <v>0</v>
      </c>
      <c r="S1316" s="7">
        <f>grand[[#This Row],[ carcass weight]]/grand[[#This Row],[received]]</f>
        <v>291.4133333333333</v>
      </c>
      <c r="T1316" s="7">
        <f>grand[[#This Row],[ kidneys fat quantity]]/grand[[#This Row],[received]]</f>
        <v>0</v>
      </c>
      <c r="U1316" s="1">
        <v>25</v>
      </c>
      <c r="V1316" s="1">
        <v>4</v>
      </c>
      <c r="W1316" s="1">
        <v>50</v>
      </c>
      <c r="X1316" s="1">
        <v>9.8333333333333321</v>
      </c>
      <c r="Y1316" s="1">
        <v>8.5</v>
      </c>
      <c r="Z1316" s="18">
        <f>grand[[#This Row],[av. Transportation loss]]/grand[[#This Row],[av.total weight]]</f>
        <v>0</v>
      </c>
      <c r="AA1316" s="12">
        <f>AVERAGE((grand[[#This Row],[am]]/25),(grand[[#This Row],[pm]]/50))</f>
        <v>1</v>
      </c>
      <c r="AB1316" s="3">
        <f>grand[[#This Row],[ carcass weight]]/grand[[#This Row],[total weight]]</f>
        <v>0.63200000000000001</v>
      </c>
      <c r="AC1316" s="18">
        <f>SUM(grand[[#This Row],[am]:[meat transportation]])/100</f>
        <v>0.97333333333333327</v>
      </c>
      <c r="AJ1316" s="1">
        <v>3</v>
      </c>
      <c r="AK1316" s="1"/>
      <c r="AL1316" s="1"/>
    </row>
    <row r="1317" spans="1:38" hidden="1" x14ac:dyDescent="0.2">
      <c r="A1317" s="11">
        <v>45792</v>
      </c>
      <c r="B1317" s="53" t="s">
        <v>2217</v>
      </c>
      <c r="C1317" s="52" t="str">
        <f>IF(MID(B1317,4,2)="09","Ramadan",IF(AND(MID(B1317,4,2)="12",VALUE(LEFT(B1317,2))&lt;=9),"Adha Season","Normal"))</f>
        <v>Normal</v>
      </c>
      <c r="D1317" s="2" t="s">
        <v>294</v>
      </c>
      <c r="F1317" s="4" t="s">
        <v>280</v>
      </c>
      <c r="G1317" s="1">
        <v>33</v>
      </c>
      <c r="H1317" s="1">
        <v>33</v>
      </c>
      <c r="I1317" s="1">
        <f>grand[[#This Row],[number]]-grand[[#This Row],[received]]</f>
        <v>0</v>
      </c>
      <c r="J1317" s="30"/>
      <c r="K1317" s="2">
        <v>1713</v>
      </c>
      <c r="L1317" s="2">
        <v>1650</v>
      </c>
      <c r="M1317" s="2">
        <f>K1317-L1317</f>
        <v>63</v>
      </c>
      <c r="N1317" s="2">
        <v>974.8</v>
      </c>
      <c r="O1317" s="2">
        <v>0</v>
      </c>
      <c r="P1317" s="7">
        <f>grand[[#This Row],[total weight]]/grand[[#This Row],[received]]</f>
        <v>51.909090909090907</v>
      </c>
      <c r="Q1317" s="7">
        <f>grand[[#This Row],[receiving weight]]/grand[[#This Row],[received]]</f>
        <v>50</v>
      </c>
      <c r="R1317" s="7">
        <f>grand[[#This Row],[transportation loss ]]/grand[[#This Row],[received]]</f>
        <v>1.9090909090909092</v>
      </c>
      <c r="S1317" s="7">
        <f>grand[[#This Row],[ carcass weight]]/grand[[#This Row],[received]]</f>
        <v>29.539393939393939</v>
      </c>
      <c r="T1317" s="7">
        <f>grand[[#This Row],[ kidneys fat quantity]]/grand[[#This Row],[received]]</f>
        <v>0</v>
      </c>
      <c r="U1317" s="1">
        <v>25</v>
      </c>
      <c r="V1317" s="1">
        <v>0</v>
      </c>
      <c r="W1317" s="1">
        <v>48.545454545454547</v>
      </c>
      <c r="X1317" s="1">
        <v>10</v>
      </c>
      <c r="Y1317" s="1">
        <v>8.5</v>
      </c>
      <c r="Z1317" s="18">
        <f>grand[[#This Row],[av. Transportation loss]]/grand[[#This Row],[av.total weight]]</f>
        <v>3.6777583187390543E-2</v>
      </c>
      <c r="AA1317" s="12">
        <f>AVERAGE((grand[[#This Row],[am]]/25),(grand[[#This Row],[pm]]/50))</f>
        <v>0.98545454545454547</v>
      </c>
      <c r="AB1317" s="3">
        <f>grand[[#This Row],[ carcass weight]]/grand[[#This Row],[total weight]]</f>
        <v>0.56906012842965559</v>
      </c>
      <c r="AC1317" s="18">
        <f>SUM(grand[[#This Row],[am]:[meat transportation]])/100</f>
        <v>0.92045454545454541</v>
      </c>
      <c r="AK1317" s="1"/>
      <c r="AL1317" s="1"/>
    </row>
    <row r="1318" spans="1:38" hidden="1" x14ac:dyDescent="0.2">
      <c r="A1318" s="11">
        <v>45792</v>
      </c>
      <c r="B1318" s="53" t="s">
        <v>2217</v>
      </c>
      <c r="C1318" s="52" t="str">
        <f>IF(MID(B1318,4,2)="09","Ramadan",IF(AND(MID(B1318,4,2)="12",VALUE(LEFT(B1318,2))&lt;=9),"Adha Season","Normal"))</f>
        <v>Normal</v>
      </c>
      <c r="D1318" s="1" t="s">
        <v>45</v>
      </c>
      <c r="E1318" s="1" t="s">
        <v>528</v>
      </c>
      <c r="F1318" s="4" t="s">
        <v>280</v>
      </c>
      <c r="G1318" s="1">
        <v>37</v>
      </c>
      <c r="H1318" s="1">
        <v>37</v>
      </c>
      <c r="I1318" s="1">
        <f>grand[[#This Row],[number]]-grand[[#This Row],[received]]</f>
        <v>0</v>
      </c>
      <c r="J1318" s="30"/>
      <c r="K1318" s="2">
        <v>19129</v>
      </c>
      <c r="L1318" s="2">
        <v>18367</v>
      </c>
      <c r="M1318" s="2">
        <f>K1318-L1318</f>
        <v>762</v>
      </c>
      <c r="N1318" s="2">
        <v>11795.6</v>
      </c>
      <c r="O1318" s="2">
        <v>248</v>
      </c>
      <c r="P1318" s="7">
        <f>grand[[#This Row],[total weight]]/grand[[#This Row],[received]]</f>
        <v>517</v>
      </c>
      <c r="Q1318" s="7">
        <f>grand[[#This Row],[receiving weight]]/grand[[#This Row],[received]]</f>
        <v>496.40540540540542</v>
      </c>
      <c r="R1318" s="7">
        <f>grand[[#This Row],[transportation loss ]]/grand[[#This Row],[received]]</f>
        <v>20.594594594594593</v>
      </c>
      <c r="S1318" s="7">
        <f>grand[[#This Row],[ carcass weight]]/grand[[#This Row],[received]]</f>
        <v>318.8</v>
      </c>
      <c r="T1318" s="7">
        <f>grand[[#This Row],[ kidneys fat quantity]]/grand[[#This Row],[received]]</f>
        <v>6.7027027027027026</v>
      </c>
      <c r="U1318" s="1">
        <v>25</v>
      </c>
      <c r="V1318" s="1">
        <v>0</v>
      </c>
      <c r="W1318" s="1">
        <v>44.351351351351354</v>
      </c>
      <c r="X1318" s="1">
        <v>9.9189189189189193</v>
      </c>
      <c r="Y1318" s="1">
        <v>8.5</v>
      </c>
      <c r="Z1318" s="18">
        <f>grand[[#This Row],[av. Transportation loss]]/grand[[#This Row],[av.total weight]]</f>
        <v>3.9834805792252598E-2</v>
      </c>
      <c r="AA1318" s="12">
        <f>AVERAGE((grand[[#This Row],[am]]/25),(grand[[#This Row],[pm]]/50))</f>
        <v>0.94351351351351354</v>
      </c>
      <c r="AB1318" s="3">
        <f>grand[[#This Row],[ carcass weight]]/grand[[#This Row],[total weight]]</f>
        <v>0.61663442940038682</v>
      </c>
      <c r="AC1318" s="18">
        <f>SUM(grand[[#This Row],[am]:[meat transportation]])/100</f>
        <v>0.87770270270270279</v>
      </c>
      <c r="AJ1318" s="1">
        <v>4</v>
      </c>
      <c r="AK1318" s="1"/>
      <c r="AL1318" s="1"/>
    </row>
    <row r="1319" spans="1:38" hidden="1" x14ac:dyDescent="0.2">
      <c r="A1319" s="11">
        <v>45794</v>
      </c>
      <c r="B1319" s="53" t="s">
        <v>2218</v>
      </c>
      <c r="C1319" s="52" t="str">
        <f>IF(MID(B1319,4,2)="09","Ramadan",IF(AND(MID(B1319,4,2)="12",VALUE(LEFT(B1319,2))&lt;=9),"Adha Season","Normal"))</f>
        <v>Normal</v>
      </c>
      <c r="D1319" s="2" t="s">
        <v>294</v>
      </c>
      <c r="F1319" s="4" t="s">
        <v>656</v>
      </c>
      <c r="G1319" s="1">
        <v>38</v>
      </c>
      <c r="H1319" s="1">
        <v>38</v>
      </c>
      <c r="I1319" s="1">
        <f>grand[[#This Row],[number]]-grand[[#This Row],[received]]</f>
        <v>0</v>
      </c>
      <c r="J1319" s="30"/>
      <c r="K1319" s="2">
        <v>2070</v>
      </c>
      <c r="L1319" s="2">
        <v>2070</v>
      </c>
      <c r="M1319" s="2">
        <f>K1319-L1319</f>
        <v>0</v>
      </c>
      <c r="N1319" s="2">
        <v>1109.7</v>
      </c>
      <c r="O1319" s="2">
        <v>0</v>
      </c>
      <c r="P1319" s="7">
        <f>grand[[#This Row],[total weight]]/grand[[#This Row],[received]]</f>
        <v>54.473684210526315</v>
      </c>
      <c r="Q1319" s="7">
        <f>grand[[#This Row],[receiving weight]]/grand[[#This Row],[received]]</f>
        <v>54.473684210526315</v>
      </c>
      <c r="R1319" s="7">
        <f>grand[[#This Row],[transportation loss ]]/grand[[#This Row],[received]]</f>
        <v>0</v>
      </c>
      <c r="S1319" s="7">
        <f>grand[[#This Row],[ carcass weight]]/grand[[#This Row],[received]]</f>
        <v>29.202631578947368</v>
      </c>
      <c r="T1319" s="7">
        <f>grand[[#This Row],[ kidneys fat quantity]]/grand[[#This Row],[received]]</f>
        <v>0</v>
      </c>
      <c r="U1319" s="1">
        <v>25</v>
      </c>
      <c r="V1319" s="1">
        <v>3</v>
      </c>
      <c r="W1319" s="1">
        <v>46.710526315789465</v>
      </c>
      <c r="X1319" s="1">
        <v>10</v>
      </c>
      <c r="Y1319" s="1">
        <v>8.5</v>
      </c>
      <c r="Z1319" s="18">
        <f>grand[[#This Row],[av. Transportation loss]]/grand[[#This Row],[av.total weight]]</f>
        <v>0</v>
      </c>
      <c r="AA1319" s="12">
        <f>AVERAGE((grand[[#This Row],[am]]/25),(grand[[#This Row],[pm]]/50))</f>
        <v>0.96710526315789469</v>
      </c>
      <c r="AB1319" s="3">
        <f>grand[[#This Row],[ carcass weight]]/grand[[#This Row],[total weight]]</f>
        <v>0.5360869565217391</v>
      </c>
      <c r="AC1319" s="18">
        <f>SUM(grand[[#This Row],[am]:[meat transportation]])/100</f>
        <v>0.93210526315789466</v>
      </c>
      <c r="AK1319" s="1"/>
      <c r="AL1319" s="1"/>
    </row>
    <row r="1320" spans="1:38" hidden="1" x14ac:dyDescent="0.2">
      <c r="A1320" s="11">
        <v>45794</v>
      </c>
      <c r="B1320" s="53" t="s">
        <v>2218</v>
      </c>
      <c r="C1320" s="52" t="str">
        <f>IF(MID(B1320,4,2)="09","Ramadan",IF(AND(MID(B1320,4,2)="12",VALUE(LEFT(B1320,2))&lt;=9),"Adha Season","Normal"))</f>
        <v>Normal</v>
      </c>
      <c r="D1320" s="1" t="s">
        <v>45</v>
      </c>
      <c r="E1320" s="1" t="s">
        <v>528</v>
      </c>
      <c r="F1320" s="4" t="s">
        <v>462</v>
      </c>
      <c r="G1320" s="1">
        <v>60</v>
      </c>
      <c r="H1320" s="1">
        <v>59</v>
      </c>
      <c r="I1320" s="1">
        <f>grand[[#This Row],[number]]-grand[[#This Row],[received]]</f>
        <v>1</v>
      </c>
      <c r="J1320" s="64" t="s">
        <v>713</v>
      </c>
      <c r="K1320" s="2">
        <v>26977.848101265823</v>
      </c>
      <c r="L1320" s="2">
        <v>26977.848101265823</v>
      </c>
      <c r="M1320" s="2">
        <f>K1320-L1320</f>
        <v>0</v>
      </c>
      <c r="N1320" s="2">
        <v>17050</v>
      </c>
      <c r="O1320" s="2">
        <v>0</v>
      </c>
      <c r="P1320" s="7">
        <f>grand[[#This Row],[total weight]]/grand[[#This Row],[received]]</f>
        <v>457.25166273331905</v>
      </c>
      <c r="Q1320" s="7">
        <f>grand[[#This Row],[receiving weight]]/grand[[#This Row],[received]]</f>
        <v>457.25166273331905</v>
      </c>
      <c r="R1320" s="7">
        <f>grand[[#This Row],[transportation loss ]]/grand[[#This Row],[received]]</f>
        <v>0</v>
      </c>
      <c r="S1320" s="7">
        <f>grand[[#This Row],[ carcass weight]]/grand[[#This Row],[received]]</f>
        <v>288.9830508474576</v>
      </c>
      <c r="T1320" s="7">
        <f>grand[[#This Row],[ kidneys fat quantity]]/grand[[#This Row],[received]]</f>
        <v>0</v>
      </c>
      <c r="U1320" s="1">
        <v>25</v>
      </c>
      <c r="V1320" s="1">
        <v>4</v>
      </c>
      <c r="W1320" s="1">
        <v>50</v>
      </c>
      <c r="X1320" s="1">
        <v>9.7457627118644066</v>
      </c>
      <c r="Y1320" s="1">
        <v>8.5</v>
      </c>
      <c r="Z1320" s="18">
        <f>grand[[#This Row],[av. Transportation loss]]/grand[[#This Row],[av.total weight]]</f>
        <v>0</v>
      </c>
      <c r="AA1320" s="12">
        <f>AVERAGE((grand[[#This Row],[am]]/25),(grand[[#This Row],[pm]]/50))</f>
        <v>1</v>
      </c>
      <c r="AB1320" s="3">
        <f>grand[[#This Row],[ carcass weight]]/grand[[#This Row],[total weight]]</f>
        <v>0.63200000000000001</v>
      </c>
      <c r="AC1320" s="18">
        <f>SUM(grand[[#This Row],[am]:[meat transportation]])/100</f>
        <v>0.97245762711864403</v>
      </c>
      <c r="AJ1320" s="1">
        <v>4</v>
      </c>
      <c r="AK1320" s="1"/>
      <c r="AL1320" s="1"/>
    </row>
    <row r="1321" spans="1:38" hidden="1" x14ac:dyDescent="0.2">
      <c r="A1321" s="11">
        <v>45795</v>
      </c>
      <c r="B1321" s="53" t="s">
        <v>2219</v>
      </c>
      <c r="C1321" s="52" t="str">
        <f>IF(MID(B1321,4,2)="09","Ramadan",IF(AND(MID(B1321,4,2)="12",VALUE(LEFT(B1321,2))&lt;=9),"Adha Season","Normal"))</f>
        <v>Normal</v>
      </c>
      <c r="D1321" s="1" t="s">
        <v>45</v>
      </c>
      <c r="E1321" s="1" t="s">
        <v>528</v>
      </c>
      <c r="F1321" s="4" t="s">
        <v>462</v>
      </c>
      <c r="G1321" s="1">
        <v>34</v>
      </c>
      <c r="H1321" s="1">
        <v>32</v>
      </c>
      <c r="I1321" s="1">
        <f>grand[[#This Row],[number]]-grand[[#This Row],[received]]</f>
        <v>2</v>
      </c>
      <c r="J1321" s="64" t="s">
        <v>714</v>
      </c>
      <c r="K1321" s="2">
        <v>15229.430379746835</v>
      </c>
      <c r="L1321" s="2">
        <v>15229.430379746835</v>
      </c>
      <c r="M1321" s="2">
        <f>K1321-L1321</f>
        <v>0</v>
      </c>
      <c r="N1321" s="2">
        <v>9625</v>
      </c>
      <c r="O1321" s="2">
        <v>0</v>
      </c>
      <c r="P1321" s="7">
        <f>grand[[#This Row],[total weight]]/grand[[#This Row],[received]]</f>
        <v>475.91969936708858</v>
      </c>
      <c r="Q1321" s="7">
        <f>grand[[#This Row],[receiving weight]]/grand[[#This Row],[received]]</f>
        <v>475.91969936708858</v>
      </c>
      <c r="R1321" s="7">
        <f>grand[[#This Row],[transportation loss ]]/grand[[#This Row],[received]]</f>
        <v>0</v>
      </c>
      <c r="S1321" s="7">
        <f>grand[[#This Row],[ carcass weight]]/grand[[#This Row],[received]]</f>
        <v>300.78125</v>
      </c>
      <c r="T1321" s="7">
        <f>grand[[#This Row],[ kidneys fat quantity]]/grand[[#This Row],[received]]</f>
        <v>0</v>
      </c>
      <c r="U1321" s="1">
        <v>25</v>
      </c>
      <c r="V1321" s="1">
        <v>4</v>
      </c>
      <c r="W1321" s="1">
        <v>50</v>
      </c>
      <c r="X1321" s="1">
        <v>9.53125</v>
      </c>
      <c r="Y1321" s="1">
        <v>8.5</v>
      </c>
      <c r="Z1321" s="18">
        <f>grand[[#This Row],[av. Transportation loss]]/grand[[#This Row],[av.total weight]]</f>
        <v>0</v>
      </c>
      <c r="AA1321" s="12">
        <f>AVERAGE((grand[[#This Row],[am]]/25),(grand[[#This Row],[pm]]/50))</f>
        <v>1</v>
      </c>
      <c r="AB1321" s="3">
        <f>grand[[#This Row],[ carcass weight]]/grand[[#This Row],[total weight]]</f>
        <v>0.63200000000000001</v>
      </c>
      <c r="AC1321" s="18">
        <f>SUM(grand[[#This Row],[am]:[meat transportation]])/100</f>
        <v>0.97031250000000002</v>
      </c>
      <c r="AJ1321" s="1">
        <v>2</v>
      </c>
      <c r="AK1321" s="1"/>
      <c r="AL1321" s="1"/>
    </row>
    <row r="1322" spans="1:38" hidden="1" x14ac:dyDescent="0.2">
      <c r="A1322" s="11">
        <v>45797</v>
      </c>
      <c r="B1322" s="53" t="s">
        <v>2220</v>
      </c>
      <c r="C1322" s="52" t="str">
        <f>IF(MID(B1322,4,2)="09","Ramadan",IF(AND(MID(B1322,4,2)="12",VALUE(LEFT(B1322,2))&lt;=9),"Adha Season","Normal"))</f>
        <v>Normal</v>
      </c>
      <c r="D1322" s="2" t="s">
        <v>294</v>
      </c>
      <c r="F1322" s="4" t="s">
        <v>280</v>
      </c>
      <c r="G1322" s="1">
        <v>37</v>
      </c>
      <c r="H1322" s="1">
        <v>37</v>
      </c>
      <c r="I1322" s="1">
        <f>grand[[#This Row],[number]]-grand[[#This Row],[received]]</f>
        <v>0</v>
      </c>
      <c r="J1322" s="30"/>
      <c r="K1322" s="2">
        <v>1968</v>
      </c>
      <c r="L1322" s="2">
        <v>1895</v>
      </c>
      <c r="M1322" s="2">
        <f>K1322-L1322</f>
        <v>73</v>
      </c>
      <c r="N1322" s="2">
        <v>1155.3</v>
      </c>
      <c r="O1322" s="2">
        <v>0</v>
      </c>
      <c r="P1322" s="7">
        <f>grand[[#This Row],[total weight]]/grand[[#This Row],[received]]</f>
        <v>53.189189189189186</v>
      </c>
      <c r="Q1322" s="7">
        <f>grand[[#This Row],[receiving weight]]/grand[[#This Row],[received]]</f>
        <v>51.216216216216218</v>
      </c>
      <c r="R1322" s="7">
        <f>grand[[#This Row],[transportation loss ]]/grand[[#This Row],[received]]</f>
        <v>1.972972972972973</v>
      </c>
      <c r="S1322" s="7">
        <f>grand[[#This Row],[ carcass weight]]/grand[[#This Row],[received]]</f>
        <v>31.224324324324321</v>
      </c>
      <c r="T1322" s="7">
        <f>grand[[#This Row],[ kidneys fat quantity]]/grand[[#This Row],[received]]</f>
        <v>0</v>
      </c>
      <c r="U1322" s="1">
        <v>25</v>
      </c>
      <c r="V1322" s="1">
        <v>0</v>
      </c>
      <c r="W1322" s="1">
        <v>49.594594594594589</v>
      </c>
      <c r="X1322" s="1">
        <v>10</v>
      </c>
      <c r="Y1322" s="1">
        <v>8.5</v>
      </c>
      <c r="Z1322" s="18">
        <f>grand[[#This Row],[av. Transportation loss]]/grand[[#This Row],[av.total weight]]</f>
        <v>3.709349593495935E-2</v>
      </c>
      <c r="AA1322" s="12">
        <f>AVERAGE((grand[[#This Row],[am]]/25),(grand[[#This Row],[pm]]/50))</f>
        <v>0.99594594594594588</v>
      </c>
      <c r="AB1322" s="3">
        <f>grand[[#This Row],[ carcass weight]]/grand[[#This Row],[total weight]]</f>
        <v>0.58704268292682926</v>
      </c>
      <c r="AC1322" s="18">
        <f>SUM(grand[[#This Row],[am]:[meat transportation]])/100</f>
        <v>0.93094594594594582</v>
      </c>
      <c r="AK1322" s="1"/>
      <c r="AL1322" s="1"/>
    </row>
    <row r="1323" spans="1:38" hidden="1" x14ac:dyDescent="0.2">
      <c r="A1323" s="11">
        <v>45797</v>
      </c>
      <c r="B1323" s="53" t="s">
        <v>2220</v>
      </c>
      <c r="C1323" s="52" t="str">
        <f>IF(MID(B1323,4,2)="09","Ramadan",IF(AND(MID(B1323,4,2)="12",VALUE(LEFT(B1323,2))&lt;=9),"Adha Season","Normal"))</f>
        <v>Normal</v>
      </c>
      <c r="D1323" s="1" t="s">
        <v>45</v>
      </c>
      <c r="E1323" s="1" t="s">
        <v>528</v>
      </c>
      <c r="F1323" s="4" t="s">
        <v>280</v>
      </c>
      <c r="G1323" s="1">
        <v>16</v>
      </c>
      <c r="H1323" s="1">
        <v>16</v>
      </c>
      <c r="I1323" s="1">
        <f>grand[[#This Row],[number]]-grand[[#This Row],[received]]</f>
        <v>0</v>
      </c>
      <c r="J1323" s="30"/>
      <c r="K1323" s="2">
        <v>8256</v>
      </c>
      <c r="L1323" s="2">
        <v>8088</v>
      </c>
      <c r="M1323" s="2">
        <f>K1323-L1323</f>
        <v>168</v>
      </c>
      <c r="N1323" s="2">
        <v>5058.2</v>
      </c>
      <c r="O1323" s="2">
        <v>0</v>
      </c>
      <c r="P1323" s="7">
        <f>grand[[#This Row],[total weight]]/grand[[#This Row],[received]]</f>
        <v>516</v>
      </c>
      <c r="Q1323" s="7">
        <f>grand[[#This Row],[receiving weight]]/grand[[#This Row],[received]]</f>
        <v>505.5</v>
      </c>
      <c r="R1323" s="7">
        <f>grand[[#This Row],[transportation loss ]]/grand[[#This Row],[received]]</f>
        <v>10.5</v>
      </c>
      <c r="S1323" s="7">
        <f>grand[[#This Row],[ carcass weight]]/grand[[#This Row],[received]]</f>
        <v>316.13749999999999</v>
      </c>
      <c r="T1323" s="7">
        <f>grand[[#This Row],[ kidneys fat quantity]]/grand[[#This Row],[received]]</f>
        <v>0</v>
      </c>
      <c r="U1323" s="1">
        <v>25</v>
      </c>
      <c r="V1323" s="1">
        <v>0</v>
      </c>
      <c r="W1323" s="1">
        <v>49.875</v>
      </c>
      <c r="X1323" s="1">
        <v>10</v>
      </c>
      <c r="Y1323" s="1">
        <v>8.5</v>
      </c>
      <c r="Z1323" s="18">
        <f>grand[[#This Row],[av. Transportation loss]]/grand[[#This Row],[av.total weight]]</f>
        <v>2.0348837209302327E-2</v>
      </c>
      <c r="AA1323" s="12">
        <f>AVERAGE((grand[[#This Row],[am]]/25),(grand[[#This Row],[pm]]/50))</f>
        <v>0.99875000000000003</v>
      </c>
      <c r="AB1323" s="3">
        <f>grand[[#This Row],[ carcass weight]]/grand[[#This Row],[total weight]]</f>
        <v>0.61266957364341079</v>
      </c>
      <c r="AC1323" s="18">
        <f>SUM(grand[[#This Row],[am]:[meat transportation]])/100</f>
        <v>0.93374999999999997</v>
      </c>
      <c r="AK1323" s="1"/>
      <c r="AL1323" s="1"/>
    </row>
    <row r="1324" spans="1:38" hidden="1" x14ac:dyDescent="0.2">
      <c r="A1324" s="11">
        <v>45797</v>
      </c>
      <c r="B1324" s="53" t="s">
        <v>2220</v>
      </c>
      <c r="C1324" s="52" t="str">
        <f>IF(MID(B1324,4,2)="09","Ramadan",IF(AND(MID(B1324,4,2)="12",VALUE(LEFT(B1324,2))&lt;=9),"Adha Season","Normal"))</f>
        <v>Normal</v>
      </c>
      <c r="D1324" s="1" t="s">
        <v>45</v>
      </c>
      <c r="E1324" s="1" t="s">
        <v>528</v>
      </c>
      <c r="F1324" s="4" t="s">
        <v>462</v>
      </c>
      <c r="G1324" s="1">
        <v>49</v>
      </c>
      <c r="H1324" s="1">
        <v>48</v>
      </c>
      <c r="I1324" s="1">
        <f>grand[[#This Row],[number]]-grand[[#This Row],[received]]</f>
        <v>1</v>
      </c>
      <c r="J1324" s="64" t="s">
        <v>715</v>
      </c>
      <c r="K1324" s="2">
        <v>21854.430379746835</v>
      </c>
      <c r="L1324" s="2">
        <v>21854.430379746835</v>
      </c>
      <c r="M1324" s="2">
        <f>K1324-L1324</f>
        <v>0</v>
      </c>
      <c r="N1324" s="2">
        <v>13812</v>
      </c>
      <c r="O1324" s="2">
        <v>0</v>
      </c>
      <c r="P1324" s="7">
        <f>grand[[#This Row],[total weight]]/grand[[#This Row],[received]]</f>
        <v>455.30063291139237</v>
      </c>
      <c r="Q1324" s="7">
        <f>grand[[#This Row],[receiving weight]]/grand[[#This Row],[received]]</f>
        <v>455.30063291139237</v>
      </c>
      <c r="R1324" s="7">
        <f>grand[[#This Row],[transportation loss ]]/grand[[#This Row],[received]]</f>
        <v>0</v>
      </c>
      <c r="S1324" s="7">
        <f>grand[[#This Row],[ carcass weight]]/grand[[#This Row],[received]]</f>
        <v>287.75</v>
      </c>
      <c r="T1324" s="7">
        <f>grand[[#This Row],[ kidneys fat quantity]]/grand[[#This Row],[received]]</f>
        <v>0</v>
      </c>
      <c r="U1324" s="1">
        <v>25</v>
      </c>
      <c r="V1324" s="1">
        <v>3</v>
      </c>
      <c r="W1324" s="1">
        <v>50</v>
      </c>
      <c r="X1324" s="1">
        <v>9.8958333333333321</v>
      </c>
      <c r="Y1324" s="1">
        <v>8.5</v>
      </c>
      <c r="Z1324" s="18">
        <f>grand[[#This Row],[av. Transportation loss]]/grand[[#This Row],[av.total weight]]</f>
        <v>0</v>
      </c>
      <c r="AA1324" s="12">
        <f>AVERAGE((grand[[#This Row],[am]]/25),(grand[[#This Row],[pm]]/50))</f>
        <v>1</v>
      </c>
      <c r="AB1324" s="3">
        <f>grand[[#This Row],[ carcass weight]]/grand[[#This Row],[total weight]]</f>
        <v>0.63200000000000001</v>
      </c>
      <c r="AC1324" s="18">
        <f>SUM(grand[[#This Row],[am]:[meat transportation]])/100</f>
        <v>0.96395833333333325</v>
      </c>
      <c r="AJ1324" s="1">
        <v>10</v>
      </c>
      <c r="AK1324" s="1"/>
      <c r="AL1324" s="1"/>
    </row>
    <row r="1325" spans="1:38" hidden="1" x14ac:dyDescent="0.2">
      <c r="A1325" s="11">
        <v>45799</v>
      </c>
      <c r="B1325" s="53" t="s">
        <v>2221</v>
      </c>
      <c r="C1325" s="52" t="str">
        <f>IF(MID(B1325,4,2)="09","Ramadan",IF(AND(MID(B1325,4,2)="12",VALUE(LEFT(B1325,2))&lt;=9),"Adha Season","Normal"))</f>
        <v>Normal</v>
      </c>
      <c r="D1325" s="2" t="s">
        <v>294</v>
      </c>
      <c r="F1325" s="4" t="s">
        <v>280</v>
      </c>
      <c r="G1325" s="1">
        <v>50</v>
      </c>
      <c r="H1325" s="1">
        <v>50</v>
      </c>
      <c r="I1325" s="1">
        <f>grand[[#This Row],[number]]-grand[[#This Row],[received]]</f>
        <v>0</v>
      </c>
      <c r="J1325" s="30"/>
      <c r="K1325" s="2">
        <v>2310</v>
      </c>
      <c r="L1325" s="2">
        <v>2310</v>
      </c>
      <c r="M1325" s="2">
        <f>K1325-L1325</f>
        <v>0</v>
      </c>
      <c r="N1325" s="2">
        <v>1296.4000000000001</v>
      </c>
      <c r="O1325" s="2">
        <v>0</v>
      </c>
      <c r="P1325" s="7">
        <f>grand[[#This Row],[total weight]]/grand[[#This Row],[received]]</f>
        <v>46.2</v>
      </c>
      <c r="Q1325" s="7">
        <f>grand[[#This Row],[receiving weight]]/grand[[#This Row],[received]]</f>
        <v>46.2</v>
      </c>
      <c r="R1325" s="7">
        <f>grand[[#This Row],[transportation loss ]]/grand[[#This Row],[received]]</f>
        <v>0</v>
      </c>
      <c r="S1325" s="7">
        <f>grand[[#This Row],[ carcass weight]]/grand[[#This Row],[received]]</f>
        <v>25.928000000000001</v>
      </c>
      <c r="T1325" s="7">
        <f>grand[[#This Row],[ kidneys fat quantity]]/grand[[#This Row],[received]]</f>
        <v>0</v>
      </c>
      <c r="U1325" s="1">
        <v>25</v>
      </c>
      <c r="V1325" s="1">
        <v>0</v>
      </c>
      <c r="W1325" s="1">
        <v>43.82</v>
      </c>
      <c r="X1325" s="1">
        <v>10</v>
      </c>
      <c r="Y1325" s="1">
        <v>8.5</v>
      </c>
      <c r="Z1325" s="18">
        <f>grand[[#This Row],[av. Transportation loss]]/grand[[#This Row],[av.total weight]]</f>
        <v>0</v>
      </c>
      <c r="AA1325" s="12">
        <f>AVERAGE((grand[[#This Row],[am]]/25),(grand[[#This Row],[pm]]/50))</f>
        <v>0.93819999999999992</v>
      </c>
      <c r="AB1325" s="3">
        <f>grand[[#This Row],[ carcass weight]]/grand[[#This Row],[total weight]]</f>
        <v>0.56121212121212127</v>
      </c>
      <c r="AC1325" s="18">
        <f>SUM(grand[[#This Row],[am]:[meat transportation]])/100</f>
        <v>0.87319999999999998</v>
      </c>
      <c r="AK1325" s="1"/>
      <c r="AL1325" s="1"/>
    </row>
    <row r="1326" spans="1:38" hidden="1" x14ac:dyDescent="0.2">
      <c r="A1326" s="11">
        <v>45799</v>
      </c>
      <c r="B1326" s="53" t="s">
        <v>2221</v>
      </c>
      <c r="C1326" s="52" t="str">
        <f>IF(MID(B1326,4,2)="09","Ramadan",IF(AND(MID(B1326,4,2)="12",VALUE(LEFT(B1326,2))&lt;=9),"Adha Season","Normal"))</f>
        <v>Normal</v>
      </c>
      <c r="D1326" s="1" t="s">
        <v>45</v>
      </c>
      <c r="E1326" s="1" t="s">
        <v>528</v>
      </c>
      <c r="F1326" s="4" t="s">
        <v>462</v>
      </c>
      <c r="G1326" s="1">
        <v>50</v>
      </c>
      <c r="H1326" s="1">
        <v>50</v>
      </c>
      <c r="I1326" s="1">
        <f>grand[[#This Row],[number]]-grand[[#This Row],[received]]</f>
        <v>0</v>
      </c>
      <c r="J1326" s="30"/>
      <c r="K1326" s="2">
        <v>23018.354430379746</v>
      </c>
      <c r="L1326" s="2">
        <v>23018.354430379746</v>
      </c>
      <c r="M1326" s="2">
        <f>K1326-L1326</f>
        <v>0</v>
      </c>
      <c r="N1326" s="2">
        <v>14547.6</v>
      </c>
      <c r="O1326" s="2">
        <v>0</v>
      </c>
      <c r="P1326" s="7">
        <f>grand[[#This Row],[total weight]]/grand[[#This Row],[received]]</f>
        <v>460.36708860759495</v>
      </c>
      <c r="Q1326" s="7">
        <f>grand[[#This Row],[receiving weight]]/grand[[#This Row],[received]]</f>
        <v>460.36708860759495</v>
      </c>
      <c r="R1326" s="7">
        <f>grand[[#This Row],[transportation loss ]]/grand[[#This Row],[received]]</f>
        <v>0</v>
      </c>
      <c r="S1326" s="7">
        <f>grand[[#This Row],[ carcass weight]]/grand[[#This Row],[received]]</f>
        <v>290.952</v>
      </c>
      <c r="T1326" s="7">
        <f>grand[[#This Row],[ kidneys fat quantity]]/grand[[#This Row],[received]]</f>
        <v>0</v>
      </c>
      <c r="U1326" s="1">
        <v>25</v>
      </c>
      <c r="V1326" s="1">
        <v>4</v>
      </c>
      <c r="W1326" s="1">
        <v>50</v>
      </c>
      <c r="X1326" s="1">
        <v>10</v>
      </c>
      <c r="Y1326" s="1">
        <v>8.5</v>
      </c>
      <c r="Z1326" s="18">
        <f>grand[[#This Row],[av. Transportation loss]]/grand[[#This Row],[av.total weight]]</f>
        <v>0</v>
      </c>
      <c r="AA1326" s="12">
        <f>AVERAGE((grand[[#This Row],[am]]/25),(grand[[#This Row],[pm]]/50))</f>
        <v>1</v>
      </c>
      <c r="AB1326" s="3">
        <f>grand[[#This Row],[ carcass weight]]/grand[[#This Row],[total weight]]</f>
        <v>0.63200000000000001</v>
      </c>
      <c r="AC1326" s="18">
        <f>SUM(grand[[#This Row],[am]:[meat transportation]])/100</f>
        <v>0.97499999999999998</v>
      </c>
      <c r="AK1326" s="1"/>
      <c r="AL1326" s="1"/>
    </row>
    <row r="1327" spans="1:38" hidden="1" x14ac:dyDescent="0.2">
      <c r="A1327" s="11">
        <v>45799</v>
      </c>
      <c r="B1327" s="53" t="s">
        <v>2221</v>
      </c>
      <c r="C1327" s="52" t="str">
        <f>IF(MID(B1327,4,2)="09","Ramadan",IF(AND(MID(B1327,4,2)="12",VALUE(LEFT(B1327,2))&lt;=9),"Adha Season","Normal"))</f>
        <v>Normal</v>
      </c>
      <c r="D1327" s="1" t="s">
        <v>45</v>
      </c>
      <c r="E1327" s="1" t="s">
        <v>528</v>
      </c>
      <c r="F1327" s="4" t="s">
        <v>280</v>
      </c>
      <c r="G1327" s="1">
        <v>25</v>
      </c>
      <c r="H1327" s="1">
        <v>24</v>
      </c>
      <c r="I1327" s="1">
        <f>grand[[#This Row],[number]]-grand[[#This Row],[received]]</f>
        <v>1</v>
      </c>
      <c r="J1327" s="64" t="s">
        <v>690</v>
      </c>
      <c r="K1327" s="2">
        <v>13530</v>
      </c>
      <c r="L1327" s="2">
        <v>13530</v>
      </c>
      <c r="M1327" s="2">
        <f>K1327-L1327</f>
        <v>0</v>
      </c>
      <c r="N1327" s="2">
        <v>8296.4</v>
      </c>
      <c r="O1327" s="2">
        <v>122</v>
      </c>
      <c r="P1327" s="7">
        <f>grand[[#This Row],[total weight]]/grand[[#This Row],[received]]</f>
        <v>563.75</v>
      </c>
      <c r="Q1327" s="7">
        <f>grand[[#This Row],[receiving weight]]/grand[[#This Row],[received]]</f>
        <v>563.75</v>
      </c>
      <c r="R1327" s="7">
        <f>grand[[#This Row],[transportation loss ]]/grand[[#This Row],[received]]</f>
        <v>0</v>
      </c>
      <c r="S1327" s="7">
        <f>grand[[#This Row],[ carcass weight]]/grand[[#This Row],[received]]</f>
        <v>345.68333333333334</v>
      </c>
      <c r="T1327" s="7">
        <f>grand[[#This Row],[ kidneys fat quantity]]/grand[[#This Row],[received]]</f>
        <v>5.083333333333333</v>
      </c>
      <c r="U1327" s="1">
        <v>25</v>
      </c>
      <c r="V1327" s="1">
        <v>0</v>
      </c>
      <c r="W1327" s="1">
        <v>44.375</v>
      </c>
      <c r="X1327" s="1">
        <v>10</v>
      </c>
      <c r="Y1327" s="1">
        <v>8.5</v>
      </c>
      <c r="Z1327" s="18">
        <f>grand[[#This Row],[av. Transportation loss]]/grand[[#This Row],[av.total weight]]</f>
        <v>0</v>
      </c>
      <c r="AA1327" s="12">
        <f>AVERAGE((grand[[#This Row],[am]]/25),(grand[[#This Row],[pm]]/50))</f>
        <v>0.94374999999999998</v>
      </c>
      <c r="AB1327" s="3">
        <f>grand[[#This Row],[ carcass weight]]/grand[[#This Row],[total weight]]</f>
        <v>0.61318551367331853</v>
      </c>
      <c r="AC1327" s="18">
        <f>SUM(grand[[#This Row],[am]:[meat transportation]])/100</f>
        <v>0.87875000000000003</v>
      </c>
      <c r="AJ1327" s="1">
        <v>3</v>
      </c>
      <c r="AK1327" s="1"/>
      <c r="AL1327" s="1"/>
    </row>
    <row r="1328" spans="1:38" hidden="1" x14ac:dyDescent="0.2">
      <c r="A1328" s="11">
        <v>45801</v>
      </c>
      <c r="B1328" s="53" t="s">
        <v>2222</v>
      </c>
      <c r="C1328" s="52" t="str">
        <f>IF(MID(B1328,4,2)="09","Ramadan",IF(AND(MID(B1328,4,2)="12",VALUE(LEFT(B1328,2))&lt;=9),"Adha Season","Normal"))</f>
        <v>Normal</v>
      </c>
      <c r="D1328" s="2" t="s">
        <v>294</v>
      </c>
      <c r="F1328" s="4" t="s">
        <v>656</v>
      </c>
      <c r="G1328" s="1">
        <v>55</v>
      </c>
      <c r="H1328" s="1">
        <v>55</v>
      </c>
      <c r="I1328" s="1">
        <f>grand[[#This Row],[number]]-grand[[#This Row],[received]]</f>
        <v>0</v>
      </c>
      <c r="J1328" s="30"/>
      <c r="K1328" s="2">
        <v>2789</v>
      </c>
      <c r="L1328" s="2">
        <v>2789</v>
      </c>
      <c r="M1328" s="2">
        <f>K1328-L1328</f>
        <v>0</v>
      </c>
      <c r="N1328" s="2">
        <v>1501.6</v>
      </c>
      <c r="O1328" s="2">
        <v>0</v>
      </c>
      <c r="P1328" s="7">
        <f>grand[[#This Row],[total weight]]/grand[[#This Row],[received]]</f>
        <v>50.709090909090911</v>
      </c>
      <c r="Q1328" s="7">
        <f>grand[[#This Row],[receiving weight]]/grand[[#This Row],[received]]</f>
        <v>50.709090909090911</v>
      </c>
      <c r="R1328" s="7">
        <f>grand[[#This Row],[transportation loss ]]/grand[[#This Row],[received]]</f>
        <v>0</v>
      </c>
      <c r="S1328" s="7">
        <f>grand[[#This Row],[ carcass weight]]/grand[[#This Row],[received]]</f>
        <v>27.301818181818181</v>
      </c>
      <c r="T1328" s="7">
        <f>grand[[#This Row],[ kidneys fat quantity]]/grand[[#This Row],[received]]</f>
        <v>0</v>
      </c>
      <c r="U1328" s="1">
        <v>25</v>
      </c>
      <c r="V1328" s="1">
        <v>0</v>
      </c>
      <c r="W1328" s="1">
        <v>49.345454545454544</v>
      </c>
      <c r="X1328" s="1">
        <v>10</v>
      </c>
      <c r="Y1328" s="1">
        <v>8.5</v>
      </c>
      <c r="Z1328" s="18">
        <f>grand[[#This Row],[av. Transportation loss]]/grand[[#This Row],[av.total weight]]</f>
        <v>0</v>
      </c>
      <c r="AA1328" s="12">
        <f>AVERAGE((grand[[#This Row],[am]]/25),(grand[[#This Row],[pm]]/50))</f>
        <v>0.99345454545454537</v>
      </c>
      <c r="AB1328" s="3">
        <f>grand[[#This Row],[ carcass weight]]/grand[[#This Row],[total weight]]</f>
        <v>0.53840086052348513</v>
      </c>
      <c r="AC1328" s="18">
        <f>SUM(grand[[#This Row],[am]:[meat transportation]])/100</f>
        <v>0.92845454545454542</v>
      </c>
      <c r="AK1328" s="1"/>
      <c r="AL1328" s="1"/>
    </row>
    <row r="1329" spans="1:38" hidden="1" x14ac:dyDescent="0.2">
      <c r="A1329" s="11">
        <v>45801</v>
      </c>
      <c r="B1329" s="53" t="s">
        <v>2222</v>
      </c>
      <c r="C1329" s="52" t="str">
        <f>IF(MID(B1329,4,2)="09","Ramadan",IF(AND(MID(B1329,4,2)="12",VALUE(LEFT(B1329,2))&lt;=9),"Adha Season","Normal"))</f>
        <v>Normal</v>
      </c>
      <c r="D1329" s="1" t="s">
        <v>45</v>
      </c>
      <c r="E1329" s="1" t="s">
        <v>528</v>
      </c>
      <c r="F1329" s="4" t="s">
        <v>462</v>
      </c>
      <c r="G1329" s="1">
        <v>78</v>
      </c>
      <c r="H1329" s="1">
        <v>78</v>
      </c>
      <c r="I1329" s="1">
        <f>grand[[#This Row],[number]]-grand[[#This Row],[received]]</f>
        <v>0</v>
      </c>
      <c r="J1329" s="30"/>
      <c r="K1329" s="2">
        <v>35992.721518987339</v>
      </c>
      <c r="L1329" s="2">
        <v>35992.721518987339</v>
      </c>
      <c r="M1329" s="2">
        <f>K1329-L1329</f>
        <v>0</v>
      </c>
      <c r="N1329" s="2">
        <v>22747.4</v>
      </c>
      <c r="O1329" s="2">
        <v>0</v>
      </c>
      <c r="P1329" s="7">
        <f>grand[[#This Row],[total weight]]/grand[[#This Row],[received]]</f>
        <v>461.44514767932486</v>
      </c>
      <c r="Q1329" s="7">
        <f>grand[[#This Row],[receiving weight]]/grand[[#This Row],[received]]</f>
        <v>461.44514767932486</v>
      </c>
      <c r="R1329" s="7">
        <f>grand[[#This Row],[transportation loss ]]/grand[[#This Row],[received]]</f>
        <v>0</v>
      </c>
      <c r="S1329" s="7">
        <f>grand[[#This Row],[ carcass weight]]/grand[[#This Row],[received]]</f>
        <v>291.63333333333333</v>
      </c>
      <c r="T1329" s="7">
        <f>grand[[#This Row],[ kidneys fat quantity]]/grand[[#This Row],[received]]</f>
        <v>0</v>
      </c>
      <c r="U1329" s="1">
        <v>25</v>
      </c>
      <c r="V1329" s="1">
        <v>4</v>
      </c>
      <c r="W1329" s="1">
        <v>50</v>
      </c>
      <c r="X1329" s="1">
        <v>10</v>
      </c>
      <c r="Y1329" s="1">
        <v>8.5</v>
      </c>
      <c r="Z1329" s="18">
        <f>grand[[#This Row],[av. Transportation loss]]/grand[[#This Row],[av.total weight]]</f>
        <v>0</v>
      </c>
      <c r="AA1329" s="12">
        <f>AVERAGE((grand[[#This Row],[am]]/25),(grand[[#This Row],[pm]]/50))</f>
        <v>1</v>
      </c>
      <c r="AB1329" s="3">
        <f>grand[[#This Row],[ carcass weight]]/grand[[#This Row],[total weight]]</f>
        <v>0.63200000000000012</v>
      </c>
      <c r="AC1329" s="18">
        <f>SUM(grand[[#This Row],[am]:[meat transportation]])/100</f>
        <v>0.97499999999999998</v>
      </c>
      <c r="AK1329" s="1"/>
      <c r="AL1329" s="1"/>
    </row>
    <row r="1330" spans="1:38" hidden="1" x14ac:dyDescent="0.2">
      <c r="A1330" s="11">
        <v>45802</v>
      </c>
      <c r="B1330" s="53" t="s">
        <v>2223</v>
      </c>
      <c r="C1330" s="52" t="str">
        <f>IF(MID(B1330,4,2)="09","Ramadan",IF(AND(MID(B1330,4,2)="12",VALUE(LEFT(B1330,2))&lt;=9),"Adha Season","Normal"))</f>
        <v>Normal</v>
      </c>
      <c r="D1330" s="1" t="s">
        <v>45</v>
      </c>
      <c r="E1330" s="1" t="s">
        <v>528</v>
      </c>
      <c r="F1330" s="4" t="s">
        <v>462</v>
      </c>
      <c r="G1330" s="1">
        <v>68</v>
      </c>
      <c r="H1330" s="1">
        <v>64</v>
      </c>
      <c r="I1330" s="1">
        <f>grand[[#This Row],[number]]-grand[[#This Row],[received]]</f>
        <v>4</v>
      </c>
      <c r="J1330" s="64" t="s">
        <v>1145</v>
      </c>
      <c r="K1330" s="2">
        <v>28831.962025316454</v>
      </c>
      <c r="L1330" s="2">
        <v>28831.962025316454</v>
      </c>
      <c r="M1330" s="2">
        <f>K1330-L1330</f>
        <v>0</v>
      </c>
      <c r="N1330" s="2">
        <v>18221.8</v>
      </c>
      <c r="O1330" s="2">
        <v>0</v>
      </c>
      <c r="P1330" s="7">
        <f>grand[[#This Row],[total weight]]/grand[[#This Row],[received]]</f>
        <v>450.49940664556959</v>
      </c>
      <c r="Q1330" s="7">
        <f>grand[[#This Row],[receiving weight]]/grand[[#This Row],[received]]</f>
        <v>450.49940664556959</v>
      </c>
      <c r="R1330" s="7">
        <f>grand[[#This Row],[transportation loss ]]/grand[[#This Row],[received]]</f>
        <v>0</v>
      </c>
      <c r="S1330" s="7">
        <f>grand[[#This Row],[ carcass weight]]/grand[[#This Row],[received]]</f>
        <v>284.71562499999999</v>
      </c>
      <c r="T1330" s="7">
        <f>grand[[#This Row],[ kidneys fat quantity]]/grand[[#This Row],[received]]</f>
        <v>0</v>
      </c>
      <c r="U1330" s="1">
        <v>24.6875</v>
      </c>
      <c r="V1330" s="1">
        <v>4</v>
      </c>
      <c r="W1330" s="1">
        <v>50</v>
      </c>
      <c r="X1330" s="1">
        <v>9.6875</v>
      </c>
      <c r="Y1330" s="1">
        <v>8.5</v>
      </c>
      <c r="Z1330" s="18">
        <f>grand[[#This Row],[av. Transportation loss]]/grand[[#This Row],[av.total weight]]</f>
        <v>0</v>
      </c>
      <c r="AA1330" s="12">
        <f>AVERAGE((grand[[#This Row],[am]]/25),(grand[[#This Row],[pm]]/50))</f>
        <v>0.99375000000000002</v>
      </c>
      <c r="AB1330" s="3">
        <f>grand[[#This Row],[ carcass weight]]/grand[[#This Row],[total weight]]</f>
        <v>0.63200000000000001</v>
      </c>
      <c r="AC1330" s="18">
        <f>SUM(grand[[#This Row],[am]:[meat transportation]])/100</f>
        <v>0.96875</v>
      </c>
      <c r="AJ1330" s="1">
        <v>19</v>
      </c>
      <c r="AK1330" s="1"/>
      <c r="AL1330" s="1"/>
    </row>
    <row r="1331" spans="1:38" hidden="1" x14ac:dyDescent="0.2">
      <c r="A1331" s="11">
        <v>45803</v>
      </c>
      <c r="B1331" s="53" t="s">
        <v>2224</v>
      </c>
      <c r="C1331" s="52" t="str">
        <f>IF(MID(B1331,4,2)="09","Ramadan",IF(AND(MID(B1331,4,2)="12",VALUE(LEFT(B1331,2))&lt;=9),"Adha Season","Normal"))</f>
        <v>Normal</v>
      </c>
      <c r="D1331" s="1" t="s">
        <v>45</v>
      </c>
      <c r="E1331" s="1" t="s">
        <v>528</v>
      </c>
      <c r="F1331" s="4" t="s">
        <v>462</v>
      </c>
      <c r="G1331" s="1">
        <v>46</v>
      </c>
      <c r="H1331" s="1">
        <v>46</v>
      </c>
      <c r="I1331" s="1">
        <f>grand[[#This Row],[number]]-grand[[#This Row],[received]]</f>
        <v>0</v>
      </c>
      <c r="J1331" s="30"/>
      <c r="K1331" s="2">
        <v>20621.835443037973</v>
      </c>
      <c r="L1331" s="2">
        <v>20621.835443037973</v>
      </c>
      <c r="M1331" s="2">
        <f>K1331-L1331</f>
        <v>0</v>
      </c>
      <c r="N1331" s="2">
        <v>13033</v>
      </c>
      <c r="O1331" s="2">
        <v>0</v>
      </c>
      <c r="P1331" s="7">
        <f>grand[[#This Row],[total weight]]/grand[[#This Row],[received]]</f>
        <v>448.30077050082548</v>
      </c>
      <c r="Q1331" s="7">
        <f>grand[[#This Row],[receiving weight]]/grand[[#This Row],[received]]</f>
        <v>448.30077050082548</v>
      </c>
      <c r="R1331" s="7">
        <f>grand[[#This Row],[transportation loss ]]/grand[[#This Row],[received]]</f>
        <v>0</v>
      </c>
      <c r="S1331" s="7">
        <f>grand[[#This Row],[ carcass weight]]/grand[[#This Row],[received]]</f>
        <v>283.32608695652175</v>
      </c>
      <c r="T1331" s="7">
        <f>grand[[#This Row],[ kidneys fat quantity]]/grand[[#This Row],[received]]</f>
        <v>0</v>
      </c>
      <c r="U1331" s="1">
        <v>24.782608695652172</v>
      </c>
      <c r="V1331" s="1">
        <v>4</v>
      </c>
      <c r="W1331" s="1">
        <v>50</v>
      </c>
      <c r="X1331" s="1">
        <v>9.891304347826086</v>
      </c>
      <c r="Y1331" s="1">
        <v>8.5</v>
      </c>
      <c r="Z1331" s="18">
        <f>grand[[#This Row],[av. Transportation loss]]/grand[[#This Row],[av.total weight]]</f>
        <v>0</v>
      </c>
      <c r="AA1331" s="12">
        <f>AVERAGE((grand[[#This Row],[am]]/25),(grand[[#This Row],[pm]]/50))</f>
        <v>0.9956521739130435</v>
      </c>
      <c r="AB1331" s="3">
        <f>grand[[#This Row],[ carcass weight]]/grand[[#This Row],[total weight]]</f>
        <v>0.63200000000000001</v>
      </c>
      <c r="AC1331" s="18">
        <f>SUM(grand[[#This Row],[am]:[meat transportation]])/100</f>
        <v>0.97173913043478255</v>
      </c>
      <c r="AJ1331" s="1">
        <v>9</v>
      </c>
      <c r="AK1331" s="1"/>
      <c r="AL1331" s="1"/>
    </row>
    <row r="1332" spans="1:38" hidden="1" x14ac:dyDescent="0.2">
      <c r="A1332" s="11">
        <v>45804</v>
      </c>
      <c r="B1332" s="53" t="s">
        <v>2225</v>
      </c>
      <c r="C1332" s="52" t="str">
        <f>IF(MID(B1332,4,2)="09","Ramadan",IF(AND(MID(B1332,4,2)="12",VALUE(LEFT(B1332,2))&lt;=9),"Adha Season","Normal"))</f>
        <v>Normal</v>
      </c>
      <c r="D1332" s="2" t="s">
        <v>294</v>
      </c>
      <c r="F1332" s="4" t="s">
        <v>280</v>
      </c>
      <c r="G1332" s="1">
        <v>80</v>
      </c>
      <c r="H1332" s="1">
        <v>80</v>
      </c>
      <c r="I1332" s="1">
        <f>grand[[#This Row],[number]]-grand[[#This Row],[received]]</f>
        <v>0</v>
      </c>
      <c r="J1332" s="30"/>
      <c r="K1332" s="2">
        <v>3760</v>
      </c>
      <c r="L1332" s="2">
        <v>3760</v>
      </c>
      <c r="M1332" s="2">
        <f>K1332-L1332</f>
        <v>0</v>
      </c>
      <c r="N1332" s="2">
        <v>2000.9</v>
      </c>
      <c r="O1332" s="2">
        <v>0</v>
      </c>
      <c r="P1332" s="7">
        <f>grand[[#This Row],[total weight]]/grand[[#This Row],[received]]</f>
        <v>47</v>
      </c>
      <c r="Q1332" s="7">
        <f>grand[[#This Row],[receiving weight]]/grand[[#This Row],[received]]</f>
        <v>47</v>
      </c>
      <c r="R1332" s="7">
        <f>grand[[#This Row],[transportation loss ]]/grand[[#This Row],[received]]</f>
        <v>0</v>
      </c>
      <c r="S1332" s="7">
        <f>grand[[#This Row],[ carcass weight]]/grand[[#This Row],[received]]</f>
        <v>25.01125</v>
      </c>
      <c r="T1332" s="7">
        <f>grand[[#This Row],[ kidneys fat quantity]]/grand[[#This Row],[received]]</f>
        <v>0</v>
      </c>
      <c r="U1332" s="1">
        <v>25</v>
      </c>
      <c r="V1332" s="1">
        <v>0</v>
      </c>
      <c r="W1332" s="1">
        <v>43.6875</v>
      </c>
      <c r="X1332" s="1">
        <v>10</v>
      </c>
      <c r="Y1332" s="1">
        <v>8.5</v>
      </c>
      <c r="Z1332" s="18">
        <f>grand[[#This Row],[av. Transportation loss]]/grand[[#This Row],[av.total weight]]</f>
        <v>0</v>
      </c>
      <c r="AA1332" s="12">
        <f>AVERAGE((grand[[#This Row],[am]]/25),(grand[[#This Row],[pm]]/50))</f>
        <v>0.93687500000000001</v>
      </c>
      <c r="AB1332" s="3">
        <f>grand[[#This Row],[ carcass weight]]/grand[[#This Row],[total weight]]</f>
        <v>0.53215425531914895</v>
      </c>
      <c r="AC1332" s="18">
        <f>SUM(grand[[#This Row],[am]:[meat transportation]])/100</f>
        <v>0.87187499999999996</v>
      </c>
      <c r="AK1332" s="1"/>
      <c r="AL1332" s="1"/>
    </row>
    <row r="1333" spans="1:38" hidden="1" x14ac:dyDescent="0.2">
      <c r="A1333" s="11">
        <v>45804</v>
      </c>
      <c r="B1333" s="53" t="s">
        <v>2225</v>
      </c>
      <c r="C1333" s="52" t="str">
        <f>IF(MID(B1333,4,2)="09","Ramadan",IF(AND(MID(B1333,4,2)="12",VALUE(LEFT(B1333,2))&lt;=9),"Adha Season","Normal"))</f>
        <v>Normal</v>
      </c>
      <c r="D1333" s="2" t="s">
        <v>294</v>
      </c>
      <c r="F1333" s="4" t="s">
        <v>280</v>
      </c>
      <c r="G1333" s="1">
        <v>37</v>
      </c>
      <c r="H1333" s="1">
        <v>37</v>
      </c>
      <c r="I1333" s="1">
        <f>grand[[#This Row],[number]]-grand[[#This Row],[received]]</f>
        <v>0</v>
      </c>
      <c r="J1333" s="30"/>
      <c r="K1333" s="2">
        <v>1830</v>
      </c>
      <c r="L1333" s="2">
        <v>1830</v>
      </c>
      <c r="M1333" s="2">
        <f>K1333-L1333</f>
        <v>0</v>
      </c>
      <c r="N1333" s="2">
        <v>1103.8</v>
      </c>
      <c r="O1333" s="2">
        <v>0</v>
      </c>
      <c r="P1333" s="7">
        <f>grand[[#This Row],[total weight]]/grand[[#This Row],[received]]</f>
        <v>49.45945945945946</v>
      </c>
      <c r="Q1333" s="7">
        <f>grand[[#This Row],[receiving weight]]/grand[[#This Row],[received]]</f>
        <v>49.45945945945946</v>
      </c>
      <c r="R1333" s="7">
        <f>grand[[#This Row],[transportation loss ]]/grand[[#This Row],[received]]</f>
        <v>0</v>
      </c>
      <c r="S1333" s="7">
        <f>grand[[#This Row],[ carcass weight]]/grand[[#This Row],[received]]</f>
        <v>29.83243243243243</v>
      </c>
      <c r="T1333" s="7">
        <f>grand[[#This Row],[ kidneys fat quantity]]/grand[[#This Row],[received]]</f>
        <v>0</v>
      </c>
      <c r="U1333" s="1">
        <v>25</v>
      </c>
      <c r="V1333" s="1">
        <v>0</v>
      </c>
      <c r="W1333" s="1">
        <v>49.243243243243242</v>
      </c>
      <c r="X1333" s="1">
        <v>10</v>
      </c>
      <c r="Y1333" s="1">
        <v>8.5</v>
      </c>
      <c r="Z1333" s="18">
        <f>grand[[#This Row],[av. Transportation loss]]/grand[[#This Row],[av.total weight]]</f>
        <v>0</v>
      </c>
      <c r="AA1333" s="12">
        <f>AVERAGE((grand[[#This Row],[am]]/25),(grand[[#This Row],[pm]]/50))</f>
        <v>0.9924324324324324</v>
      </c>
      <c r="AB1333" s="3">
        <f>grand[[#This Row],[ carcass weight]]/grand[[#This Row],[total weight]]</f>
        <v>0.60316939890710375</v>
      </c>
      <c r="AC1333" s="18">
        <f>SUM(grand[[#This Row],[am]:[meat transportation]])/100</f>
        <v>0.92743243243243245</v>
      </c>
      <c r="AK1333" s="1"/>
      <c r="AL1333" s="1"/>
    </row>
    <row r="1334" spans="1:38" hidden="1" x14ac:dyDescent="0.2">
      <c r="A1334" s="11">
        <v>45804</v>
      </c>
      <c r="B1334" s="53" t="s">
        <v>2225</v>
      </c>
      <c r="C1334" s="52" t="str">
        <f>IF(MID(B1334,4,2)="09","Ramadan",IF(AND(MID(B1334,4,2)="12",VALUE(LEFT(B1334,2))&lt;=9),"Adha Season","Normal"))</f>
        <v>Normal</v>
      </c>
      <c r="D1334" s="1" t="s">
        <v>45</v>
      </c>
      <c r="E1334" s="1" t="s">
        <v>528</v>
      </c>
      <c r="F1334" s="4" t="s">
        <v>462</v>
      </c>
      <c r="G1334" s="1">
        <v>49</v>
      </c>
      <c r="H1334" s="1">
        <v>49</v>
      </c>
      <c r="I1334" s="1">
        <f>grand[[#This Row],[number]]-grand[[#This Row],[received]]</f>
        <v>0</v>
      </c>
      <c r="J1334" s="30"/>
      <c r="K1334" s="2">
        <v>21284.493670886073</v>
      </c>
      <c r="L1334" s="2">
        <v>21284.493670886073</v>
      </c>
      <c r="M1334" s="2">
        <f>K1334-L1334</f>
        <v>0</v>
      </c>
      <c r="N1334" s="2">
        <v>13451.8</v>
      </c>
      <c r="O1334" s="2">
        <v>0</v>
      </c>
      <c r="P1334" s="7">
        <f>grand[[#This Row],[total weight]]/grand[[#This Row],[received]]</f>
        <v>434.37742185481784</v>
      </c>
      <c r="Q1334" s="7">
        <f>grand[[#This Row],[receiving weight]]/grand[[#This Row],[received]]</f>
        <v>434.37742185481784</v>
      </c>
      <c r="R1334" s="7">
        <f>grand[[#This Row],[transportation loss ]]/grand[[#This Row],[received]]</f>
        <v>0</v>
      </c>
      <c r="S1334" s="7">
        <f>grand[[#This Row],[ carcass weight]]/grand[[#This Row],[received]]</f>
        <v>274.52653061224487</v>
      </c>
      <c r="T1334" s="7">
        <f>grand[[#This Row],[ kidneys fat quantity]]/grand[[#This Row],[received]]</f>
        <v>0</v>
      </c>
      <c r="U1334" s="1">
        <v>25</v>
      </c>
      <c r="V1334" s="1">
        <v>4</v>
      </c>
      <c r="W1334" s="1">
        <v>50</v>
      </c>
      <c r="X1334" s="1">
        <v>10</v>
      </c>
      <c r="Y1334" s="1">
        <v>8.5</v>
      </c>
      <c r="Z1334" s="18">
        <f>grand[[#This Row],[av. Transportation loss]]/grand[[#This Row],[av.total weight]]</f>
        <v>0</v>
      </c>
      <c r="AA1334" s="12">
        <f>AVERAGE((grand[[#This Row],[am]]/25),(grand[[#This Row],[pm]]/50))</f>
        <v>1</v>
      </c>
      <c r="AB1334" s="3">
        <f>grand[[#This Row],[ carcass weight]]/grand[[#This Row],[total weight]]</f>
        <v>0.63200000000000001</v>
      </c>
      <c r="AC1334" s="18">
        <f>SUM(grand[[#This Row],[am]:[meat transportation]])/100</f>
        <v>0.97499999999999998</v>
      </c>
      <c r="AK1334" s="1"/>
      <c r="AL1334" s="1"/>
    </row>
    <row r="1335" spans="1:38" hidden="1" x14ac:dyDescent="0.2">
      <c r="A1335" s="11">
        <v>45805</v>
      </c>
      <c r="B1335" s="53" t="s">
        <v>2226</v>
      </c>
      <c r="C1335" s="52" t="str">
        <f>IF(MID(B1335,4,2)="09","Ramadan",IF(AND(MID(B1335,4,2)="12",VALUE(LEFT(B1335,2))&lt;=9),"Adha Season","Normal"))</f>
        <v>Adha Season</v>
      </c>
      <c r="D1335" s="2" t="s">
        <v>294</v>
      </c>
      <c r="F1335" s="4" t="s">
        <v>280</v>
      </c>
      <c r="G1335" s="1">
        <v>56</v>
      </c>
      <c r="H1335" s="1">
        <v>56</v>
      </c>
      <c r="I1335" s="1">
        <f>grand[[#This Row],[number]]-grand[[#This Row],[received]]</f>
        <v>0</v>
      </c>
      <c r="J1335" s="30"/>
      <c r="K1335" s="2">
        <v>2762</v>
      </c>
      <c r="L1335" s="2">
        <v>2762</v>
      </c>
      <c r="M1335" s="2">
        <f>K1335-L1335</f>
        <v>0</v>
      </c>
      <c r="N1335" s="2">
        <v>1470.4</v>
      </c>
      <c r="O1335" s="2">
        <v>0</v>
      </c>
      <c r="P1335" s="7">
        <f>grand[[#This Row],[total weight]]/grand[[#This Row],[received]]</f>
        <v>49.321428571428569</v>
      </c>
      <c r="Q1335" s="7">
        <f>grand[[#This Row],[receiving weight]]/grand[[#This Row],[received]]</f>
        <v>49.321428571428569</v>
      </c>
      <c r="R1335" s="7">
        <f>grand[[#This Row],[transportation loss ]]/grand[[#This Row],[received]]</f>
        <v>0</v>
      </c>
      <c r="S1335" s="7">
        <f>grand[[#This Row],[ carcass weight]]/grand[[#This Row],[received]]</f>
        <v>26.25714285714286</v>
      </c>
      <c r="T1335" s="7">
        <f>grand[[#This Row],[ kidneys fat quantity]]/grand[[#This Row],[received]]</f>
        <v>0</v>
      </c>
      <c r="U1335" s="1">
        <v>25</v>
      </c>
      <c r="V1335" s="1">
        <v>0</v>
      </c>
      <c r="W1335" s="1">
        <v>49.089285714285715</v>
      </c>
      <c r="X1335" s="1">
        <v>10</v>
      </c>
      <c r="Y1335" s="1">
        <v>8.5</v>
      </c>
      <c r="Z1335" s="18">
        <f>grand[[#This Row],[av. Transportation loss]]/grand[[#This Row],[av.total weight]]</f>
        <v>0</v>
      </c>
      <c r="AA1335" s="12">
        <f>AVERAGE((grand[[#This Row],[am]]/25),(grand[[#This Row],[pm]]/50))</f>
        <v>0.99089285714285713</v>
      </c>
      <c r="AB1335" s="3">
        <f>grand[[#This Row],[ carcass weight]]/grand[[#This Row],[total weight]]</f>
        <v>0.53236784938450399</v>
      </c>
      <c r="AC1335" s="18">
        <f>SUM(grand[[#This Row],[am]:[meat transportation]])/100</f>
        <v>0.92589285714285718</v>
      </c>
      <c r="AK1335" s="1"/>
      <c r="AL1335" s="1"/>
    </row>
    <row r="1336" spans="1:38" hidden="1" x14ac:dyDescent="0.2">
      <c r="A1336" s="11">
        <v>45805</v>
      </c>
      <c r="B1336" s="53" t="s">
        <v>2226</v>
      </c>
      <c r="C1336" s="52" t="str">
        <f>IF(MID(B1336,4,2)="09","Ramadan",IF(AND(MID(B1336,4,2)="12",VALUE(LEFT(B1336,2))&lt;=9),"Adha Season","Normal"))</f>
        <v>Adha Season</v>
      </c>
      <c r="D1336" s="1" t="s">
        <v>45</v>
      </c>
      <c r="E1336" s="1" t="s">
        <v>528</v>
      </c>
      <c r="F1336" s="4" t="s">
        <v>462</v>
      </c>
      <c r="G1336" s="1">
        <v>64</v>
      </c>
      <c r="H1336" s="1">
        <v>64</v>
      </c>
      <c r="I1336" s="1">
        <f>grand[[#This Row],[number]]-grand[[#This Row],[received]]</f>
        <v>0</v>
      </c>
      <c r="J1336" s="30"/>
      <c r="K1336" s="2">
        <v>29762.025316455693</v>
      </c>
      <c r="L1336" s="2">
        <v>29762.025316455693</v>
      </c>
      <c r="M1336" s="2">
        <f>K1336-L1336</f>
        <v>0</v>
      </c>
      <c r="N1336" s="2">
        <v>18809.599999999999</v>
      </c>
      <c r="O1336" s="2">
        <v>0</v>
      </c>
      <c r="P1336" s="7">
        <f>grand[[#This Row],[total weight]]/grand[[#This Row],[received]]</f>
        <v>465.0316455696202</v>
      </c>
      <c r="Q1336" s="7">
        <f>grand[[#This Row],[receiving weight]]/grand[[#This Row],[received]]</f>
        <v>465.0316455696202</v>
      </c>
      <c r="R1336" s="7">
        <f>grand[[#This Row],[transportation loss ]]/grand[[#This Row],[received]]</f>
        <v>0</v>
      </c>
      <c r="S1336" s="7">
        <f>grand[[#This Row],[ carcass weight]]/grand[[#This Row],[received]]</f>
        <v>293.89999999999998</v>
      </c>
      <c r="T1336" s="7">
        <f>grand[[#This Row],[ kidneys fat quantity]]/grand[[#This Row],[received]]</f>
        <v>0</v>
      </c>
      <c r="U1336" s="1">
        <v>25</v>
      </c>
      <c r="V1336" s="1">
        <v>4</v>
      </c>
      <c r="W1336" s="1">
        <v>50</v>
      </c>
      <c r="X1336" s="1">
        <v>10</v>
      </c>
      <c r="Y1336" s="1">
        <v>8.5</v>
      </c>
      <c r="Z1336" s="18">
        <f>grand[[#This Row],[av. Transportation loss]]/grand[[#This Row],[av.total weight]]</f>
        <v>0</v>
      </c>
      <c r="AA1336" s="12">
        <f>AVERAGE((grand[[#This Row],[am]]/25),(grand[[#This Row],[pm]]/50))</f>
        <v>1</v>
      </c>
      <c r="AB1336" s="3">
        <f>grand[[#This Row],[ carcass weight]]/grand[[#This Row],[total weight]]</f>
        <v>0.63200000000000001</v>
      </c>
      <c r="AC1336" s="18">
        <f>SUM(grand[[#This Row],[am]:[meat transportation]])/100</f>
        <v>0.97499999999999998</v>
      </c>
      <c r="AJ1336" s="1">
        <v>5</v>
      </c>
      <c r="AK1336" s="1"/>
      <c r="AL1336" s="1"/>
    </row>
    <row r="1337" spans="1:38" hidden="1" x14ac:dyDescent="0.2">
      <c r="A1337" s="11">
        <v>45806</v>
      </c>
      <c r="B1337" s="53" t="s">
        <v>2227</v>
      </c>
      <c r="C1337" s="52" t="str">
        <f>IF(MID(B1337,4,2)="09","Ramadan",IF(AND(MID(B1337,4,2)="12",VALUE(LEFT(B1337,2))&lt;=9),"Adha Season","Normal"))</f>
        <v>Adha Season</v>
      </c>
      <c r="D1337" s="2" t="s">
        <v>294</v>
      </c>
      <c r="F1337" s="4" t="s">
        <v>280</v>
      </c>
      <c r="G1337" s="1">
        <v>80</v>
      </c>
      <c r="H1337" s="1">
        <v>80</v>
      </c>
      <c r="I1337" s="1">
        <f>grand[[#This Row],[number]]-grand[[#This Row],[received]]</f>
        <v>0</v>
      </c>
      <c r="J1337" s="30"/>
      <c r="K1337" s="2">
        <v>3843</v>
      </c>
      <c r="L1337" s="2">
        <v>3843</v>
      </c>
      <c r="M1337" s="2">
        <f>K1337-L1337</f>
        <v>0</v>
      </c>
      <c r="N1337" s="2">
        <v>2175.1</v>
      </c>
      <c r="O1337" s="2">
        <v>0</v>
      </c>
      <c r="P1337" s="7">
        <f>grand[[#This Row],[total weight]]/grand[[#This Row],[received]]</f>
        <v>48.037500000000001</v>
      </c>
      <c r="Q1337" s="7">
        <f>grand[[#This Row],[receiving weight]]/grand[[#This Row],[received]]</f>
        <v>48.037500000000001</v>
      </c>
      <c r="R1337" s="7">
        <f>grand[[#This Row],[transportation loss ]]/grand[[#This Row],[received]]</f>
        <v>0</v>
      </c>
      <c r="S1337" s="7">
        <f>grand[[#This Row],[ carcass weight]]/grand[[#This Row],[received]]</f>
        <v>27.188749999999999</v>
      </c>
      <c r="T1337" s="7">
        <f>grand[[#This Row],[ kidneys fat quantity]]/grand[[#This Row],[received]]</f>
        <v>0</v>
      </c>
      <c r="U1337" s="1">
        <v>25</v>
      </c>
      <c r="V1337" s="1">
        <v>0</v>
      </c>
      <c r="W1337" s="1">
        <v>49.274999999999999</v>
      </c>
      <c r="X1337" s="1">
        <v>10</v>
      </c>
      <c r="Y1337" s="1">
        <v>8.5</v>
      </c>
      <c r="Z1337" s="18">
        <f>grand[[#This Row],[av. Transportation loss]]/grand[[#This Row],[av.total weight]]</f>
        <v>0</v>
      </c>
      <c r="AA1337" s="12">
        <f>AVERAGE((grand[[#This Row],[am]]/25),(grand[[#This Row],[pm]]/50))</f>
        <v>0.99275000000000002</v>
      </c>
      <c r="AB1337" s="3">
        <f>grand[[#This Row],[ carcass weight]]/grand[[#This Row],[total weight]]</f>
        <v>0.56599011189175119</v>
      </c>
      <c r="AC1337" s="18">
        <f>SUM(grand[[#This Row],[am]:[meat transportation]])/100</f>
        <v>0.92775000000000007</v>
      </c>
      <c r="AK1337" s="1"/>
      <c r="AL1337" s="1"/>
    </row>
    <row r="1338" spans="1:38" hidden="1" x14ac:dyDescent="0.2">
      <c r="A1338" s="11">
        <v>45901</v>
      </c>
      <c r="B1338" s="53" t="s">
        <v>2299</v>
      </c>
      <c r="C1338" s="52" t="str">
        <f>IF(MID(B1338,4,2)="09","Ramadan",IF(AND(MID(B1338,4,2)="12",VALUE(LEFT(B1338,2))&lt;=9),"Adha Season","Normal"))</f>
        <v>Normal</v>
      </c>
      <c r="D1338" s="2" t="s">
        <v>294</v>
      </c>
      <c r="F1338" s="4" t="s">
        <v>750</v>
      </c>
      <c r="G1338" s="1">
        <v>30</v>
      </c>
      <c r="H1338" s="1">
        <v>30</v>
      </c>
      <c r="I1338" s="1">
        <f>grand[[#This Row],[number]]-grand[[#This Row],[received]]</f>
        <v>0</v>
      </c>
      <c r="J1338" s="30"/>
      <c r="K1338" s="2">
        <v>1461</v>
      </c>
      <c r="L1338" s="2">
        <v>1406</v>
      </c>
      <c r="M1338" s="2">
        <f>K1338-L1338</f>
        <v>55</v>
      </c>
      <c r="N1338" s="2">
        <v>821.49999999999989</v>
      </c>
      <c r="O1338" s="2"/>
      <c r="P1338" s="7">
        <f>grand[[#This Row],[total weight]]/grand[[#This Row],[received]]</f>
        <v>48.7</v>
      </c>
      <c r="Q1338" s="7">
        <f>grand[[#This Row],[receiving weight]]/grand[[#This Row],[received]]</f>
        <v>46.866666666666667</v>
      </c>
      <c r="R1338" s="7">
        <f>grand[[#This Row],[transportation loss ]]/grand[[#This Row],[received]]</f>
        <v>1.8333333333333333</v>
      </c>
      <c r="S1338" s="7">
        <f>grand[[#This Row],[ carcass weight]]/grand[[#This Row],[received]]</f>
        <v>27.383333333333329</v>
      </c>
      <c r="T1338" s="7">
        <f>grand[[#This Row],[ kidneys fat quantity]]/grand[[#This Row],[received]]</f>
        <v>0</v>
      </c>
      <c r="U1338">
        <v>23.846153846153847</v>
      </c>
      <c r="V1338">
        <v>0</v>
      </c>
      <c r="W1338">
        <v>49.615384615384613</v>
      </c>
      <c r="X1338">
        <v>9.8076923076923066</v>
      </c>
      <c r="Y1338">
        <v>8.5</v>
      </c>
      <c r="Z1338" s="18">
        <f>grand[[#This Row],[av. Transportation loss]]/grand[[#This Row],[av.total weight]]</f>
        <v>3.7645448323066391E-2</v>
      </c>
      <c r="AA1338" s="18">
        <f>AVERAGE((grand[[#This Row],[am]]/25),(grand[[#This Row],[pm]]/50))</f>
        <v>0.97307692307692306</v>
      </c>
      <c r="AB1338" s="3">
        <f>grand[[#This Row],[ carcass weight]]/grand[[#This Row],[total weight]]</f>
        <v>0.56228610540725521</v>
      </c>
      <c r="AC1338" s="18">
        <f>SUM(grand[[#This Row],[am]:[meat transportation]])/100</f>
        <v>0.91769230769230759</v>
      </c>
      <c r="AK1338" s="1"/>
      <c r="AL1338" s="1"/>
    </row>
    <row r="1339" spans="1:38" hidden="1" x14ac:dyDescent="0.2">
      <c r="A1339" s="11">
        <v>45901</v>
      </c>
      <c r="B1339" s="53" t="s">
        <v>2299</v>
      </c>
      <c r="C1339" s="52" t="str">
        <f>IF(MID(B1339,4,2)="09","Ramadan",IF(AND(MID(B1339,4,2)="12",VALUE(LEFT(B1339,2))&lt;=9),"Adha Season","Normal"))</f>
        <v>Normal</v>
      </c>
      <c r="D1339" s="1" t="s">
        <v>45</v>
      </c>
      <c r="E1339" s="1" t="s">
        <v>528</v>
      </c>
      <c r="F1339" s="4" t="s">
        <v>280</v>
      </c>
      <c r="G1339" s="1">
        <v>24</v>
      </c>
      <c r="H1339" s="1">
        <v>24</v>
      </c>
      <c r="I1339" s="1">
        <f>grand[[#This Row],[number]]-grand[[#This Row],[received]]</f>
        <v>0</v>
      </c>
      <c r="J1339" s="30"/>
      <c r="K1339" s="2">
        <v>11700</v>
      </c>
      <c r="L1339" s="2">
        <v>11480</v>
      </c>
      <c r="M1339" s="2">
        <f>K1339-L1339</f>
        <v>220</v>
      </c>
      <c r="N1339" s="2">
        <v>7138.8</v>
      </c>
      <c r="O1339" s="2">
        <v>165</v>
      </c>
      <c r="P1339" s="7">
        <f>grand[[#This Row],[total weight]]/grand[[#This Row],[received]]</f>
        <v>487.5</v>
      </c>
      <c r="Q1339" s="7">
        <f>grand[[#This Row],[receiving weight]]/grand[[#This Row],[received]]</f>
        <v>478.33333333333331</v>
      </c>
      <c r="R1339" s="7">
        <f>grand[[#This Row],[transportation loss ]]/grand[[#This Row],[received]]</f>
        <v>9.1666666666666661</v>
      </c>
      <c r="S1339" s="7">
        <f>grand[[#This Row],[ carcass weight]]/grand[[#This Row],[received]]</f>
        <v>297.45</v>
      </c>
      <c r="T1339" s="7">
        <f>grand[[#This Row],[ kidneys fat quantity]]/grand[[#This Row],[received]]</f>
        <v>6.875</v>
      </c>
      <c r="U1339">
        <v>23.333333333333332</v>
      </c>
      <c r="V1339">
        <v>0</v>
      </c>
      <c r="W1339">
        <v>48.61904761904762</v>
      </c>
      <c r="X1339">
        <v>10</v>
      </c>
      <c r="Y1339">
        <v>8.5</v>
      </c>
      <c r="Z1339" s="18">
        <f>grand[[#This Row],[av. Transportation loss]]/grand[[#This Row],[av.total weight]]</f>
        <v>1.8803418803418803E-2</v>
      </c>
      <c r="AA1339" s="18">
        <f>AVERAGE((grand[[#This Row],[am]]/25),(grand[[#This Row],[pm]]/50))</f>
        <v>0.95285714285714285</v>
      </c>
      <c r="AB1339" s="3">
        <f>grand[[#This Row],[ carcass weight]]/grand[[#This Row],[total weight]]</f>
        <v>0.61015384615384616</v>
      </c>
      <c r="AC1339" s="18">
        <f>SUM(grand[[#This Row],[am]:[meat transportation]])/100</f>
        <v>0.90452380952380951</v>
      </c>
      <c r="AJ1339" s="1">
        <v>3</v>
      </c>
      <c r="AK1339" s="1"/>
      <c r="AL1339" s="1"/>
    </row>
    <row r="1340" spans="1:38" hidden="1" x14ac:dyDescent="0.2">
      <c r="A1340" s="11">
        <v>45902</v>
      </c>
      <c r="B1340" s="53" t="s">
        <v>2300</v>
      </c>
      <c r="C1340" s="52" t="str">
        <f>IF(MID(B1340,4,2)="09","Ramadan",IF(AND(MID(B1340,4,2)="12",VALUE(LEFT(B1340,2))&lt;=9),"Adha Season","Normal"))</f>
        <v>Normal</v>
      </c>
      <c r="D1340" s="1" t="s">
        <v>45</v>
      </c>
      <c r="E1340" s="1" t="s">
        <v>483</v>
      </c>
      <c r="F1340" s="4" t="s">
        <v>46</v>
      </c>
      <c r="G1340" s="1">
        <v>24</v>
      </c>
      <c r="H1340" s="1">
        <v>24</v>
      </c>
      <c r="I1340" s="1">
        <f>grand[[#This Row],[number]]-grand[[#This Row],[received]]</f>
        <v>0</v>
      </c>
      <c r="J1340" s="30"/>
      <c r="K1340" s="2">
        <v>10580</v>
      </c>
      <c r="L1340" s="2">
        <v>10145</v>
      </c>
      <c r="M1340" s="2">
        <f>K1340-L1340</f>
        <v>435</v>
      </c>
      <c r="N1340" s="2">
        <v>6348.5</v>
      </c>
      <c r="O1340" s="2">
        <v>213</v>
      </c>
      <c r="P1340" s="7">
        <f>grand[[#This Row],[total weight]]/grand[[#This Row],[received]]</f>
        <v>440.83333333333331</v>
      </c>
      <c r="Q1340" s="7">
        <f>grand[[#This Row],[receiving weight]]/grand[[#This Row],[received]]</f>
        <v>422.70833333333331</v>
      </c>
      <c r="R1340" s="7">
        <f>grand[[#This Row],[transportation loss ]]/grand[[#This Row],[received]]</f>
        <v>18.125</v>
      </c>
      <c r="S1340" s="7">
        <f>grand[[#This Row],[ carcass weight]]/grand[[#This Row],[received]]</f>
        <v>264.52083333333331</v>
      </c>
      <c r="T1340" s="7">
        <f>grand[[#This Row],[ kidneys fat quantity]]/grand[[#This Row],[received]]</f>
        <v>8.875</v>
      </c>
      <c r="U1340" s="1">
        <v>25</v>
      </c>
      <c r="V1340" s="1">
        <v>0</v>
      </c>
      <c r="W1340" s="1">
        <v>49.737373737373737</v>
      </c>
      <c r="X1340" s="1">
        <v>10</v>
      </c>
      <c r="Y1340" s="1">
        <v>8.5</v>
      </c>
      <c r="Z1340" s="18">
        <f>grand[[#This Row],[av. Transportation loss]]/grand[[#This Row],[av.total weight]]</f>
        <v>4.1115311909262764E-2</v>
      </c>
      <c r="AA1340" s="18">
        <f>AVERAGE((grand[[#This Row],[am]]/25),(grand[[#This Row],[pm]]/50))</f>
        <v>0.99737373737373736</v>
      </c>
      <c r="AB1340" s="3">
        <f>grand[[#This Row],[ carcass weight]]/grand[[#This Row],[total weight]]</f>
        <v>0.60004725897920608</v>
      </c>
      <c r="AC1340" s="18">
        <f>SUM(grand[[#This Row],[am]:[meat transportation]])/100</f>
        <v>0.9323737373737373</v>
      </c>
      <c r="AJ1340" s="1">
        <v>3</v>
      </c>
      <c r="AK1340" s="1"/>
      <c r="AL1340" s="1"/>
    </row>
    <row r="1341" spans="1:38" hidden="1" x14ac:dyDescent="0.2">
      <c r="A1341" s="11">
        <v>45902</v>
      </c>
      <c r="B1341" s="53" t="s">
        <v>2300</v>
      </c>
      <c r="C1341" s="52" t="str">
        <f>IF(MID(B1341,4,2)="09","Ramadan",IF(AND(MID(B1341,4,2)="12",VALUE(LEFT(B1341,2))&lt;=9),"Adha Season","Normal"))</f>
        <v>Normal</v>
      </c>
      <c r="D1341" s="1" t="s">
        <v>45</v>
      </c>
      <c r="E1341" s="1" t="s">
        <v>483</v>
      </c>
      <c r="F1341" s="4" t="s">
        <v>772</v>
      </c>
      <c r="G1341" s="1">
        <v>26</v>
      </c>
      <c r="H1341" s="1">
        <v>26</v>
      </c>
      <c r="I1341" s="1">
        <f>grand[[#This Row],[number]]-grand[[#This Row],[received]]</f>
        <v>0</v>
      </c>
      <c r="J1341" s="30"/>
      <c r="K1341" s="2">
        <v>11867</v>
      </c>
      <c r="L1341" s="2">
        <v>11450</v>
      </c>
      <c r="M1341" s="2">
        <f>K1341-L1341</f>
        <v>417</v>
      </c>
      <c r="N1341" s="2">
        <v>7299.0000000000009</v>
      </c>
      <c r="O1341" s="2">
        <v>170</v>
      </c>
      <c r="P1341" s="7">
        <f>grand[[#This Row],[total weight]]/grand[[#This Row],[received]]</f>
        <v>456.42307692307691</v>
      </c>
      <c r="Q1341" s="7">
        <f>grand[[#This Row],[receiving weight]]/grand[[#This Row],[received]]</f>
        <v>440.38461538461536</v>
      </c>
      <c r="R1341" s="7">
        <f>grand[[#This Row],[transportation loss ]]/grand[[#This Row],[received]]</f>
        <v>16.03846153846154</v>
      </c>
      <c r="S1341" s="7">
        <f>grand[[#This Row],[ carcass weight]]/grand[[#This Row],[received]]</f>
        <v>280.73076923076928</v>
      </c>
      <c r="T1341" s="7">
        <f>grand[[#This Row],[ kidneys fat quantity]]/grand[[#This Row],[received]]</f>
        <v>6.5384615384615383</v>
      </c>
      <c r="U1341">
        <v>25</v>
      </c>
      <c r="V1341">
        <v>0</v>
      </c>
      <c r="W1341">
        <v>47</v>
      </c>
      <c r="X1341">
        <v>10</v>
      </c>
      <c r="Y1341">
        <v>8.5</v>
      </c>
      <c r="Z1341" s="18">
        <f>grand[[#This Row],[av. Transportation loss]]/grand[[#This Row],[av.total weight]]</f>
        <v>3.5139462374652403E-2</v>
      </c>
      <c r="AA1341" s="18">
        <f>AVERAGE((grand[[#This Row],[am]]/25),(grand[[#This Row],[pm]]/50))</f>
        <v>0.97</v>
      </c>
      <c r="AB1341" s="3">
        <f>grand[[#This Row],[ carcass weight]]/grand[[#This Row],[total weight]]</f>
        <v>0.6150669925002108</v>
      </c>
      <c r="AC1341" s="18">
        <f>SUM(grand[[#This Row],[am]:[meat transportation]])/100</f>
        <v>0.90500000000000003</v>
      </c>
      <c r="AJ1341" s="1">
        <v>1</v>
      </c>
      <c r="AK1341" s="1"/>
      <c r="AL1341" s="1"/>
    </row>
    <row r="1342" spans="1:38" hidden="1" x14ac:dyDescent="0.2">
      <c r="A1342" s="11">
        <v>45903</v>
      </c>
      <c r="B1342" s="53" t="s">
        <v>2301</v>
      </c>
      <c r="C1342" s="52" t="str">
        <f>IF(MID(B1342,4,2)="09","Ramadan",IF(AND(MID(B1342,4,2)="12",VALUE(LEFT(B1342,2))&lt;=9),"Adha Season","Normal"))</f>
        <v>Normal</v>
      </c>
      <c r="D1342" s="2" t="s">
        <v>294</v>
      </c>
      <c r="F1342" s="4" t="s">
        <v>780</v>
      </c>
      <c r="G1342" s="1">
        <v>50</v>
      </c>
      <c r="H1342" s="1">
        <v>50</v>
      </c>
      <c r="I1342" s="1">
        <f>grand[[#This Row],[number]]-grand[[#This Row],[received]]</f>
        <v>0</v>
      </c>
      <c r="J1342" s="30"/>
      <c r="K1342" s="2">
        <v>2494</v>
      </c>
      <c r="L1342" s="2">
        <v>2494</v>
      </c>
      <c r="M1342" s="2">
        <f>K1342-L1342</f>
        <v>0</v>
      </c>
      <c r="N1342" s="2">
        <v>1383</v>
      </c>
      <c r="O1342" s="2"/>
      <c r="P1342" s="7">
        <f>grand[[#This Row],[total weight]]/grand[[#This Row],[received]]</f>
        <v>49.88</v>
      </c>
      <c r="Q1342" s="7">
        <f>grand[[#This Row],[receiving weight]]/grand[[#This Row],[received]]</f>
        <v>49.88</v>
      </c>
      <c r="R1342" s="7">
        <f>grand[[#This Row],[transportation loss ]]/grand[[#This Row],[received]]</f>
        <v>0</v>
      </c>
      <c r="S1342" s="7">
        <f>grand[[#This Row],[ carcass weight]]/grand[[#This Row],[received]]</f>
        <v>27.66</v>
      </c>
      <c r="T1342" s="7">
        <f>grand[[#This Row],[ kidneys fat quantity]]/grand[[#This Row],[received]]</f>
        <v>0</v>
      </c>
      <c r="U1342">
        <v>23.846153846153847</v>
      </c>
      <c r="V1342">
        <v>0</v>
      </c>
      <c r="W1342">
        <v>49.615384615384613</v>
      </c>
      <c r="X1342">
        <v>9.8076923076923066</v>
      </c>
      <c r="Y1342">
        <v>8.5</v>
      </c>
      <c r="Z1342" s="18">
        <f>grand[[#This Row],[av. Transportation loss]]/grand[[#This Row],[av.total weight]]</f>
        <v>0</v>
      </c>
      <c r="AA1342" s="18">
        <f>AVERAGE((grand[[#This Row],[am]]/25),(grand[[#This Row],[pm]]/50))</f>
        <v>0.97307692307692306</v>
      </c>
      <c r="AB1342" s="3">
        <f>grand[[#This Row],[ carcass weight]]/grand[[#This Row],[total weight]]</f>
        <v>0.55453087409783486</v>
      </c>
      <c r="AC1342" s="18">
        <f>SUM(grand[[#This Row],[am]:[meat transportation]])/100</f>
        <v>0.91769230769230759</v>
      </c>
      <c r="AK1342" s="1"/>
      <c r="AL1342" s="1"/>
    </row>
    <row r="1343" spans="1:38" hidden="1" x14ac:dyDescent="0.2">
      <c r="A1343" s="11">
        <v>45904</v>
      </c>
      <c r="B1343" s="53" t="s">
        <v>2302</v>
      </c>
      <c r="C1343" s="52" t="str">
        <f>IF(MID(B1343,4,2)="09","Ramadan",IF(AND(MID(B1343,4,2)="12",VALUE(LEFT(B1343,2))&lt;=9),"Adha Season","Normal"))</f>
        <v>Normal</v>
      </c>
      <c r="D1343" s="1" t="s">
        <v>45</v>
      </c>
      <c r="E1343" s="1" t="s">
        <v>483</v>
      </c>
      <c r="F1343" s="4" t="s">
        <v>46</v>
      </c>
      <c r="G1343" s="1">
        <v>50</v>
      </c>
      <c r="H1343" s="1">
        <v>50</v>
      </c>
      <c r="I1343" s="1">
        <f>grand[[#This Row],[number]]-grand[[#This Row],[received]]</f>
        <v>0</v>
      </c>
      <c r="J1343" s="30"/>
      <c r="K1343" s="2">
        <v>21522</v>
      </c>
      <c r="L1343" s="2">
        <v>21522</v>
      </c>
      <c r="M1343" s="2">
        <f>K1343-L1343</f>
        <v>0</v>
      </c>
      <c r="N1343" s="2">
        <v>12913.400000000001</v>
      </c>
      <c r="O1343" s="2">
        <v>456</v>
      </c>
      <c r="P1343" s="7">
        <f>grand[[#This Row],[total weight]]/grand[[#This Row],[received]]</f>
        <v>430.44</v>
      </c>
      <c r="Q1343" s="7">
        <f>grand[[#This Row],[receiving weight]]/grand[[#This Row],[received]]</f>
        <v>430.44</v>
      </c>
      <c r="R1343" s="7">
        <f>grand[[#This Row],[transportation loss ]]/grand[[#This Row],[received]]</f>
        <v>0</v>
      </c>
      <c r="S1343" s="7">
        <f>grand[[#This Row],[ carcass weight]]/grand[[#This Row],[received]]</f>
        <v>258.26800000000003</v>
      </c>
      <c r="T1343" s="7">
        <f>grand[[#This Row],[ kidneys fat quantity]]/grand[[#This Row],[received]]</f>
        <v>9.1199999999999992</v>
      </c>
      <c r="U1343" s="1">
        <v>25</v>
      </c>
      <c r="V1343" s="1">
        <v>0</v>
      </c>
      <c r="W1343" s="1">
        <v>49.737373737373737</v>
      </c>
      <c r="X1343" s="1">
        <v>10</v>
      </c>
      <c r="Y1343" s="1">
        <v>8.5</v>
      </c>
      <c r="Z1343" s="18">
        <f>grand[[#This Row],[av. Transportation loss]]/grand[[#This Row],[av.total weight]]</f>
        <v>0</v>
      </c>
      <c r="AA1343" s="18">
        <f>AVERAGE((grand[[#This Row],[am]]/25),(grand[[#This Row],[pm]]/50))</f>
        <v>0.99737373737373736</v>
      </c>
      <c r="AB1343" s="3">
        <f>grand[[#This Row],[ carcass weight]]/grand[[#This Row],[total weight]]</f>
        <v>0.60000929281665283</v>
      </c>
      <c r="AC1343" s="18">
        <f>SUM(grand[[#This Row],[am]:[meat transportation]])/100</f>
        <v>0.9323737373737373</v>
      </c>
      <c r="AJ1343" s="1">
        <v>4</v>
      </c>
      <c r="AK1343" s="1"/>
      <c r="AL1343" s="1"/>
    </row>
    <row r="1344" spans="1:38" hidden="1" x14ac:dyDescent="0.2">
      <c r="A1344" s="11">
        <v>45906</v>
      </c>
      <c r="B1344" s="53" t="s">
        <v>2303</v>
      </c>
      <c r="C1344" s="52" t="str">
        <f>IF(MID(B1344,4,2)="09","Ramadan",IF(AND(MID(B1344,4,2)="12",VALUE(LEFT(B1344,2))&lt;=9),"Adha Season","Normal"))</f>
        <v>Normal</v>
      </c>
      <c r="D1344" s="2" t="s">
        <v>294</v>
      </c>
      <c r="F1344" s="4" t="s">
        <v>780</v>
      </c>
      <c r="G1344" s="1">
        <v>60</v>
      </c>
      <c r="H1344" s="1">
        <v>60</v>
      </c>
      <c r="I1344" s="1">
        <f>grand[[#This Row],[number]]-grand[[#This Row],[received]]</f>
        <v>0</v>
      </c>
      <c r="J1344" s="30"/>
      <c r="K1344" s="2">
        <v>2864</v>
      </c>
      <c r="L1344" s="2">
        <v>2864</v>
      </c>
      <c r="M1344" s="2">
        <f>K1344-L1344</f>
        <v>0</v>
      </c>
      <c r="N1344" s="2">
        <v>1571.6</v>
      </c>
      <c r="O1344" s="2"/>
      <c r="P1344" s="7">
        <f>grand[[#This Row],[total weight]]/grand[[#This Row],[received]]</f>
        <v>47.733333333333334</v>
      </c>
      <c r="Q1344" s="7">
        <f>grand[[#This Row],[receiving weight]]/grand[[#This Row],[received]]</f>
        <v>47.733333333333334</v>
      </c>
      <c r="R1344" s="7">
        <f>grand[[#This Row],[transportation loss ]]/grand[[#This Row],[received]]</f>
        <v>0</v>
      </c>
      <c r="S1344" s="7">
        <f>grand[[#This Row],[ carcass weight]]/grand[[#This Row],[received]]</f>
        <v>26.193333333333332</v>
      </c>
      <c r="T1344" s="7">
        <f>grand[[#This Row],[ kidneys fat quantity]]/grand[[#This Row],[received]]</f>
        <v>0</v>
      </c>
      <c r="U1344">
        <v>24.423076923076923</v>
      </c>
      <c r="V1344">
        <v>0</v>
      </c>
      <c r="W1344">
        <v>45.884615384615387</v>
      </c>
      <c r="X1344">
        <v>10</v>
      </c>
      <c r="Y1344">
        <v>8.5</v>
      </c>
      <c r="Z1344" s="18">
        <f>grand[[#This Row],[av. Transportation loss]]/grand[[#This Row],[av.total weight]]</f>
        <v>0</v>
      </c>
      <c r="AA1344" s="18">
        <f>AVERAGE((grand[[#This Row],[am]]/25),(grand[[#This Row],[pm]]/50))</f>
        <v>0.9473076923076923</v>
      </c>
      <c r="AB1344" s="3">
        <f>grand[[#This Row],[ carcass weight]]/grand[[#This Row],[total weight]]</f>
        <v>0.54874301675977655</v>
      </c>
      <c r="AC1344" s="18">
        <f>SUM(grand[[#This Row],[am]:[meat transportation]])/100</f>
        <v>0.8880769230769231</v>
      </c>
      <c r="AK1344" s="1"/>
      <c r="AL1344" s="1"/>
    </row>
    <row r="1345" spans="1:38" hidden="1" x14ac:dyDescent="0.2">
      <c r="A1345" s="11">
        <v>45906</v>
      </c>
      <c r="B1345" s="53" t="s">
        <v>2303</v>
      </c>
      <c r="C1345" s="52" t="str">
        <f>IF(MID(B1345,4,2)="09","Ramadan",IF(AND(MID(B1345,4,2)="12",VALUE(LEFT(B1345,2))&lt;=9),"Adha Season","Normal"))</f>
        <v>Normal</v>
      </c>
      <c r="D1345" s="1" t="s">
        <v>45</v>
      </c>
      <c r="E1345" s="1" t="s">
        <v>528</v>
      </c>
      <c r="F1345" s="4" t="s">
        <v>462</v>
      </c>
      <c r="G1345" s="1">
        <v>64</v>
      </c>
      <c r="H1345" s="1">
        <v>64</v>
      </c>
      <c r="I1345" s="1">
        <f>grand[[#This Row],[number]]-grand[[#This Row],[received]]</f>
        <v>0</v>
      </c>
      <c r="J1345" s="30"/>
      <c r="K1345" s="2">
        <v>30060.44303797467</v>
      </c>
      <c r="L1345" s="2">
        <v>30060.44303797467</v>
      </c>
      <c r="M1345" s="2">
        <f>K1345-L1345</f>
        <v>0</v>
      </c>
      <c r="N1345" s="2">
        <v>18998.199999999993</v>
      </c>
      <c r="O1345" s="2"/>
      <c r="P1345" s="7">
        <f>grand[[#This Row],[total weight]]/grand[[#This Row],[received]]</f>
        <v>469.69442246835422</v>
      </c>
      <c r="Q1345" s="7">
        <f>grand[[#This Row],[receiving weight]]/grand[[#This Row],[received]]</f>
        <v>469.69442246835422</v>
      </c>
      <c r="R1345" s="7">
        <f>grand[[#This Row],[transportation loss ]]/grand[[#This Row],[received]]</f>
        <v>0</v>
      </c>
      <c r="S1345" s="7">
        <f>grand[[#This Row],[ carcass weight]]/grand[[#This Row],[received]]</f>
        <v>296.8468749999999</v>
      </c>
      <c r="T1345" s="7">
        <f>grand[[#This Row],[ kidneys fat quantity]]/grand[[#This Row],[received]]</f>
        <v>0</v>
      </c>
      <c r="U1345">
        <v>23.846153846153847</v>
      </c>
      <c r="V1345">
        <v>0</v>
      </c>
      <c r="W1345">
        <v>49.615384615384613</v>
      </c>
      <c r="X1345">
        <v>9.8076923076923066</v>
      </c>
      <c r="Y1345">
        <v>8.5</v>
      </c>
      <c r="Z1345" s="18">
        <f>grand[[#This Row],[av. Transportation loss]]/grand[[#This Row],[av.total weight]]</f>
        <v>0</v>
      </c>
      <c r="AA1345" s="18">
        <f>AVERAGE((grand[[#This Row],[am]]/25),(grand[[#This Row],[pm]]/50))</f>
        <v>0.97307692307692306</v>
      </c>
      <c r="AB1345" s="3">
        <f>grand[[#This Row],[ carcass weight]]/grand[[#This Row],[total weight]]</f>
        <v>0.63200000000000012</v>
      </c>
      <c r="AC1345" s="18">
        <f>SUM(grand[[#This Row],[am]:[meat transportation]])/100</f>
        <v>0.91769230769230759</v>
      </c>
      <c r="AK1345" s="1"/>
      <c r="AL1345" s="1"/>
    </row>
    <row r="1346" spans="1:38" hidden="1" x14ac:dyDescent="0.2">
      <c r="A1346" s="11">
        <v>45908</v>
      </c>
      <c r="B1346" s="53" t="s">
        <v>2305</v>
      </c>
      <c r="C1346" s="52" t="str">
        <f>IF(MID(B1346,4,2)="09","Ramadan",IF(AND(MID(B1346,4,2)="12",VALUE(LEFT(B1346,2))&lt;=9),"Adha Season","Normal"))</f>
        <v>Normal</v>
      </c>
      <c r="D1346" s="2" t="s">
        <v>294</v>
      </c>
      <c r="F1346" s="4" t="s">
        <v>750</v>
      </c>
      <c r="G1346" s="1">
        <v>35</v>
      </c>
      <c r="H1346" s="1">
        <v>35</v>
      </c>
      <c r="I1346" s="1">
        <f>grand[[#This Row],[number]]-grand[[#This Row],[received]]</f>
        <v>0</v>
      </c>
      <c r="J1346" s="30"/>
      <c r="K1346" s="2">
        <v>1870</v>
      </c>
      <c r="L1346" s="2">
        <v>1785</v>
      </c>
      <c r="M1346" s="2">
        <f>K1346-L1346</f>
        <v>85</v>
      </c>
      <c r="N1346" s="2">
        <v>1050.9000000000001</v>
      </c>
      <c r="O1346" s="2"/>
      <c r="P1346" s="7">
        <f>grand[[#This Row],[total weight]]/grand[[#This Row],[received]]</f>
        <v>53.428571428571431</v>
      </c>
      <c r="Q1346" s="7">
        <f>grand[[#This Row],[receiving weight]]/grand[[#This Row],[received]]</f>
        <v>51</v>
      </c>
      <c r="R1346" s="7">
        <f>grand[[#This Row],[transportation loss ]]/grand[[#This Row],[received]]</f>
        <v>2.4285714285714284</v>
      </c>
      <c r="S1346" s="7">
        <f>grand[[#This Row],[ carcass weight]]/grand[[#This Row],[received]]</f>
        <v>30.025714285714287</v>
      </c>
      <c r="T1346" s="7">
        <f>grand[[#This Row],[ kidneys fat quantity]]/grand[[#This Row],[received]]</f>
        <v>0</v>
      </c>
      <c r="U1346">
        <v>24.423076923076923</v>
      </c>
      <c r="V1346">
        <v>0</v>
      </c>
      <c r="W1346">
        <v>45.884615384615387</v>
      </c>
      <c r="X1346">
        <v>10</v>
      </c>
      <c r="Y1346">
        <v>8.5</v>
      </c>
      <c r="Z1346" s="18">
        <f>grand[[#This Row],[av. Transportation loss]]/grand[[#This Row],[av.total weight]]</f>
        <v>4.5454545454545449E-2</v>
      </c>
      <c r="AA1346" s="18">
        <f>AVERAGE((grand[[#This Row],[am]]/25),(grand[[#This Row],[pm]]/50))</f>
        <v>0.9473076923076923</v>
      </c>
      <c r="AB1346" s="3">
        <f>grand[[#This Row],[ carcass weight]]/grand[[#This Row],[total weight]]</f>
        <v>0.56197860962566848</v>
      </c>
      <c r="AC1346" s="18">
        <f>SUM(grand[[#This Row],[am]:[meat transportation]])/100</f>
        <v>0.8880769230769231</v>
      </c>
      <c r="AK1346" s="1"/>
      <c r="AL1346" s="1"/>
    </row>
    <row r="1347" spans="1:38" hidden="1" x14ac:dyDescent="0.2">
      <c r="A1347" s="11">
        <v>45908</v>
      </c>
      <c r="B1347" s="53" t="s">
        <v>2305</v>
      </c>
      <c r="C1347" s="52" t="str">
        <f>IF(MID(B1347,4,2)="09","Ramadan",IF(AND(MID(B1347,4,2)="12",VALUE(LEFT(B1347,2))&lt;=9),"Adha Season","Normal"))</f>
        <v>Normal</v>
      </c>
      <c r="D1347" s="1" t="s">
        <v>45</v>
      </c>
      <c r="E1347" s="1" t="s">
        <v>483</v>
      </c>
      <c r="F1347" s="4" t="s">
        <v>576</v>
      </c>
      <c r="G1347" s="1">
        <v>55</v>
      </c>
      <c r="H1347" s="1">
        <v>55</v>
      </c>
      <c r="I1347" s="1">
        <f>grand[[#This Row],[number]]-grand[[#This Row],[received]]</f>
        <v>0</v>
      </c>
      <c r="J1347" s="30"/>
      <c r="K1347" s="2">
        <v>26888</v>
      </c>
      <c r="L1347" s="2">
        <v>25965</v>
      </c>
      <c r="M1347" s="2">
        <f>K1347-L1347</f>
        <v>923</v>
      </c>
      <c r="N1347" s="2">
        <v>16476.5</v>
      </c>
      <c r="O1347" s="2">
        <v>496</v>
      </c>
      <c r="P1347" s="7">
        <f>grand[[#This Row],[total weight]]/grand[[#This Row],[received]]</f>
        <v>488.87272727272727</v>
      </c>
      <c r="Q1347" s="7">
        <f>grand[[#This Row],[receiving weight]]/grand[[#This Row],[received]]</f>
        <v>472.09090909090907</v>
      </c>
      <c r="R1347" s="7">
        <f>grand[[#This Row],[transportation loss ]]/grand[[#This Row],[received]]</f>
        <v>16.781818181818181</v>
      </c>
      <c r="S1347" s="7">
        <f>grand[[#This Row],[ carcass weight]]/grand[[#This Row],[received]]</f>
        <v>299.57272727272726</v>
      </c>
      <c r="T1347" s="7">
        <f>grand[[#This Row],[ kidneys fat quantity]]/grand[[#This Row],[received]]</f>
        <v>9.0181818181818176</v>
      </c>
      <c r="U1347">
        <v>24.423076923076923</v>
      </c>
      <c r="V1347">
        <v>0</v>
      </c>
      <c r="W1347">
        <v>45.884615384615387</v>
      </c>
      <c r="X1347">
        <v>10</v>
      </c>
      <c r="Y1347" s="8">
        <v>10</v>
      </c>
      <c r="Z1347" s="18">
        <f>grand[[#This Row],[av. Transportation loss]]/grand[[#This Row],[av.total weight]]</f>
        <v>3.4327581077060396E-2</v>
      </c>
      <c r="AA1347" s="18">
        <f>AVERAGE((grand[[#This Row],[am]]/25),(grand[[#This Row],[pm]]/50))</f>
        <v>0.9473076923076923</v>
      </c>
      <c r="AB1347" s="3">
        <f>grand[[#This Row],[ carcass weight]]/grand[[#This Row],[total weight]]</f>
        <v>0.61278265397203213</v>
      </c>
      <c r="AC1347" s="18">
        <f>SUM(grand[[#This Row],[am]:[meat transportation]])/100</f>
        <v>0.90307692307692311</v>
      </c>
      <c r="AJ1347" s="1">
        <v>18</v>
      </c>
      <c r="AK1347" s="1"/>
      <c r="AL1347" s="1"/>
    </row>
    <row r="1348" spans="1:38" hidden="1" x14ac:dyDescent="0.2">
      <c r="A1348" s="11">
        <v>45909</v>
      </c>
      <c r="B1348" s="53" t="s">
        <v>2306</v>
      </c>
      <c r="C1348" s="52" t="str">
        <f>IF(MID(B1348,4,2)="09","Ramadan",IF(AND(MID(B1348,4,2)="12",VALUE(LEFT(B1348,2))&lt;=9),"Adha Season","Normal"))</f>
        <v>Normal</v>
      </c>
      <c r="D1348" s="1" t="s">
        <v>45</v>
      </c>
      <c r="E1348" s="1" t="s">
        <v>528</v>
      </c>
      <c r="F1348" s="4" t="s">
        <v>462</v>
      </c>
      <c r="G1348" s="1">
        <v>26</v>
      </c>
      <c r="H1348" s="1">
        <v>26</v>
      </c>
      <c r="I1348" s="1">
        <f>grand[[#This Row],[number]]-grand[[#This Row],[received]]</f>
        <v>0</v>
      </c>
      <c r="J1348" s="30"/>
      <c r="K1348" s="2">
        <v>12264.556962025315</v>
      </c>
      <c r="L1348" s="2">
        <v>12264.556962025315</v>
      </c>
      <c r="M1348" s="2">
        <f>K1348-L1348</f>
        <v>0</v>
      </c>
      <c r="N1348" s="2">
        <v>7751.2</v>
      </c>
      <c r="O1348" s="2"/>
      <c r="P1348" s="7">
        <f>grand[[#This Row],[total weight]]/grand[[#This Row],[received]]</f>
        <v>471.71372930866596</v>
      </c>
      <c r="Q1348" s="7">
        <f>grand[[#This Row],[receiving weight]]/grand[[#This Row],[received]]</f>
        <v>471.71372930866596</v>
      </c>
      <c r="R1348" s="7">
        <f>grand[[#This Row],[transportation loss ]]/grand[[#This Row],[received]]</f>
        <v>0</v>
      </c>
      <c r="S1348" s="7">
        <f>grand[[#This Row],[ carcass weight]]/grand[[#This Row],[received]]</f>
        <v>298.12307692307689</v>
      </c>
      <c r="T1348" s="7">
        <f>grand[[#This Row],[ kidneys fat quantity]]/grand[[#This Row],[received]]</f>
        <v>0</v>
      </c>
      <c r="U1348">
        <v>23.846153846153847</v>
      </c>
      <c r="V1348">
        <v>0</v>
      </c>
      <c r="W1348">
        <v>49.615384615384613</v>
      </c>
      <c r="X1348">
        <v>9.8076923076923066</v>
      </c>
      <c r="Y1348">
        <v>8.5</v>
      </c>
      <c r="Z1348" s="18">
        <f>grand[[#This Row],[av. Transportation loss]]/grand[[#This Row],[av.total weight]]</f>
        <v>0</v>
      </c>
      <c r="AA1348" s="18">
        <f>AVERAGE((grand[[#This Row],[am]]/25),(grand[[#This Row],[pm]]/50))</f>
        <v>0.97307692307692306</v>
      </c>
      <c r="AB1348" s="3">
        <f>grand[[#This Row],[ carcass weight]]/grand[[#This Row],[total weight]]</f>
        <v>0.63200000000000001</v>
      </c>
      <c r="AC1348" s="18">
        <f>SUM(grand[[#This Row],[am]:[meat transportation]])/100</f>
        <v>0.91769230769230759</v>
      </c>
      <c r="AK1348" s="1"/>
      <c r="AL1348" s="1"/>
    </row>
    <row r="1349" spans="1:38" hidden="1" x14ac:dyDescent="0.2">
      <c r="A1349" s="11">
        <v>45909</v>
      </c>
      <c r="B1349" s="53" t="s">
        <v>2306</v>
      </c>
      <c r="C1349" s="52" t="str">
        <f>IF(MID(B1349,4,2)="09","Ramadan",IF(AND(MID(B1349,4,2)="12",VALUE(LEFT(B1349,2))&lt;=9),"Adha Season","Normal"))</f>
        <v>Normal</v>
      </c>
      <c r="D1349" s="1" t="s">
        <v>45</v>
      </c>
      <c r="E1349" s="1" t="s">
        <v>528</v>
      </c>
      <c r="F1349" s="4" t="s">
        <v>752</v>
      </c>
      <c r="G1349" s="1">
        <v>23</v>
      </c>
      <c r="H1349" s="1">
        <v>23</v>
      </c>
      <c r="I1349" s="1">
        <f>grand[[#This Row],[number]]-grand[[#This Row],[received]]</f>
        <v>0</v>
      </c>
      <c r="J1349" s="30"/>
      <c r="K1349" s="2">
        <v>10918.196202531644</v>
      </c>
      <c r="L1349" s="2">
        <v>10918.196202531644</v>
      </c>
      <c r="M1349" s="2">
        <f>K1349-L1349</f>
        <v>0</v>
      </c>
      <c r="N1349" s="2">
        <v>6900.3</v>
      </c>
      <c r="O1349" s="2"/>
      <c r="P1349" s="7">
        <f>grand[[#This Row],[total weight]]/grand[[#This Row],[received]]</f>
        <v>474.70418271876713</v>
      </c>
      <c r="Q1349" s="7">
        <f>grand[[#This Row],[receiving weight]]/grand[[#This Row],[received]]</f>
        <v>474.70418271876713</v>
      </c>
      <c r="R1349" s="7">
        <f>grand[[#This Row],[transportation loss ]]/grand[[#This Row],[received]]</f>
        <v>0</v>
      </c>
      <c r="S1349" s="7">
        <f>grand[[#This Row],[ carcass weight]]/grand[[#This Row],[received]]</f>
        <v>300.0130434782609</v>
      </c>
      <c r="T1349" s="7">
        <f>grand[[#This Row],[ kidneys fat quantity]]/grand[[#This Row],[received]]</f>
        <v>0</v>
      </c>
      <c r="U1349">
        <v>25</v>
      </c>
      <c r="V1349">
        <v>0</v>
      </c>
      <c r="W1349">
        <v>48.65384615384616</v>
      </c>
      <c r="X1349">
        <v>10</v>
      </c>
      <c r="Y1349">
        <v>8.5</v>
      </c>
      <c r="Z1349" s="18">
        <f>grand[[#This Row],[av. Transportation loss]]/grand[[#This Row],[av.total weight]]</f>
        <v>0</v>
      </c>
      <c r="AA1349" s="18">
        <f>AVERAGE((grand[[#This Row],[am]]/25),(grand[[#This Row],[pm]]/50))</f>
        <v>0.98653846153846159</v>
      </c>
      <c r="AB1349" s="3">
        <f>grand[[#This Row],[ carcass weight]]/grand[[#This Row],[total weight]]</f>
        <v>0.63200000000000012</v>
      </c>
      <c r="AC1349" s="18">
        <f>SUM(grand[[#This Row],[am]:[meat transportation]])/100</f>
        <v>0.92153846153846164</v>
      </c>
      <c r="AK1349" s="1"/>
      <c r="AL1349" s="1"/>
    </row>
    <row r="1350" spans="1:38" hidden="1" x14ac:dyDescent="0.2">
      <c r="A1350" s="11">
        <v>45910</v>
      </c>
      <c r="B1350" s="53" t="s">
        <v>2307</v>
      </c>
      <c r="C1350" s="52" t="str">
        <f>IF(MID(B1350,4,2)="09","Ramadan",IF(AND(MID(B1350,4,2)="12",VALUE(LEFT(B1350,2))&lt;=9),"Adha Season","Normal"))</f>
        <v>Normal</v>
      </c>
      <c r="D1350" s="2" t="s">
        <v>294</v>
      </c>
      <c r="F1350" s="4" t="s">
        <v>780</v>
      </c>
      <c r="G1350" s="1">
        <v>40</v>
      </c>
      <c r="H1350" s="1">
        <v>40</v>
      </c>
      <c r="I1350" s="1">
        <f>grand[[#This Row],[number]]-grand[[#This Row],[received]]</f>
        <v>0</v>
      </c>
      <c r="J1350" s="30"/>
      <c r="K1350" s="2">
        <v>1937</v>
      </c>
      <c r="L1350" s="2">
        <v>1890</v>
      </c>
      <c r="M1350" s="2">
        <f>K1350-L1350</f>
        <v>47</v>
      </c>
      <c r="N1350" s="2">
        <v>1057.0999999999999</v>
      </c>
      <c r="O1350" s="2"/>
      <c r="P1350" s="7">
        <f>grand[[#This Row],[total weight]]/grand[[#This Row],[received]]</f>
        <v>48.424999999999997</v>
      </c>
      <c r="Q1350" s="7">
        <f>grand[[#This Row],[receiving weight]]/grand[[#This Row],[received]]</f>
        <v>47.25</v>
      </c>
      <c r="R1350" s="7">
        <f>grand[[#This Row],[transportation loss ]]/grand[[#This Row],[received]]</f>
        <v>1.175</v>
      </c>
      <c r="S1350" s="7">
        <f>grand[[#This Row],[ carcass weight]]/grand[[#This Row],[received]]</f>
        <v>26.427499999999998</v>
      </c>
      <c r="T1350" s="7">
        <f>grand[[#This Row],[ kidneys fat quantity]]/grand[[#This Row],[received]]</f>
        <v>0</v>
      </c>
      <c r="U1350">
        <v>24.423076923076923</v>
      </c>
      <c r="V1350">
        <v>0</v>
      </c>
      <c r="W1350">
        <v>45.884615384615387</v>
      </c>
      <c r="X1350">
        <v>10</v>
      </c>
      <c r="Y1350">
        <v>8.5</v>
      </c>
      <c r="Z1350" s="18">
        <f>grand[[#This Row],[av. Transportation loss]]/grand[[#This Row],[av.total weight]]</f>
        <v>2.4264326277749097E-2</v>
      </c>
      <c r="AA1350" s="18">
        <f>AVERAGE((grand[[#This Row],[am]]/25),(grand[[#This Row],[pm]]/50))</f>
        <v>0.9473076923076923</v>
      </c>
      <c r="AB1350" s="3">
        <f>grand[[#This Row],[ carcass weight]]/grand[[#This Row],[total weight]]</f>
        <v>0.54574083634486314</v>
      </c>
      <c r="AC1350" s="18">
        <f>SUM(grand[[#This Row],[am]:[meat transportation]])/100</f>
        <v>0.8880769230769231</v>
      </c>
      <c r="AK1350" s="1"/>
      <c r="AL1350" s="1"/>
    </row>
    <row r="1351" spans="1:38" hidden="1" x14ac:dyDescent="0.2">
      <c r="A1351" s="11">
        <v>45913</v>
      </c>
      <c r="B1351" s="53" t="s">
        <v>2309</v>
      </c>
      <c r="C1351" s="52" t="str">
        <f>IF(MID(B1351,4,2)="09","Ramadan",IF(AND(MID(B1351,4,2)="12",VALUE(LEFT(B1351,2))&lt;=9),"Adha Season","Normal"))</f>
        <v>Normal</v>
      </c>
      <c r="D1351" s="2" t="s">
        <v>294</v>
      </c>
      <c r="F1351" s="4" t="s">
        <v>280</v>
      </c>
      <c r="G1351" s="1">
        <v>40</v>
      </c>
      <c r="H1351" s="1">
        <v>40</v>
      </c>
      <c r="I1351" s="1">
        <f>grand[[#This Row],[number]]-grand[[#This Row],[received]]</f>
        <v>0</v>
      </c>
      <c r="J1351" s="30"/>
      <c r="K1351" s="2">
        <v>1965</v>
      </c>
      <c r="L1351" s="2">
        <v>1915</v>
      </c>
      <c r="M1351" s="2">
        <f>K1351-L1351</f>
        <v>50</v>
      </c>
      <c r="N1351" s="2">
        <v>1126.0000000000002</v>
      </c>
      <c r="O1351" s="2"/>
      <c r="P1351" s="7">
        <f>grand[[#This Row],[total weight]]/grand[[#This Row],[received]]</f>
        <v>49.125</v>
      </c>
      <c r="Q1351" s="7">
        <f>grand[[#This Row],[receiving weight]]/grand[[#This Row],[received]]</f>
        <v>47.875</v>
      </c>
      <c r="R1351" s="7">
        <f>grand[[#This Row],[transportation loss ]]/grand[[#This Row],[received]]</f>
        <v>1.25</v>
      </c>
      <c r="S1351" s="7">
        <f>grand[[#This Row],[ carcass weight]]/grand[[#This Row],[received]]</f>
        <v>28.150000000000006</v>
      </c>
      <c r="T1351" s="7">
        <f>grand[[#This Row],[ kidneys fat quantity]]/grand[[#This Row],[received]]</f>
        <v>0</v>
      </c>
      <c r="U1351">
        <v>24.423076923076923</v>
      </c>
      <c r="V1351">
        <v>0</v>
      </c>
      <c r="W1351">
        <v>45.884615384615387</v>
      </c>
      <c r="X1351">
        <v>10</v>
      </c>
      <c r="Y1351">
        <v>8.5</v>
      </c>
      <c r="Z1351" s="18">
        <f>grand[[#This Row],[av. Transportation loss]]/grand[[#This Row],[av.total weight]]</f>
        <v>2.5445292620865138E-2</v>
      </c>
      <c r="AA1351" s="18">
        <f>AVERAGE((grand[[#This Row],[am]]/25),(grand[[#This Row],[pm]]/50))</f>
        <v>0.9473076923076923</v>
      </c>
      <c r="AB1351" s="3">
        <f>grand[[#This Row],[ carcass weight]]/grand[[#This Row],[total weight]]</f>
        <v>0.57302798982188308</v>
      </c>
      <c r="AC1351" s="18">
        <f>SUM(grand[[#This Row],[am]:[meat transportation]])/100</f>
        <v>0.8880769230769231</v>
      </c>
      <c r="AK1351" s="1"/>
      <c r="AL1351" s="1"/>
    </row>
    <row r="1352" spans="1:38" hidden="1" x14ac:dyDescent="0.2">
      <c r="A1352" s="11">
        <v>45915</v>
      </c>
      <c r="B1352" s="53" t="s">
        <v>2311</v>
      </c>
      <c r="C1352" s="52" t="str">
        <f>IF(MID(B1352,4,2)="09","Ramadan",IF(AND(MID(B1352,4,2)="12",VALUE(LEFT(B1352,2))&lt;=9),"Adha Season","Normal"))</f>
        <v>Normal</v>
      </c>
      <c r="D1352" s="2" t="s">
        <v>294</v>
      </c>
      <c r="F1352" s="4" t="s">
        <v>750</v>
      </c>
      <c r="G1352" s="1">
        <v>34</v>
      </c>
      <c r="H1352" s="1">
        <v>34</v>
      </c>
      <c r="I1352" s="1">
        <f>grand[[#This Row],[number]]-grand[[#This Row],[received]]</f>
        <v>0</v>
      </c>
      <c r="J1352" s="30"/>
      <c r="K1352" s="2">
        <v>1835</v>
      </c>
      <c r="L1352" s="2">
        <v>1755</v>
      </c>
      <c r="M1352" s="2">
        <f>K1352-L1352</f>
        <v>80</v>
      </c>
      <c r="N1352" s="2">
        <v>1032.1999999999998</v>
      </c>
      <c r="O1352" s="2"/>
      <c r="P1352" s="7">
        <f>grand[[#This Row],[total weight]]/grand[[#This Row],[received]]</f>
        <v>53.970588235294116</v>
      </c>
      <c r="Q1352" s="7">
        <f>grand[[#This Row],[receiving weight]]/grand[[#This Row],[received]]</f>
        <v>51.617647058823529</v>
      </c>
      <c r="R1352" s="7">
        <f>grand[[#This Row],[transportation loss ]]/grand[[#This Row],[received]]</f>
        <v>2.3529411764705883</v>
      </c>
      <c r="S1352" s="7">
        <f>grand[[#This Row],[ carcass weight]]/grand[[#This Row],[received]]</f>
        <v>30.358823529411758</v>
      </c>
      <c r="T1352" s="7">
        <f>grand[[#This Row],[ kidneys fat quantity]]/grand[[#This Row],[received]]</f>
        <v>0</v>
      </c>
      <c r="U1352">
        <v>24.423076923076923</v>
      </c>
      <c r="V1352">
        <v>0</v>
      </c>
      <c r="W1352">
        <v>45.884615384615387</v>
      </c>
      <c r="X1352">
        <v>10</v>
      </c>
      <c r="Y1352">
        <v>8.5</v>
      </c>
      <c r="Z1352" s="18">
        <f>grand[[#This Row],[av. Transportation loss]]/grand[[#This Row],[av.total weight]]</f>
        <v>4.3596730245231613E-2</v>
      </c>
      <c r="AA1352" s="18">
        <f>AVERAGE((grand[[#This Row],[am]]/25),(grand[[#This Row],[pm]]/50))</f>
        <v>0.9473076923076923</v>
      </c>
      <c r="AB1352" s="3">
        <f>grand[[#This Row],[ carcass weight]]/grand[[#This Row],[total weight]]</f>
        <v>0.56250681198910069</v>
      </c>
      <c r="AC1352" s="18">
        <f>SUM(grand[[#This Row],[am]:[meat transportation]])/100</f>
        <v>0.8880769230769231</v>
      </c>
      <c r="AK1352" s="1"/>
      <c r="AL1352" s="1"/>
    </row>
    <row r="1353" spans="1:38" hidden="1" x14ac:dyDescent="0.2">
      <c r="A1353" s="11">
        <v>45916</v>
      </c>
      <c r="B1353" s="53" t="s">
        <v>2312</v>
      </c>
      <c r="C1353" s="52" t="str">
        <f>IF(MID(B1353,4,2)="09","Ramadan",IF(AND(MID(B1353,4,2)="12",VALUE(LEFT(B1353,2))&lt;=9),"Adha Season","Normal"))</f>
        <v>Normal</v>
      </c>
      <c r="D1353" s="1" t="s">
        <v>45</v>
      </c>
      <c r="E1353" s="1" t="s">
        <v>528</v>
      </c>
      <c r="F1353" s="4" t="s">
        <v>752</v>
      </c>
      <c r="G1353" s="1">
        <v>45</v>
      </c>
      <c r="H1353" s="1">
        <v>45</v>
      </c>
      <c r="I1353" s="1">
        <f>grand[[#This Row],[number]]-grand[[#This Row],[received]]</f>
        <v>0</v>
      </c>
      <c r="J1353" s="30"/>
      <c r="K1353" s="2">
        <v>20747.468354430377</v>
      </c>
      <c r="L1353" s="2">
        <v>20747.468354430377</v>
      </c>
      <c r="M1353" s="2">
        <f>K1353-L1353</f>
        <v>0</v>
      </c>
      <c r="N1353" s="2">
        <v>13112.4</v>
      </c>
      <c r="O1353" s="2"/>
      <c r="P1353" s="7">
        <f>grand[[#This Row],[total weight]]/grand[[#This Row],[received]]</f>
        <v>461.05485232067502</v>
      </c>
      <c r="Q1353" s="7">
        <f>grand[[#This Row],[receiving weight]]/grand[[#This Row],[received]]</f>
        <v>461.05485232067502</v>
      </c>
      <c r="R1353" s="7">
        <f>grand[[#This Row],[transportation loss ]]/grand[[#This Row],[received]]</f>
        <v>0</v>
      </c>
      <c r="S1353" s="7">
        <f>grand[[#This Row],[ carcass weight]]/grand[[#This Row],[received]]</f>
        <v>291.38666666666666</v>
      </c>
      <c r="T1353" s="7">
        <f>grand[[#This Row],[ kidneys fat quantity]]/grand[[#This Row],[received]]</f>
        <v>0</v>
      </c>
      <c r="U1353">
        <v>25</v>
      </c>
      <c r="V1353">
        <v>0</v>
      </c>
      <c r="W1353">
        <v>48.65384615384616</v>
      </c>
      <c r="X1353">
        <v>10</v>
      </c>
      <c r="Y1353">
        <v>8.5</v>
      </c>
      <c r="Z1353" s="18">
        <f>grand[[#This Row],[av. Transportation loss]]/grand[[#This Row],[av.total weight]]</f>
        <v>0</v>
      </c>
      <c r="AA1353" s="18">
        <f>AVERAGE((grand[[#This Row],[am]]/25),(grand[[#This Row],[pm]]/50))</f>
        <v>0.98653846153846159</v>
      </c>
      <c r="AB1353" s="3">
        <f>grand[[#This Row],[ carcass weight]]/grand[[#This Row],[total weight]]</f>
        <v>0.63200000000000012</v>
      </c>
      <c r="AC1353" s="18">
        <f>SUM(grand[[#This Row],[am]:[meat transportation]])/100</f>
        <v>0.92153846153846164</v>
      </c>
      <c r="AK1353" s="1"/>
      <c r="AL1353" s="1"/>
    </row>
    <row r="1354" spans="1:38" hidden="1" x14ac:dyDescent="0.2">
      <c r="A1354" s="11">
        <v>45917</v>
      </c>
      <c r="B1354" s="53" t="s">
        <v>2313</v>
      </c>
      <c r="C1354" s="52" t="str">
        <f>IF(MID(B1354,4,2)="09","Ramadan",IF(AND(MID(B1354,4,2)="12",VALUE(LEFT(B1354,2))&lt;=9),"Adha Season","Normal"))</f>
        <v>Normal</v>
      </c>
      <c r="D1354" s="2" t="s">
        <v>294</v>
      </c>
      <c r="F1354" s="4" t="s">
        <v>780</v>
      </c>
      <c r="G1354" s="1">
        <v>50</v>
      </c>
      <c r="H1354" s="1">
        <v>50</v>
      </c>
      <c r="I1354" s="1">
        <f>grand[[#This Row],[number]]-grand[[#This Row],[received]]</f>
        <v>0</v>
      </c>
      <c r="J1354" s="30"/>
      <c r="K1354" s="2">
        <v>2462</v>
      </c>
      <c r="L1354" s="2">
        <v>2462</v>
      </c>
      <c r="M1354" s="2">
        <f>K1354-L1354</f>
        <v>0</v>
      </c>
      <c r="N1354" s="2">
        <v>1357.7999999999997</v>
      </c>
      <c r="O1354" s="2"/>
      <c r="P1354" s="7">
        <f>grand[[#This Row],[total weight]]/grand[[#This Row],[received]]</f>
        <v>49.24</v>
      </c>
      <c r="Q1354" s="7">
        <f>grand[[#This Row],[receiving weight]]/grand[[#This Row],[received]]</f>
        <v>49.24</v>
      </c>
      <c r="R1354" s="7">
        <f>grand[[#This Row],[transportation loss ]]/grand[[#This Row],[received]]</f>
        <v>0</v>
      </c>
      <c r="S1354" s="7">
        <f>grand[[#This Row],[ carcass weight]]/grand[[#This Row],[received]]</f>
        <v>27.155999999999995</v>
      </c>
      <c r="T1354" s="7">
        <f>grand[[#This Row],[ kidneys fat quantity]]/grand[[#This Row],[received]]</f>
        <v>0</v>
      </c>
      <c r="U1354">
        <v>23.333333333333332</v>
      </c>
      <c r="V1354">
        <v>0</v>
      </c>
      <c r="W1354">
        <v>48.61904761904762</v>
      </c>
      <c r="X1354">
        <v>10</v>
      </c>
      <c r="Y1354">
        <v>8.5</v>
      </c>
      <c r="Z1354" s="18">
        <f>grand[[#This Row],[av. Transportation loss]]/grand[[#This Row],[av.total weight]]</f>
        <v>0</v>
      </c>
      <c r="AA1354" s="18">
        <f>AVERAGE((grand[[#This Row],[am]]/25),(grand[[#This Row],[pm]]/50))</f>
        <v>0.95285714285714285</v>
      </c>
      <c r="AB1354" s="3">
        <f>grand[[#This Row],[ carcass weight]]/grand[[#This Row],[total weight]]</f>
        <v>0.55150284321689669</v>
      </c>
      <c r="AC1354" s="18">
        <f>SUM(grand[[#This Row],[am]:[meat transportation]])/100</f>
        <v>0.90452380952380951</v>
      </c>
      <c r="AK1354" s="1"/>
      <c r="AL1354" s="1"/>
    </row>
    <row r="1355" spans="1:38" hidden="1" x14ac:dyDescent="0.2">
      <c r="A1355" s="11">
        <v>45918</v>
      </c>
      <c r="B1355" s="53" t="s">
        <v>2314</v>
      </c>
      <c r="C1355" s="52" t="str">
        <f>IF(MID(B1355,4,2)="09","Ramadan",IF(AND(MID(B1355,4,2)="12",VALUE(LEFT(B1355,2))&lt;=9),"Adha Season","Normal"))</f>
        <v>Normal</v>
      </c>
      <c r="D1355" s="1" t="s">
        <v>45</v>
      </c>
      <c r="E1355" s="1" t="s">
        <v>483</v>
      </c>
      <c r="F1355" s="4" t="s">
        <v>757</v>
      </c>
      <c r="G1355" s="1">
        <v>91</v>
      </c>
      <c r="H1355" s="1">
        <v>91</v>
      </c>
      <c r="I1355" s="1">
        <f>grand[[#This Row],[number]]-grand[[#This Row],[received]]</f>
        <v>0</v>
      </c>
      <c r="J1355" s="30"/>
      <c r="K1355" s="2">
        <v>45871</v>
      </c>
      <c r="L1355" s="2">
        <v>44220</v>
      </c>
      <c r="M1355" s="2">
        <f>K1355-L1355</f>
        <v>1651</v>
      </c>
      <c r="N1355" s="2">
        <v>27521</v>
      </c>
      <c r="O1355" s="2">
        <v>969</v>
      </c>
      <c r="P1355" s="7">
        <f>grand[[#This Row],[total weight]]/grand[[#This Row],[received]]</f>
        <v>504.07692307692309</v>
      </c>
      <c r="Q1355" s="7">
        <f>grand[[#This Row],[receiving weight]]/grand[[#This Row],[received]]</f>
        <v>485.93406593406593</v>
      </c>
      <c r="R1355" s="7">
        <f>grand[[#This Row],[transportation loss ]]/grand[[#This Row],[received]]</f>
        <v>18.142857142857142</v>
      </c>
      <c r="S1355" s="7">
        <f>grand[[#This Row],[ carcass weight]]/grand[[#This Row],[received]]</f>
        <v>302.42857142857144</v>
      </c>
      <c r="T1355" s="7">
        <f>grand[[#This Row],[ kidneys fat quantity]]/grand[[#This Row],[received]]</f>
        <v>10.648351648351648</v>
      </c>
      <c r="U1355">
        <v>24.423076923076923</v>
      </c>
      <c r="V1355">
        <v>0</v>
      </c>
      <c r="W1355">
        <v>45.884615384615387</v>
      </c>
      <c r="X1355">
        <v>10</v>
      </c>
      <c r="Y1355" s="8">
        <v>10</v>
      </c>
      <c r="Z1355" s="18">
        <f>grand[[#This Row],[av. Transportation loss]]/grand[[#This Row],[av.total weight]]</f>
        <v>3.5992239105317084E-2</v>
      </c>
      <c r="AA1355" s="18">
        <f>AVERAGE((grand[[#This Row],[am]]/25),(grand[[#This Row],[pm]]/50))</f>
        <v>0.9473076923076923</v>
      </c>
      <c r="AB1355" s="3">
        <f>grand[[#This Row],[ carcass weight]]/grand[[#This Row],[total weight]]</f>
        <v>0.59996511957445886</v>
      </c>
      <c r="AC1355" s="18">
        <f>SUM(grand[[#This Row],[am]:[meat transportation]])/100</f>
        <v>0.90307692307692311</v>
      </c>
      <c r="AJ1355" s="1">
        <v>25</v>
      </c>
      <c r="AK1355" s="1"/>
      <c r="AL1355" s="1"/>
    </row>
    <row r="1356" spans="1:38" hidden="1" x14ac:dyDescent="0.2">
      <c r="A1356" s="11">
        <v>45920</v>
      </c>
      <c r="B1356" s="53" t="s">
        <v>2315</v>
      </c>
      <c r="C1356" s="52" t="str">
        <f>IF(MID(B1356,4,2)="09","Ramadan",IF(AND(MID(B1356,4,2)="12",VALUE(LEFT(B1356,2))&lt;=9),"Adha Season","Normal"))</f>
        <v>Normal</v>
      </c>
      <c r="D1356" s="2" t="s">
        <v>294</v>
      </c>
      <c r="F1356" s="4" t="s">
        <v>780</v>
      </c>
      <c r="G1356" s="1">
        <v>45</v>
      </c>
      <c r="H1356" s="1">
        <v>45</v>
      </c>
      <c r="I1356" s="1">
        <f>grand[[#This Row],[number]]-grand[[#This Row],[received]]</f>
        <v>0</v>
      </c>
      <c r="J1356" s="30"/>
      <c r="K1356" s="2">
        <v>2105</v>
      </c>
      <c r="L1356" s="2">
        <v>2030</v>
      </c>
      <c r="M1356" s="2">
        <f>K1356-L1356</f>
        <v>75</v>
      </c>
      <c r="N1356" s="2">
        <v>1164.4000000000001</v>
      </c>
      <c r="O1356" s="2"/>
      <c r="P1356" s="7">
        <f>grand[[#This Row],[total weight]]/grand[[#This Row],[received]]</f>
        <v>46.777777777777779</v>
      </c>
      <c r="Q1356" s="7">
        <f>grand[[#This Row],[receiving weight]]/grand[[#This Row],[received]]</f>
        <v>45.111111111111114</v>
      </c>
      <c r="R1356" s="7">
        <f>grand[[#This Row],[transportation loss ]]/grand[[#This Row],[received]]</f>
        <v>1.6666666666666667</v>
      </c>
      <c r="S1356" s="7">
        <f>grand[[#This Row],[ carcass weight]]/grand[[#This Row],[received]]</f>
        <v>25.875555555555557</v>
      </c>
      <c r="T1356" s="7">
        <f>grand[[#This Row],[ kidneys fat quantity]]/grand[[#This Row],[received]]</f>
        <v>0</v>
      </c>
      <c r="U1356">
        <v>25</v>
      </c>
      <c r="V1356">
        <v>0</v>
      </c>
      <c r="W1356">
        <v>48.65384615384616</v>
      </c>
      <c r="X1356">
        <v>10</v>
      </c>
      <c r="Y1356">
        <v>8.5</v>
      </c>
      <c r="Z1356" s="18">
        <f>grand[[#This Row],[av. Transportation loss]]/grand[[#This Row],[av.total weight]]</f>
        <v>3.5629453681710214E-2</v>
      </c>
      <c r="AA1356" s="18">
        <f>AVERAGE((grand[[#This Row],[am]]/25),(grand[[#This Row],[pm]]/50))</f>
        <v>0.98653846153846159</v>
      </c>
      <c r="AB1356" s="3">
        <f>grand[[#This Row],[ carcass weight]]/grand[[#This Row],[total weight]]</f>
        <v>0.55315914489311169</v>
      </c>
      <c r="AC1356" s="18">
        <f>SUM(grand[[#This Row],[am]:[meat transportation]])/100</f>
        <v>0.92153846153846164</v>
      </c>
      <c r="AK1356" s="1"/>
      <c r="AL1356" s="1"/>
    </row>
    <row r="1357" spans="1:38" hidden="1" x14ac:dyDescent="0.2">
      <c r="A1357" s="11">
        <v>45920</v>
      </c>
      <c r="B1357" s="53" t="s">
        <v>2315</v>
      </c>
      <c r="C1357" s="52" t="str">
        <f>IF(MID(B1357,4,2)="09","Ramadan",IF(AND(MID(B1357,4,2)="12",VALUE(LEFT(B1357,2))&lt;=9),"Adha Season","Normal"))</f>
        <v>Normal</v>
      </c>
      <c r="D1357" s="1" t="s">
        <v>45</v>
      </c>
      <c r="E1357" s="1" t="s">
        <v>483</v>
      </c>
      <c r="F1357" s="4" t="s">
        <v>43</v>
      </c>
      <c r="G1357" s="1">
        <v>28</v>
      </c>
      <c r="H1357" s="1">
        <v>28</v>
      </c>
      <c r="I1357" s="1">
        <f>grand[[#This Row],[number]]-grand[[#This Row],[received]]</f>
        <v>0</v>
      </c>
      <c r="J1357" s="30"/>
      <c r="K1357" s="2">
        <v>13133</v>
      </c>
      <c r="L1357" s="2">
        <v>12920</v>
      </c>
      <c r="M1357" s="2">
        <f>K1357-L1357</f>
        <v>213</v>
      </c>
      <c r="N1357" s="2">
        <v>7879.4000000000005</v>
      </c>
      <c r="O1357" s="2">
        <v>253</v>
      </c>
      <c r="P1357" s="7">
        <f>grand[[#This Row],[total weight]]/grand[[#This Row],[received]]</f>
        <v>469.03571428571428</v>
      </c>
      <c r="Q1357" s="7">
        <f>grand[[#This Row],[receiving weight]]/grand[[#This Row],[received]]</f>
        <v>461.42857142857144</v>
      </c>
      <c r="R1357" s="7">
        <f>grand[[#This Row],[transportation loss ]]/grand[[#This Row],[received]]</f>
        <v>7.6071428571428568</v>
      </c>
      <c r="S1357" s="7">
        <f>grand[[#This Row],[ carcass weight]]/grand[[#This Row],[received]]</f>
        <v>281.4071428571429</v>
      </c>
      <c r="T1357" s="7">
        <f>grand[[#This Row],[ kidneys fat quantity]]/grand[[#This Row],[received]]</f>
        <v>9.0357142857142865</v>
      </c>
      <c r="U1357">
        <v>24.423076923076923</v>
      </c>
      <c r="V1357">
        <v>0</v>
      </c>
      <c r="W1357">
        <v>45.884615384615387</v>
      </c>
      <c r="X1357">
        <v>10</v>
      </c>
      <c r="Y1357">
        <v>8.5</v>
      </c>
      <c r="Z1357" s="18">
        <f>grand[[#This Row],[av. Transportation loss]]/grand[[#This Row],[av.total weight]]</f>
        <v>1.6218685753445518E-2</v>
      </c>
      <c r="AA1357" s="18">
        <f>AVERAGE((grand[[#This Row],[am]]/25),(grand[[#This Row],[pm]]/50))</f>
        <v>0.9473076923076923</v>
      </c>
      <c r="AB1357" s="3">
        <f>grand[[#This Row],[ carcass weight]]/grand[[#This Row],[total weight]]</f>
        <v>0.59996954237417199</v>
      </c>
      <c r="AC1357" s="18">
        <f>SUM(grand[[#This Row],[am]:[meat transportation]])/100</f>
        <v>0.8880769230769231</v>
      </c>
      <c r="AJ1357" s="1">
        <v>19</v>
      </c>
      <c r="AK1357" s="1"/>
      <c r="AL1357" s="1"/>
    </row>
    <row r="1358" spans="1:38" hidden="1" x14ac:dyDescent="0.2">
      <c r="A1358" s="11">
        <v>45922</v>
      </c>
      <c r="B1358" s="53" t="s">
        <v>2317</v>
      </c>
      <c r="C1358" s="52" t="str">
        <f>IF(MID(B1358,4,2)="09","Ramadan",IF(AND(MID(B1358,4,2)="12",VALUE(LEFT(B1358,2))&lt;=9),"Adha Season","Normal"))</f>
        <v>Normal</v>
      </c>
      <c r="D1358" s="2" t="s">
        <v>294</v>
      </c>
      <c r="F1358" s="4" t="s">
        <v>750</v>
      </c>
      <c r="G1358" s="1">
        <v>34</v>
      </c>
      <c r="H1358" s="1">
        <v>34</v>
      </c>
      <c r="I1358" s="1">
        <f>grand[[#This Row],[number]]-grand[[#This Row],[received]]</f>
        <v>0</v>
      </c>
      <c r="J1358" s="30"/>
      <c r="K1358" s="2">
        <v>1820</v>
      </c>
      <c r="L1358" s="2">
        <v>1820</v>
      </c>
      <c r="M1358" s="2">
        <f>K1358-L1358</f>
        <v>0</v>
      </c>
      <c r="N1358" s="2">
        <v>1042</v>
      </c>
      <c r="O1358" s="2"/>
      <c r="P1358" s="7">
        <f>grand[[#This Row],[total weight]]/grand[[#This Row],[received]]</f>
        <v>53.529411764705884</v>
      </c>
      <c r="Q1358" s="7">
        <f>grand[[#This Row],[receiving weight]]/grand[[#This Row],[received]]</f>
        <v>53.529411764705884</v>
      </c>
      <c r="R1358" s="7">
        <f>grand[[#This Row],[transportation loss ]]/grand[[#This Row],[received]]</f>
        <v>0</v>
      </c>
      <c r="S1358" s="7">
        <f>grand[[#This Row],[ carcass weight]]/grand[[#This Row],[received]]</f>
        <v>30.647058823529413</v>
      </c>
      <c r="T1358" s="7">
        <f>grand[[#This Row],[ kidneys fat quantity]]/grand[[#This Row],[received]]</f>
        <v>0</v>
      </c>
      <c r="U1358">
        <v>23.846153846153847</v>
      </c>
      <c r="V1358">
        <v>0</v>
      </c>
      <c r="W1358">
        <v>49.615384615384613</v>
      </c>
      <c r="X1358">
        <v>9.8076923076923066</v>
      </c>
      <c r="Y1358">
        <v>8.5</v>
      </c>
      <c r="Z1358" s="18">
        <f>grand[[#This Row],[av. Transportation loss]]/grand[[#This Row],[av.total weight]]</f>
        <v>0</v>
      </c>
      <c r="AA1358" s="18">
        <f>AVERAGE((grand[[#This Row],[am]]/25),(grand[[#This Row],[pm]]/50))</f>
        <v>0.97307692307692306</v>
      </c>
      <c r="AB1358" s="3">
        <f>grand[[#This Row],[ carcass weight]]/grand[[#This Row],[total weight]]</f>
        <v>0.57252747252747249</v>
      </c>
      <c r="AC1358" s="18">
        <f>SUM(grand[[#This Row],[am]:[meat transportation]])/100</f>
        <v>0.91769230769230759</v>
      </c>
      <c r="AK1358" s="1"/>
      <c r="AL1358" s="1"/>
    </row>
    <row r="1359" spans="1:38" hidden="1" x14ac:dyDescent="0.2">
      <c r="A1359" s="11">
        <v>45923</v>
      </c>
      <c r="B1359" s="53" t="s">
        <v>2318</v>
      </c>
      <c r="C1359" s="52" t="str">
        <f>IF(MID(B1359,4,2)="09","Ramadan",IF(AND(MID(B1359,4,2)="12",VALUE(LEFT(B1359,2))&lt;=9),"Adha Season","Normal"))</f>
        <v>Normal</v>
      </c>
      <c r="D1359" s="1" t="s">
        <v>45</v>
      </c>
      <c r="E1359" s="1" t="s">
        <v>528</v>
      </c>
      <c r="F1359" s="4" t="s">
        <v>752</v>
      </c>
      <c r="G1359" s="1">
        <v>50</v>
      </c>
      <c r="H1359" s="1">
        <v>50</v>
      </c>
      <c r="I1359" s="1">
        <f>grand[[#This Row],[number]]-grand[[#This Row],[received]]</f>
        <v>0</v>
      </c>
      <c r="J1359" s="30"/>
      <c r="K1359" s="2">
        <v>22418.037974683542</v>
      </c>
      <c r="L1359" s="2">
        <v>22418.037974683542</v>
      </c>
      <c r="M1359" s="2">
        <f>K1359-L1359</f>
        <v>0</v>
      </c>
      <c r="N1359" s="2">
        <v>14168.2</v>
      </c>
      <c r="O1359" s="2"/>
      <c r="P1359" s="7">
        <f>grand[[#This Row],[total weight]]/grand[[#This Row],[received]]</f>
        <v>448.36075949367086</v>
      </c>
      <c r="Q1359" s="7">
        <f>grand[[#This Row],[receiving weight]]/grand[[#This Row],[received]]</f>
        <v>448.36075949367086</v>
      </c>
      <c r="R1359" s="7">
        <f>grand[[#This Row],[transportation loss ]]/grand[[#This Row],[received]]</f>
        <v>0</v>
      </c>
      <c r="S1359" s="7">
        <f>grand[[#This Row],[ carcass weight]]/grand[[#This Row],[received]]</f>
        <v>283.36400000000003</v>
      </c>
      <c r="T1359" s="7">
        <f>grand[[#This Row],[ kidneys fat quantity]]/grand[[#This Row],[received]]</f>
        <v>0</v>
      </c>
      <c r="U1359">
        <v>25</v>
      </c>
      <c r="V1359">
        <v>0</v>
      </c>
      <c r="W1359">
        <v>48.65384615384616</v>
      </c>
      <c r="X1359">
        <v>10</v>
      </c>
      <c r="Y1359">
        <v>8.5</v>
      </c>
      <c r="Z1359" s="18">
        <f>grand[[#This Row],[av. Transportation loss]]/grand[[#This Row],[av.total weight]]</f>
        <v>0</v>
      </c>
      <c r="AA1359" s="18">
        <f>AVERAGE((grand[[#This Row],[am]]/25),(grand[[#This Row],[pm]]/50))</f>
        <v>0.98653846153846159</v>
      </c>
      <c r="AB1359" s="3">
        <f>grand[[#This Row],[ carcass weight]]/grand[[#This Row],[total weight]]</f>
        <v>0.63200000000000012</v>
      </c>
      <c r="AC1359" s="18">
        <f>SUM(grand[[#This Row],[am]:[meat transportation]])/100</f>
        <v>0.92153846153846164</v>
      </c>
      <c r="AK1359" s="1"/>
      <c r="AL1359" s="1"/>
    </row>
    <row r="1360" spans="1:38" hidden="1" x14ac:dyDescent="0.2">
      <c r="A1360" s="11">
        <v>45924</v>
      </c>
      <c r="B1360" s="53" t="s">
        <v>2319</v>
      </c>
      <c r="C1360" s="52" t="str">
        <f>IF(MID(B1360,4,2)="09","Ramadan",IF(AND(MID(B1360,4,2)="12",VALUE(LEFT(B1360,2))&lt;=9),"Adha Season","Normal"))</f>
        <v>Normal</v>
      </c>
      <c r="D1360" s="2" t="s">
        <v>294</v>
      </c>
      <c r="F1360" s="4" t="s">
        <v>780</v>
      </c>
      <c r="G1360" s="1">
        <v>44</v>
      </c>
      <c r="H1360" s="1">
        <v>44</v>
      </c>
      <c r="I1360" s="1">
        <f>grand[[#This Row],[number]]-grand[[#This Row],[received]]</f>
        <v>0</v>
      </c>
      <c r="J1360" s="30"/>
      <c r="K1360" s="2">
        <v>2130</v>
      </c>
      <c r="L1360" s="2">
        <v>2075</v>
      </c>
      <c r="M1360" s="2">
        <f>K1360-L1360</f>
        <v>55</v>
      </c>
      <c r="N1360" s="2">
        <v>1175.4999999999998</v>
      </c>
      <c r="O1360" s="2"/>
      <c r="P1360" s="7">
        <f>grand[[#This Row],[total weight]]/grand[[#This Row],[received]]</f>
        <v>48.409090909090907</v>
      </c>
      <c r="Q1360" s="7">
        <f>grand[[#This Row],[receiving weight]]/grand[[#This Row],[received]]</f>
        <v>47.159090909090907</v>
      </c>
      <c r="R1360" s="7">
        <f>grand[[#This Row],[transportation loss ]]/grand[[#This Row],[received]]</f>
        <v>1.25</v>
      </c>
      <c r="S1360" s="7">
        <f>grand[[#This Row],[ carcass weight]]/grand[[#This Row],[received]]</f>
        <v>26.715909090909086</v>
      </c>
      <c r="T1360" s="7">
        <f>grand[[#This Row],[ kidneys fat quantity]]/grand[[#This Row],[received]]</f>
        <v>0</v>
      </c>
      <c r="U1360">
        <v>24.423076923076923</v>
      </c>
      <c r="V1360">
        <v>0</v>
      </c>
      <c r="W1360">
        <v>45.884615384615387</v>
      </c>
      <c r="X1360">
        <v>10</v>
      </c>
      <c r="Y1360" s="8">
        <v>10</v>
      </c>
      <c r="Z1360" s="18">
        <f>grand[[#This Row],[av. Transportation loss]]/grand[[#This Row],[av.total weight]]</f>
        <v>2.5821596244131457E-2</v>
      </c>
      <c r="AA1360" s="18">
        <f>AVERAGE((grand[[#This Row],[am]]/25),(grand[[#This Row],[pm]]/50))</f>
        <v>0.9473076923076923</v>
      </c>
      <c r="AB1360" s="3">
        <f>grand[[#This Row],[ carcass weight]]/grand[[#This Row],[total weight]]</f>
        <v>0.55187793427230036</v>
      </c>
      <c r="AC1360" s="18">
        <f>SUM(grand[[#This Row],[am]:[meat transportation]])/100</f>
        <v>0.90307692307692311</v>
      </c>
      <c r="AK1360" s="1"/>
      <c r="AL1360" s="1"/>
    </row>
    <row r="1361" spans="1:38" hidden="1" x14ac:dyDescent="0.2">
      <c r="A1361" s="11">
        <v>45924</v>
      </c>
      <c r="B1361" s="53" t="s">
        <v>2319</v>
      </c>
      <c r="C1361" s="52" t="str">
        <f>IF(MID(B1361,4,2)="09","Ramadan",IF(AND(MID(B1361,4,2)="12",VALUE(LEFT(B1361,2))&lt;=9),"Adha Season","Normal"))</f>
        <v>Normal</v>
      </c>
      <c r="D1361" s="1" t="s">
        <v>45</v>
      </c>
      <c r="E1361" s="1" t="s">
        <v>528</v>
      </c>
      <c r="F1361" s="4" t="s">
        <v>815</v>
      </c>
      <c r="G1361" s="1">
        <v>8</v>
      </c>
      <c r="H1361" s="1">
        <v>8</v>
      </c>
      <c r="I1361" s="1">
        <f>grand[[#This Row],[number]]-grand[[#This Row],[received]]</f>
        <v>0</v>
      </c>
      <c r="J1361" s="30"/>
      <c r="K1361" s="2">
        <v>4610</v>
      </c>
      <c r="L1361" s="2">
        <v>4480</v>
      </c>
      <c r="M1361" s="2">
        <f>K1361-L1361</f>
        <v>130</v>
      </c>
      <c r="N1361" s="2">
        <v>3009.7000000000003</v>
      </c>
      <c r="O1361" s="2">
        <v>91</v>
      </c>
      <c r="P1361" s="7">
        <f>grand[[#This Row],[total weight]]/grand[[#This Row],[received]]</f>
        <v>576.25</v>
      </c>
      <c r="Q1361" s="7">
        <f>grand[[#This Row],[receiving weight]]/grand[[#This Row],[received]]</f>
        <v>560</v>
      </c>
      <c r="R1361" s="7">
        <f>grand[[#This Row],[transportation loss ]]/grand[[#This Row],[received]]</f>
        <v>16.25</v>
      </c>
      <c r="S1361" s="7">
        <f>grand[[#This Row],[ carcass weight]]/grand[[#This Row],[received]]</f>
        <v>376.21250000000003</v>
      </c>
      <c r="T1361" s="7">
        <f>grand[[#This Row],[ kidneys fat quantity]]/grand[[#This Row],[received]]</f>
        <v>11.375</v>
      </c>
      <c r="U1361" s="1">
        <v>25</v>
      </c>
      <c r="V1361" s="1">
        <v>0</v>
      </c>
      <c r="W1361" s="1">
        <v>46.666666666666671</v>
      </c>
      <c r="X1361" s="1">
        <v>10</v>
      </c>
      <c r="Y1361" s="1">
        <v>8.5</v>
      </c>
      <c r="Z1361" s="18">
        <f>grand[[#This Row],[av. Transportation loss]]/grand[[#This Row],[av.total weight]]</f>
        <v>2.8199566160520606E-2</v>
      </c>
      <c r="AA1361" s="18">
        <f>AVERAGE((grand[[#This Row],[am]]/25),(grand[[#This Row],[pm]]/50))</f>
        <v>0.96666666666666679</v>
      </c>
      <c r="AB1361" s="3">
        <f>grand[[#This Row],[ carcass weight]]/grand[[#This Row],[total weight]]</f>
        <v>0.65286334056399142</v>
      </c>
      <c r="AC1361" s="18">
        <f>SUM(grand[[#This Row],[am]:[meat transportation]])/100</f>
        <v>0.90166666666666673</v>
      </c>
      <c r="AK1361" s="1"/>
      <c r="AL1361" s="1"/>
    </row>
    <row r="1362" spans="1:38" hidden="1" x14ac:dyDescent="0.2">
      <c r="A1362" s="11">
        <v>45924</v>
      </c>
      <c r="B1362" s="53" t="s">
        <v>2319</v>
      </c>
      <c r="C1362" s="52" t="str">
        <f>IF(MID(B1362,4,2)="09","Ramadan",IF(AND(MID(B1362,4,2)="12",VALUE(LEFT(B1362,2))&lt;=9),"Adha Season","Normal"))</f>
        <v>Normal</v>
      </c>
      <c r="D1362" s="1" t="s">
        <v>45</v>
      </c>
      <c r="E1362" s="1" t="s">
        <v>483</v>
      </c>
      <c r="F1362" s="4" t="s">
        <v>815</v>
      </c>
      <c r="G1362" s="1">
        <v>8</v>
      </c>
      <c r="H1362" s="1">
        <v>8</v>
      </c>
      <c r="I1362" s="1">
        <f>grand[[#This Row],[number]]-grand[[#This Row],[received]]</f>
        <v>0</v>
      </c>
      <c r="J1362" s="30"/>
      <c r="K1362" s="2">
        <v>4340</v>
      </c>
      <c r="L1362" s="2">
        <v>4245</v>
      </c>
      <c r="M1362" s="2">
        <f>K1362-L1362</f>
        <v>95</v>
      </c>
      <c r="N1362" s="2">
        <v>2860.4</v>
      </c>
      <c r="O1362" s="2">
        <v>56</v>
      </c>
      <c r="P1362" s="7">
        <f>grand[[#This Row],[total weight]]/grand[[#This Row],[received]]</f>
        <v>542.5</v>
      </c>
      <c r="Q1362" s="7">
        <f>grand[[#This Row],[receiving weight]]/grand[[#This Row],[received]]</f>
        <v>530.625</v>
      </c>
      <c r="R1362" s="7">
        <f>grand[[#This Row],[transportation loss ]]/grand[[#This Row],[received]]</f>
        <v>11.875</v>
      </c>
      <c r="S1362" s="7">
        <f>grand[[#This Row],[ carcass weight]]/grand[[#This Row],[received]]</f>
        <v>357.55</v>
      </c>
      <c r="T1362" s="7">
        <f>grand[[#This Row],[ kidneys fat quantity]]/grand[[#This Row],[received]]</f>
        <v>7</v>
      </c>
      <c r="U1362" s="1">
        <v>25</v>
      </c>
      <c r="V1362" s="1">
        <v>0</v>
      </c>
      <c r="W1362" s="1">
        <v>46.666666666666671</v>
      </c>
      <c r="X1362" s="1">
        <v>10</v>
      </c>
      <c r="Y1362" s="1">
        <v>8.5</v>
      </c>
      <c r="Z1362" s="18">
        <f>grand[[#This Row],[av. Transportation loss]]/grand[[#This Row],[av.total weight]]</f>
        <v>2.1889400921658985E-2</v>
      </c>
      <c r="AA1362" s="18">
        <f>AVERAGE((grand[[#This Row],[am]]/25),(grand[[#This Row],[pm]]/50))</f>
        <v>0.96666666666666679</v>
      </c>
      <c r="AB1362" s="3">
        <f>grand[[#This Row],[ carcass weight]]/grand[[#This Row],[total weight]]</f>
        <v>0.6590783410138249</v>
      </c>
      <c r="AC1362" s="18">
        <f>SUM(grand[[#This Row],[am]:[meat transportation]])/100</f>
        <v>0.90166666666666673</v>
      </c>
      <c r="AK1362" s="1"/>
      <c r="AL1362" s="1"/>
    </row>
    <row r="1363" spans="1:38" hidden="1" x14ac:dyDescent="0.2">
      <c r="A1363" s="11">
        <v>45925</v>
      </c>
      <c r="B1363" s="53" t="s">
        <v>2320</v>
      </c>
      <c r="C1363" s="52" t="str">
        <f>IF(MID(B1363,4,2)="09","Ramadan",IF(AND(MID(B1363,4,2)="12",VALUE(LEFT(B1363,2))&lt;=9),"Adha Season","Normal"))</f>
        <v>Normal</v>
      </c>
      <c r="D1363" s="1" t="s">
        <v>45</v>
      </c>
      <c r="E1363" s="1" t="s">
        <v>483</v>
      </c>
      <c r="F1363" s="4" t="s">
        <v>757</v>
      </c>
      <c r="G1363" s="1">
        <v>80</v>
      </c>
      <c r="H1363" s="1">
        <v>80</v>
      </c>
      <c r="I1363" s="1">
        <f>grand[[#This Row],[number]]-grand[[#This Row],[received]]</f>
        <v>0</v>
      </c>
      <c r="J1363" s="30"/>
      <c r="K1363" s="2">
        <v>36010</v>
      </c>
      <c r="L1363" s="2">
        <v>35845</v>
      </c>
      <c r="M1363" s="2">
        <f>K1363-L1363</f>
        <v>165</v>
      </c>
      <c r="N1363" s="2">
        <v>21605.200000000004</v>
      </c>
      <c r="O1363" s="2">
        <v>702</v>
      </c>
      <c r="P1363" s="7">
        <f>grand[[#This Row],[total weight]]/grand[[#This Row],[received]]</f>
        <v>450.125</v>
      </c>
      <c r="Q1363" s="7">
        <f>grand[[#This Row],[receiving weight]]/grand[[#This Row],[received]]</f>
        <v>448.0625</v>
      </c>
      <c r="R1363" s="7">
        <f>grand[[#This Row],[transportation loss ]]/grand[[#This Row],[received]]</f>
        <v>2.0625</v>
      </c>
      <c r="S1363" s="7">
        <f>grand[[#This Row],[ carcass weight]]/grand[[#This Row],[received]]</f>
        <v>270.06500000000005</v>
      </c>
      <c r="T1363" s="7">
        <f>grand[[#This Row],[ kidneys fat quantity]]/grand[[#This Row],[received]]</f>
        <v>8.7750000000000004</v>
      </c>
      <c r="U1363">
        <v>24.423076923076923</v>
      </c>
      <c r="V1363">
        <v>0</v>
      </c>
      <c r="W1363">
        <v>45.884615384615387</v>
      </c>
      <c r="X1363">
        <v>10</v>
      </c>
      <c r="Y1363" s="1">
        <v>8.5</v>
      </c>
      <c r="Z1363" s="18">
        <f>grand[[#This Row],[av. Transportation loss]]/grand[[#This Row],[av.total weight]]</f>
        <v>4.5820605387392388E-3</v>
      </c>
      <c r="AA1363" s="18">
        <f>AVERAGE((grand[[#This Row],[am]]/25),(grand[[#This Row],[pm]]/50))</f>
        <v>0.9473076923076923</v>
      </c>
      <c r="AB1363" s="3">
        <f>grand[[#This Row],[ carcass weight]]/grand[[#This Row],[total weight]]</f>
        <v>0.59997778394890322</v>
      </c>
      <c r="AC1363" s="18">
        <f>SUM(grand[[#This Row],[am]:[meat transportation]])/100</f>
        <v>0.8880769230769231</v>
      </c>
      <c r="AJ1363" s="1">
        <v>8</v>
      </c>
      <c r="AK1363" s="1"/>
      <c r="AL1363" s="1"/>
    </row>
    <row r="1364" spans="1:38" hidden="1" x14ac:dyDescent="0.2">
      <c r="A1364" s="11">
        <v>45927</v>
      </c>
      <c r="B1364" s="53" t="s">
        <v>2321</v>
      </c>
      <c r="C1364" s="52" t="str">
        <f>IF(MID(B1364,4,2)="09","Ramadan",IF(AND(MID(B1364,4,2)="12",VALUE(LEFT(B1364,2))&lt;=9),"Adha Season","Normal"))</f>
        <v>Normal</v>
      </c>
      <c r="D1364" s="2" t="s">
        <v>294</v>
      </c>
      <c r="F1364" s="4" t="s">
        <v>780</v>
      </c>
      <c r="G1364" s="1">
        <v>42</v>
      </c>
      <c r="H1364" s="1">
        <v>42</v>
      </c>
      <c r="I1364" s="1">
        <f>grand[[#This Row],[number]]-grand[[#This Row],[received]]</f>
        <v>0</v>
      </c>
      <c r="J1364" s="30"/>
      <c r="K1364" s="2">
        <v>2024</v>
      </c>
      <c r="L1364" s="2">
        <v>2024</v>
      </c>
      <c r="M1364" s="2">
        <f>K1364-L1364</f>
        <v>0</v>
      </c>
      <c r="N1364" s="2">
        <v>1150.1000000000001</v>
      </c>
      <c r="O1364" s="2"/>
      <c r="P1364" s="7">
        <f>grand[[#This Row],[total weight]]/grand[[#This Row],[received]]</f>
        <v>48.19047619047619</v>
      </c>
      <c r="Q1364" s="7">
        <f>grand[[#This Row],[receiving weight]]/grand[[#This Row],[received]]</f>
        <v>48.19047619047619</v>
      </c>
      <c r="R1364" s="7">
        <f>grand[[#This Row],[transportation loss ]]/grand[[#This Row],[received]]</f>
        <v>0</v>
      </c>
      <c r="S1364" s="7">
        <f>grand[[#This Row],[ carcass weight]]/grand[[#This Row],[received]]</f>
        <v>27.383333333333336</v>
      </c>
      <c r="T1364" s="7">
        <f>grand[[#This Row],[ kidneys fat quantity]]/grand[[#This Row],[received]]</f>
        <v>0</v>
      </c>
      <c r="U1364">
        <v>24.423076923076923</v>
      </c>
      <c r="V1364">
        <v>0</v>
      </c>
      <c r="W1364">
        <v>45.884615384615387</v>
      </c>
      <c r="X1364">
        <v>10</v>
      </c>
      <c r="Y1364">
        <v>8.5</v>
      </c>
      <c r="Z1364" s="18">
        <f>grand[[#This Row],[av. Transportation loss]]/grand[[#This Row],[av.total weight]]</f>
        <v>0</v>
      </c>
      <c r="AA1364" s="18">
        <f>AVERAGE((grand[[#This Row],[am]]/25),(grand[[#This Row],[pm]]/50))</f>
        <v>0.9473076923076923</v>
      </c>
      <c r="AB1364" s="3">
        <f>grand[[#This Row],[ carcass weight]]/grand[[#This Row],[total weight]]</f>
        <v>0.56823122529644277</v>
      </c>
      <c r="AC1364" s="18">
        <f>SUM(grand[[#This Row],[am]:[meat transportation]])/100</f>
        <v>0.8880769230769231</v>
      </c>
      <c r="AK1364" s="1"/>
      <c r="AL1364" s="1"/>
    </row>
    <row r="1365" spans="1:38" hidden="1" x14ac:dyDescent="0.2">
      <c r="A1365" s="11">
        <v>45929</v>
      </c>
      <c r="B1365" s="53" t="s">
        <v>2323</v>
      </c>
      <c r="C1365" s="52" t="str">
        <f>IF(MID(B1365,4,2)="09","Ramadan",IF(AND(MID(B1365,4,2)="12",VALUE(LEFT(B1365,2))&lt;=9),"Adha Season","Normal"))</f>
        <v>Normal</v>
      </c>
      <c r="D1365" s="2" t="s">
        <v>294</v>
      </c>
      <c r="F1365" s="4" t="s">
        <v>280</v>
      </c>
      <c r="G1365" s="1">
        <v>40</v>
      </c>
      <c r="H1365" s="1">
        <v>40</v>
      </c>
      <c r="I1365" s="1">
        <f>grand[[#This Row],[number]]-grand[[#This Row],[received]]</f>
        <v>0</v>
      </c>
      <c r="J1365" s="30"/>
      <c r="K1365" s="2">
        <v>2059</v>
      </c>
      <c r="L1365" s="2">
        <v>2000</v>
      </c>
      <c r="M1365" s="2">
        <f>K1365-L1365</f>
        <v>59</v>
      </c>
      <c r="N1365" s="2">
        <v>1117.9000000000001</v>
      </c>
      <c r="O1365" s="2"/>
      <c r="P1365" s="7">
        <f>grand[[#This Row],[total weight]]/grand[[#This Row],[received]]</f>
        <v>51.475000000000001</v>
      </c>
      <c r="Q1365" s="7">
        <f>grand[[#This Row],[receiving weight]]/grand[[#This Row],[received]]</f>
        <v>50</v>
      </c>
      <c r="R1365" s="7">
        <f>grand[[#This Row],[transportation loss ]]/grand[[#This Row],[received]]</f>
        <v>1.4750000000000001</v>
      </c>
      <c r="S1365" s="7">
        <f>grand[[#This Row],[ carcass weight]]/grand[[#This Row],[received]]</f>
        <v>27.947500000000002</v>
      </c>
      <c r="T1365" s="7">
        <f>grand[[#This Row],[ kidneys fat quantity]]/grand[[#This Row],[received]]</f>
        <v>0</v>
      </c>
      <c r="U1365">
        <v>23.333333333333332</v>
      </c>
      <c r="V1365">
        <v>0</v>
      </c>
      <c r="W1365">
        <v>48.61904761904762</v>
      </c>
      <c r="X1365">
        <v>10</v>
      </c>
      <c r="Y1365">
        <v>8.5</v>
      </c>
      <c r="Z1365" s="18">
        <f>grand[[#This Row],[av. Transportation loss]]/grand[[#This Row],[av.total weight]]</f>
        <v>2.8654686741136474E-2</v>
      </c>
      <c r="AA1365" s="18">
        <f>AVERAGE((grand[[#This Row],[am]]/25),(grand[[#This Row],[pm]]/50))</f>
        <v>0.95285714285714285</v>
      </c>
      <c r="AB1365" s="3">
        <f>grand[[#This Row],[ carcass weight]]/grand[[#This Row],[total weight]]</f>
        <v>0.54293346284604183</v>
      </c>
      <c r="AC1365" s="18">
        <f>SUM(grand[[#This Row],[am]:[meat transportation]])/100</f>
        <v>0.90452380952380951</v>
      </c>
      <c r="AK1365" s="1"/>
      <c r="AL1365" s="1"/>
    </row>
    <row r="1366" spans="1:38" hidden="1" x14ac:dyDescent="0.2">
      <c r="A1366" s="11">
        <v>45929</v>
      </c>
      <c r="B1366" s="53" t="s">
        <v>2323</v>
      </c>
      <c r="C1366" s="52" t="str">
        <f>IF(MID(B1366,4,2)="09","Ramadan",IF(AND(MID(B1366,4,2)="12",VALUE(LEFT(B1366,2))&lt;=9),"Adha Season","Normal"))</f>
        <v>Normal</v>
      </c>
      <c r="D1366" s="1" t="s">
        <v>45</v>
      </c>
      <c r="E1366" s="1" t="s">
        <v>483</v>
      </c>
      <c r="F1366" s="4" t="s">
        <v>815</v>
      </c>
      <c r="G1366" s="1">
        <v>60</v>
      </c>
      <c r="H1366" s="1">
        <v>60</v>
      </c>
      <c r="I1366" s="1">
        <f>grand[[#This Row],[number]]-grand[[#This Row],[received]]</f>
        <v>0</v>
      </c>
      <c r="J1366" s="30"/>
      <c r="K1366" s="2">
        <v>33620</v>
      </c>
      <c r="L1366" s="2">
        <v>32800</v>
      </c>
      <c r="M1366" s="2">
        <f>K1366-L1366</f>
        <v>820</v>
      </c>
      <c r="N1366" s="2">
        <v>21322.699999999993</v>
      </c>
      <c r="O1366" s="2">
        <v>733</v>
      </c>
      <c r="P1366" s="7">
        <f>grand[[#This Row],[total weight]]/grand[[#This Row],[received]]</f>
        <v>560.33333333333337</v>
      </c>
      <c r="Q1366" s="7">
        <f>grand[[#This Row],[receiving weight]]/grand[[#This Row],[received]]</f>
        <v>546.66666666666663</v>
      </c>
      <c r="R1366" s="7">
        <f>grand[[#This Row],[transportation loss ]]/grand[[#This Row],[received]]</f>
        <v>13.666666666666666</v>
      </c>
      <c r="S1366" s="7">
        <f>grand[[#This Row],[ carcass weight]]/grand[[#This Row],[received]]</f>
        <v>355.37833333333322</v>
      </c>
      <c r="T1366" s="7">
        <f>grand[[#This Row],[ kidneys fat quantity]]/grand[[#This Row],[received]]</f>
        <v>12.216666666666667</v>
      </c>
      <c r="U1366" s="1">
        <v>25</v>
      </c>
      <c r="V1366" s="1">
        <v>0</v>
      </c>
      <c r="W1366" s="1">
        <v>46.666666666666671</v>
      </c>
      <c r="X1366" s="1">
        <v>10</v>
      </c>
      <c r="Y1366" s="1">
        <v>8.5</v>
      </c>
      <c r="Z1366" s="18">
        <f>grand[[#This Row],[av. Transportation loss]]/grand[[#This Row],[av.total weight]]</f>
        <v>2.4390243902439022E-2</v>
      </c>
      <c r="AA1366" s="18">
        <f>AVERAGE((grand[[#This Row],[am]]/25),(grand[[#This Row],[pm]]/50))</f>
        <v>0.96666666666666679</v>
      </c>
      <c r="AB1366" s="3">
        <f>grand[[#This Row],[ carcass weight]]/grand[[#This Row],[total weight]]</f>
        <v>0.63422665080309315</v>
      </c>
      <c r="AC1366" s="18">
        <f>SUM(grand[[#This Row],[am]:[meat transportation]])/100</f>
        <v>0.90166666666666673</v>
      </c>
      <c r="AK1366" s="1"/>
      <c r="AL1366" s="1"/>
    </row>
    <row r="1367" spans="1:38" hidden="1" x14ac:dyDescent="0.2">
      <c r="A1367" s="11">
        <v>45930</v>
      </c>
      <c r="B1367" s="53" t="s">
        <v>2324</v>
      </c>
      <c r="C1367" s="52" t="str">
        <f>IF(MID(B1367,4,2)="09","Ramadan",IF(AND(MID(B1367,4,2)="12",VALUE(LEFT(B1367,2))&lt;=9),"Adha Season","Normal"))</f>
        <v>Normal</v>
      </c>
      <c r="D1367" s="1" t="s">
        <v>45</v>
      </c>
      <c r="F1367" s="4" t="s">
        <v>462</v>
      </c>
      <c r="G1367" s="1">
        <v>46</v>
      </c>
      <c r="H1367" s="1">
        <v>46</v>
      </c>
      <c r="I1367" s="1">
        <f>grand[[#This Row],[number]]-grand[[#This Row],[received]]</f>
        <v>0</v>
      </c>
      <c r="J1367" s="30"/>
      <c r="K1367" s="2">
        <v>22256.962025316454</v>
      </c>
      <c r="L1367" s="2">
        <v>22256.962025316454</v>
      </c>
      <c r="M1367" s="2">
        <f>K1367-L1367</f>
        <v>0</v>
      </c>
      <c r="N1367" s="2">
        <v>14066.4</v>
      </c>
      <c r="O1367" s="2"/>
      <c r="P1367" s="7">
        <f>grand[[#This Row],[total weight]]/grand[[#This Row],[received]]</f>
        <v>483.84700055035768</v>
      </c>
      <c r="Q1367" s="7">
        <f>grand[[#This Row],[receiving weight]]/grand[[#This Row],[received]]</f>
        <v>483.84700055035768</v>
      </c>
      <c r="R1367" s="7">
        <f>grand[[#This Row],[transportation loss ]]/grand[[#This Row],[received]]</f>
        <v>0</v>
      </c>
      <c r="S1367" s="7">
        <f>grand[[#This Row],[ carcass weight]]/grand[[#This Row],[received]]</f>
        <v>305.7913043478261</v>
      </c>
      <c r="T1367" s="7">
        <f>grand[[#This Row],[ kidneys fat quantity]]/grand[[#This Row],[received]]</f>
        <v>0</v>
      </c>
      <c r="U1367">
        <v>23.846153846153847</v>
      </c>
      <c r="V1367">
        <v>0</v>
      </c>
      <c r="W1367">
        <v>49.615384615384613</v>
      </c>
      <c r="X1367">
        <v>9.8076923076923066</v>
      </c>
      <c r="Y1367">
        <v>8.5</v>
      </c>
      <c r="Z1367" s="18">
        <f>grand[[#This Row],[av. Transportation loss]]/grand[[#This Row],[av.total weight]]</f>
        <v>0</v>
      </c>
      <c r="AA1367" s="18">
        <f>AVERAGE((grand[[#This Row],[am]]/25),(grand[[#This Row],[pm]]/50))</f>
        <v>0.97307692307692306</v>
      </c>
      <c r="AB1367" s="3">
        <f>grand[[#This Row],[ carcass weight]]/grand[[#This Row],[total weight]]</f>
        <v>0.63200000000000001</v>
      </c>
      <c r="AC1367" s="18">
        <f>SUM(grand[[#This Row],[am]:[meat transportation]])/100</f>
        <v>0.91769230769230759</v>
      </c>
      <c r="AK1367" s="1"/>
      <c r="AL1367" s="1"/>
    </row>
    <row r="1368" spans="1:38" hidden="1" x14ac:dyDescent="0.2">
      <c r="A1368" s="11">
        <v>45931</v>
      </c>
      <c r="B1368" s="53" t="s">
        <v>2325</v>
      </c>
      <c r="C1368" s="52" t="str">
        <f>IF(MID(B1368,4,2)="09","Ramadan",IF(AND(MID(B1368,4,2)="12",VALUE(LEFT(B1368,2))&lt;=9),"Adha Season","Normal"))</f>
        <v>Normal</v>
      </c>
      <c r="D1368" s="2" t="s">
        <v>294</v>
      </c>
      <c r="F1368" s="4" t="s">
        <v>780</v>
      </c>
      <c r="G1368" s="1">
        <v>48</v>
      </c>
      <c r="H1368" s="1">
        <v>48</v>
      </c>
      <c r="I1368" s="1">
        <f>grand[[#This Row],[number]]-grand[[#This Row],[received]]</f>
        <v>0</v>
      </c>
      <c r="J1368" s="30"/>
      <c r="K1368" s="2">
        <v>2294</v>
      </c>
      <c r="L1368" s="2">
        <v>2205</v>
      </c>
      <c r="M1368" s="2">
        <f>K1368-L1368</f>
        <v>89</v>
      </c>
      <c r="N1368" s="2">
        <v>1296.2</v>
      </c>
      <c r="O1368" s="2">
        <v>0</v>
      </c>
      <c r="P1368" s="7">
        <f>grand[[#This Row],[total weight]]/grand[[#This Row],[received]]</f>
        <v>47.791666666666664</v>
      </c>
      <c r="Q1368" s="7">
        <f>grand[[#This Row],[receiving weight]]/grand[[#This Row],[received]]</f>
        <v>45.9375</v>
      </c>
      <c r="R1368" s="7">
        <f>grand[[#This Row],[transportation loss ]]/grand[[#This Row],[received]]</f>
        <v>1.8541666666666667</v>
      </c>
      <c r="S1368" s="7">
        <f>grand[[#This Row],[ carcass weight]]/grand[[#This Row],[received]]</f>
        <v>27.004166666666666</v>
      </c>
      <c r="T1368" s="7">
        <f>grand[[#This Row],[ kidneys fat quantity]]/grand[[#This Row],[received]]</f>
        <v>0</v>
      </c>
      <c r="U1368" s="1">
        <v>25</v>
      </c>
      <c r="V1368" s="1">
        <v>0</v>
      </c>
      <c r="W1368" s="1">
        <v>48.833333333333336</v>
      </c>
      <c r="X1368" s="1">
        <v>10</v>
      </c>
      <c r="Y1368" s="1">
        <v>8.5</v>
      </c>
      <c r="Z1368" s="18">
        <f>grand[[#This Row],[av. Transportation loss]]/grand[[#This Row],[av.total weight]]</f>
        <v>3.8796861377506542E-2</v>
      </c>
      <c r="AA1368" s="18">
        <f>AVERAGE((grand[[#This Row],[am]]/25),(grand[[#This Row],[pm]]/50))</f>
        <v>0.98833333333333329</v>
      </c>
      <c r="AB1368" s="3">
        <f>grand[[#This Row],[ carcass weight]]/grand[[#This Row],[total weight]]</f>
        <v>0.5650392327811683</v>
      </c>
      <c r="AC1368" s="18">
        <f>SUM(grand[[#This Row],[am]:[meat transportation]])/100</f>
        <v>0.92333333333333345</v>
      </c>
      <c r="AD1368" s="1" t="s">
        <v>782</v>
      </c>
      <c r="AJ1368" s="1">
        <v>0</v>
      </c>
      <c r="AK1368" s="1"/>
      <c r="AL1368" s="1"/>
    </row>
    <row r="1369" spans="1:38" hidden="1" x14ac:dyDescent="0.2">
      <c r="A1369" s="11">
        <v>45932</v>
      </c>
      <c r="B1369" s="53" t="s">
        <v>2326</v>
      </c>
      <c r="C1369" s="52" t="str">
        <f>IF(MID(B1369,4,2)="09","Ramadan",IF(AND(MID(B1369,4,2)="12",VALUE(LEFT(B1369,2))&lt;=9),"Adha Season","Normal"))</f>
        <v>Normal</v>
      </c>
      <c r="D1369" s="1" t="s">
        <v>45</v>
      </c>
      <c r="E1369" s="1" t="s">
        <v>809</v>
      </c>
      <c r="F1369" s="4" t="s">
        <v>757</v>
      </c>
      <c r="G1369" s="1">
        <v>70</v>
      </c>
      <c r="H1369" s="1">
        <v>70</v>
      </c>
      <c r="I1369" s="1">
        <f>grand[[#This Row],[number]]-grand[[#This Row],[received]]</f>
        <v>0</v>
      </c>
      <c r="J1369" s="30"/>
      <c r="K1369" s="2">
        <v>34735</v>
      </c>
      <c r="L1369" s="2">
        <v>34205</v>
      </c>
      <c r="M1369" s="2">
        <f>K1369-L1369</f>
        <v>530</v>
      </c>
      <c r="N1369" s="2">
        <v>20839.900000000001</v>
      </c>
      <c r="O1369" s="2">
        <v>675</v>
      </c>
      <c r="P1369" s="7">
        <f>grand[[#This Row],[total weight]]/grand[[#This Row],[received]]</f>
        <v>496.21428571428572</v>
      </c>
      <c r="Q1369" s="7">
        <f>grand[[#This Row],[receiving weight]]/grand[[#This Row],[received]]</f>
        <v>488.64285714285717</v>
      </c>
      <c r="R1369" s="7">
        <f>grand[[#This Row],[transportation loss ]]/grand[[#This Row],[received]]</f>
        <v>7.5714285714285712</v>
      </c>
      <c r="S1369" s="7">
        <f>grand[[#This Row],[ carcass weight]]/grand[[#This Row],[received]]</f>
        <v>297.71285714285716</v>
      </c>
      <c r="T1369" s="7">
        <f>grand[[#This Row],[ kidneys fat quantity]]/grand[[#This Row],[received]]</f>
        <v>9.6428571428571423</v>
      </c>
      <c r="U1369" s="1">
        <v>23.785714285714285</v>
      </c>
      <c r="V1369" s="1">
        <v>0</v>
      </c>
      <c r="W1369" s="1">
        <v>48.585714285714289</v>
      </c>
      <c r="X1369" s="1">
        <v>10</v>
      </c>
      <c r="Y1369" s="1">
        <v>8.5</v>
      </c>
      <c r="Z1369" s="18">
        <f>grand[[#This Row],[av. Transportation loss]]/grand[[#This Row],[av.total weight]]</f>
        <v>1.5258384914351518E-2</v>
      </c>
      <c r="AA1369" s="18">
        <f>AVERAGE((grand[[#This Row],[am]]/25),(grand[[#This Row],[pm]]/50))</f>
        <v>0.96157142857142852</v>
      </c>
      <c r="AB1369" s="3">
        <f>grand[[#This Row],[ carcass weight]]/grand[[#This Row],[total weight]]</f>
        <v>0.59996833165395136</v>
      </c>
      <c r="AC1369" s="18">
        <f>SUM(grand[[#This Row],[am]:[meat transportation]])/100</f>
        <v>0.9087142857142857</v>
      </c>
      <c r="AD1369" s="1" t="s">
        <v>791</v>
      </c>
      <c r="AJ1369" s="1">
        <v>37</v>
      </c>
      <c r="AK1369" s="1"/>
      <c r="AL1369" s="1"/>
    </row>
    <row r="1370" spans="1:38" hidden="1" x14ac:dyDescent="0.2">
      <c r="A1370" s="11">
        <v>45934</v>
      </c>
      <c r="B1370" s="53" t="s">
        <v>2327</v>
      </c>
      <c r="C1370" s="52" t="str">
        <f>IF(MID(B1370,4,2)="09","Ramadan",IF(AND(MID(B1370,4,2)="12",VALUE(LEFT(B1370,2))&lt;=9),"Adha Season","Normal"))</f>
        <v>Normal</v>
      </c>
      <c r="D1370" s="1" t="s">
        <v>45</v>
      </c>
      <c r="E1370" s="1" t="s">
        <v>809</v>
      </c>
      <c r="F1370" s="4" t="s">
        <v>746</v>
      </c>
      <c r="G1370" s="1">
        <v>45</v>
      </c>
      <c r="H1370" s="1">
        <v>45</v>
      </c>
      <c r="I1370" s="1">
        <f>grand[[#This Row],[number]]-grand[[#This Row],[received]]</f>
        <v>0</v>
      </c>
      <c r="J1370" s="30"/>
      <c r="K1370" s="2">
        <v>20811</v>
      </c>
      <c r="L1370" s="2">
        <v>20190</v>
      </c>
      <c r="M1370" s="2">
        <f>K1370-L1370</f>
        <v>621</v>
      </c>
      <c r="N1370" s="2">
        <v>12649</v>
      </c>
      <c r="O1370" s="2">
        <v>393</v>
      </c>
      <c r="P1370" s="7">
        <f>grand[[#This Row],[total weight]]/grand[[#This Row],[received]]</f>
        <v>462.46666666666664</v>
      </c>
      <c r="Q1370" s="7">
        <f>grand[[#This Row],[receiving weight]]/grand[[#This Row],[received]]</f>
        <v>448.66666666666669</v>
      </c>
      <c r="R1370" s="7">
        <f>grand[[#This Row],[transportation loss ]]/grand[[#This Row],[received]]</f>
        <v>13.8</v>
      </c>
      <c r="S1370" s="7">
        <f>grand[[#This Row],[ carcass weight]]/grand[[#This Row],[received]]</f>
        <v>281.0888888888889</v>
      </c>
      <c r="T1370" s="7">
        <f>grand[[#This Row],[ kidneys fat quantity]]/grand[[#This Row],[received]]</f>
        <v>8.7333333333333325</v>
      </c>
      <c r="U1370" s="1">
        <v>24.666666666666668</v>
      </c>
      <c r="V1370" s="1">
        <v>0</v>
      </c>
      <c r="W1370" s="1">
        <v>49.4</v>
      </c>
      <c r="X1370" s="1">
        <v>10</v>
      </c>
      <c r="Y1370" s="1">
        <v>8.5</v>
      </c>
      <c r="Z1370" s="18">
        <f>grand[[#This Row],[av. Transportation loss]]/grand[[#This Row],[av.total weight]]</f>
        <v>2.9839988467637312E-2</v>
      </c>
      <c r="AA1370" s="18">
        <f>AVERAGE((grand[[#This Row],[am]]/25),(grand[[#This Row],[pm]]/50))</f>
        <v>0.9873333333333334</v>
      </c>
      <c r="AB1370" s="3">
        <f>grand[[#This Row],[ carcass weight]]/grand[[#This Row],[total weight]]</f>
        <v>0.60780356542213254</v>
      </c>
      <c r="AC1370" s="18">
        <f>SUM(grand[[#This Row],[am]:[meat transportation]])/100</f>
        <v>0.92566666666666664</v>
      </c>
      <c r="AD1370" s="1" t="s">
        <v>97</v>
      </c>
      <c r="AJ1370" s="1">
        <v>15</v>
      </c>
      <c r="AK1370" s="1"/>
      <c r="AL1370" s="1"/>
    </row>
    <row r="1371" spans="1:38" hidden="1" x14ac:dyDescent="0.2">
      <c r="A1371" s="11">
        <v>45937</v>
      </c>
      <c r="B1371" s="53" t="s">
        <v>2330</v>
      </c>
      <c r="C1371" s="52" t="str">
        <f>IF(MID(B1371,4,2)="09","Ramadan",IF(AND(MID(B1371,4,2)="12",VALUE(LEFT(B1371,2))&lt;=9),"Adha Season","Normal"))</f>
        <v>Normal</v>
      </c>
      <c r="D1371" s="1" t="s">
        <v>45</v>
      </c>
      <c r="E1371" s="1" t="s">
        <v>809</v>
      </c>
      <c r="F1371" s="4" t="s">
        <v>919</v>
      </c>
      <c r="G1371" s="1">
        <v>60</v>
      </c>
      <c r="H1371" s="1">
        <v>60</v>
      </c>
      <c r="I1371" s="1">
        <f>grand[[#This Row],[number]]-grand[[#This Row],[received]]</f>
        <v>0</v>
      </c>
      <c r="J1371" s="30"/>
      <c r="K1371" s="2">
        <v>27970</v>
      </c>
      <c r="L1371" s="2">
        <v>27235</v>
      </c>
      <c r="M1371" s="2">
        <f>K1371-L1371</f>
        <v>735</v>
      </c>
      <c r="N1371" s="2">
        <v>17508.2</v>
      </c>
      <c r="O1371" s="2">
        <v>534</v>
      </c>
      <c r="P1371" s="7">
        <f>grand[[#This Row],[total weight]]/grand[[#This Row],[received]]</f>
        <v>466.16666666666669</v>
      </c>
      <c r="Q1371" s="7">
        <f>grand[[#This Row],[receiving weight]]/grand[[#This Row],[received]]</f>
        <v>453.91666666666669</v>
      </c>
      <c r="R1371" s="7">
        <f>grand[[#This Row],[transportation loss ]]/grand[[#This Row],[received]]</f>
        <v>12.25</v>
      </c>
      <c r="S1371" s="7">
        <f>grand[[#This Row],[ carcass weight]]/grand[[#This Row],[received]]</f>
        <v>291.80333333333334</v>
      </c>
      <c r="T1371" s="7">
        <f>grand[[#This Row],[ kidneys fat quantity]]/grand[[#This Row],[received]]</f>
        <v>8.9</v>
      </c>
      <c r="U1371" s="1">
        <v>25</v>
      </c>
      <c r="V1371" s="1">
        <v>0</v>
      </c>
      <c r="W1371" s="1">
        <v>49.383333333333333</v>
      </c>
      <c r="X1371" s="1">
        <v>10</v>
      </c>
      <c r="Y1371" s="1">
        <v>8.5</v>
      </c>
      <c r="Z1371" s="18">
        <f>grand[[#This Row],[av. Transportation loss]]/grand[[#This Row],[av.total weight]]</f>
        <v>2.6278155166249553E-2</v>
      </c>
      <c r="AA1371" s="18">
        <f>AVERAGE((grand[[#This Row],[am]]/25),(grand[[#This Row],[pm]]/50))</f>
        <v>0.99383333333333335</v>
      </c>
      <c r="AB1371" s="3">
        <f>grand[[#This Row],[ carcass weight]]/grand[[#This Row],[total weight]]</f>
        <v>0.62596353235609581</v>
      </c>
      <c r="AC1371" s="18">
        <f>SUM(grand[[#This Row],[am]:[meat transportation]])/100</f>
        <v>0.92883333333333329</v>
      </c>
      <c r="AD1371" s="1" t="s">
        <v>113</v>
      </c>
      <c r="AJ1371" s="1">
        <v>4</v>
      </c>
      <c r="AK1371" s="1"/>
      <c r="AL1371" s="1"/>
    </row>
    <row r="1372" spans="1:38" hidden="1" x14ac:dyDescent="0.2">
      <c r="A1372" s="11">
        <v>45938</v>
      </c>
      <c r="B1372" s="53" t="s">
        <v>2331</v>
      </c>
      <c r="C1372" s="52" t="str">
        <f>IF(MID(B1372,4,2)="09","Ramadan",IF(AND(MID(B1372,4,2)="12",VALUE(LEFT(B1372,2))&lt;=9),"Adha Season","Normal"))</f>
        <v>Normal</v>
      </c>
      <c r="D1372" s="2" t="s">
        <v>294</v>
      </c>
      <c r="F1372" s="4" t="s">
        <v>656</v>
      </c>
      <c r="G1372" s="1">
        <v>50</v>
      </c>
      <c r="H1372" s="1">
        <v>50</v>
      </c>
      <c r="I1372" s="1">
        <f>grand[[#This Row],[number]]-grand[[#This Row],[received]]</f>
        <v>0</v>
      </c>
      <c r="J1372" s="30"/>
      <c r="K1372" s="2">
        <v>2422</v>
      </c>
      <c r="L1372" s="2">
        <v>2422</v>
      </c>
      <c r="M1372" s="2">
        <f>K1372-L1372</f>
        <v>0</v>
      </c>
      <c r="N1372" s="2">
        <v>1378.5</v>
      </c>
      <c r="O1372" s="2">
        <v>0</v>
      </c>
      <c r="P1372" s="7">
        <f>grand[[#This Row],[total weight]]/grand[[#This Row],[received]]</f>
        <v>48.44</v>
      </c>
      <c r="Q1372" s="7">
        <f>grand[[#This Row],[receiving weight]]/grand[[#This Row],[received]]</f>
        <v>48.44</v>
      </c>
      <c r="R1372" s="7">
        <f>grand[[#This Row],[transportation loss ]]/grand[[#This Row],[received]]</f>
        <v>0</v>
      </c>
      <c r="S1372" s="7">
        <f>grand[[#This Row],[ carcass weight]]/grand[[#This Row],[received]]</f>
        <v>27.57</v>
      </c>
      <c r="T1372" s="7">
        <f>grand[[#This Row],[ kidneys fat quantity]]/grand[[#This Row],[received]]</f>
        <v>0</v>
      </c>
      <c r="U1372" s="1">
        <v>25</v>
      </c>
      <c r="V1372" s="1">
        <v>0</v>
      </c>
      <c r="W1372" s="1">
        <v>48.8</v>
      </c>
      <c r="X1372" s="1">
        <v>10</v>
      </c>
      <c r="Y1372" s="1">
        <v>8.5</v>
      </c>
      <c r="Z1372" s="18">
        <f>grand[[#This Row],[av. Transportation loss]]/grand[[#This Row],[av.total weight]]</f>
        <v>0</v>
      </c>
      <c r="AA1372" s="18">
        <f>AVERAGE((grand[[#This Row],[am]]/25),(grand[[#This Row],[pm]]/50))</f>
        <v>0.98799999999999999</v>
      </c>
      <c r="AB1372" s="3">
        <f>grand[[#This Row],[ carcass weight]]/grand[[#This Row],[total weight]]</f>
        <v>0.56915772089182493</v>
      </c>
      <c r="AC1372" s="18">
        <f>SUM(grand[[#This Row],[am]:[meat transportation]])/100</f>
        <v>0.92299999999999993</v>
      </c>
      <c r="AD1372" s="1" t="s">
        <v>807</v>
      </c>
      <c r="AJ1372" s="1">
        <v>0</v>
      </c>
      <c r="AK1372" s="1"/>
      <c r="AL1372" s="1"/>
    </row>
    <row r="1373" spans="1:38" hidden="1" x14ac:dyDescent="0.2">
      <c r="A1373" s="11">
        <v>45938</v>
      </c>
      <c r="B1373" s="53" t="s">
        <v>2331</v>
      </c>
      <c r="C1373" s="52" t="str">
        <f>IF(MID(B1373,4,2)="09","Ramadan",IF(AND(MID(B1373,4,2)="12",VALUE(LEFT(B1373,2))&lt;=9),"Adha Season","Normal"))</f>
        <v>Normal</v>
      </c>
      <c r="D1373" s="1" t="s">
        <v>45</v>
      </c>
      <c r="E1373" s="1" t="s">
        <v>809</v>
      </c>
      <c r="F1373" s="4" t="s">
        <v>46</v>
      </c>
      <c r="G1373" s="1">
        <v>21</v>
      </c>
      <c r="H1373" s="1">
        <v>21</v>
      </c>
      <c r="I1373" s="1">
        <f>grand[[#This Row],[number]]-grand[[#This Row],[received]]</f>
        <v>0</v>
      </c>
      <c r="J1373" s="30"/>
      <c r="K1373" s="2">
        <v>9628</v>
      </c>
      <c r="L1373" s="2">
        <v>9628</v>
      </c>
      <c r="M1373" s="2">
        <f>K1373-L1373</f>
        <v>0</v>
      </c>
      <c r="N1373" s="2">
        <v>5777</v>
      </c>
      <c r="O1373" s="2">
        <v>206</v>
      </c>
      <c r="P1373" s="7">
        <f>grand[[#This Row],[total weight]]/grand[[#This Row],[received]]</f>
        <v>458.47619047619048</v>
      </c>
      <c r="Q1373" s="7">
        <f>grand[[#This Row],[receiving weight]]/grand[[#This Row],[received]]</f>
        <v>458.47619047619048</v>
      </c>
      <c r="R1373" s="7">
        <f>grand[[#This Row],[transportation loss ]]/grand[[#This Row],[received]]</f>
        <v>0</v>
      </c>
      <c r="S1373" s="7">
        <f>grand[[#This Row],[ carcass weight]]/grand[[#This Row],[received]]</f>
        <v>275.09523809523807</v>
      </c>
      <c r="T1373" s="7">
        <f>grand[[#This Row],[ kidneys fat quantity]]/grand[[#This Row],[received]]</f>
        <v>9.8095238095238102</v>
      </c>
      <c r="U1373" s="1">
        <v>22.61904761904762</v>
      </c>
      <c r="V1373" s="1">
        <v>0</v>
      </c>
      <c r="W1373" s="1">
        <v>44.666666666666664</v>
      </c>
      <c r="X1373" s="1">
        <v>10</v>
      </c>
      <c r="Y1373" s="1">
        <v>8.5</v>
      </c>
      <c r="Z1373" s="18">
        <f>grand[[#This Row],[av. Transportation loss]]/grand[[#This Row],[av.total weight]]</f>
        <v>0</v>
      </c>
      <c r="AA1373" s="18">
        <f>AVERAGE((grand[[#This Row],[am]]/25),(grand[[#This Row],[pm]]/50))</f>
        <v>0.8990476190476191</v>
      </c>
      <c r="AB1373" s="3">
        <f>grand[[#This Row],[ carcass weight]]/grand[[#This Row],[total weight]]</f>
        <v>0.60002077274615706</v>
      </c>
      <c r="AC1373" s="18">
        <f>SUM(grand[[#This Row],[am]:[meat transportation]])/100</f>
        <v>0.85785714285714276</v>
      </c>
      <c r="AD1373" s="1" t="s">
        <v>89</v>
      </c>
      <c r="AJ1373" s="1">
        <v>13</v>
      </c>
      <c r="AK1373" s="1"/>
      <c r="AL1373" s="1"/>
    </row>
    <row r="1374" spans="1:38" hidden="1" x14ac:dyDescent="0.2">
      <c r="A1374" s="11">
        <v>45939</v>
      </c>
      <c r="B1374" s="53" t="s">
        <v>2332</v>
      </c>
      <c r="C1374" s="52" t="str">
        <f>IF(MID(B1374,4,2)="09","Ramadan",IF(AND(MID(B1374,4,2)="12",VALUE(LEFT(B1374,2))&lt;=9),"Adha Season","Normal"))</f>
        <v>Normal</v>
      </c>
      <c r="D1374" s="1" t="s">
        <v>45</v>
      </c>
      <c r="E1374" s="1" t="s">
        <v>809</v>
      </c>
      <c r="F1374" s="4" t="s">
        <v>757</v>
      </c>
      <c r="G1374" s="1">
        <v>85</v>
      </c>
      <c r="H1374" s="1">
        <v>85</v>
      </c>
      <c r="I1374" s="1">
        <f>grand[[#This Row],[number]]-grand[[#This Row],[received]]</f>
        <v>0</v>
      </c>
      <c r="J1374" s="30"/>
      <c r="K1374" s="2">
        <v>40211</v>
      </c>
      <c r="L1374" s="2">
        <v>39265</v>
      </c>
      <c r="M1374" s="2">
        <f>K1374-L1374</f>
        <v>946</v>
      </c>
      <c r="N1374" s="2">
        <v>24176.6</v>
      </c>
      <c r="O1374" s="2">
        <v>801</v>
      </c>
      <c r="P1374" s="7">
        <f>grand[[#This Row],[total weight]]/grand[[#This Row],[received]]</f>
        <v>473.07058823529411</v>
      </c>
      <c r="Q1374" s="7">
        <f>grand[[#This Row],[receiving weight]]/grand[[#This Row],[received]]</f>
        <v>461.94117647058823</v>
      </c>
      <c r="R1374" s="7">
        <f>grand[[#This Row],[transportation loss ]]/grand[[#This Row],[received]]</f>
        <v>11.129411764705882</v>
      </c>
      <c r="S1374" s="7">
        <f>grand[[#This Row],[ carcass weight]]/grand[[#This Row],[received]]</f>
        <v>284.43058823529412</v>
      </c>
      <c r="T1374" s="7">
        <f>grand[[#This Row],[ kidneys fat quantity]]/grand[[#This Row],[received]]</f>
        <v>9.4235294117647062</v>
      </c>
      <c r="U1374" s="1">
        <v>21.705882352941178</v>
      </c>
      <c r="V1374" s="1">
        <v>0</v>
      </c>
      <c r="W1374" s="1">
        <v>45.247058823529407</v>
      </c>
      <c r="X1374" s="1">
        <v>10</v>
      </c>
      <c r="Y1374" s="1">
        <v>8.5</v>
      </c>
      <c r="Z1374" s="18">
        <f>grand[[#This Row],[av. Transportation loss]]/grand[[#This Row],[av.total weight]]</f>
        <v>2.3525900872895477E-2</v>
      </c>
      <c r="AA1374" s="18">
        <f>AVERAGE((grand[[#This Row],[am]]/25),(grand[[#This Row],[pm]]/50))</f>
        <v>0.88658823529411768</v>
      </c>
      <c r="AB1374" s="3">
        <f>grand[[#This Row],[ carcass weight]]/grand[[#This Row],[total weight]]</f>
        <v>0.60124344084951875</v>
      </c>
      <c r="AC1374" s="18">
        <f>SUM(grand[[#This Row],[am]:[meat transportation]])/100</f>
        <v>0.85452941176470587</v>
      </c>
      <c r="AD1374" s="1" t="s">
        <v>808</v>
      </c>
      <c r="AJ1374" s="1">
        <v>69</v>
      </c>
      <c r="AK1374" s="1"/>
      <c r="AL1374" s="1"/>
    </row>
    <row r="1375" spans="1:38" hidden="1" x14ac:dyDescent="0.2">
      <c r="A1375" s="11">
        <v>45941</v>
      </c>
      <c r="B1375" s="53" t="s">
        <v>2333</v>
      </c>
      <c r="C1375" s="52" t="str">
        <f>IF(MID(B1375,4,2)="09","Ramadan",IF(AND(MID(B1375,4,2)="12",VALUE(LEFT(B1375,2))&lt;=9),"Adha Season","Normal"))</f>
        <v>Normal</v>
      </c>
      <c r="D1375" s="2" t="s">
        <v>294</v>
      </c>
      <c r="F1375" s="4" t="s">
        <v>780</v>
      </c>
      <c r="G1375" s="1">
        <v>45</v>
      </c>
      <c r="H1375" s="1">
        <v>45</v>
      </c>
      <c r="I1375" s="1">
        <f>grand[[#This Row],[number]]-grand[[#This Row],[received]]</f>
        <v>0</v>
      </c>
      <c r="J1375" s="30"/>
      <c r="K1375" s="2">
        <v>2174</v>
      </c>
      <c r="L1375" s="2">
        <v>2100</v>
      </c>
      <c r="M1375" s="2">
        <f>K1375-L1375</f>
        <v>74</v>
      </c>
      <c r="N1375" s="2">
        <v>1251</v>
      </c>
      <c r="O1375" s="2">
        <v>0</v>
      </c>
      <c r="P1375" s="7">
        <f>grand[[#This Row],[total weight]]/grand[[#This Row],[received]]</f>
        <v>48.31111111111111</v>
      </c>
      <c r="Q1375" s="7">
        <f>grand[[#This Row],[receiving weight]]/grand[[#This Row],[received]]</f>
        <v>46.666666666666664</v>
      </c>
      <c r="R1375" s="7">
        <f>grand[[#This Row],[transportation loss ]]/grand[[#This Row],[received]]</f>
        <v>1.6444444444444444</v>
      </c>
      <c r="S1375" s="7">
        <f>grand[[#This Row],[ carcass weight]]/grand[[#This Row],[received]]</f>
        <v>27.8</v>
      </c>
      <c r="T1375" s="7">
        <f>grand[[#This Row],[ kidneys fat quantity]]/grand[[#This Row],[received]]</f>
        <v>0</v>
      </c>
      <c r="U1375" s="1">
        <v>25</v>
      </c>
      <c r="V1375" s="1">
        <v>0</v>
      </c>
      <c r="W1375" s="1">
        <v>49.62222222222222</v>
      </c>
      <c r="X1375" s="1">
        <v>10</v>
      </c>
      <c r="Y1375" s="1">
        <v>8.5</v>
      </c>
      <c r="Z1375" s="18">
        <f>grand[[#This Row],[av. Transportation loss]]/grand[[#This Row],[av.total weight]]</f>
        <v>3.4038638454461818E-2</v>
      </c>
      <c r="AA1375" s="18">
        <f>AVERAGE((grand[[#This Row],[am]]/25),(grand[[#This Row],[pm]]/50))</f>
        <v>0.99622222222222212</v>
      </c>
      <c r="AB1375" s="3">
        <f>grand[[#This Row],[ carcass weight]]/grand[[#This Row],[total weight]]</f>
        <v>0.57543698252069919</v>
      </c>
      <c r="AC1375" s="18">
        <f>SUM(grand[[#This Row],[am]:[meat transportation]])/100</f>
        <v>0.93122222222222217</v>
      </c>
      <c r="AD1375" s="1" t="s">
        <v>97</v>
      </c>
      <c r="AJ1375" s="1">
        <v>0</v>
      </c>
      <c r="AK1375" s="1"/>
      <c r="AL1375" s="1"/>
    </row>
    <row r="1376" spans="1:38" hidden="1" x14ac:dyDescent="0.2">
      <c r="A1376" s="11">
        <v>45941</v>
      </c>
      <c r="B1376" s="53" t="s">
        <v>2333</v>
      </c>
      <c r="C1376" s="52" t="str">
        <f>IF(MID(B1376,4,2)="09","Ramadan",IF(AND(MID(B1376,4,2)="12",VALUE(LEFT(B1376,2))&lt;=9),"Adha Season","Normal"))</f>
        <v>Normal</v>
      </c>
      <c r="D1376" s="1" t="s">
        <v>45</v>
      </c>
      <c r="E1376" s="1" t="s">
        <v>809</v>
      </c>
      <c r="F1376" s="4" t="s">
        <v>746</v>
      </c>
      <c r="G1376" s="1">
        <v>35</v>
      </c>
      <c r="H1376" s="1">
        <v>35</v>
      </c>
      <c r="I1376" s="1">
        <f>grand[[#This Row],[number]]-grand[[#This Row],[received]]</f>
        <v>0</v>
      </c>
      <c r="J1376" s="30"/>
      <c r="K1376" s="2">
        <v>18308</v>
      </c>
      <c r="L1376" s="2">
        <v>17470</v>
      </c>
      <c r="M1376" s="2">
        <f>K1376-L1376</f>
        <v>838</v>
      </c>
      <c r="N1376" s="2">
        <v>10984.9</v>
      </c>
      <c r="O1376" s="2">
        <v>431</v>
      </c>
      <c r="P1376" s="7">
        <f>grand[[#This Row],[total weight]]/grand[[#This Row],[received]]</f>
        <v>523.08571428571429</v>
      </c>
      <c r="Q1376" s="7">
        <f>grand[[#This Row],[receiving weight]]/grand[[#This Row],[received]]</f>
        <v>499.14285714285717</v>
      </c>
      <c r="R1376" s="7">
        <f>grand[[#This Row],[transportation loss ]]/grand[[#This Row],[received]]</f>
        <v>23.942857142857143</v>
      </c>
      <c r="S1376" s="7">
        <f>grand[[#This Row],[ carcass weight]]/grand[[#This Row],[received]]</f>
        <v>313.85428571428571</v>
      </c>
      <c r="T1376" s="7">
        <f>grand[[#This Row],[ kidneys fat quantity]]/grand[[#This Row],[received]]</f>
        <v>12.314285714285715</v>
      </c>
      <c r="U1376" s="1">
        <v>23.285714285714285</v>
      </c>
      <c r="V1376" s="1">
        <v>0</v>
      </c>
      <c r="W1376" s="1">
        <v>49.228571428571421</v>
      </c>
      <c r="X1376" s="1">
        <v>10</v>
      </c>
      <c r="Y1376" s="1">
        <v>8.5</v>
      </c>
      <c r="Z1376" s="18">
        <f>grand[[#This Row],[av. Transportation loss]]/grand[[#This Row],[av.total weight]]</f>
        <v>4.5772339960672932E-2</v>
      </c>
      <c r="AA1376" s="18">
        <f>AVERAGE((grand[[#This Row],[am]]/25),(grand[[#This Row],[pm]]/50))</f>
        <v>0.95799999999999996</v>
      </c>
      <c r="AB1376" s="3">
        <f>grand[[#This Row],[ carcass weight]]/grand[[#This Row],[total weight]]</f>
        <v>0.60000546209307404</v>
      </c>
      <c r="AC1376" s="18">
        <f>SUM(grand[[#This Row],[am]:[meat transportation]])/100</f>
        <v>0.91014285714285703</v>
      </c>
      <c r="AD1376" s="1" t="s">
        <v>460</v>
      </c>
      <c r="AJ1376" s="1">
        <v>22</v>
      </c>
      <c r="AK1376" s="1"/>
      <c r="AL1376" s="1"/>
    </row>
    <row r="1377" spans="1:38" hidden="1" x14ac:dyDescent="0.2">
      <c r="A1377" s="11">
        <v>45943</v>
      </c>
      <c r="B1377" s="53" t="s">
        <v>2335</v>
      </c>
      <c r="C1377" s="52" t="str">
        <f>IF(MID(B1377,4,2)="09","Ramadan",IF(AND(MID(B1377,4,2)="12",VALUE(LEFT(B1377,2))&lt;=9),"Adha Season","Normal"))</f>
        <v>Normal</v>
      </c>
      <c r="D1377" s="2" t="s">
        <v>294</v>
      </c>
      <c r="F1377" s="4" t="s">
        <v>165</v>
      </c>
      <c r="G1377" s="1">
        <v>30</v>
      </c>
      <c r="H1377" s="1">
        <v>30</v>
      </c>
      <c r="I1377" s="1">
        <f>grand[[#This Row],[number]]-grand[[#This Row],[received]]</f>
        <v>0</v>
      </c>
      <c r="J1377" s="30"/>
      <c r="K1377" s="2">
        <v>1555</v>
      </c>
      <c r="L1377" s="2">
        <v>1490</v>
      </c>
      <c r="M1377" s="2">
        <f>K1377-L1377</f>
        <v>65</v>
      </c>
      <c r="N1377" s="2">
        <v>842</v>
      </c>
      <c r="O1377" s="2">
        <v>0</v>
      </c>
      <c r="P1377" s="7">
        <f>grand[[#This Row],[total weight]]/grand[[#This Row],[received]]</f>
        <v>51.833333333333336</v>
      </c>
      <c r="Q1377" s="7">
        <f>grand[[#This Row],[receiving weight]]/grand[[#This Row],[received]]</f>
        <v>49.666666666666664</v>
      </c>
      <c r="R1377" s="7">
        <f>grand[[#This Row],[transportation loss ]]/grand[[#This Row],[received]]</f>
        <v>2.1666666666666665</v>
      </c>
      <c r="S1377" s="7">
        <f>grand[[#This Row],[ carcass weight]]/grand[[#This Row],[received]]</f>
        <v>28.066666666666666</v>
      </c>
      <c r="T1377" s="7">
        <f>grand[[#This Row],[ kidneys fat quantity]]/grand[[#This Row],[received]]</f>
        <v>0</v>
      </c>
      <c r="U1377" s="1">
        <v>25</v>
      </c>
      <c r="V1377" s="1">
        <v>0</v>
      </c>
      <c r="W1377" s="1">
        <v>49.033333333333331</v>
      </c>
      <c r="X1377" s="1">
        <v>10</v>
      </c>
      <c r="Y1377" s="1">
        <v>8.5</v>
      </c>
      <c r="Z1377" s="18">
        <f>grand[[#This Row],[av. Transportation loss]]/grand[[#This Row],[av.total weight]]</f>
        <v>4.1800643086816719E-2</v>
      </c>
      <c r="AA1377" s="18">
        <f>AVERAGE((grand[[#This Row],[am]]/25),(grand[[#This Row],[pm]]/50))</f>
        <v>0.99033333333333329</v>
      </c>
      <c r="AB1377" s="3">
        <f>grand[[#This Row],[ carcass weight]]/grand[[#This Row],[total weight]]</f>
        <v>0.54147909967845664</v>
      </c>
      <c r="AC1377" s="18">
        <f>SUM(grand[[#This Row],[am]:[meat transportation]])/100</f>
        <v>0.92533333333333334</v>
      </c>
      <c r="AD1377" s="1" t="s">
        <v>170</v>
      </c>
      <c r="AJ1377" s="1">
        <v>0</v>
      </c>
      <c r="AK1377" s="1"/>
      <c r="AL1377" s="1"/>
    </row>
    <row r="1378" spans="1:38" hidden="1" x14ac:dyDescent="0.2">
      <c r="A1378" s="11">
        <v>45943</v>
      </c>
      <c r="B1378" s="53" t="s">
        <v>2335</v>
      </c>
      <c r="C1378" s="52" t="str">
        <f>IF(MID(B1378,4,2)="09","Ramadan",IF(AND(MID(B1378,4,2)="12",VALUE(LEFT(B1378,2))&lt;=9),"Adha Season","Normal"))</f>
        <v>Normal</v>
      </c>
      <c r="D1378" s="1" t="s">
        <v>45</v>
      </c>
      <c r="E1378" s="1" t="s">
        <v>809</v>
      </c>
      <c r="F1378" s="4" t="s">
        <v>815</v>
      </c>
      <c r="G1378" s="1">
        <v>48</v>
      </c>
      <c r="H1378" s="1">
        <v>48</v>
      </c>
      <c r="I1378" s="1">
        <f>grand[[#This Row],[number]]-grand[[#This Row],[received]]</f>
        <v>0</v>
      </c>
      <c r="J1378" s="30"/>
      <c r="K1378" s="2">
        <v>25198</v>
      </c>
      <c r="L1378" s="2">
        <v>24685</v>
      </c>
      <c r="M1378" s="2">
        <f>K1378-L1378</f>
        <v>513</v>
      </c>
      <c r="N1378" s="2">
        <v>16497.8</v>
      </c>
      <c r="O1378" s="2">
        <v>553</v>
      </c>
      <c r="P1378" s="7">
        <f>grand[[#This Row],[total weight]]/grand[[#This Row],[received]]</f>
        <v>524.95833333333337</v>
      </c>
      <c r="Q1378" s="7">
        <f>grand[[#This Row],[receiving weight]]/grand[[#This Row],[received]]</f>
        <v>514.27083333333337</v>
      </c>
      <c r="R1378" s="7">
        <f>grand[[#This Row],[transportation loss ]]/grand[[#This Row],[received]]</f>
        <v>10.6875</v>
      </c>
      <c r="S1378" s="7">
        <f>grand[[#This Row],[ carcass weight]]/grand[[#This Row],[received]]</f>
        <v>343.70416666666665</v>
      </c>
      <c r="T1378" s="7">
        <f>grand[[#This Row],[ kidneys fat quantity]]/grand[[#This Row],[received]]</f>
        <v>11.520833333333334</v>
      </c>
      <c r="U1378" s="1">
        <v>25</v>
      </c>
      <c r="V1378" s="1">
        <v>0</v>
      </c>
      <c r="W1378" s="1">
        <v>47.625</v>
      </c>
      <c r="X1378" s="1">
        <v>10</v>
      </c>
      <c r="Y1378" s="1">
        <v>8.5</v>
      </c>
      <c r="Z1378" s="18">
        <f>grand[[#This Row],[av. Transportation loss]]/grand[[#This Row],[av.total weight]]</f>
        <v>2.0358758631637431E-2</v>
      </c>
      <c r="AA1378" s="18">
        <f>AVERAGE((grand[[#This Row],[am]]/25),(grand[[#This Row],[pm]]/50))</f>
        <v>0.97625000000000006</v>
      </c>
      <c r="AB1378" s="3">
        <f>grand[[#This Row],[ carcass weight]]/grand[[#This Row],[total weight]]</f>
        <v>0.6547265656004444</v>
      </c>
      <c r="AC1378" s="18">
        <f>SUM(grand[[#This Row],[am]:[meat transportation]])/100</f>
        <v>0.91125</v>
      </c>
      <c r="AD1378" s="1" t="s">
        <v>783</v>
      </c>
      <c r="AJ1378" s="1">
        <v>7</v>
      </c>
      <c r="AK1378" s="1"/>
      <c r="AL1378" s="1"/>
    </row>
    <row r="1379" spans="1:38" hidden="1" x14ac:dyDescent="0.2">
      <c r="A1379" s="11">
        <v>45944</v>
      </c>
      <c r="B1379" s="53" t="s">
        <v>2336</v>
      </c>
      <c r="C1379" s="52" t="str">
        <f>IF(MID(B1379,4,2)="09","Ramadan",IF(AND(MID(B1379,4,2)="12",VALUE(LEFT(B1379,2))&lt;=9),"Adha Season","Normal"))</f>
        <v>Normal</v>
      </c>
      <c r="D1379" s="1" t="s">
        <v>45</v>
      </c>
      <c r="E1379" s="1" t="s">
        <v>809</v>
      </c>
      <c r="F1379" s="4" t="s">
        <v>165</v>
      </c>
      <c r="G1379" s="1">
        <v>37</v>
      </c>
      <c r="H1379" s="1">
        <v>37</v>
      </c>
      <c r="I1379" s="1">
        <f>grand[[#This Row],[number]]-grand[[#This Row],[received]]</f>
        <v>0</v>
      </c>
      <c r="J1379" s="30"/>
      <c r="K1379" s="2">
        <v>16755</v>
      </c>
      <c r="L1379" s="2">
        <v>16375</v>
      </c>
      <c r="M1379" s="2">
        <f>K1379-L1379</f>
        <v>380</v>
      </c>
      <c r="N1379" s="2">
        <v>10063.5</v>
      </c>
      <c r="O1379" s="2">
        <v>358</v>
      </c>
      <c r="P1379" s="7">
        <f>grand[[#This Row],[total weight]]/grand[[#This Row],[received]]</f>
        <v>452.83783783783781</v>
      </c>
      <c r="Q1379" s="7">
        <f>grand[[#This Row],[receiving weight]]/grand[[#This Row],[received]]</f>
        <v>442.56756756756755</v>
      </c>
      <c r="R1379" s="7">
        <f>grand[[#This Row],[transportation loss ]]/grand[[#This Row],[received]]</f>
        <v>10.27027027027027</v>
      </c>
      <c r="S1379" s="7">
        <f>grand[[#This Row],[ carcass weight]]/grand[[#This Row],[received]]</f>
        <v>271.98648648648651</v>
      </c>
      <c r="T1379" s="7">
        <f>grand[[#This Row],[ kidneys fat quantity]]/grand[[#This Row],[received]]</f>
        <v>9.6756756756756754</v>
      </c>
      <c r="U1379" s="1">
        <v>23.378378378378379</v>
      </c>
      <c r="V1379" s="1">
        <v>0</v>
      </c>
      <c r="W1379" s="1">
        <v>47.54054054054054</v>
      </c>
      <c r="X1379" s="1">
        <v>10</v>
      </c>
      <c r="Y1379" s="1">
        <v>8.5</v>
      </c>
      <c r="Z1379" s="18">
        <f>grand[[#This Row],[av. Transportation loss]]/grand[[#This Row],[av.total weight]]</f>
        <v>2.2679797075499851E-2</v>
      </c>
      <c r="AA1379" s="18">
        <f>AVERAGE((grand[[#This Row],[am]]/25),(grand[[#This Row],[pm]]/50))</f>
        <v>0.942972972972973</v>
      </c>
      <c r="AB1379" s="3">
        <f>grand[[#This Row],[ carcass weight]]/grand[[#This Row],[total weight]]</f>
        <v>0.60062667860340202</v>
      </c>
      <c r="AC1379" s="18">
        <f>SUM(grand[[#This Row],[am]:[meat transportation]])/100</f>
        <v>0.89418918918918922</v>
      </c>
      <c r="AD1379" s="1" t="s">
        <v>784</v>
      </c>
      <c r="AJ1379" s="1">
        <v>13</v>
      </c>
      <c r="AK1379" s="1"/>
      <c r="AL1379" s="1"/>
    </row>
    <row r="1380" spans="1:38" hidden="1" x14ac:dyDescent="0.2">
      <c r="A1380" s="11">
        <v>45946</v>
      </c>
      <c r="B1380" s="53" t="s">
        <v>2338</v>
      </c>
      <c r="C1380" s="52" t="str">
        <f>IF(MID(B1380,4,2)="09","Ramadan",IF(AND(MID(B1380,4,2)="12",VALUE(LEFT(B1380,2))&lt;=9),"Adha Season","Normal"))</f>
        <v>Normal</v>
      </c>
      <c r="D1380" s="2" t="s">
        <v>294</v>
      </c>
      <c r="F1380" s="4" t="s">
        <v>780</v>
      </c>
      <c r="G1380" s="1">
        <v>30</v>
      </c>
      <c r="H1380" s="1">
        <v>30</v>
      </c>
      <c r="I1380" s="1">
        <f>grand[[#This Row],[number]]-grand[[#This Row],[received]]</f>
        <v>0</v>
      </c>
      <c r="J1380" s="30"/>
      <c r="K1380" s="2">
        <v>1468</v>
      </c>
      <c r="L1380" s="2">
        <v>1410</v>
      </c>
      <c r="M1380" s="2">
        <f>K1380-L1380</f>
        <v>58</v>
      </c>
      <c r="N1380" s="2">
        <v>844.5</v>
      </c>
      <c r="O1380" s="2">
        <v>0</v>
      </c>
      <c r="P1380" s="7">
        <f>grand[[#This Row],[total weight]]/grand[[#This Row],[received]]</f>
        <v>48.93333333333333</v>
      </c>
      <c r="Q1380" s="7">
        <f>grand[[#This Row],[receiving weight]]/grand[[#This Row],[received]]</f>
        <v>47</v>
      </c>
      <c r="R1380" s="7">
        <f>grand[[#This Row],[transportation loss ]]/grand[[#This Row],[received]]</f>
        <v>1.9333333333333333</v>
      </c>
      <c r="S1380" s="7">
        <f>grand[[#This Row],[ carcass weight]]/grand[[#This Row],[received]]</f>
        <v>28.15</v>
      </c>
      <c r="T1380" s="7">
        <f>grand[[#This Row],[ kidneys fat quantity]]/grand[[#This Row],[received]]</f>
        <v>0</v>
      </c>
      <c r="U1380" s="1">
        <v>25</v>
      </c>
      <c r="V1380" s="1">
        <v>0</v>
      </c>
      <c r="W1380" s="1">
        <v>46.4</v>
      </c>
      <c r="X1380" s="1">
        <v>10</v>
      </c>
      <c r="Y1380" s="1">
        <v>8.5</v>
      </c>
      <c r="Z1380" s="18">
        <f>grand[[#This Row],[av. Transportation loss]]/grand[[#This Row],[av.total weight]]</f>
        <v>3.9509536784741145E-2</v>
      </c>
      <c r="AA1380" s="18">
        <f>AVERAGE((grand[[#This Row],[am]]/25),(grand[[#This Row],[pm]]/50))</f>
        <v>0.96399999999999997</v>
      </c>
      <c r="AB1380" s="3">
        <f>grand[[#This Row],[ carcass weight]]/grand[[#This Row],[total weight]]</f>
        <v>0.57527247956403271</v>
      </c>
      <c r="AC1380" s="18">
        <f>SUM(grand[[#This Row],[am]:[meat transportation]])/100</f>
        <v>0.89900000000000002</v>
      </c>
      <c r="AD1380" s="1" t="s">
        <v>786</v>
      </c>
      <c r="AJ1380" s="1">
        <v>0</v>
      </c>
      <c r="AK1380" s="1"/>
      <c r="AL1380" s="1"/>
    </row>
    <row r="1381" spans="1:38" hidden="1" x14ac:dyDescent="0.2">
      <c r="A1381" s="11">
        <v>45946</v>
      </c>
      <c r="B1381" s="53" t="s">
        <v>2338</v>
      </c>
      <c r="C1381" s="52" t="str">
        <f>IF(MID(B1381,4,2)="09","Ramadan",IF(AND(MID(B1381,4,2)="12",VALUE(LEFT(B1381,2))&lt;=9),"Adha Season","Normal"))</f>
        <v>Normal</v>
      </c>
      <c r="D1381" s="1" t="s">
        <v>45</v>
      </c>
      <c r="E1381" s="1" t="s">
        <v>809</v>
      </c>
      <c r="F1381" s="4" t="s">
        <v>757</v>
      </c>
      <c r="G1381" s="1">
        <v>78</v>
      </c>
      <c r="H1381" s="1">
        <v>78</v>
      </c>
      <c r="I1381" s="1">
        <f>grand[[#This Row],[number]]-grand[[#This Row],[received]]</f>
        <v>0</v>
      </c>
      <c r="J1381" s="30"/>
      <c r="K1381" s="2">
        <v>33218</v>
      </c>
      <c r="L1381" s="2">
        <v>33130</v>
      </c>
      <c r="M1381" s="2">
        <f>K1381-L1381</f>
        <v>88</v>
      </c>
      <c r="N1381" s="2">
        <v>19929.900000000001</v>
      </c>
      <c r="O1381" s="2">
        <v>570</v>
      </c>
      <c r="P1381" s="7">
        <f>grand[[#This Row],[total weight]]/grand[[#This Row],[received]]</f>
        <v>425.87179487179486</v>
      </c>
      <c r="Q1381" s="7">
        <f>grand[[#This Row],[receiving weight]]/grand[[#This Row],[received]]</f>
        <v>424.74358974358972</v>
      </c>
      <c r="R1381" s="7">
        <f>grand[[#This Row],[transportation loss ]]/grand[[#This Row],[received]]</f>
        <v>1.1282051282051282</v>
      </c>
      <c r="S1381" s="7">
        <f>grand[[#This Row],[ carcass weight]]/grand[[#This Row],[received]]</f>
        <v>255.51153846153849</v>
      </c>
      <c r="T1381" s="7">
        <f>grand[[#This Row],[ kidneys fat quantity]]/grand[[#This Row],[received]]</f>
        <v>7.3076923076923075</v>
      </c>
      <c r="U1381" s="1">
        <v>25</v>
      </c>
      <c r="V1381" s="1">
        <v>0</v>
      </c>
      <c r="W1381" s="1">
        <v>48.602564102564109</v>
      </c>
      <c r="X1381" s="1">
        <v>10</v>
      </c>
      <c r="Y1381" s="1">
        <v>8.5</v>
      </c>
      <c r="Z1381" s="18">
        <f>grand[[#This Row],[av. Transportation loss]]/grand[[#This Row],[av.total weight]]</f>
        <v>2.6491661147570594E-3</v>
      </c>
      <c r="AA1381" s="18">
        <f>AVERAGE((grand[[#This Row],[am]]/25),(grand[[#This Row],[pm]]/50))</f>
        <v>0.98602564102564116</v>
      </c>
      <c r="AB1381" s="3">
        <f>grand[[#This Row],[ carcass weight]]/grand[[#This Row],[total weight]]</f>
        <v>0.59997290625564459</v>
      </c>
      <c r="AC1381" s="18">
        <f>SUM(grand[[#This Row],[am]:[meat transportation]])/100</f>
        <v>0.92102564102564122</v>
      </c>
      <c r="AD1381" s="1" t="s">
        <v>787</v>
      </c>
      <c r="AJ1381" s="1">
        <v>21</v>
      </c>
      <c r="AK1381" s="1"/>
      <c r="AL1381" s="1"/>
    </row>
    <row r="1382" spans="1:38" hidden="1" x14ac:dyDescent="0.2">
      <c r="A1382" s="11">
        <v>45948</v>
      </c>
      <c r="B1382" s="53" t="s">
        <v>2339</v>
      </c>
      <c r="C1382" s="52" t="str">
        <f>IF(MID(B1382,4,2)="09","Ramadan",IF(AND(MID(B1382,4,2)="12",VALUE(LEFT(B1382,2))&lt;=9),"Adha Season","Normal"))</f>
        <v>Normal</v>
      </c>
      <c r="D1382" s="2" t="s">
        <v>294</v>
      </c>
      <c r="F1382" s="4" t="s">
        <v>780</v>
      </c>
      <c r="G1382" s="1">
        <v>40</v>
      </c>
      <c r="H1382" s="1">
        <v>40</v>
      </c>
      <c r="I1382" s="1">
        <f>grand[[#This Row],[number]]-grand[[#This Row],[received]]</f>
        <v>0</v>
      </c>
      <c r="J1382" s="30"/>
      <c r="K1382" s="2">
        <v>1936</v>
      </c>
      <c r="L1382" s="2">
        <v>1936</v>
      </c>
      <c r="M1382" s="2">
        <f>K1382-L1382</f>
        <v>0</v>
      </c>
      <c r="N1382" s="2">
        <v>1094</v>
      </c>
      <c r="O1382" s="2">
        <v>0</v>
      </c>
      <c r="P1382" s="7">
        <f>grand[[#This Row],[total weight]]/grand[[#This Row],[received]]</f>
        <v>48.4</v>
      </c>
      <c r="Q1382" s="7">
        <f>grand[[#This Row],[receiving weight]]/grand[[#This Row],[received]]</f>
        <v>48.4</v>
      </c>
      <c r="R1382" s="7">
        <f>grand[[#This Row],[transportation loss ]]/grand[[#This Row],[received]]</f>
        <v>0</v>
      </c>
      <c r="S1382" s="7">
        <f>grand[[#This Row],[ carcass weight]]/grand[[#This Row],[received]]</f>
        <v>27.35</v>
      </c>
      <c r="T1382" s="7">
        <f>grand[[#This Row],[ kidneys fat quantity]]/grand[[#This Row],[received]]</f>
        <v>0</v>
      </c>
      <c r="U1382" s="1">
        <v>25</v>
      </c>
      <c r="V1382" s="1">
        <v>0</v>
      </c>
      <c r="W1382" s="1">
        <v>48.900000000000006</v>
      </c>
      <c r="X1382" s="1">
        <v>10</v>
      </c>
      <c r="Y1382" s="1">
        <v>8.5</v>
      </c>
      <c r="Z1382" s="18">
        <f>grand[[#This Row],[av. Transportation loss]]/grand[[#This Row],[av.total weight]]</f>
        <v>0</v>
      </c>
      <c r="AA1382" s="18">
        <f>AVERAGE((grand[[#This Row],[am]]/25),(grand[[#This Row],[pm]]/50))</f>
        <v>0.9890000000000001</v>
      </c>
      <c r="AB1382" s="3">
        <f>grand[[#This Row],[ carcass weight]]/grand[[#This Row],[total weight]]</f>
        <v>0.56508264462809921</v>
      </c>
      <c r="AC1382" s="18">
        <f>SUM(grand[[#This Row],[am]:[meat transportation]])/100</f>
        <v>0.92400000000000004</v>
      </c>
      <c r="AD1382" s="1" t="s">
        <v>789</v>
      </c>
      <c r="AJ1382" s="1">
        <v>0</v>
      </c>
      <c r="AK1382" s="1"/>
      <c r="AL1382" s="1"/>
    </row>
    <row r="1383" spans="1:38" hidden="1" x14ac:dyDescent="0.2">
      <c r="A1383" s="11">
        <v>45950</v>
      </c>
      <c r="B1383" s="53" t="s">
        <v>2341</v>
      </c>
      <c r="C1383" s="52" t="str">
        <f>IF(MID(B1383,4,2)="09","Ramadan",IF(AND(MID(B1383,4,2)="12",VALUE(LEFT(B1383,2))&lt;=9),"Adha Season","Normal"))</f>
        <v>Normal</v>
      </c>
      <c r="D1383" s="2" t="s">
        <v>294</v>
      </c>
      <c r="F1383" s="4" t="s">
        <v>780</v>
      </c>
      <c r="G1383" s="1">
        <v>37</v>
      </c>
      <c r="H1383" s="1">
        <v>37</v>
      </c>
      <c r="I1383" s="1">
        <f>grand[[#This Row],[number]]-grand[[#This Row],[received]]</f>
        <v>0</v>
      </c>
      <c r="J1383" s="30"/>
      <c r="K1383" s="2">
        <v>1811</v>
      </c>
      <c r="L1383" s="2">
        <v>1750</v>
      </c>
      <c r="M1383" s="2">
        <f>K1383-L1383</f>
        <v>61</v>
      </c>
      <c r="N1383" s="2">
        <v>1030.7</v>
      </c>
      <c r="O1383" s="2">
        <v>0</v>
      </c>
      <c r="P1383" s="7">
        <f>grand[[#This Row],[total weight]]/grand[[#This Row],[received]]</f>
        <v>48.945945945945944</v>
      </c>
      <c r="Q1383" s="7">
        <f>grand[[#This Row],[receiving weight]]/grand[[#This Row],[received]]</f>
        <v>47.297297297297298</v>
      </c>
      <c r="R1383" s="7">
        <f>grand[[#This Row],[transportation loss ]]/grand[[#This Row],[received]]</f>
        <v>1.6486486486486487</v>
      </c>
      <c r="S1383" s="7">
        <f>grand[[#This Row],[ carcass weight]]/grand[[#This Row],[received]]</f>
        <v>27.856756756756759</v>
      </c>
      <c r="T1383" s="7">
        <f>grand[[#This Row],[ kidneys fat quantity]]/grand[[#This Row],[received]]</f>
        <v>0</v>
      </c>
      <c r="U1383" s="1">
        <v>25</v>
      </c>
      <c r="V1383" s="1">
        <v>0</v>
      </c>
      <c r="W1383" s="1">
        <v>48.810810810810807</v>
      </c>
      <c r="X1383" s="1">
        <v>10</v>
      </c>
      <c r="Y1383" s="1">
        <v>8.5</v>
      </c>
      <c r="Z1383" s="18">
        <f>grand[[#This Row],[av. Transportation loss]]/grand[[#This Row],[av.total weight]]</f>
        <v>3.3683048039757045E-2</v>
      </c>
      <c r="AA1383" s="18">
        <f>AVERAGE((grand[[#This Row],[am]]/25),(grand[[#This Row],[pm]]/50))</f>
        <v>0.98810810810810801</v>
      </c>
      <c r="AB1383" s="3">
        <f>grand[[#This Row],[ carcass weight]]/grand[[#This Row],[total weight]]</f>
        <v>0.56913307564881288</v>
      </c>
      <c r="AC1383" s="18">
        <f>SUM(grand[[#This Row],[am]:[meat transportation]])/100</f>
        <v>0.92310810810810806</v>
      </c>
      <c r="AD1383" s="1" t="s">
        <v>794</v>
      </c>
      <c r="AJ1383" s="1">
        <v>0</v>
      </c>
      <c r="AK1383" s="1"/>
      <c r="AL1383" s="1"/>
    </row>
    <row r="1384" spans="1:38" hidden="1" x14ac:dyDescent="0.2">
      <c r="A1384" s="11">
        <v>45950</v>
      </c>
      <c r="B1384" s="53" t="s">
        <v>2341</v>
      </c>
      <c r="C1384" s="52" t="str">
        <f>IF(MID(B1384,4,2)="09","Ramadan",IF(AND(MID(B1384,4,2)="12",VALUE(LEFT(B1384,2))&lt;=9),"Adha Season","Normal"))</f>
        <v>Normal</v>
      </c>
      <c r="D1384" s="1" t="s">
        <v>45</v>
      </c>
      <c r="E1384" s="1" t="s">
        <v>809</v>
      </c>
      <c r="F1384" s="4" t="s">
        <v>46</v>
      </c>
      <c r="G1384" s="1">
        <v>30</v>
      </c>
      <c r="H1384" s="1">
        <v>30</v>
      </c>
      <c r="I1384" s="1">
        <f>grand[[#This Row],[number]]-grand[[#This Row],[received]]</f>
        <v>0</v>
      </c>
      <c r="J1384" s="30"/>
      <c r="K1384" s="2">
        <v>13261</v>
      </c>
      <c r="L1384" s="2">
        <v>13261</v>
      </c>
      <c r="M1384" s="2">
        <f>K1384-L1384</f>
        <v>0</v>
      </c>
      <c r="N1384" s="2">
        <v>7956.6</v>
      </c>
      <c r="O1384" s="2">
        <v>271</v>
      </c>
      <c r="P1384" s="7">
        <f>grand[[#This Row],[total weight]]/grand[[#This Row],[received]]</f>
        <v>442.03333333333336</v>
      </c>
      <c r="Q1384" s="7">
        <f>grand[[#This Row],[receiving weight]]/grand[[#This Row],[received]]</f>
        <v>442.03333333333336</v>
      </c>
      <c r="R1384" s="7">
        <f>grand[[#This Row],[transportation loss ]]/grand[[#This Row],[received]]</f>
        <v>0</v>
      </c>
      <c r="S1384" s="7">
        <f>grand[[#This Row],[ carcass weight]]/grand[[#This Row],[received]]</f>
        <v>265.22000000000003</v>
      </c>
      <c r="T1384" s="7">
        <f>grand[[#This Row],[ kidneys fat quantity]]/grand[[#This Row],[received]]</f>
        <v>9.0333333333333332</v>
      </c>
      <c r="U1384" s="1">
        <v>25</v>
      </c>
      <c r="V1384" s="1">
        <v>0</v>
      </c>
      <c r="W1384" s="1">
        <v>48.066666666666663</v>
      </c>
      <c r="X1384" s="1">
        <v>10</v>
      </c>
      <c r="Y1384" s="1">
        <v>8.5</v>
      </c>
      <c r="Z1384" s="18">
        <f>grand[[#This Row],[av. Transportation loss]]/grand[[#This Row],[av.total weight]]</f>
        <v>0</v>
      </c>
      <c r="AA1384" s="18">
        <f>AVERAGE((grand[[#This Row],[am]]/25),(grand[[#This Row],[pm]]/50))</f>
        <v>0.98066666666666658</v>
      </c>
      <c r="AB1384" s="3">
        <f>grand[[#This Row],[ carcass weight]]/grand[[#This Row],[total weight]]</f>
        <v>0.6</v>
      </c>
      <c r="AC1384" s="18">
        <f>SUM(grand[[#This Row],[am]:[meat transportation]])/100</f>
        <v>0.91566666666666663</v>
      </c>
      <c r="AD1384" s="1" t="s">
        <v>793</v>
      </c>
      <c r="AJ1384" s="1">
        <v>19</v>
      </c>
      <c r="AK1384" s="1"/>
      <c r="AL1384" s="1"/>
    </row>
    <row r="1385" spans="1:38" hidden="1" x14ac:dyDescent="0.2">
      <c r="A1385" s="11">
        <v>45950</v>
      </c>
      <c r="B1385" s="53" t="s">
        <v>2341</v>
      </c>
      <c r="C1385" s="52" t="str">
        <f>IF(MID(B1385,4,2)="09","Ramadan",IF(AND(MID(B1385,4,2)="12",VALUE(LEFT(B1385,2))&lt;=9),"Adha Season","Normal"))</f>
        <v>Normal</v>
      </c>
      <c r="D1385" s="1" t="s">
        <v>45</v>
      </c>
      <c r="E1385" s="1" t="s">
        <v>809</v>
      </c>
      <c r="F1385" s="4" t="s">
        <v>550</v>
      </c>
      <c r="G1385" s="1">
        <v>29</v>
      </c>
      <c r="H1385" s="1">
        <v>29</v>
      </c>
      <c r="I1385" s="1">
        <f>grand[[#This Row],[number]]-grand[[#This Row],[received]]</f>
        <v>0</v>
      </c>
      <c r="J1385" s="30"/>
      <c r="K1385" s="2">
        <v>12210</v>
      </c>
      <c r="L1385" s="2">
        <v>12210</v>
      </c>
      <c r="M1385" s="2">
        <f>K1385-L1385</f>
        <v>0</v>
      </c>
      <c r="N1385" s="2">
        <v>7326.5</v>
      </c>
      <c r="O1385" s="2">
        <v>192</v>
      </c>
      <c r="P1385" s="7">
        <f>grand[[#This Row],[total weight]]/grand[[#This Row],[received]]</f>
        <v>421.0344827586207</v>
      </c>
      <c r="Q1385" s="7">
        <f>grand[[#This Row],[receiving weight]]/grand[[#This Row],[received]]</f>
        <v>421.0344827586207</v>
      </c>
      <c r="R1385" s="7">
        <f>grand[[#This Row],[transportation loss ]]/grand[[#This Row],[received]]</f>
        <v>0</v>
      </c>
      <c r="S1385" s="7">
        <f>grand[[#This Row],[ carcass weight]]/grand[[#This Row],[received]]</f>
        <v>252.63793103448276</v>
      </c>
      <c r="T1385" s="7">
        <f>grand[[#This Row],[ kidneys fat quantity]]/grand[[#This Row],[received]]</f>
        <v>6.6206896551724137</v>
      </c>
      <c r="U1385" s="1">
        <v>25</v>
      </c>
      <c r="V1385" s="1">
        <v>0</v>
      </c>
      <c r="W1385" s="1">
        <v>47.655172413793103</v>
      </c>
      <c r="X1385" s="1">
        <v>10</v>
      </c>
      <c r="Y1385" s="1">
        <v>8.5</v>
      </c>
      <c r="Z1385" s="18">
        <f>grand[[#This Row],[av. Transportation loss]]/grand[[#This Row],[av.total weight]]</f>
        <v>0</v>
      </c>
      <c r="AA1385" s="18">
        <f>AVERAGE((grand[[#This Row],[am]]/25),(grand[[#This Row],[pm]]/50))</f>
        <v>0.97655172413793101</v>
      </c>
      <c r="AB1385" s="3">
        <f>grand[[#This Row],[ carcass weight]]/grand[[#This Row],[total weight]]</f>
        <v>0.60004095004095004</v>
      </c>
      <c r="AC1385" s="18">
        <f>SUM(grand[[#This Row],[am]:[meat transportation]])/100</f>
        <v>0.91155172413793106</v>
      </c>
      <c r="AD1385" s="1" t="s">
        <v>792</v>
      </c>
      <c r="AJ1385" s="1">
        <v>14</v>
      </c>
      <c r="AK1385" s="1"/>
      <c r="AL1385" s="1"/>
    </row>
    <row r="1386" spans="1:38" hidden="1" x14ac:dyDescent="0.2">
      <c r="A1386" s="11">
        <v>45952</v>
      </c>
      <c r="B1386" s="53" t="s">
        <v>2343</v>
      </c>
      <c r="C1386" s="52" t="str">
        <f>IF(MID(B1386,4,2)="09","Ramadan",IF(AND(MID(B1386,4,2)="12",VALUE(LEFT(B1386,2))&lt;=9),"Adha Season","Normal"))</f>
        <v>Normal</v>
      </c>
      <c r="D1386" s="1" t="s">
        <v>45</v>
      </c>
      <c r="E1386" s="1" t="s">
        <v>528</v>
      </c>
      <c r="F1386" s="4" t="s">
        <v>752</v>
      </c>
      <c r="G1386" s="1">
        <v>38</v>
      </c>
      <c r="H1386" s="1">
        <v>38</v>
      </c>
      <c r="I1386" s="1">
        <f>grand[[#This Row],[number]]-grand[[#This Row],[received]]</f>
        <v>0</v>
      </c>
      <c r="J1386" s="30"/>
      <c r="K1386" s="2">
        <f>grand[[#This Row],[ carcass weight]]*100/63.2</f>
        <v>19427.689873417719</v>
      </c>
      <c r="L1386" s="2">
        <f>grand[[#This Row],[total weight]]</f>
        <v>19427.689873417719</v>
      </c>
      <c r="M1386" s="2">
        <f>K1386-L1386</f>
        <v>0</v>
      </c>
      <c r="N1386" s="2">
        <v>12278.3</v>
      </c>
      <c r="O1386" s="2">
        <v>0</v>
      </c>
      <c r="P1386" s="7">
        <f>grand[[#This Row],[total weight]]/grand[[#This Row],[received]]</f>
        <v>511.25499666888737</v>
      </c>
      <c r="Q1386" s="7">
        <f>grand[[#This Row],[receiving weight]]/grand[[#This Row],[received]]</f>
        <v>511.25499666888737</v>
      </c>
      <c r="R1386" s="7">
        <f>grand[[#This Row],[transportation loss ]]/grand[[#This Row],[received]]</f>
        <v>0</v>
      </c>
      <c r="S1386" s="7">
        <f>grand[[#This Row],[ carcass weight]]/grand[[#This Row],[received]]</f>
        <v>323.11315789473684</v>
      </c>
      <c r="T1386" s="7">
        <f>grand[[#This Row],[ kidneys fat quantity]]/grand[[#This Row],[received]]</f>
        <v>0</v>
      </c>
      <c r="U1386" s="1">
        <v>25</v>
      </c>
      <c r="V1386" s="1">
        <v>0</v>
      </c>
      <c r="W1386" s="1">
        <v>49.868421052631575</v>
      </c>
      <c r="X1386" s="1">
        <v>10</v>
      </c>
      <c r="Y1386" s="1">
        <v>8.5</v>
      </c>
      <c r="Z1386" s="18">
        <f>grand[[#This Row],[av. Transportation loss]]/grand[[#This Row],[av.total weight]]</f>
        <v>0</v>
      </c>
      <c r="AA1386" s="18">
        <f>AVERAGE((grand[[#This Row],[am]]/25),(grand[[#This Row],[pm]]/50))</f>
        <v>0.99868421052631573</v>
      </c>
      <c r="AB1386" s="3">
        <f>grand[[#This Row],[ carcass weight]]/grand[[#This Row],[total weight]]</f>
        <v>0.63200000000000001</v>
      </c>
      <c r="AC1386" s="18">
        <f>SUM(grand[[#This Row],[am]:[meat transportation]])/100</f>
        <v>0.93368421052631578</v>
      </c>
      <c r="AD1386" s="1" t="s">
        <v>412</v>
      </c>
      <c r="AJ1386" s="1">
        <v>8</v>
      </c>
      <c r="AK1386" s="1"/>
      <c r="AL1386" s="1"/>
    </row>
    <row r="1387" spans="1:38" hidden="1" x14ac:dyDescent="0.2">
      <c r="A1387" s="11">
        <v>45955</v>
      </c>
      <c r="B1387" s="53" t="s">
        <v>2345</v>
      </c>
      <c r="C1387" s="52" t="str">
        <f>IF(MID(B1387,4,2)="09","Ramadan",IF(AND(MID(B1387,4,2)="12",VALUE(LEFT(B1387,2))&lt;=9),"Adha Season","Normal"))</f>
        <v>Normal</v>
      </c>
      <c r="D1387" s="1" t="s">
        <v>45</v>
      </c>
      <c r="E1387" s="1" t="s">
        <v>809</v>
      </c>
      <c r="F1387" s="4" t="s">
        <v>799</v>
      </c>
      <c r="G1387" s="1">
        <v>50</v>
      </c>
      <c r="H1387" s="1">
        <v>50</v>
      </c>
      <c r="I1387" s="1">
        <f>grand[[#This Row],[number]]-grand[[#This Row],[received]]</f>
        <v>0</v>
      </c>
      <c r="J1387" s="30"/>
      <c r="K1387" s="2">
        <v>21890</v>
      </c>
      <c r="L1387" s="2">
        <v>21240</v>
      </c>
      <c r="M1387" s="2">
        <f>K1387-L1387</f>
        <v>650</v>
      </c>
      <c r="N1387" s="2">
        <v>13447.6</v>
      </c>
      <c r="O1387" s="2">
        <v>373</v>
      </c>
      <c r="P1387" s="7">
        <f>grand[[#This Row],[total weight]]/grand[[#This Row],[received]]</f>
        <v>437.8</v>
      </c>
      <c r="Q1387" s="7">
        <f>grand[[#This Row],[receiving weight]]/grand[[#This Row],[received]]</f>
        <v>424.8</v>
      </c>
      <c r="R1387" s="7">
        <f>grand[[#This Row],[transportation loss ]]/grand[[#This Row],[received]]</f>
        <v>13</v>
      </c>
      <c r="S1387" s="7">
        <f>grand[[#This Row],[ carcass weight]]/grand[[#This Row],[received]]</f>
        <v>268.952</v>
      </c>
      <c r="T1387" s="7">
        <f>grand[[#This Row],[ kidneys fat quantity]]/grand[[#This Row],[received]]</f>
        <v>7.46</v>
      </c>
      <c r="U1387" s="1">
        <v>25</v>
      </c>
      <c r="V1387" s="1">
        <v>0</v>
      </c>
      <c r="W1387" s="1">
        <v>44.32</v>
      </c>
      <c r="X1387" s="1">
        <v>10</v>
      </c>
      <c r="Y1387" s="1">
        <v>8.5</v>
      </c>
      <c r="Z1387" s="18">
        <f>grand[[#This Row],[av. Transportation loss]]/grand[[#This Row],[av.total weight]]</f>
        <v>2.9693924166285975E-2</v>
      </c>
      <c r="AA1387" s="18">
        <f>AVERAGE((grand[[#This Row],[am]]/25),(grand[[#This Row],[pm]]/50))</f>
        <v>0.94320000000000004</v>
      </c>
      <c r="AB1387" s="3">
        <f>grand[[#This Row],[ carcass weight]]/grand[[#This Row],[total weight]]</f>
        <v>0.61432617633622666</v>
      </c>
      <c r="AC1387" s="18">
        <f>SUM(grand[[#This Row],[am]:[meat transportation]])/100</f>
        <v>0.87819999999999998</v>
      </c>
      <c r="AD1387" s="1" t="s">
        <v>777</v>
      </c>
      <c r="AJ1387" s="1">
        <v>18</v>
      </c>
      <c r="AK1387" s="1"/>
      <c r="AL1387" s="1"/>
    </row>
    <row r="1388" spans="1:38" hidden="1" x14ac:dyDescent="0.2">
      <c r="A1388" s="11">
        <v>45957</v>
      </c>
      <c r="B1388" s="53" t="s">
        <v>2347</v>
      </c>
      <c r="C1388" s="52" t="str">
        <f>IF(MID(B1388,4,2)="09","Ramadan",IF(AND(MID(B1388,4,2)="12",VALUE(LEFT(B1388,2))&lt;=9),"Adha Season","Normal"))</f>
        <v>Normal</v>
      </c>
      <c r="D1388" s="2" t="s">
        <v>294</v>
      </c>
      <c r="F1388" s="4" t="s">
        <v>165</v>
      </c>
      <c r="G1388" s="1">
        <v>33</v>
      </c>
      <c r="H1388" s="1">
        <v>33</v>
      </c>
      <c r="I1388" s="1">
        <f>grand[[#This Row],[number]]-grand[[#This Row],[received]]</f>
        <v>0</v>
      </c>
      <c r="J1388" s="30"/>
      <c r="K1388" s="2">
        <v>1747</v>
      </c>
      <c r="L1388" s="2">
        <v>1660</v>
      </c>
      <c r="M1388" s="2">
        <f>K1388-L1388</f>
        <v>87</v>
      </c>
      <c r="N1388" s="2">
        <v>963</v>
      </c>
      <c r="O1388" s="2">
        <v>0</v>
      </c>
      <c r="P1388" s="7">
        <f>grand[[#This Row],[total weight]]/grand[[#This Row],[received]]</f>
        <v>52.939393939393938</v>
      </c>
      <c r="Q1388" s="7">
        <f>grand[[#This Row],[receiving weight]]/grand[[#This Row],[received]]</f>
        <v>50.303030303030305</v>
      </c>
      <c r="R1388" s="7">
        <f>grand[[#This Row],[transportation loss ]]/grand[[#This Row],[received]]</f>
        <v>2.6363636363636362</v>
      </c>
      <c r="S1388" s="7">
        <f>grand[[#This Row],[ carcass weight]]/grand[[#This Row],[received]]</f>
        <v>29.181818181818183</v>
      </c>
      <c r="T1388" s="7">
        <f>grand[[#This Row],[ kidneys fat quantity]]/grand[[#This Row],[received]]</f>
        <v>0</v>
      </c>
      <c r="U1388" s="1">
        <v>25</v>
      </c>
      <c r="V1388" s="1">
        <v>0</v>
      </c>
      <c r="W1388" s="1">
        <v>44.333333333333329</v>
      </c>
      <c r="X1388" s="1">
        <v>10</v>
      </c>
      <c r="Y1388" s="1">
        <v>8.5</v>
      </c>
      <c r="Z1388" s="18">
        <f>grand[[#This Row],[av. Transportation loss]]/grand[[#This Row],[av.total weight]]</f>
        <v>4.9799656554092728E-2</v>
      </c>
      <c r="AA1388" s="18">
        <f>AVERAGE((grand[[#This Row],[am]]/25),(grand[[#This Row],[pm]]/50))</f>
        <v>0.94333333333333336</v>
      </c>
      <c r="AB1388" s="3">
        <f>grand[[#This Row],[ carcass weight]]/grand[[#This Row],[total weight]]</f>
        <v>0.55123068116771612</v>
      </c>
      <c r="AC1388" s="18">
        <f>SUM(grand[[#This Row],[am]:[meat transportation]])/100</f>
        <v>0.8783333333333333</v>
      </c>
      <c r="AD1388" s="1" t="s">
        <v>792</v>
      </c>
      <c r="AJ1388" s="1">
        <v>0</v>
      </c>
      <c r="AK1388" s="1"/>
      <c r="AL1388" s="1"/>
    </row>
    <row r="1389" spans="1:38" hidden="1" x14ac:dyDescent="0.2">
      <c r="A1389" s="11">
        <v>45957</v>
      </c>
      <c r="B1389" s="53" t="s">
        <v>2347</v>
      </c>
      <c r="C1389" s="52" t="str">
        <f>IF(MID(B1389,4,2)="09","Ramadan",IF(AND(MID(B1389,4,2)="12",VALUE(LEFT(B1389,2))&lt;=9),"Adha Season","Normal"))</f>
        <v>Normal</v>
      </c>
      <c r="D1389" s="1" t="s">
        <v>45</v>
      </c>
      <c r="E1389" s="1" t="s">
        <v>809</v>
      </c>
      <c r="F1389" s="4" t="s">
        <v>815</v>
      </c>
      <c r="G1389" s="1">
        <v>50</v>
      </c>
      <c r="H1389" s="1">
        <v>50</v>
      </c>
      <c r="I1389" s="1">
        <f>grand[[#This Row],[number]]-grand[[#This Row],[received]]</f>
        <v>0</v>
      </c>
      <c r="J1389" s="30"/>
      <c r="K1389" s="2">
        <v>26952</v>
      </c>
      <c r="L1389" s="2">
        <v>26365</v>
      </c>
      <c r="M1389" s="2">
        <f>K1389-L1389</f>
        <v>587</v>
      </c>
      <c r="N1389" s="2">
        <v>17223.400000000001</v>
      </c>
      <c r="O1389" s="2">
        <v>600</v>
      </c>
      <c r="P1389" s="7">
        <f>grand[[#This Row],[total weight]]/grand[[#This Row],[received]]</f>
        <v>539.04</v>
      </c>
      <c r="Q1389" s="7">
        <f>grand[[#This Row],[receiving weight]]/grand[[#This Row],[received]]</f>
        <v>527.29999999999995</v>
      </c>
      <c r="R1389" s="7">
        <f>grand[[#This Row],[transportation loss ]]/grand[[#This Row],[received]]</f>
        <v>11.74</v>
      </c>
      <c r="S1389" s="7">
        <f>grand[[#This Row],[ carcass weight]]/grand[[#This Row],[received]]</f>
        <v>344.46800000000002</v>
      </c>
      <c r="T1389" s="7">
        <f>grand[[#This Row],[ kidneys fat quantity]]/grand[[#This Row],[received]]</f>
        <v>12</v>
      </c>
      <c r="U1389" s="1">
        <v>25</v>
      </c>
      <c r="V1389" s="1">
        <v>0</v>
      </c>
      <c r="W1389" s="1">
        <v>49.180000000000007</v>
      </c>
      <c r="X1389" s="1">
        <v>10</v>
      </c>
      <c r="Y1389" s="1">
        <v>8.5</v>
      </c>
      <c r="Z1389" s="18">
        <f>grand[[#This Row],[av. Transportation loss]]/grand[[#This Row],[av.total weight]]</f>
        <v>2.1779459780350254E-2</v>
      </c>
      <c r="AA1389" s="18">
        <f>AVERAGE((grand[[#This Row],[am]]/25),(grand[[#This Row],[pm]]/50))</f>
        <v>0.99180000000000001</v>
      </c>
      <c r="AB1389" s="3">
        <f>grand[[#This Row],[ carcass weight]]/grand[[#This Row],[total weight]]</f>
        <v>0.63903977441377269</v>
      </c>
      <c r="AC1389" s="18">
        <f>SUM(grand[[#This Row],[am]:[meat transportation]])/100</f>
        <v>0.92680000000000007</v>
      </c>
      <c r="AD1389" s="1" t="s">
        <v>802</v>
      </c>
      <c r="AJ1389" s="1">
        <v>18</v>
      </c>
      <c r="AK1389" s="1"/>
      <c r="AL1389" s="1"/>
    </row>
    <row r="1390" spans="1:38" hidden="1" x14ac:dyDescent="0.2">
      <c r="A1390" s="11">
        <v>45959</v>
      </c>
      <c r="B1390" s="53" t="s">
        <v>2349</v>
      </c>
      <c r="C1390" s="52" t="str">
        <f>IF(MID(B1390,4,2)="09","Ramadan",IF(AND(MID(B1390,4,2)="12",VALUE(LEFT(B1390,2))&lt;=9),"Adha Season","Normal"))</f>
        <v>Normal</v>
      </c>
      <c r="D1390" s="2" t="s">
        <v>294</v>
      </c>
      <c r="F1390" s="4" t="s">
        <v>165</v>
      </c>
      <c r="G1390" s="1">
        <v>35</v>
      </c>
      <c r="H1390" s="1">
        <v>35</v>
      </c>
      <c r="I1390" s="1">
        <f>grand[[#This Row],[number]]-grand[[#This Row],[received]]</f>
        <v>0</v>
      </c>
      <c r="J1390" s="30"/>
      <c r="K1390" s="2">
        <v>1935</v>
      </c>
      <c r="L1390" s="2">
        <v>1905</v>
      </c>
      <c r="M1390" s="2">
        <f>K1390-L1390</f>
        <v>30</v>
      </c>
      <c r="N1390" s="2">
        <v>1158.5999999999999</v>
      </c>
      <c r="O1390" s="2">
        <v>0</v>
      </c>
      <c r="P1390" s="7">
        <f>grand[[#This Row],[total weight]]/grand[[#This Row],[received]]</f>
        <v>55.285714285714285</v>
      </c>
      <c r="Q1390" s="7">
        <f>grand[[#This Row],[receiving weight]]/grand[[#This Row],[received]]</f>
        <v>54.428571428571431</v>
      </c>
      <c r="R1390" s="7">
        <f>grand[[#This Row],[transportation loss ]]/grand[[#This Row],[received]]</f>
        <v>0.8571428571428571</v>
      </c>
      <c r="S1390" s="7">
        <f>grand[[#This Row],[ carcass weight]]/grand[[#This Row],[received]]</f>
        <v>33.10285714285714</v>
      </c>
      <c r="T1390" s="7">
        <f>grand[[#This Row],[ kidneys fat quantity]]/grand[[#This Row],[received]]</f>
        <v>0</v>
      </c>
      <c r="U1390" s="1">
        <v>25</v>
      </c>
      <c r="V1390" s="1">
        <v>0</v>
      </c>
      <c r="W1390" s="1">
        <v>44.857142857142854</v>
      </c>
      <c r="X1390" s="1">
        <v>10</v>
      </c>
      <c r="Y1390" s="1">
        <v>8.5</v>
      </c>
      <c r="Z1390" s="18">
        <f>grand[[#This Row],[av. Transportation loss]]/grand[[#This Row],[av.total weight]]</f>
        <v>1.5503875968992248E-2</v>
      </c>
      <c r="AA1390" s="18">
        <f>AVERAGE((grand[[#This Row],[am]]/25),(grand[[#This Row],[pm]]/50))</f>
        <v>0.94857142857142862</v>
      </c>
      <c r="AB1390" s="3">
        <f>grand[[#This Row],[ carcass weight]]/grand[[#This Row],[total weight]]</f>
        <v>0.59875968992248052</v>
      </c>
      <c r="AC1390" s="18">
        <f>SUM(grand[[#This Row],[am]:[meat transportation]])/100</f>
        <v>0.88357142857142856</v>
      </c>
      <c r="AD1390" s="1" t="s">
        <v>803</v>
      </c>
      <c r="AJ1390" s="1">
        <v>0</v>
      </c>
      <c r="AK1390" s="1"/>
      <c r="AL1390" s="1"/>
    </row>
    <row r="1391" spans="1:38" hidden="1" x14ac:dyDescent="0.2">
      <c r="A1391" s="11">
        <v>45960</v>
      </c>
      <c r="B1391" s="53" t="s">
        <v>2350</v>
      </c>
      <c r="C1391" s="52" t="str">
        <f>IF(MID(B1391,4,2)="09","Ramadan",IF(AND(MID(B1391,4,2)="12",VALUE(LEFT(B1391,2))&lt;=9),"Adha Season","Normal"))</f>
        <v>Normal</v>
      </c>
      <c r="D1391" s="1" t="s">
        <v>45</v>
      </c>
      <c r="E1391" s="1" t="s">
        <v>528</v>
      </c>
      <c r="F1391" s="4" t="s">
        <v>770</v>
      </c>
      <c r="G1391" s="1">
        <v>32</v>
      </c>
      <c r="H1391" s="1">
        <v>32</v>
      </c>
      <c r="I1391" s="1">
        <f>grand[[#This Row],[number]]-grand[[#This Row],[received]]</f>
        <v>0</v>
      </c>
      <c r="J1391" s="30"/>
      <c r="K1391" s="2">
        <f>grand[[#This Row],[ carcass weight]]*100/63.2</f>
        <v>15889.240506329113</v>
      </c>
      <c r="L1391" s="2">
        <f>grand[[#This Row],[total weight]]</f>
        <v>15889.240506329113</v>
      </c>
      <c r="M1391" s="2">
        <f>K1391-L1391</f>
        <v>0</v>
      </c>
      <c r="N1391" s="2">
        <v>10042</v>
      </c>
      <c r="O1391" s="2">
        <v>0</v>
      </c>
      <c r="P1391" s="7">
        <f>grand[[#This Row],[total weight]]/grand[[#This Row],[received]]</f>
        <v>496.5387658227848</v>
      </c>
      <c r="Q1391" s="7">
        <f>grand[[#This Row],[receiving weight]]/grand[[#This Row],[received]]</f>
        <v>496.5387658227848</v>
      </c>
      <c r="R1391" s="7">
        <f>grand[[#This Row],[transportation loss ]]/grand[[#This Row],[received]]</f>
        <v>0</v>
      </c>
      <c r="S1391" s="7">
        <f>grand[[#This Row],[ carcass weight]]/grand[[#This Row],[received]]</f>
        <v>313.8125</v>
      </c>
      <c r="T1391" s="7">
        <f>grand[[#This Row],[ kidneys fat quantity]]/grand[[#This Row],[received]]</f>
        <v>0</v>
      </c>
      <c r="U1391" s="1">
        <v>25</v>
      </c>
      <c r="V1391" s="1">
        <v>0</v>
      </c>
      <c r="W1391" s="1">
        <v>48.5625</v>
      </c>
      <c r="X1391" s="1">
        <v>10</v>
      </c>
      <c r="Y1391" s="1">
        <v>8.5</v>
      </c>
      <c r="Z1391" s="18">
        <f>grand[[#This Row],[av. Transportation loss]]/grand[[#This Row],[av.total weight]]</f>
        <v>0</v>
      </c>
      <c r="AA1391" s="18">
        <f>AVERAGE((grand[[#This Row],[am]]/25),(grand[[#This Row],[pm]]/50))</f>
        <v>0.98562499999999997</v>
      </c>
      <c r="AB1391" s="3">
        <f>grand[[#This Row],[ carcass weight]]/grand[[#This Row],[total weight]]</f>
        <v>0.63200000000000001</v>
      </c>
      <c r="AC1391" s="18">
        <f>SUM(grand[[#This Row],[am]:[meat transportation]])/100</f>
        <v>0.92062500000000003</v>
      </c>
      <c r="AD1391" s="1" t="s">
        <v>805</v>
      </c>
      <c r="AK1391" s="1"/>
      <c r="AL1391" s="1"/>
    </row>
    <row r="1392" spans="1:38" hidden="1" x14ac:dyDescent="0.2">
      <c r="A1392" s="11">
        <v>45963</v>
      </c>
      <c r="B1392" s="53" t="s">
        <v>2351</v>
      </c>
      <c r="C1392" s="52" t="str">
        <f>IF(MID(B1392,4,2)="09","Ramadan",IF(AND(MID(B1392,4,2)="12",VALUE(LEFT(B1392,2))&lt;=9),"Adha Season","Normal"))</f>
        <v>Normal</v>
      </c>
      <c r="D1392" s="2" t="s">
        <v>294</v>
      </c>
      <c r="F1392" s="4" t="s">
        <v>780</v>
      </c>
      <c r="G1392" s="1">
        <v>31</v>
      </c>
      <c r="H1392">
        <v>31</v>
      </c>
      <c r="I1392">
        <f>grand[[#This Row],[number]]-grand[[#This Row],[received]]</f>
        <v>0</v>
      </c>
      <c r="J1392" s="30"/>
      <c r="K1392" s="2">
        <v>1580</v>
      </c>
      <c r="L1392" s="2">
        <v>1530</v>
      </c>
      <c r="M1392" s="2">
        <f>K1392-L1392</f>
        <v>50</v>
      </c>
      <c r="N1392" s="2">
        <v>912.5</v>
      </c>
      <c r="O1392" s="2">
        <v>0</v>
      </c>
      <c r="P1392" s="7">
        <f>grand[[#This Row],[total weight]]/grand[[#This Row],[received]]</f>
        <v>50.967741935483872</v>
      </c>
      <c r="Q1392" s="7">
        <f>grand[[#This Row],[receiving weight]]/grand[[#This Row],[received]]</f>
        <v>49.354838709677416</v>
      </c>
      <c r="R1392" s="7">
        <f>grand[[#This Row],[transportation loss ]]/grand[[#This Row],[received]]</f>
        <v>1.6129032258064515</v>
      </c>
      <c r="S1392" s="7">
        <f>grand[[#This Row],[ carcass weight]]/grand[[#This Row],[received]]</f>
        <v>29.43548387096774</v>
      </c>
      <c r="T1392" s="7">
        <f>grand[[#This Row],[ kidneys fat quantity]]/grand[[#This Row],[received]]</f>
        <v>0</v>
      </c>
      <c r="U1392">
        <v>25</v>
      </c>
      <c r="V1392">
        <v>0</v>
      </c>
      <c r="W1392">
        <v>46.516129032258064</v>
      </c>
      <c r="X1392">
        <v>10</v>
      </c>
      <c r="Y1392" s="1">
        <v>8.5</v>
      </c>
      <c r="Z1392" s="18">
        <f>grand[[#This Row],[av. Transportation loss]]/grand[[#This Row],[av.total weight]]</f>
        <v>3.164556962025316E-2</v>
      </c>
      <c r="AA1392" s="18">
        <f>AVERAGE((grand[[#This Row],[am]]/25),(grand[[#This Row],[pm]]/50))</f>
        <v>0.96516129032258058</v>
      </c>
      <c r="AB1392" s="3">
        <f>grand[[#This Row],[ carcass weight]]/grand[[#This Row],[total weight]]</f>
        <v>0.57753164556962022</v>
      </c>
      <c r="AC1392" s="18">
        <f>SUM(grand[[#This Row],[am]:[meat transportation]])/100</f>
        <v>0.90016129032258063</v>
      </c>
      <c r="AD1392" s="2" t="s">
        <v>838</v>
      </c>
      <c r="AE1392" s="2"/>
      <c r="AF1392" s="2"/>
      <c r="AG1392" s="2"/>
      <c r="AH1392" s="2"/>
      <c r="AI1392" s="2"/>
      <c r="AJ1392" s="2">
        <v>0</v>
      </c>
      <c r="AK1392" s="1"/>
      <c r="AL1392" s="1"/>
    </row>
    <row r="1393" spans="1:38" hidden="1" x14ac:dyDescent="0.2">
      <c r="A1393" s="11">
        <v>45964</v>
      </c>
      <c r="B1393" s="53" t="s">
        <v>2352</v>
      </c>
      <c r="C1393" s="52" t="str">
        <f>IF(MID(B1393,4,2)="09","Ramadan",IF(AND(MID(B1393,4,2)="12",VALUE(LEFT(B1393,2))&lt;=9),"Adha Season","Normal"))</f>
        <v>Normal</v>
      </c>
      <c r="D1393" s="1" t="s">
        <v>45</v>
      </c>
      <c r="E1393" s="1" t="s">
        <v>528</v>
      </c>
      <c r="F1393" s="4" t="s">
        <v>770</v>
      </c>
      <c r="G1393" s="1">
        <v>35</v>
      </c>
      <c r="H1393">
        <v>35</v>
      </c>
      <c r="I1393">
        <f>grand[[#This Row],[number]]-grand[[#This Row],[received]]</f>
        <v>0</v>
      </c>
      <c r="J1393" s="30"/>
      <c r="K1393" s="2">
        <v>17056.012658227846</v>
      </c>
      <c r="L1393" s="2">
        <v>17056.012658227846</v>
      </c>
      <c r="M1393" s="2">
        <f>K1393-L1393</f>
        <v>0</v>
      </c>
      <c r="N1393" s="2">
        <v>10779.4</v>
      </c>
      <c r="O1393" s="2">
        <v>0</v>
      </c>
      <c r="P1393" s="7">
        <f>grand[[#This Row],[total weight]]/grand[[#This Row],[received]]</f>
        <v>487.31464737793846</v>
      </c>
      <c r="Q1393" s="7">
        <f>grand[[#This Row],[receiving weight]]/grand[[#This Row],[received]]</f>
        <v>487.31464737793846</v>
      </c>
      <c r="R1393" s="7">
        <f>grand[[#This Row],[transportation loss ]]/grand[[#This Row],[received]]</f>
        <v>0</v>
      </c>
      <c r="S1393" s="7">
        <f>grand[[#This Row],[ carcass weight]]/grand[[#This Row],[received]]</f>
        <v>307.98285714285714</v>
      </c>
      <c r="T1393" s="7">
        <f>grand[[#This Row],[ kidneys fat quantity]]/grand[[#This Row],[received]]</f>
        <v>0</v>
      </c>
      <c r="U1393">
        <v>25</v>
      </c>
      <c r="V1393">
        <v>4</v>
      </c>
      <c r="W1393">
        <v>50</v>
      </c>
      <c r="X1393">
        <v>10</v>
      </c>
      <c r="Y1393" s="1">
        <v>8.5</v>
      </c>
      <c r="Z1393" s="18">
        <f>grand[[#This Row],[av. Transportation loss]]/grand[[#This Row],[av.total weight]]</f>
        <v>0</v>
      </c>
      <c r="AA1393" s="18">
        <f>AVERAGE((grand[[#This Row],[am]]/25),(grand[[#This Row],[pm]]/50))</f>
        <v>1</v>
      </c>
      <c r="AB1393" s="3">
        <f>grand[[#This Row],[ carcass weight]]/grand[[#This Row],[total weight]]</f>
        <v>0.63200000000000001</v>
      </c>
      <c r="AC1393" s="18">
        <f>SUM(grand[[#This Row],[am]:[meat transportation]])/100</f>
        <v>0.97499999999999998</v>
      </c>
      <c r="AD1393" s="2"/>
      <c r="AE1393" s="2"/>
      <c r="AF1393" s="2"/>
      <c r="AG1393" s="2"/>
      <c r="AH1393" s="2"/>
      <c r="AI1393" s="2"/>
      <c r="AJ1393" s="2"/>
      <c r="AK1393" s="1"/>
      <c r="AL1393" s="1"/>
    </row>
    <row r="1394" spans="1:38" hidden="1" x14ac:dyDescent="0.2">
      <c r="A1394" s="11">
        <v>45965</v>
      </c>
      <c r="B1394" s="53" t="s">
        <v>2353</v>
      </c>
      <c r="C1394" s="52" t="str">
        <f>IF(MID(B1394,4,2)="09","Ramadan",IF(AND(MID(B1394,4,2)="12",VALUE(LEFT(B1394,2))&lt;=9),"Adha Season","Normal"))</f>
        <v>Normal</v>
      </c>
      <c r="D1394" s="2" t="s">
        <v>294</v>
      </c>
      <c r="F1394" s="4" t="s">
        <v>749</v>
      </c>
      <c r="G1394" s="1">
        <v>38</v>
      </c>
      <c r="H1394">
        <v>38</v>
      </c>
      <c r="I1394">
        <f>grand[[#This Row],[number]]-grand[[#This Row],[received]]</f>
        <v>0</v>
      </c>
      <c r="J1394" s="30"/>
      <c r="K1394" s="2">
        <v>2099</v>
      </c>
      <c r="L1394" s="2">
        <v>1995</v>
      </c>
      <c r="M1394" s="2">
        <f>K1394-L1394</f>
        <v>104</v>
      </c>
      <c r="N1394" s="2">
        <v>1147.3</v>
      </c>
      <c r="O1394" s="2">
        <v>0</v>
      </c>
      <c r="P1394" s="7">
        <f>grand[[#This Row],[total weight]]/grand[[#This Row],[received]]</f>
        <v>55.236842105263158</v>
      </c>
      <c r="Q1394" s="7">
        <f>grand[[#This Row],[receiving weight]]/grand[[#This Row],[received]]</f>
        <v>52.5</v>
      </c>
      <c r="R1394" s="7">
        <f>grand[[#This Row],[transportation loss ]]/grand[[#This Row],[received]]</f>
        <v>2.736842105263158</v>
      </c>
      <c r="S1394" s="7">
        <f>grand[[#This Row],[ carcass weight]]/grand[[#This Row],[received]]</f>
        <v>30.192105263157895</v>
      </c>
      <c r="T1394" s="7">
        <f>grand[[#This Row],[ kidneys fat quantity]]/grand[[#This Row],[received]]</f>
        <v>0</v>
      </c>
      <c r="U1394">
        <v>25</v>
      </c>
      <c r="V1394">
        <v>0</v>
      </c>
      <c r="W1394">
        <v>47.026315789473685</v>
      </c>
      <c r="X1394">
        <v>10</v>
      </c>
      <c r="Y1394" s="1">
        <v>8.5</v>
      </c>
      <c r="Z1394" s="18">
        <f>grand[[#This Row],[av. Transportation loss]]/grand[[#This Row],[av.total weight]]</f>
        <v>4.954740352548833E-2</v>
      </c>
      <c r="AA1394" s="18">
        <f>AVERAGE((grand[[#This Row],[am]]/25),(grand[[#This Row],[pm]]/50))</f>
        <v>0.97026315789473683</v>
      </c>
      <c r="AB1394" s="3">
        <f>grand[[#This Row],[ carcass weight]]/grand[[#This Row],[total weight]]</f>
        <v>0.54659361600762268</v>
      </c>
      <c r="AC1394" s="18">
        <f>SUM(grand[[#This Row],[am]:[meat transportation]])/100</f>
        <v>0.90526315789473688</v>
      </c>
      <c r="AD1394" s="2" t="s">
        <v>870</v>
      </c>
      <c r="AE1394" s="2"/>
      <c r="AF1394" s="2"/>
      <c r="AG1394" s="2"/>
      <c r="AH1394" s="2"/>
      <c r="AI1394" s="2"/>
      <c r="AJ1394" s="2">
        <v>0</v>
      </c>
      <c r="AK1394" s="1"/>
      <c r="AL1394" s="1"/>
    </row>
    <row r="1395" spans="1:38" hidden="1" x14ac:dyDescent="0.2">
      <c r="A1395" s="11">
        <v>45966</v>
      </c>
      <c r="B1395" s="53" t="s">
        <v>2354</v>
      </c>
      <c r="C1395" s="52" t="str">
        <f>IF(MID(B1395,4,2)="09","Ramadan",IF(AND(MID(B1395,4,2)="12",VALUE(LEFT(B1395,2))&lt;=9),"Adha Season","Normal"))</f>
        <v>Normal</v>
      </c>
      <c r="D1395" s="1" t="s">
        <v>45</v>
      </c>
      <c r="E1395" s="1" t="s">
        <v>483</v>
      </c>
      <c r="F1395" s="4" t="s">
        <v>746</v>
      </c>
      <c r="G1395" s="1">
        <v>47</v>
      </c>
      <c r="H1395">
        <v>47</v>
      </c>
      <c r="I1395">
        <f>grand[[#This Row],[number]]-grand[[#This Row],[received]]</f>
        <v>0</v>
      </c>
      <c r="J1395" s="30"/>
      <c r="K1395" s="2">
        <v>23410</v>
      </c>
      <c r="L1395" s="2">
        <v>23410</v>
      </c>
      <c r="M1395" s="2">
        <f>K1395-L1395</f>
        <v>0</v>
      </c>
      <c r="N1395" s="2">
        <v>14046.9</v>
      </c>
      <c r="O1395" s="2">
        <v>450</v>
      </c>
      <c r="P1395" s="7">
        <f>grand[[#This Row],[total weight]]/grand[[#This Row],[received]]</f>
        <v>498.08510638297872</v>
      </c>
      <c r="Q1395" s="7">
        <f>grand[[#This Row],[receiving weight]]/grand[[#This Row],[received]]</f>
        <v>498.08510638297872</v>
      </c>
      <c r="R1395" s="7">
        <f>grand[[#This Row],[transportation loss ]]/grand[[#This Row],[received]]</f>
        <v>0</v>
      </c>
      <c r="S1395" s="7">
        <f>grand[[#This Row],[ carcass weight]]/grand[[#This Row],[received]]</f>
        <v>298.87021276595743</v>
      </c>
      <c r="T1395" s="7">
        <f>grand[[#This Row],[ kidneys fat quantity]]/grand[[#This Row],[received]]</f>
        <v>9.5744680851063837</v>
      </c>
      <c r="U1395">
        <v>24.25531914893617</v>
      </c>
      <c r="V1395">
        <v>0</v>
      </c>
      <c r="W1395">
        <v>43.212765957446805</v>
      </c>
      <c r="X1395">
        <v>10</v>
      </c>
      <c r="Y1395" s="1">
        <v>8.5</v>
      </c>
      <c r="Z1395" s="18">
        <f>grand[[#This Row],[av. Transportation loss]]/grand[[#This Row],[av.total weight]]</f>
        <v>0</v>
      </c>
      <c r="AA1395" s="18">
        <f>AVERAGE((grand[[#This Row],[am]]/25),(grand[[#This Row],[pm]]/50))</f>
        <v>0.91723404255319152</v>
      </c>
      <c r="AB1395" s="3">
        <f>grand[[#This Row],[ carcass weight]]/grand[[#This Row],[total weight]]</f>
        <v>0.60003844510892779</v>
      </c>
      <c r="AC1395" s="18">
        <f>SUM(grand[[#This Row],[am]:[meat transportation]])/100</f>
        <v>0.85968085106382974</v>
      </c>
      <c r="AD1395" s="2" t="s">
        <v>872</v>
      </c>
      <c r="AE1395" s="2"/>
      <c r="AF1395" s="2"/>
      <c r="AG1395" s="2"/>
      <c r="AH1395" s="2"/>
      <c r="AI1395" s="2"/>
      <c r="AJ1395" s="2">
        <v>41</v>
      </c>
      <c r="AK1395" s="1"/>
      <c r="AL1395" s="1"/>
    </row>
    <row r="1396" spans="1:38" hidden="1" x14ac:dyDescent="0.2">
      <c r="A1396" s="11">
        <v>45967</v>
      </c>
      <c r="B1396" s="53" t="s">
        <v>2355</v>
      </c>
      <c r="C1396" s="52" t="str">
        <f>IF(MID(B1396,4,2)="09","Ramadan",IF(AND(MID(B1396,4,2)="12",VALUE(LEFT(B1396,2))&lt;=9),"Adha Season","Normal"))</f>
        <v>Normal</v>
      </c>
      <c r="D1396" s="1" t="s">
        <v>45</v>
      </c>
      <c r="E1396" s="1" t="s">
        <v>483</v>
      </c>
      <c r="F1396" s="4" t="s">
        <v>757</v>
      </c>
      <c r="G1396" s="1">
        <v>60</v>
      </c>
      <c r="H1396">
        <v>60</v>
      </c>
      <c r="I1396">
        <f>grand[[#This Row],[number]]-grand[[#This Row],[received]]</f>
        <v>0</v>
      </c>
      <c r="J1396" s="30"/>
      <c r="K1396" s="2">
        <v>29600</v>
      </c>
      <c r="L1396" s="2">
        <v>28970</v>
      </c>
      <c r="M1396" s="2">
        <f>K1396-L1396</f>
        <v>630</v>
      </c>
      <c r="N1396" s="2">
        <v>17921.3</v>
      </c>
      <c r="O1396" s="2">
        <v>625</v>
      </c>
      <c r="P1396" s="7">
        <f>grand[[#This Row],[total weight]]/grand[[#This Row],[received]]</f>
        <v>493.33333333333331</v>
      </c>
      <c r="Q1396" s="7">
        <f>grand[[#This Row],[receiving weight]]/grand[[#This Row],[received]]</f>
        <v>482.83333333333331</v>
      </c>
      <c r="R1396" s="7">
        <f>grand[[#This Row],[transportation loss ]]/grand[[#This Row],[received]]</f>
        <v>10.5</v>
      </c>
      <c r="S1396" s="7">
        <f>grand[[#This Row],[ carcass weight]]/grand[[#This Row],[received]]</f>
        <v>298.68833333333333</v>
      </c>
      <c r="T1396" s="7">
        <f>grand[[#This Row],[ kidneys fat quantity]]/grand[[#This Row],[received]]</f>
        <v>10.416666666666666</v>
      </c>
      <c r="U1396">
        <v>24.416666666666664</v>
      </c>
      <c r="V1396">
        <v>0</v>
      </c>
      <c r="W1396">
        <v>47.05</v>
      </c>
      <c r="X1396">
        <v>10</v>
      </c>
      <c r="Y1396" s="1">
        <v>8.5</v>
      </c>
      <c r="Z1396" s="18">
        <f>grand[[#This Row],[av. Transportation loss]]/grand[[#This Row],[av.total weight]]</f>
        <v>2.1283783783783785E-2</v>
      </c>
      <c r="AA1396" s="18">
        <f>AVERAGE((grand[[#This Row],[am]]/25),(grand[[#This Row],[pm]]/50))</f>
        <v>0.9588333333333332</v>
      </c>
      <c r="AB1396" s="3">
        <f>grand[[#This Row],[ carcass weight]]/grand[[#This Row],[total weight]]</f>
        <v>0.6054493243243243</v>
      </c>
      <c r="AC1396" s="18">
        <f>SUM(grand[[#This Row],[am]:[meat transportation]])/100</f>
        <v>0.89966666666666673</v>
      </c>
      <c r="AD1396" s="2" t="s">
        <v>873</v>
      </c>
      <c r="AE1396" s="2"/>
      <c r="AF1396" s="2"/>
      <c r="AG1396" s="2"/>
      <c r="AH1396" s="2"/>
      <c r="AI1396" s="2"/>
      <c r="AJ1396" s="2">
        <v>33</v>
      </c>
      <c r="AK1396" s="1"/>
      <c r="AL1396" s="1"/>
    </row>
    <row r="1397" spans="1:38" hidden="1" x14ac:dyDescent="0.2">
      <c r="A1397" s="11">
        <v>45970</v>
      </c>
      <c r="B1397" s="53" t="s">
        <v>2357</v>
      </c>
      <c r="C1397" s="52" t="str">
        <f>IF(MID(B1397,4,2)="09","Ramadan",IF(AND(MID(B1397,4,2)="12",VALUE(LEFT(B1397,2))&lt;=9),"Adha Season","Normal"))</f>
        <v>Normal</v>
      </c>
      <c r="D1397" s="1" t="s">
        <v>45</v>
      </c>
      <c r="E1397" s="1" t="s">
        <v>483</v>
      </c>
      <c r="F1397" s="4" t="s">
        <v>46</v>
      </c>
      <c r="G1397" s="1">
        <v>25</v>
      </c>
      <c r="H1397">
        <v>25</v>
      </c>
      <c r="I1397">
        <f>grand[[#This Row],[number]]-grand[[#This Row],[received]]</f>
        <v>0</v>
      </c>
      <c r="J1397" s="30"/>
      <c r="K1397" s="2">
        <v>12763</v>
      </c>
      <c r="L1397" s="2">
        <v>12763</v>
      </c>
      <c r="M1397" s="2">
        <f>K1397-L1397</f>
        <v>0</v>
      </c>
      <c r="N1397" s="2">
        <v>7657.5</v>
      </c>
      <c r="O1397" s="2">
        <v>280</v>
      </c>
      <c r="P1397" s="7">
        <f>grand[[#This Row],[total weight]]/grand[[#This Row],[received]]</f>
        <v>510.52</v>
      </c>
      <c r="Q1397" s="7">
        <f>grand[[#This Row],[receiving weight]]/grand[[#This Row],[received]]</f>
        <v>510.52</v>
      </c>
      <c r="R1397" s="7">
        <f>grand[[#This Row],[transportation loss ]]/grand[[#This Row],[received]]</f>
        <v>0</v>
      </c>
      <c r="S1397" s="7">
        <f>grand[[#This Row],[ carcass weight]]/grand[[#This Row],[received]]</f>
        <v>306.3</v>
      </c>
      <c r="T1397" s="7">
        <f>grand[[#This Row],[ kidneys fat quantity]]/grand[[#This Row],[received]]</f>
        <v>11.2</v>
      </c>
      <c r="U1397">
        <v>24</v>
      </c>
      <c r="V1397">
        <v>0</v>
      </c>
      <c r="W1397">
        <v>49.8</v>
      </c>
      <c r="X1397">
        <v>10</v>
      </c>
      <c r="Y1397">
        <v>8.5</v>
      </c>
      <c r="Z1397" s="18">
        <f>grand[[#This Row],[av. Transportation loss]]/grand[[#This Row],[av.total weight]]</f>
        <v>0</v>
      </c>
      <c r="AA1397" s="18">
        <f>AVERAGE((grand[[#This Row],[am]]/25),(grand[[#This Row],[pm]]/50))</f>
        <v>0.97799999999999998</v>
      </c>
      <c r="AB1397" s="3">
        <f>grand[[#This Row],[ carcass weight]]/grand[[#This Row],[total weight]]</f>
        <v>0.5999764945545718</v>
      </c>
      <c r="AC1397" s="18">
        <f>SUM(grand[[#This Row],[am]:[meat transportation]])/100</f>
        <v>0.92299999999999993</v>
      </c>
      <c r="AD1397" s="2" t="s">
        <v>81</v>
      </c>
      <c r="AE1397" s="2"/>
      <c r="AF1397" s="2"/>
      <c r="AG1397" s="2"/>
      <c r="AH1397" s="2"/>
      <c r="AI1397" s="2"/>
      <c r="AJ1397" s="2">
        <v>17</v>
      </c>
      <c r="AK1397" s="1"/>
      <c r="AL1397" s="1"/>
    </row>
    <row r="1398" spans="1:38" hidden="1" x14ac:dyDescent="0.2">
      <c r="A1398" s="11">
        <v>45971</v>
      </c>
      <c r="B1398" s="53" t="s">
        <v>2358</v>
      </c>
      <c r="C1398" s="52" t="str">
        <f>IF(MID(B1398,4,2)="09","Ramadan",IF(AND(MID(B1398,4,2)="12",VALUE(LEFT(B1398,2))&lt;=9),"Adha Season","Normal"))</f>
        <v>Normal</v>
      </c>
      <c r="D1398" s="2" t="s">
        <v>294</v>
      </c>
      <c r="F1398" s="4" t="s">
        <v>780</v>
      </c>
      <c r="G1398" s="1">
        <v>40</v>
      </c>
      <c r="H1398">
        <v>40</v>
      </c>
      <c r="I1398">
        <f>grand[[#This Row],[number]]-grand[[#This Row],[received]]</f>
        <v>0</v>
      </c>
      <c r="J1398" s="30"/>
      <c r="K1398" s="2">
        <v>2093</v>
      </c>
      <c r="L1398" s="2">
        <v>2035</v>
      </c>
      <c r="M1398" s="2">
        <f>K1398-L1398</f>
        <v>58</v>
      </c>
      <c r="N1398" s="2">
        <v>1215.9000000000001</v>
      </c>
      <c r="O1398" s="2">
        <v>0</v>
      </c>
      <c r="P1398" s="7">
        <f>grand[[#This Row],[total weight]]/grand[[#This Row],[received]]</f>
        <v>52.325000000000003</v>
      </c>
      <c r="Q1398" s="7">
        <f>grand[[#This Row],[receiving weight]]/grand[[#This Row],[received]]</f>
        <v>50.875</v>
      </c>
      <c r="R1398" s="7">
        <f>grand[[#This Row],[transportation loss ]]/grand[[#This Row],[received]]</f>
        <v>1.45</v>
      </c>
      <c r="S1398" s="7">
        <f>grand[[#This Row],[ carcass weight]]/grand[[#This Row],[received]]</f>
        <v>30.397500000000001</v>
      </c>
      <c r="T1398" s="7">
        <f>grand[[#This Row],[ kidneys fat quantity]]/grand[[#This Row],[received]]</f>
        <v>0</v>
      </c>
      <c r="U1398">
        <v>25</v>
      </c>
      <c r="V1398">
        <v>0</v>
      </c>
      <c r="W1398">
        <v>46.975000000000001</v>
      </c>
      <c r="X1398">
        <v>10</v>
      </c>
      <c r="Y1398">
        <v>8.5</v>
      </c>
      <c r="Z1398" s="18">
        <f>grand[[#This Row],[av. Transportation loss]]/grand[[#This Row],[av.total weight]]</f>
        <v>2.771141901576684E-2</v>
      </c>
      <c r="AA1398" s="18">
        <f>AVERAGE((grand[[#This Row],[am]]/25),(grand[[#This Row],[pm]]/50))</f>
        <v>0.96975</v>
      </c>
      <c r="AB1398" s="3">
        <f>grand[[#This Row],[ carcass weight]]/grand[[#This Row],[total weight]]</f>
        <v>0.58093645484949841</v>
      </c>
      <c r="AC1398" s="18">
        <f>SUM(grand[[#This Row],[am]:[meat transportation]])/100</f>
        <v>0.90474999999999994</v>
      </c>
      <c r="AD1398" s="2" t="s">
        <v>814</v>
      </c>
      <c r="AE1398" s="2"/>
      <c r="AF1398" s="2"/>
      <c r="AG1398" s="2"/>
      <c r="AH1398" s="2"/>
      <c r="AI1398" s="2"/>
      <c r="AJ1398" s="2">
        <v>0</v>
      </c>
      <c r="AK1398" s="1"/>
      <c r="AL1398" s="1"/>
    </row>
    <row r="1399" spans="1:38" hidden="1" x14ac:dyDescent="0.2">
      <c r="A1399" s="11">
        <v>45971</v>
      </c>
      <c r="B1399" s="53" t="s">
        <v>2358</v>
      </c>
      <c r="C1399" s="52" t="str">
        <f>IF(MID(B1399,4,2)="09","Ramadan",IF(AND(MID(B1399,4,2)="12",VALUE(LEFT(B1399,2))&lt;=9),"Adha Season","Normal"))</f>
        <v>Normal</v>
      </c>
      <c r="D1399" s="1" t="s">
        <v>45</v>
      </c>
      <c r="E1399" s="1" t="s">
        <v>483</v>
      </c>
      <c r="F1399" s="4" t="s">
        <v>815</v>
      </c>
      <c r="G1399" s="1">
        <v>43</v>
      </c>
      <c r="H1399">
        <v>43</v>
      </c>
      <c r="I1399">
        <f>grand[[#This Row],[number]]-grand[[#This Row],[received]]</f>
        <v>0</v>
      </c>
      <c r="J1399" s="30"/>
      <c r="K1399" s="2">
        <v>22411.5</v>
      </c>
      <c r="L1399" s="2">
        <v>21830</v>
      </c>
      <c r="M1399" s="2">
        <f>K1399-L1399</f>
        <v>581.5</v>
      </c>
      <c r="N1399" s="2">
        <v>14225.2</v>
      </c>
      <c r="O1399" s="2">
        <v>416</v>
      </c>
      <c r="P1399" s="7">
        <f>grand[[#This Row],[total weight]]/grand[[#This Row],[received]]</f>
        <v>521.19767441860461</v>
      </c>
      <c r="Q1399" s="7">
        <f>grand[[#This Row],[receiving weight]]/grand[[#This Row],[received]]</f>
        <v>507.67441860465118</v>
      </c>
      <c r="R1399" s="7">
        <f>grand[[#This Row],[transportation loss ]]/grand[[#This Row],[received]]</f>
        <v>13.523255813953488</v>
      </c>
      <c r="S1399" s="7">
        <f>grand[[#This Row],[ carcass weight]]/grand[[#This Row],[received]]</f>
        <v>330.81860465116279</v>
      </c>
      <c r="T1399" s="7">
        <f>grand[[#This Row],[ kidneys fat quantity]]/grand[[#This Row],[received]]</f>
        <v>9.6744186046511622</v>
      </c>
      <c r="U1399">
        <v>25</v>
      </c>
      <c r="V1399">
        <v>0</v>
      </c>
      <c r="W1399">
        <v>48.046511627906973</v>
      </c>
      <c r="X1399">
        <v>10</v>
      </c>
      <c r="Y1399">
        <v>8.5</v>
      </c>
      <c r="Z1399" s="18">
        <f>grand[[#This Row],[av. Transportation loss]]/grand[[#This Row],[av.total weight]]</f>
        <v>2.5946500680454232E-2</v>
      </c>
      <c r="AA1399" s="18">
        <f>AVERAGE((grand[[#This Row],[am]]/25),(grand[[#This Row],[pm]]/50))</f>
        <v>0.98046511627906974</v>
      </c>
      <c r="AB1399" s="3">
        <f>grand[[#This Row],[ carcass weight]]/grand[[#This Row],[total weight]]</f>
        <v>0.63472770675769141</v>
      </c>
      <c r="AC1399" s="18">
        <f>SUM(grand[[#This Row],[am]:[meat transportation]])/100</f>
        <v>0.91546511627906968</v>
      </c>
      <c r="AD1399" s="2" t="s">
        <v>816</v>
      </c>
      <c r="AE1399" s="2"/>
      <c r="AF1399" s="2"/>
      <c r="AG1399" s="2"/>
      <c r="AH1399" s="2"/>
      <c r="AI1399" s="2"/>
      <c r="AJ1399" s="2">
        <v>1</v>
      </c>
      <c r="AK1399" s="1"/>
      <c r="AL1399" s="1"/>
    </row>
    <row r="1400" spans="1:38" hidden="1" x14ac:dyDescent="0.2">
      <c r="A1400" s="11">
        <v>45972</v>
      </c>
      <c r="B1400" s="53" t="s">
        <v>2359</v>
      </c>
      <c r="C1400" s="52" t="str">
        <f>IF(MID(B1400,4,2)="09","Ramadan",IF(AND(MID(B1400,4,2)="12",VALUE(LEFT(B1400,2))&lt;=9),"Adha Season","Normal"))</f>
        <v>Normal</v>
      </c>
      <c r="D1400" s="1" t="s">
        <v>45</v>
      </c>
      <c r="E1400" s="1" t="s">
        <v>483</v>
      </c>
      <c r="F1400" s="4" t="s">
        <v>746</v>
      </c>
      <c r="G1400" s="1">
        <v>21</v>
      </c>
      <c r="H1400">
        <v>21</v>
      </c>
      <c r="I1400">
        <f>grand[[#This Row],[number]]-grand[[#This Row],[received]]</f>
        <v>0</v>
      </c>
      <c r="J1400" s="30"/>
      <c r="K1400" s="2">
        <v>10460</v>
      </c>
      <c r="L1400" s="2">
        <v>10460</v>
      </c>
      <c r="M1400" s="2">
        <f>K1400-L1400</f>
        <v>0</v>
      </c>
      <c r="N1400" s="2">
        <v>6275.8</v>
      </c>
      <c r="O1400" s="2">
        <v>216</v>
      </c>
      <c r="P1400" s="7">
        <f>grand[[#This Row],[total weight]]/grand[[#This Row],[received]]</f>
        <v>498.09523809523807</v>
      </c>
      <c r="Q1400" s="7">
        <f>grand[[#This Row],[receiving weight]]/grand[[#This Row],[received]]</f>
        <v>498.09523809523807</v>
      </c>
      <c r="R1400" s="7">
        <f>grand[[#This Row],[transportation loss ]]/grand[[#This Row],[received]]</f>
        <v>0</v>
      </c>
      <c r="S1400" s="7">
        <f>grand[[#This Row],[ carcass weight]]/grand[[#This Row],[received]]</f>
        <v>298.84761904761905</v>
      </c>
      <c r="T1400" s="7">
        <f>grand[[#This Row],[ kidneys fat quantity]]/grand[[#This Row],[received]]</f>
        <v>10.285714285714286</v>
      </c>
      <c r="U1400">
        <v>24.047619047619047</v>
      </c>
      <c r="V1400">
        <v>0</v>
      </c>
      <c r="W1400">
        <v>49.047619047619051</v>
      </c>
      <c r="X1400">
        <v>9.7619047619047628</v>
      </c>
      <c r="Y1400">
        <v>8.5</v>
      </c>
      <c r="Z1400" s="18">
        <f>grand[[#This Row],[av. Transportation loss]]/grand[[#This Row],[av.total weight]]</f>
        <v>0</v>
      </c>
      <c r="AA1400" s="18">
        <f>AVERAGE((grand[[#This Row],[am]]/25),(grand[[#This Row],[pm]]/50))</f>
        <v>0.97142857142857153</v>
      </c>
      <c r="AB1400" s="3">
        <f>grand[[#This Row],[ carcass weight]]/grand[[#This Row],[total weight]]</f>
        <v>0.59998087954110901</v>
      </c>
      <c r="AC1400" s="18">
        <f>SUM(grand[[#This Row],[am]:[meat transportation]])/100</f>
        <v>0.91357142857142859</v>
      </c>
      <c r="AD1400" s="2" t="s">
        <v>819</v>
      </c>
      <c r="AE1400" s="2"/>
      <c r="AF1400" s="2"/>
      <c r="AG1400" s="2"/>
      <c r="AH1400" s="2"/>
      <c r="AI1400" s="2"/>
      <c r="AJ1400" s="2">
        <v>10</v>
      </c>
      <c r="AK1400" s="1"/>
      <c r="AL1400" s="1"/>
    </row>
    <row r="1401" spans="1:38" hidden="1" x14ac:dyDescent="0.2">
      <c r="A1401" s="11">
        <v>45973</v>
      </c>
      <c r="B1401" s="53" t="s">
        <v>2360</v>
      </c>
      <c r="C1401" s="52" t="str">
        <f>IF(MID(B1401,4,2)="09","Ramadan",IF(AND(MID(B1401,4,2)="12",VALUE(LEFT(B1401,2))&lt;=9),"Adha Season","Normal"))</f>
        <v>Normal</v>
      </c>
      <c r="D1401" s="2" t="s">
        <v>294</v>
      </c>
      <c r="F1401" s="4" t="s">
        <v>749</v>
      </c>
      <c r="G1401" s="1">
        <v>43</v>
      </c>
      <c r="H1401">
        <v>43</v>
      </c>
      <c r="I1401">
        <f>grand[[#This Row],[number]]-grand[[#This Row],[received]]</f>
        <v>0</v>
      </c>
      <c r="J1401" s="30"/>
      <c r="K1401" s="2">
        <v>2260</v>
      </c>
      <c r="L1401" s="2">
        <v>2260</v>
      </c>
      <c r="M1401" s="2">
        <f>K1401-L1401</f>
        <v>0</v>
      </c>
      <c r="N1401" s="2">
        <v>1287.5999999999999</v>
      </c>
      <c r="O1401" s="2">
        <v>0</v>
      </c>
      <c r="P1401" s="7">
        <f>grand[[#This Row],[total weight]]/grand[[#This Row],[received]]</f>
        <v>52.558139534883722</v>
      </c>
      <c r="Q1401" s="7">
        <f>grand[[#This Row],[receiving weight]]/grand[[#This Row],[received]]</f>
        <v>52.558139534883722</v>
      </c>
      <c r="R1401" s="7">
        <f>grand[[#This Row],[transportation loss ]]/grand[[#This Row],[received]]</f>
        <v>0</v>
      </c>
      <c r="S1401" s="7">
        <f>grand[[#This Row],[ carcass weight]]/grand[[#This Row],[received]]</f>
        <v>29.944186046511625</v>
      </c>
      <c r="T1401" s="7">
        <f>grand[[#This Row],[ kidneys fat quantity]]/grand[[#This Row],[received]]</f>
        <v>0</v>
      </c>
      <c r="U1401">
        <v>25</v>
      </c>
      <c r="V1401">
        <v>0</v>
      </c>
      <c r="W1401">
        <v>48.627906976744185</v>
      </c>
      <c r="X1401">
        <v>10</v>
      </c>
      <c r="Y1401">
        <v>8.5</v>
      </c>
      <c r="Z1401" s="18">
        <f>grand[[#This Row],[av. Transportation loss]]/grand[[#This Row],[av.total weight]]</f>
        <v>0</v>
      </c>
      <c r="AA1401" s="18">
        <f>AVERAGE((grand[[#This Row],[am]]/25),(grand[[#This Row],[pm]]/50))</f>
        <v>0.98627906976744184</v>
      </c>
      <c r="AB1401" s="3">
        <f>grand[[#This Row],[ carcass weight]]/grand[[#This Row],[total weight]]</f>
        <v>0.56973451327433622</v>
      </c>
      <c r="AC1401" s="18">
        <f>SUM(grand[[#This Row],[am]:[meat transportation]])/100</f>
        <v>0.92127906976744189</v>
      </c>
      <c r="AD1401" s="2" t="s">
        <v>785</v>
      </c>
      <c r="AE1401" s="2"/>
      <c r="AF1401" s="2"/>
      <c r="AG1401" s="2"/>
      <c r="AH1401" s="2"/>
      <c r="AI1401" s="2"/>
      <c r="AJ1401" s="2">
        <v>0</v>
      </c>
      <c r="AK1401" s="1"/>
      <c r="AL1401" s="1"/>
    </row>
    <row r="1402" spans="1:38" hidden="1" x14ac:dyDescent="0.2">
      <c r="A1402" s="11">
        <v>45974</v>
      </c>
      <c r="B1402" s="53" t="s">
        <v>2361</v>
      </c>
      <c r="C1402" s="52" t="str">
        <f>IF(MID(B1402,4,2)="09","Ramadan",IF(AND(MID(B1402,4,2)="12",VALUE(LEFT(B1402,2))&lt;=9),"Adha Season","Normal"))</f>
        <v>Normal</v>
      </c>
      <c r="D1402" s="2" t="s">
        <v>294</v>
      </c>
      <c r="F1402" s="4" t="s">
        <v>656</v>
      </c>
      <c r="G1402" s="1">
        <v>22</v>
      </c>
      <c r="H1402">
        <v>22</v>
      </c>
      <c r="I1402">
        <f>grand[[#This Row],[number]]-grand[[#This Row],[received]]</f>
        <v>0</v>
      </c>
      <c r="J1402" s="30"/>
      <c r="K1402" s="2">
        <v>1165</v>
      </c>
      <c r="L1402" s="2">
        <v>1125</v>
      </c>
      <c r="M1402" s="2">
        <f>K1402-L1402</f>
        <v>40</v>
      </c>
      <c r="N1402" s="2">
        <v>660.6</v>
      </c>
      <c r="O1402" s="2">
        <v>0</v>
      </c>
      <c r="P1402" s="7">
        <f>grand[[#This Row],[total weight]]/grand[[#This Row],[received]]</f>
        <v>52.954545454545453</v>
      </c>
      <c r="Q1402" s="7">
        <f>grand[[#This Row],[receiving weight]]/grand[[#This Row],[received]]</f>
        <v>51.136363636363633</v>
      </c>
      <c r="R1402" s="7">
        <f>grand[[#This Row],[transportation loss ]]/grand[[#This Row],[received]]</f>
        <v>1.8181818181818181</v>
      </c>
      <c r="S1402" s="7">
        <f>grand[[#This Row],[ carcass weight]]/grand[[#This Row],[received]]</f>
        <v>30.027272727272727</v>
      </c>
      <c r="T1402" s="7">
        <f>grand[[#This Row],[ kidneys fat quantity]]/grand[[#This Row],[received]]</f>
        <v>0</v>
      </c>
      <c r="U1402">
        <v>25</v>
      </c>
      <c r="V1402">
        <v>0</v>
      </c>
      <c r="W1402">
        <v>47.636363636363633</v>
      </c>
      <c r="X1402">
        <v>10</v>
      </c>
      <c r="Y1402">
        <v>8.5</v>
      </c>
      <c r="Z1402" s="18">
        <f>grand[[#This Row],[av. Transportation loss]]/grand[[#This Row],[av.total weight]]</f>
        <v>3.4334763948497854E-2</v>
      </c>
      <c r="AA1402" s="18">
        <f>AVERAGE((grand[[#This Row],[am]]/25),(grand[[#This Row],[pm]]/50))</f>
        <v>0.97636363636363632</v>
      </c>
      <c r="AB1402" s="3">
        <f>grand[[#This Row],[ carcass weight]]/grand[[#This Row],[total weight]]</f>
        <v>0.56703862660944204</v>
      </c>
      <c r="AC1402" s="18">
        <f>SUM(grand[[#This Row],[am]:[meat transportation]])/100</f>
        <v>0.91136363636363626</v>
      </c>
      <c r="AD1402" s="2" t="s">
        <v>819</v>
      </c>
      <c r="AE1402" s="2"/>
      <c r="AF1402" s="2"/>
      <c r="AG1402" s="2"/>
      <c r="AH1402" s="2"/>
      <c r="AI1402" s="2"/>
      <c r="AJ1402" s="2">
        <v>0</v>
      </c>
      <c r="AK1402" s="1"/>
      <c r="AL1402" s="1"/>
    </row>
    <row r="1403" spans="1:38" hidden="1" x14ac:dyDescent="0.2">
      <c r="A1403" s="11">
        <v>45976</v>
      </c>
      <c r="B1403" s="53" t="s">
        <v>2362</v>
      </c>
      <c r="C1403" s="52" t="str">
        <f>IF(MID(B1403,4,2)="09","Ramadan",IF(AND(MID(B1403,4,2)="12",VALUE(LEFT(B1403,2))&lt;=9),"Adha Season","Normal"))</f>
        <v>Normal</v>
      </c>
      <c r="D1403" s="2" t="s">
        <v>294</v>
      </c>
      <c r="F1403" s="4" t="s">
        <v>780</v>
      </c>
      <c r="G1403" s="1">
        <v>32</v>
      </c>
      <c r="H1403">
        <v>32</v>
      </c>
      <c r="I1403">
        <f>grand[[#This Row],[number]]-grand[[#This Row],[received]]</f>
        <v>0</v>
      </c>
      <c r="J1403" s="30"/>
      <c r="K1403" s="2">
        <v>1692</v>
      </c>
      <c r="L1403" s="2">
        <v>1635</v>
      </c>
      <c r="M1403" s="2">
        <f>K1403-L1403</f>
        <v>57</v>
      </c>
      <c r="N1403" s="2">
        <v>969</v>
      </c>
      <c r="O1403" s="2">
        <v>0</v>
      </c>
      <c r="P1403" s="7">
        <f>grand[[#This Row],[total weight]]/grand[[#This Row],[received]]</f>
        <v>52.875</v>
      </c>
      <c r="Q1403" s="7">
        <f>grand[[#This Row],[receiving weight]]/grand[[#This Row],[received]]</f>
        <v>51.09375</v>
      </c>
      <c r="R1403" s="7">
        <f>grand[[#This Row],[transportation loss ]]/grand[[#This Row],[received]]</f>
        <v>1.78125</v>
      </c>
      <c r="S1403" s="7">
        <f>grand[[#This Row],[ carcass weight]]/grand[[#This Row],[received]]</f>
        <v>30.28125</v>
      </c>
      <c r="T1403" s="7">
        <f>grand[[#This Row],[ kidneys fat quantity]]/grand[[#This Row],[received]]</f>
        <v>0</v>
      </c>
      <c r="U1403">
        <v>25</v>
      </c>
      <c r="V1403">
        <v>0</v>
      </c>
      <c r="W1403">
        <v>47.28125</v>
      </c>
      <c r="X1403">
        <v>10</v>
      </c>
      <c r="Y1403">
        <v>8.5</v>
      </c>
      <c r="Z1403" s="18">
        <f>grand[[#This Row],[av. Transportation loss]]/grand[[#This Row],[av.total weight]]</f>
        <v>3.3687943262411348E-2</v>
      </c>
      <c r="AA1403" s="18">
        <f>AVERAGE((grand[[#This Row],[am]]/25),(grand[[#This Row],[pm]]/50))</f>
        <v>0.97281250000000008</v>
      </c>
      <c r="AB1403" s="3">
        <f>grand[[#This Row],[ carcass weight]]/grand[[#This Row],[total weight]]</f>
        <v>0.57269503546099287</v>
      </c>
      <c r="AC1403" s="18">
        <f>SUM(grand[[#This Row],[am]:[meat transportation]])/100</f>
        <v>0.90781250000000002</v>
      </c>
      <c r="AD1403" s="2" t="s">
        <v>826</v>
      </c>
      <c r="AE1403" s="2"/>
      <c r="AF1403" s="2"/>
      <c r="AG1403" s="2"/>
      <c r="AH1403" s="2"/>
      <c r="AI1403" s="2"/>
      <c r="AJ1403" s="2">
        <v>0</v>
      </c>
      <c r="AK1403" s="1"/>
      <c r="AL1403" s="1"/>
    </row>
    <row r="1404" spans="1:38" hidden="1" x14ac:dyDescent="0.2">
      <c r="A1404" s="11">
        <v>45978</v>
      </c>
      <c r="B1404" s="53" t="s">
        <v>2364</v>
      </c>
      <c r="C1404" s="52" t="str">
        <f>IF(MID(B1404,4,2)="09","Ramadan",IF(AND(MID(B1404,4,2)="12",VALUE(LEFT(B1404,2))&lt;=9),"Adha Season","Normal"))</f>
        <v>Normal</v>
      </c>
      <c r="D1404" s="1" t="s">
        <v>45</v>
      </c>
      <c r="E1404" s="1" t="s">
        <v>483</v>
      </c>
      <c r="F1404" s="4" t="s">
        <v>165</v>
      </c>
      <c r="G1404" s="1">
        <v>50</v>
      </c>
      <c r="H1404">
        <v>50</v>
      </c>
      <c r="I1404">
        <f>grand[[#This Row],[number]]-grand[[#This Row],[received]]</f>
        <v>0</v>
      </c>
      <c r="J1404" s="30"/>
      <c r="K1404" s="2">
        <v>26700</v>
      </c>
      <c r="L1404" s="2">
        <v>25800</v>
      </c>
      <c r="M1404" s="2">
        <f>K1404-L1404</f>
        <v>900</v>
      </c>
      <c r="N1404" s="2">
        <v>16112.6</v>
      </c>
      <c r="O1404" s="2">
        <v>582</v>
      </c>
      <c r="P1404" s="7">
        <f>grand[[#This Row],[total weight]]/grand[[#This Row],[received]]</f>
        <v>534</v>
      </c>
      <c r="Q1404" s="7">
        <f>grand[[#This Row],[receiving weight]]/grand[[#This Row],[received]]</f>
        <v>516</v>
      </c>
      <c r="R1404" s="7">
        <f>grand[[#This Row],[transportation loss ]]/grand[[#This Row],[received]]</f>
        <v>18</v>
      </c>
      <c r="S1404" s="7">
        <f>grand[[#This Row],[ carcass weight]]/grand[[#This Row],[received]]</f>
        <v>322.25200000000001</v>
      </c>
      <c r="T1404" s="7">
        <f>grand[[#This Row],[ kidneys fat quantity]]/grand[[#This Row],[received]]</f>
        <v>11.64</v>
      </c>
      <c r="U1404">
        <v>24.6</v>
      </c>
      <c r="V1404">
        <v>0</v>
      </c>
      <c r="W1404">
        <v>48.06</v>
      </c>
      <c r="X1404">
        <v>10</v>
      </c>
      <c r="Y1404">
        <v>8.5</v>
      </c>
      <c r="Z1404" s="18">
        <f>grand[[#This Row],[av. Transportation loss]]/grand[[#This Row],[av.total weight]]</f>
        <v>3.3707865168539325E-2</v>
      </c>
      <c r="AA1404" s="18">
        <f>AVERAGE((grand[[#This Row],[am]]/25),(grand[[#This Row],[pm]]/50))</f>
        <v>0.97260000000000013</v>
      </c>
      <c r="AB1404" s="3">
        <f>grand[[#This Row],[ carcass weight]]/grand[[#This Row],[total weight]]</f>
        <v>0.60346816479400756</v>
      </c>
      <c r="AC1404" s="18">
        <f>SUM(grand[[#This Row],[am]:[meat transportation]])/100</f>
        <v>0.91159999999999997</v>
      </c>
      <c r="AD1404" s="2" t="s">
        <v>830</v>
      </c>
      <c r="AE1404" s="2"/>
      <c r="AF1404" s="2"/>
      <c r="AG1404" s="2"/>
      <c r="AH1404" s="2"/>
      <c r="AI1404" s="2"/>
      <c r="AJ1404" s="2">
        <v>20</v>
      </c>
      <c r="AK1404" s="1"/>
      <c r="AL1404" s="1"/>
    </row>
    <row r="1405" spans="1:38" hidden="1" x14ac:dyDescent="0.2">
      <c r="A1405" s="11">
        <v>45978</v>
      </c>
      <c r="B1405" s="53" t="s">
        <v>2364</v>
      </c>
      <c r="C1405" s="52" t="str">
        <f>IF(MID(B1405,4,2)="09","Ramadan",IF(AND(MID(B1405,4,2)="12",VALUE(LEFT(B1405,2))&lt;=9),"Adha Season","Normal"))</f>
        <v>Normal</v>
      </c>
      <c r="D1405" s="2" t="s">
        <v>294</v>
      </c>
      <c r="F1405" s="4" t="s">
        <v>749</v>
      </c>
      <c r="G1405" s="1">
        <v>36</v>
      </c>
      <c r="H1405">
        <v>36</v>
      </c>
      <c r="I1405">
        <f>grand[[#This Row],[number]]-grand[[#This Row],[received]]</f>
        <v>0</v>
      </c>
      <c r="J1405" s="30"/>
      <c r="K1405" s="2">
        <v>1965</v>
      </c>
      <c r="L1405" s="2">
        <v>1965</v>
      </c>
      <c r="M1405" s="2">
        <f>K1405-L1405</f>
        <v>0</v>
      </c>
      <c r="N1405" s="2">
        <v>1189.4000000000001</v>
      </c>
      <c r="O1405" s="2">
        <v>0</v>
      </c>
      <c r="P1405" s="7">
        <f>grand[[#This Row],[total weight]]/grand[[#This Row],[received]]</f>
        <v>54.583333333333336</v>
      </c>
      <c r="Q1405" s="7">
        <f>grand[[#This Row],[receiving weight]]/grand[[#This Row],[received]]</f>
        <v>54.583333333333336</v>
      </c>
      <c r="R1405" s="7">
        <f>grand[[#This Row],[transportation loss ]]/grand[[#This Row],[received]]</f>
        <v>0</v>
      </c>
      <c r="S1405" s="7">
        <f>grand[[#This Row],[ carcass weight]]/grand[[#This Row],[received]]</f>
        <v>33.038888888888891</v>
      </c>
      <c r="T1405" s="7">
        <f>grand[[#This Row],[ kidneys fat quantity]]/grand[[#This Row],[received]]</f>
        <v>0</v>
      </c>
      <c r="U1405">
        <v>25</v>
      </c>
      <c r="V1405">
        <v>0</v>
      </c>
      <c r="W1405">
        <v>49.138888888888886</v>
      </c>
      <c r="X1405">
        <v>10</v>
      </c>
      <c r="Y1405">
        <v>8.5</v>
      </c>
      <c r="Z1405" s="18">
        <f>grand[[#This Row],[av. Transportation loss]]/grand[[#This Row],[av.total weight]]</f>
        <v>0</v>
      </c>
      <c r="AA1405" s="18">
        <f>AVERAGE((grand[[#This Row],[am]]/25),(grand[[#This Row],[pm]]/50))</f>
        <v>0.99138888888888888</v>
      </c>
      <c r="AB1405" s="3">
        <f>grand[[#This Row],[ carcass weight]]/grand[[#This Row],[total weight]]</f>
        <v>0.60529262086514002</v>
      </c>
      <c r="AC1405" s="18">
        <f>SUM(grand[[#This Row],[am]:[meat transportation]])/100</f>
        <v>0.92638888888888882</v>
      </c>
      <c r="AD1405" s="2" t="s">
        <v>831</v>
      </c>
      <c r="AE1405" s="2"/>
      <c r="AF1405" s="2"/>
      <c r="AG1405" s="2"/>
      <c r="AH1405" s="2"/>
      <c r="AI1405" s="2"/>
      <c r="AJ1405" s="2">
        <v>0</v>
      </c>
      <c r="AK1405" s="1"/>
      <c r="AL1405" s="1"/>
    </row>
    <row r="1406" spans="1:38" hidden="1" x14ac:dyDescent="0.2">
      <c r="A1406" s="11">
        <v>45981</v>
      </c>
      <c r="B1406" s="53" t="s">
        <v>2366</v>
      </c>
      <c r="C1406" s="52" t="str">
        <f>IF(MID(B1406,4,2)="09","Ramadan",IF(AND(MID(B1406,4,2)="12",VALUE(LEFT(B1406,2))&lt;=9),"Adha Season","Normal"))</f>
        <v>Normal</v>
      </c>
      <c r="D1406" s="1" t="s">
        <v>45</v>
      </c>
      <c r="E1406" s="1" t="s">
        <v>483</v>
      </c>
      <c r="F1406" s="4" t="s">
        <v>959</v>
      </c>
      <c r="G1406" s="1">
        <v>56</v>
      </c>
      <c r="H1406">
        <v>56</v>
      </c>
      <c r="I1406">
        <f>grand[[#This Row],[number]]-grand[[#This Row],[received]]</f>
        <v>0</v>
      </c>
      <c r="J1406" s="30"/>
      <c r="K1406" s="2">
        <v>25452</v>
      </c>
      <c r="L1406" s="2">
        <v>24485</v>
      </c>
      <c r="M1406" s="2">
        <f>K1406-L1406</f>
        <v>967</v>
      </c>
      <c r="N1406" s="2">
        <v>15621.7</v>
      </c>
      <c r="O1406" s="2">
        <v>513</v>
      </c>
      <c r="P1406" s="7">
        <f>grand[[#This Row],[total weight]]/grand[[#This Row],[received]]</f>
        <v>454.5</v>
      </c>
      <c r="Q1406" s="7">
        <f>grand[[#This Row],[receiving weight]]/grand[[#This Row],[received]]</f>
        <v>437.23214285714283</v>
      </c>
      <c r="R1406" s="7">
        <f>grand[[#This Row],[transportation loss ]]/grand[[#This Row],[received]]</f>
        <v>17.267857142857142</v>
      </c>
      <c r="S1406" s="7">
        <f>grand[[#This Row],[ carcass weight]]/grand[[#This Row],[received]]</f>
        <v>278.9589285714286</v>
      </c>
      <c r="T1406" s="7">
        <f>grand[[#This Row],[ kidneys fat quantity]]/grand[[#This Row],[received]]</f>
        <v>9.1607142857142865</v>
      </c>
      <c r="U1406">
        <v>25</v>
      </c>
      <c r="V1406">
        <v>0</v>
      </c>
      <c r="W1406">
        <v>49.821428571428569</v>
      </c>
      <c r="X1406">
        <v>10</v>
      </c>
      <c r="Y1406">
        <v>8.5</v>
      </c>
      <c r="Z1406" s="18">
        <f>grand[[#This Row],[av. Transportation loss]]/grand[[#This Row],[av.total weight]]</f>
        <v>3.799308502278799E-2</v>
      </c>
      <c r="AA1406" s="18">
        <f>AVERAGE((grand[[#This Row],[am]]/25),(grand[[#This Row],[pm]]/50))</f>
        <v>0.99821428571428572</v>
      </c>
      <c r="AB1406" s="3">
        <f>grand[[#This Row],[ carcass weight]]/grand[[#This Row],[total weight]]</f>
        <v>0.61377101995913885</v>
      </c>
      <c r="AC1406" s="18">
        <f>SUM(grand[[#This Row],[am]:[meat transportation]])/100</f>
        <v>0.93321428571428566</v>
      </c>
      <c r="AD1406" s="2" t="s">
        <v>347</v>
      </c>
      <c r="AE1406" s="2"/>
      <c r="AF1406" s="2"/>
      <c r="AG1406" s="2"/>
      <c r="AH1406" s="2"/>
      <c r="AI1406" s="2"/>
      <c r="AJ1406" s="2">
        <v>0</v>
      </c>
      <c r="AK1406" s="1"/>
      <c r="AL1406" s="1"/>
    </row>
    <row r="1407" spans="1:38" hidden="1" x14ac:dyDescent="0.2">
      <c r="A1407" s="11">
        <v>45983</v>
      </c>
      <c r="B1407" s="53" t="s">
        <v>2367</v>
      </c>
      <c r="C1407" s="52" t="str">
        <f>IF(MID(B1407,4,2)="09","Ramadan",IF(AND(MID(B1407,4,2)="12",VALUE(LEFT(B1407,2))&lt;=9),"Adha Season","Normal"))</f>
        <v>Normal</v>
      </c>
      <c r="D1407" s="1" t="s">
        <v>45</v>
      </c>
      <c r="E1407" s="1" t="s">
        <v>483</v>
      </c>
      <c r="F1407" s="4" t="s">
        <v>746</v>
      </c>
      <c r="G1407" s="1">
        <v>29</v>
      </c>
      <c r="H1407">
        <v>29</v>
      </c>
      <c r="I1407">
        <f>grand[[#This Row],[number]]-grand[[#This Row],[received]]</f>
        <v>0</v>
      </c>
      <c r="J1407" s="30"/>
      <c r="K1407" s="2">
        <v>15030</v>
      </c>
      <c r="L1407" s="2">
        <v>14270</v>
      </c>
      <c r="M1407" s="2">
        <f>K1407-L1407</f>
        <v>760</v>
      </c>
      <c r="N1407" s="2">
        <v>9020.5</v>
      </c>
      <c r="O1407" s="2">
        <v>307</v>
      </c>
      <c r="P1407" s="7">
        <f>grand[[#This Row],[total weight]]/grand[[#This Row],[received]]</f>
        <v>518.27586206896547</v>
      </c>
      <c r="Q1407" s="7">
        <f>grand[[#This Row],[receiving weight]]/grand[[#This Row],[received]]</f>
        <v>492.06896551724139</v>
      </c>
      <c r="R1407" s="7">
        <f>grand[[#This Row],[transportation loss ]]/grand[[#This Row],[received]]</f>
        <v>26.206896551724139</v>
      </c>
      <c r="S1407" s="7">
        <f>grand[[#This Row],[ carcass weight]]/grand[[#This Row],[received]]</f>
        <v>311.05172413793105</v>
      </c>
      <c r="T1407" s="7">
        <f>grand[[#This Row],[ kidneys fat quantity]]/grand[[#This Row],[received]]</f>
        <v>10.586206896551724</v>
      </c>
      <c r="U1407">
        <v>25</v>
      </c>
      <c r="V1407">
        <v>0</v>
      </c>
      <c r="W1407">
        <v>49</v>
      </c>
      <c r="X1407">
        <v>10</v>
      </c>
      <c r="Y1407">
        <v>8.5</v>
      </c>
      <c r="Z1407" s="18">
        <f>grand[[#This Row],[av. Transportation loss]]/grand[[#This Row],[av.total weight]]</f>
        <v>5.0565535595475719E-2</v>
      </c>
      <c r="AA1407" s="18">
        <f>AVERAGE((grand[[#This Row],[am]]/25),(grand[[#This Row],[pm]]/50))</f>
        <v>0.99</v>
      </c>
      <c r="AB1407" s="3">
        <f>grand[[#This Row],[ carcass weight]]/grand[[#This Row],[total weight]]</f>
        <v>0.60016633399866937</v>
      </c>
      <c r="AC1407" s="18">
        <f>SUM(grand[[#This Row],[am]:[meat transportation]])/100</f>
        <v>0.92500000000000004</v>
      </c>
      <c r="AD1407" s="2" t="s">
        <v>89</v>
      </c>
      <c r="AE1407" s="2"/>
      <c r="AF1407" s="2"/>
      <c r="AG1407" s="2"/>
      <c r="AH1407" s="2"/>
      <c r="AI1407" s="2"/>
      <c r="AJ1407" s="2">
        <v>0</v>
      </c>
      <c r="AK1407" s="1"/>
      <c r="AL1407" s="1"/>
    </row>
    <row r="1408" spans="1:38" hidden="1" x14ac:dyDescent="0.2">
      <c r="A1408" s="11">
        <v>45984</v>
      </c>
      <c r="B1408" s="53" t="s">
        <v>2368</v>
      </c>
      <c r="C1408" s="52" t="str">
        <f>IF(MID(B1408,4,2)="09","Ramadan",IF(AND(MID(B1408,4,2)="12",VALUE(LEFT(B1408,2))&lt;=9),"Adha Season","Normal"))</f>
        <v>Normal</v>
      </c>
      <c r="D1408" s="1" t="s">
        <v>45</v>
      </c>
      <c r="E1408" s="1" t="s">
        <v>483</v>
      </c>
      <c r="F1408" s="4" t="s">
        <v>576</v>
      </c>
      <c r="G1408" s="1">
        <v>47</v>
      </c>
      <c r="H1408">
        <v>47</v>
      </c>
      <c r="I1408">
        <f>grand[[#This Row],[number]]-grand[[#This Row],[received]]</f>
        <v>0</v>
      </c>
      <c r="J1408" s="30"/>
      <c r="K1408" s="2">
        <v>23500</v>
      </c>
      <c r="L1408" s="2">
        <v>23110</v>
      </c>
      <c r="M1408" s="2">
        <f>K1408-L1408</f>
        <v>390</v>
      </c>
      <c r="N1408" s="2">
        <v>14631.1</v>
      </c>
      <c r="O1408" s="2">
        <v>406</v>
      </c>
      <c r="P1408" s="7">
        <f>grand[[#This Row],[total weight]]/grand[[#This Row],[received]]</f>
        <v>500</v>
      </c>
      <c r="Q1408" s="7">
        <f>grand[[#This Row],[receiving weight]]/grand[[#This Row],[received]]</f>
        <v>491.70212765957444</v>
      </c>
      <c r="R1408" s="7">
        <f>grand[[#This Row],[transportation loss ]]/grand[[#This Row],[received]]</f>
        <v>8.2978723404255312</v>
      </c>
      <c r="S1408" s="7">
        <f>grand[[#This Row],[ carcass weight]]/grand[[#This Row],[received]]</f>
        <v>311.3</v>
      </c>
      <c r="T1408" s="7">
        <f>grand[[#This Row],[ kidneys fat quantity]]/grand[[#This Row],[received]]</f>
        <v>8.6382978723404253</v>
      </c>
      <c r="U1408">
        <v>24.787234042553191</v>
      </c>
      <c r="V1408">
        <v>0</v>
      </c>
      <c r="W1408">
        <v>48.659574468085111</v>
      </c>
      <c r="X1408">
        <v>10</v>
      </c>
      <c r="Y1408">
        <v>8.5</v>
      </c>
      <c r="Z1408" s="18">
        <f>grand[[#This Row],[av. Transportation loss]]/grand[[#This Row],[av.total weight]]</f>
        <v>1.6595744680851062E-2</v>
      </c>
      <c r="AA1408" s="18">
        <f>AVERAGE((grand[[#This Row],[am]]/25),(grand[[#This Row],[pm]]/50))</f>
        <v>0.98234042553191492</v>
      </c>
      <c r="AB1408" s="3">
        <f>grand[[#This Row],[ carcass weight]]/grand[[#This Row],[total weight]]</f>
        <v>0.62260000000000004</v>
      </c>
      <c r="AC1408" s="18">
        <f>SUM(grand[[#This Row],[am]:[meat transportation]])/100</f>
        <v>0.919468085106383</v>
      </c>
      <c r="AD1408" s="2" t="s">
        <v>81</v>
      </c>
      <c r="AE1408" s="2"/>
      <c r="AF1408" s="2"/>
      <c r="AG1408" s="2"/>
      <c r="AH1408" s="2"/>
      <c r="AI1408" s="2"/>
      <c r="AJ1408" s="2">
        <v>14</v>
      </c>
      <c r="AK1408" s="1"/>
      <c r="AL1408" s="1"/>
    </row>
    <row r="1409" spans="1:38" hidden="1" x14ac:dyDescent="0.2">
      <c r="A1409" s="11">
        <v>45985</v>
      </c>
      <c r="B1409" s="53" t="s">
        <v>2369</v>
      </c>
      <c r="C1409" s="52" t="str">
        <f>IF(MID(B1409,4,2)="09","Ramadan",IF(AND(MID(B1409,4,2)="12",VALUE(LEFT(B1409,2))&lt;=9),"Adha Season","Normal"))</f>
        <v>Normal</v>
      </c>
      <c r="D1409" s="2" t="s">
        <v>294</v>
      </c>
      <c r="F1409" s="4" t="s">
        <v>780</v>
      </c>
      <c r="G1409" s="1">
        <v>30</v>
      </c>
      <c r="H1409">
        <v>30</v>
      </c>
      <c r="I1409">
        <f>grand[[#This Row],[number]]-grand[[#This Row],[received]]</f>
        <v>0</v>
      </c>
      <c r="J1409" s="30"/>
      <c r="K1409" s="2">
        <v>1527</v>
      </c>
      <c r="L1409" s="2">
        <v>1500</v>
      </c>
      <c r="M1409" s="2">
        <f>K1409-L1409</f>
        <v>27</v>
      </c>
      <c r="N1409" s="2">
        <v>885.1</v>
      </c>
      <c r="O1409" s="2">
        <v>0</v>
      </c>
      <c r="P1409" s="7">
        <f>grand[[#This Row],[total weight]]/grand[[#This Row],[received]]</f>
        <v>50.9</v>
      </c>
      <c r="Q1409" s="7">
        <f>grand[[#This Row],[receiving weight]]/grand[[#This Row],[received]]</f>
        <v>50</v>
      </c>
      <c r="R1409" s="7">
        <f>grand[[#This Row],[transportation loss ]]/grand[[#This Row],[received]]</f>
        <v>0.9</v>
      </c>
      <c r="S1409" s="7">
        <f>grand[[#This Row],[ carcass weight]]/grand[[#This Row],[received]]</f>
        <v>29.503333333333334</v>
      </c>
      <c r="T1409" s="7">
        <f>grand[[#This Row],[ kidneys fat quantity]]/grand[[#This Row],[received]]</f>
        <v>0</v>
      </c>
      <c r="U1409">
        <v>25</v>
      </c>
      <c r="V1409">
        <v>0</v>
      </c>
      <c r="W1409">
        <v>46.499999999999993</v>
      </c>
      <c r="X1409">
        <v>10</v>
      </c>
      <c r="Y1409">
        <v>8.5</v>
      </c>
      <c r="Z1409" s="18">
        <f>grand[[#This Row],[av. Transportation loss]]/grand[[#This Row],[av.total weight]]</f>
        <v>1.7681728880157174E-2</v>
      </c>
      <c r="AA1409" s="18">
        <f>AVERAGE((grand[[#This Row],[am]]/25),(grand[[#This Row],[pm]]/50))</f>
        <v>0.96499999999999986</v>
      </c>
      <c r="AB1409" s="3">
        <f>grand[[#This Row],[ carcass weight]]/grand[[#This Row],[total weight]]</f>
        <v>0.57963326784544855</v>
      </c>
      <c r="AC1409" s="18">
        <f>SUM(grand[[#This Row],[am]:[meat transportation]])/100</f>
        <v>0.9</v>
      </c>
      <c r="AD1409" s="2" t="s">
        <v>846</v>
      </c>
      <c r="AE1409" s="2"/>
      <c r="AF1409" s="2"/>
      <c r="AG1409" s="2"/>
      <c r="AH1409" s="2"/>
      <c r="AI1409" s="2"/>
      <c r="AJ1409" s="2">
        <v>0</v>
      </c>
      <c r="AK1409" s="1"/>
      <c r="AL1409" s="1"/>
    </row>
    <row r="1410" spans="1:38" hidden="1" x14ac:dyDescent="0.2">
      <c r="A1410" s="11">
        <v>45985</v>
      </c>
      <c r="B1410" s="53" t="s">
        <v>2369</v>
      </c>
      <c r="C1410" s="52" t="str">
        <f>IF(MID(B1410,4,2)="09","Ramadan",IF(AND(MID(B1410,4,2)="12",VALUE(LEFT(B1410,2))&lt;=9),"Adha Season","Normal"))</f>
        <v>Normal</v>
      </c>
      <c r="D1410" s="1" t="s">
        <v>45</v>
      </c>
      <c r="E1410" s="1" t="s">
        <v>483</v>
      </c>
      <c r="F1410" s="4" t="s">
        <v>815</v>
      </c>
      <c r="G1410" s="1">
        <v>37</v>
      </c>
      <c r="H1410">
        <v>37</v>
      </c>
      <c r="I1410">
        <f>grand[[#This Row],[number]]-grand[[#This Row],[received]]</f>
        <v>0</v>
      </c>
      <c r="J1410" s="30"/>
      <c r="K1410" s="2">
        <v>19106</v>
      </c>
      <c r="L1410" s="2">
        <v>18595</v>
      </c>
      <c r="M1410" s="2">
        <f>K1410-L1410</f>
        <v>511</v>
      </c>
      <c r="N1410" s="2">
        <v>12341.2</v>
      </c>
      <c r="O1410" s="2">
        <v>355</v>
      </c>
      <c r="P1410" s="7">
        <f>grand[[#This Row],[total weight]]/grand[[#This Row],[received]]</f>
        <v>516.37837837837833</v>
      </c>
      <c r="Q1410" s="7">
        <f>grand[[#This Row],[receiving weight]]/grand[[#This Row],[received]]</f>
        <v>502.56756756756755</v>
      </c>
      <c r="R1410" s="7">
        <f>grand[[#This Row],[transportation loss ]]/grand[[#This Row],[received]]</f>
        <v>13.810810810810811</v>
      </c>
      <c r="S1410" s="7">
        <f>grand[[#This Row],[ carcass weight]]/grand[[#This Row],[received]]</f>
        <v>333.54594594594596</v>
      </c>
      <c r="T1410" s="7">
        <f>grand[[#This Row],[ kidneys fat quantity]]/grand[[#This Row],[received]]</f>
        <v>9.5945945945945947</v>
      </c>
      <c r="U1410">
        <v>25</v>
      </c>
      <c r="V1410">
        <v>0</v>
      </c>
      <c r="W1410">
        <v>48.324324324324323</v>
      </c>
      <c r="X1410">
        <v>10</v>
      </c>
      <c r="Y1410">
        <v>8.5</v>
      </c>
      <c r="Z1410" s="18">
        <f>grand[[#This Row],[av. Transportation loss]]/grand[[#This Row],[av.total weight]]</f>
        <v>2.6745524965979275E-2</v>
      </c>
      <c r="AA1410" s="18">
        <f>AVERAGE((grand[[#This Row],[am]]/25),(grand[[#This Row],[pm]]/50))</f>
        <v>0.98324324324324319</v>
      </c>
      <c r="AB1410" s="3">
        <f>grand[[#This Row],[ carcass weight]]/grand[[#This Row],[total weight]]</f>
        <v>0.64593321469695386</v>
      </c>
      <c r="AC1410" s="18">
        <f>SUM(grand[[#This Row],[am]:[meat transportation]])/100</f>
        <v>0.91824324324324325</v>
      </c>
      <c r="AD1410" s="2" t="s">
        <v>847</v>
      </c>
      <c r="AE1410" s="2"/>
      <c r="AF1410" s="2"/>
      <c r="AG1410" s="2"/>
      <c r="AH1410" s="2"/>
      <c r="AI1410" s="2"/>
      <c r="AJ1410" s="2">
        <v>0</v>
      </c>
      <c r="AK1410" s="1"/>
      <c r="AL1410" s="1"/>
    </row>
    <row r="1411" spans="1:38" hidden="1" x14ac:dyDescent="0.2">
      <c r="A1411" s="11">
        <v>45987</v>
      </c>
      <c r="B1411" s="53" t="s">
        <v>2371</v>
      </c>
      <c r="C1411" s="52" t="str">
        <f>IF(MID(B1411,4,2)="09","Ramadan",IF(AND(MID(B1411,4,2)="12",VALUE(LEFT(B1411,2))&lt;=9),"Adha Season","Normal"))</f>
        <v>Normal</v>
      </c>
      <c r="D1411" s="2" t="s">
        <v>294</v>
      </c>
      <c r="F1411" s="4" t="s">
        <v>749</v>
      </c>
      <c r="G1411" s="1">
        <v>35</v>
      </c>
      <c r="H1411">
        <v>35</v>
      </c>
      <c r="I1411">
        <f>grand[[#This Row],[number]]-grand[[#This Row],[received]]</f>
        <v>0</v>
      </c>
      <c r="J1411" s="30"/>
      <c r="K1411" s="2">
        <v>1845</v>
      </c>
      <c r="L1411" s="2">
        <v>1810</v>
      </c>
      <c r="M1411" s="2">
        <f>K1411-L1411</f>
        <v>35</v>
      </c>
      <c r="N1411" s="2">
        <v>1090.3</v>
      </c>
      <c r="O1411" s="2">
        <v>0</v>
      </c>
      <c r="P1411" s="7">
        <f>grand[[#This Row],[total weight]]/grand[[#This Row],[received]]</f>
        <v>52.714285714285715</v>
      </c>
      <c r="Q1411" s="7">
        <f>grand[[#This Row],[receiving weight]]/grand[[#This Row],[received]]</f>
        <v>51.714285714285715</v>
      </c>
      <c r="R1411" s="7">
        <f>grand[[#This Row],[transportation loss ]]/grand[[#This Row],[received]]</f>
        <v>1</v>
      </c>
      <c r="S1411" s="7">
        <f>grand[[#This Row],[ carcass weight]]/grand[[#This Row],[received]]</f>
        <v>31.151428571428571</v>
      </c>
      <c r="T1411" s="7">
        <f>grand[[#This Row],[ kidneys fat quantity]]/grand[[#This Row],[received]]</f>
        <v>0</v>
      </c>
      <c r="U1411">
        <v>25</v>
      </c>
      <c r="V1411">
        <v>0</v>
      </c>
      <c r="W1411">
        <v>46.857142857142861</v>
      </c>
      <c r="X1411">
        <v>10</v>
      </c>
      <c r="Y1411">
        <v>8.5</v>
      </c>
      <c r="Z1411" s="18">
        <f>grand[[#This Row],[av. Transportation loss]]/grand[[#This Row],[av.total weight]]</f>
        <v>1.8970189701897018E-2</v>
      </c>
      <c r="AA1411" s="18">
        <f>AVERAGE((grand[[#This Row],[am]]/25),(grand[[#This Row],[pm]]/50))</f>
        <v>0.96857142857142864</v>
      </c>
      <c r="AB1411" s="3">
        <f>grand[[#This Row],[ carcass weight]]/grand[[#This Row],[total weight]]</f>
        <v>0.59094850948509481</v>
      </c>
      <c r="AC1411" s="18">
        <f>SUM(grand[[#This Row],[am]:[meat transportation]])/100</f>
        <v>0.90357142857142858</v>
      </c>
      <c r="AD1411" s="2" t="s">
        <v>777</v>
      </c>
      <c r="AE1411" s="2"/>
      <c r="AF1411" s="2"/>
      <c r="AG1411" s="2"/>
      <c r="AH1411" s="2"/>
      <c r="AI1411" s="2"/>
      <c r="AJ1411" s="2">
        <v>0</v>
      </c>
      <c r="AK1411" s="1"/>
      <c r="AL1411" s="1"/>
    </row>
    <row r="1412" spans="1:38" hidden="1" x14ac:dyDescent="0.2">
      <c r="A1412" s="11">
        <v>45988</v>
      </c>
      <c r="B1412" s="53" t="s">
        <v>2372</v>
      </c>
      <c r="C1412" s="52" t="str">
        <f>IF(MID(B1412,4,2)="09","Ramadan",IF(AND(MID(B1412,4,2)="12",VALUE(LEFT(B1412,2))&lt;=9),"Adha Season","Normal"))</f>
        <v>Normal</v>
      </c>
      <c r="D1412" s="2" t="s">
        <v>294</v>
      </c>
      <c r="F1412" s="4" t="s">
        <v>1023</v>
      </c>
      <c r="G1412" s="1">
        <v>30</v>
      </c>
      <c r="H1412">
        <v>30</v>
      </c>
      <c r="I1412">
        <f>grand[[#This Row],[number]]-grand[[#This Row],[received]]</f>
        <v>0</v>
      </c>
      <c r="J1412" s="30"/>
      <c r="K1412" s="2">
        <v>1585</v>
      </c>
      <c r="L1412" s="2">
        <v>1575</v>
      </c>
      <c r="M1412" s="2">
        <f>K1412-L1412</f>
        <v>10</v>
      </c>
      <c r="N1412" s="2">
        <v>940.2</v>
      </c>
      <c r="O1412" s="2">
        <v>0</v>
      </c>
      <c r="P1412" s="7">
        <f>grand[[#This Row],[total weight]]/grand[[#This Row],[received]]</f>
        <v>52.833333333333336</v>
      </c>
      <c r="Q1412" s="7">
        <f>grand[[#This Row],[receiving weight]]/grand[[#This Row],[received]]</f>
        <v>52.5</v>
      </c>
      <c r="R1412" s="7">
        <f>grand[[#This Row],[transportation loss ]]/grand[[#This Row],[received]]</f>
        <v>0.33333333333333331</v>
      </c>
      <c r="S1412" s="7">
        <f>grand[[#This Row],[ carcass weight]]/grand[[#This Row],[received]]</f>
        <v>31.34</v>
      </c>
      <c r="T1412" s="7">
        <f>grand[[#This Row],[ kidneys fat quantity]]/grand[[#This Row],[received]]</f>
        <v>0</v>
      </c>
      <c r="U1412">
        <v>25</v>
      </c>
      <c r="V1412">
        <v>0</v>
      </c>
      <c r="W1412">
        <v>45.966666666666669</v>
      </c>
      <c r="X1412">
        <v>10</v>
      </c>
      <c r="Y1412">
        <v>8.5</v>
      </c>
      <c r="Z1412" s="18">
        <f>grand[[#This Row],[av. Transportation loss]]/grand[[#This Row],[av.total weight]]</f>
        <v>6.3091482649842261E-3</v>
      </c>
      <c r="AA1412" s="18">
        <f>AVERAGE((grand[[#This Row],[am]]/25),(grand[[#This Row],[pm]]/50))</f>
        <v>0.95966666666666667</v>
      </c>
      <c r="AB1412" s="3">
        <f>grand[[#This Row],[ carcass weight]]/grand[[#This Row],[total weight]]</f>
        <v>0.59318611987381709</v>
      </c>
      <c r="AC1412" s="18">
        <f>SUM(grand[[#This Row],[am]:[meat transportation]])/100</f>
        <v>0.89466666666666672</v>
      </c>
      <c r="AD1412" s="2" t="s">
        <v>730</v>
      </c>
      <c r="AE1412" s="2"/>
      <c r="AF1412" s="2"/>
      <c r="AG1412" s="2"/>
      <c r="AH1412" s="2"/>
      <c r="AI1412" s="2"/>
      <c r="AJ1412" s="2">
        <v>0</v>
      </c>
      <c r="AK1412" s="1"/>
      <c r="AL1412" s="1"/>
    </row>
    <row r="1413" spans="1:38" hidden="1" x14ac:dyDescent="0.2">
      <c r="A1413" s="11">
        <v>45988</v>
      </c>
      <c r="B1413" s="53" t="s">
        <v>2372</v>
      </c>
      <c r="C1413" s="52" t="str">
        <f>IF(MID(B1413,4,2)="09","Ramadan",IF(AND(MID(B1413,4,2)="12",VALUE(LEFT(B1413,2))&lt;=9),"Adha Season","Normal"))</f>
        <v>Normal</v>
      </c>
      <c r="D1413" s="1" t="s">
        <v>45</v>
      </c>
      <c r="E1413" s="1" t="s">
        <v>483</v>
      </c>
      <c r="F1413" s="4" t="s">
        <v>746</v>
      </c>
      <c r="G1413" s="1">
        <v>80</v>
      </c>
      <c r="H1413">
        <v>80</v>
      </c>
      <c r="I1413">
        <f>grand[[#This Row],[number]]-grand[[#This Row],[received]]</f>
        <v>0</v>
      </c>
      <c r="J1413" s="30"/>
      <c r="K1413" s="2">
        <v>38600</v>
      </c>
      <c r="L1413" s="2">
        <v>36875</v>
      </c>
      <c r="M1413" s="2">
        <f>K1413-L1413</f>
        <v>1725</v>
      </c>
      <c r="N1413" s="2">
        <v>23189.200000000001</v>
      </c>
      <c r="O1413" s="2">
        <v>596</v>
      </c>
      <c r="P1413" s="7">
        <f>grand[[#This Row],[total weight]]/grand[[#This Row],[received]]</f>
        <v>482.5</v>
      </c>
      <c r="Q1413" s="7">
        <f>grand[[#This Row],[receiving weight]]/grand[[#This Row],[received]]</f>
        <v>460.9375</v>
      </c>
      <c r="R1413" s="7">
        <f>grand[[#This Row],[transportation loss ]]/grand[[#This Row],[received]]</f>
        <v>21.5625</v>
      </c>
      <c r="S1413" s="7">
        <f>grand[[#This Row],[ carcass weight]]/grand[[#This Row],[received]]</f>
        <v>289.86500000000001</v>
      </c>
      <c r="T1413" s="7">
        <f>grand[[#This Row],[ kidneys fat quantity]]/grand[[#This Row],[received]]</f>
        <v>7.45</v>
      </c>
      <c r="U1413">
        <v>24.625</v>
      </c>
      <c r="V1413">
        <v>0</v>
      </c>
      <c r="W1413">
        <v>48.35</v>
      </c>
      <c r="X1413">
        <v>10</v>
      </c>
      <c r="Y1413">
        <v>8.5</v>
      </c>
      <c r="Z1413" s="18">
        <f>grand[[#This Row],[av. Transportation loss]]/grand[[#This Row],[av.total weight]]</f>
        <v>4.4689119170984455E-2</v>
      </c>
      <c r="AA1413" s="18">
        <f>AVERAGE((grand[[#This Row],[am]]/25),(grand[[#This Row],[pm]]/50))</f>
        <v>0.97599999999999998</v>
      </c>
      <c r="AB1413" s="3">
        <f>grand[[#This Row],[ carcass weight]]/grand[[#This Row],[total weight]]</f>
        <v>0.60075647668393783</v>
      </c>
      <c r="AC1413" s="18">
        <f>SUM(grand[[#This Row],[am]:[meat transportation]])/100</f>
        <v>0.91474999999999995</v>
      </c>
      <c r="AD1413" s="2" t="s">
        <v>855</v>
      </c>
      <c r="AE1413" s="2"/>
      <c r="AF1413" s="2"/>
      <c r="AG1413" s="2"/>
      <c r="AH1413" s="2"/>
      <c r="AI1413" s="2"/>
      <c r="AJ1413" s="2">
        <v>19</v>
      </c>
      <c r="AK1413" s="1"/>
      <c r="AL1413" s="1"/>
    </row>
    <row r="1414" spans="1:38" hidden="1" x14ac:dyDescent="0.2">
      <c r="A1414" s="11">
        <v>45990</v>
      </c>
      <c r="B1414" s="53" t="s">
        <v>2373</v>
      </c>
      <c r="C1414" s="52" t="str">
        <f>IF(MID(B1414,4,2)="09","Ramadan",IF(AND(MID(B1414,4,2)="12",VALUE(LEFT(B1414,2))&lt;=9),"Adha Season","Normal"))</f>
        <v>Normal</v>
      </c>
      <c r="D1414" s="2" t="s">
        <v>294</v>
      </c>
      <c r="F1414" s="4" t="s">
        <v>780</v>
      </c>
      <c r="G1414" s="1">
        <v>30</v>
      </c>
      <c r="H1414">
        <v>30</v>
      </c>
      <c r="I1414">
        <f>grand[[#This Row],[number]]-grand[[#This Row],[received]]</f>
        <v>0</v>
      </c>
      <c r="J1414" s="30"/>
      <c r="K1414" s="2">
        <v>1547</v>
      </c>
      <c r="L1414" s="2">
        <v>1547</v>
      </c>
      <c r="M1414" s="2">
        <f>K1414-L1414</f>
        <v>0</v>
      </c>
      <c r="N1414" s="2">
        <v>880.5</v>
      </c>
      <c r="O1414" s="2">
        <v>0</v>
      </c>
      <c r="P1414" s="7">
        <f>grand[[#This Row],[total weight]]/grand[[#This Row],[received]]</f>
        <v>51.56666666666667</v>
      </c>
      <c r="Q1414" s="7">
        <f>grand[[#This Row],[receiving weight]]/grand[[#This Row],[received]]</f>
        <v>51.56666666666667</v>
      </c>
      <c r="R1414" s="7">
        <f>grand[[#This Row],[transportation loss ]]/grand[[#This Row],[received]]</f>
        <v>0</v>
      </c>
      <c r="S1414" s="7">
        <f>grand[[#This Row],[ carcass weight]]/grand[[#This Row],[received]]</f>
        <v>29.35</v>
      </c>
      <c r="T1414" s="7">
        <f>grand[[#This Row],[ kidneys fat quantity]]/grand[[#This Row],[received]]</f>
        <v>0</v>
      </c>
      <c r="U1414">
        <v>25</v>
      </c>
      <c r="V1414">
        <v>0</v>
      </c>
      <c r="W1414">
        <v>47.633333333333333</v>
      </c>
      <c r="X1414">
        <v>10</v>
      </c>
      <c r="Y1414">
        <v>8.5</v>
      </c>
      <c r="Z1414" s="18">
        <f>grand[[#This Row],[av. Transportation loss]]/grand[[#This Row],[av.total weight]]</f>
        <v>0</v>
      </c>
      <c r="AA1414" s="18">
        <f>AVERAGE((grand[[#This Row],[am]]/25),(grand[[#This Row],[pm]]/50))</f>
        <v>0.97633333333333328</v>
      </c>
      <c r="AB1414" s="3">
        <f>grand[[#This Row],[ carcass weight]]/grand[[#This Row],[total weight]]</f>
        <v>0.56916612798965738</v>
      </c>
      <c r="AC1414" s="18">
        <f>SUM(grand[[#This Row],[am]:[meat transportation]])/100</f>
        <v>0.91133333333333322</v>
      </c>
      <c r="AD1414" s="2" t="s">
        <v>860</v>
      </c>
      <c r="AE1414" s="2"/>
      <c r="AF1414" s="2"/>
      <c r="AG1414" s="2"/>
      <c r="AH1414" s="2"/>
      <c r="AI1414" s="2"/>
      <c r="AJ1414" s="2">
        <v>0</v>
      </c>
      <c r="AK1414" s="1"/>
      <c r="AL1414" s="1"/>
    </row>
    <row r="1415" spans="1:38" hidden="1" x14ac:dyDescent="0.2">
      <c r="A1415" s="11">
        <v>45992</v>
      </c>
      <c r="B1415" s="53" t="s">
        <v>2375</v>
      </c>
      <c r="C1415" s="52" t="str">
        <f>IF(MID(B1415,4,2)="09","Ramadan",IF(AND(MID(B1415,4,2)="12",VALUE(LEFT(B1415,2))&lt;=9),"Adha Season","Normal"))</f>
        <v>Normal</v>
      </c>
      <c r="D1415" s="2" t="s">
        <v>294</v>
      </c>
      <c r="F1415" s="4" t="s">
        <v>1023</v>
      </c>
      <c r="G1415" s="1">
        <v>39</v>
      </c>
      <c r="H1415">
        <v>39</v>
      </c>
      <c r="I1415">
        <f>grand[[#This Row],[number]]-grand[[#This Row],[received]]</f>
        <v>0</v>
      </c>
      <c r="J1415" s="30"/>
      <c r="K1415" s="2">
        <v>2090</v>
      </c>
      <c r="L1415" s="2">
        <v>2090</v>
      </c>
      <c r="M1415" s="2">
        <f>K1415-L1415</f>
        <v>0</v>
      </c>
      <c r="N1415" s="2">
        <v>1139.7</v>
      </c>
      <c r="O1415" s="2">
        <v>0</v>
      </c>
      <c r="P1415" s="7">
        <f>grand[[#This Row],[total weight]]/grand[[#This Row],[received]]</f>
        <v>53.589743589743591</v>
      </c>
      <c r="Q1415" s="7">
        <f>grand[[#This Row],[receiving weight]]/grand[[#This Row],[received]]</f>
        <v>53.589743589743591</v>
      </c>
      <c r="R1415" s="7">
        <f>grand[[#This Row],[transportation loss ]]/grand[[#This Row],[received]]</f>
        <v>0</v>
      </c>
      <c r="S1415" s="7">
        <f>grand[[#This Row],[ carcass weight]]/grand[[#This Row],[received]]</f>
        <v>29.223076923076924</v>
      </c>
      <c r="T1415" s="7">
        <f>grand[[#This Row],[ kidneys fat quantity]]/grand[[#This Row],[received]]</f>
        <v>0</v>
      </c>
      <c r="U1415">
        <v>25</v>
      </c>
      <c r="V1415">
        <v>0</v>
      </c>
      <c r="W1415">
        <v>45.333333333333336</v>
      </c>
      <c r="X1415">
        <v>10</v>
      </c>
      <c r="Y1415">
        <v>8.5</v>
      </c>
      <c r="Z1415" s="18">
        <f>grand[[#This Row],[av. Transportation loss]]/grand[[#This Row],[av.total weight]]</f>
        <v>0</v>
      </c>
      <c r="AA1415" s="18">
        <f>AVERAGE((grand[[#This Row],[am]]/25),(grand[[#This Row],[pm]]/50))</f>
        <v>0.95333333333333337</v>
      </c>
      <c r="AB1415" s="3">
        <f>grand[[#This Row],[ carcass weight]]/grand[[#This Row],[total weight]]</f>
        <v>0.54531100478468897</v>
      </c>
      <c r="AC1415" s="18">
        <f>SUM(grand[[#This Row],[am]:[meat transportation]])/100</f>
        <v>0.88833333333333342</v>
      </c>
      <c r="AD1415" s="2" t="s">
        <v>813</v>
      </c>
      <c r="AE1415" s="2"/>
      <c r="AF1415" s="2"/>
      <c r="AG1415" s="2"/>
      <c r="AH1415" s="2"/>
      <c r="AI1415" s="2"/>
      <c r="AJ1415" s="2">
        <v>0</v>
      </c>
      <c r="AK1415" s="1"/>
      <c r="AL1415" s="1"/>
    </row>
    <row r="1416" spans="1:38" hidden="1" x14ac:dyDescent="0.2">
      <c r="A1416" s="11">
        <v>45993</v>
      </c>
      <c r="B1416" s="53" t="s">
        <v>2376</v>
      </c>
      <c r="C1416" s="52" t="str">
        <f>IF(MID(B1416,4,2)="09","Ramadan",IF(AND(MID(B1416,4,2)="12",VALUE(LEFT(B1416,2))&lt;=9),"Adha Season","Normal"))</f>
        <v>Normal</v>
      </c>
      <c r="D1416" s="1" t="s">
        <v>45</v>
      </c>
      <c r="E1416" s="1" t="s">
        <v>483</v>
      </c>
      <c r="F1416" s="4" t="s">
        <v>46</v>
      </c>
      <c r="G1416" s="1">
        <v>16</v>
      </c>
      <c r="H1416">
        <v>16</v>
      </c>
      <c r="I1416">
        <f>grand[[#This Row],[number]]-grand[[#This Row],[received]]</f>
        <v>0</v>
      </c>
      <c r="J1416" s="30"/>
      <c r="K1416" s="2">
        <v>8497</v>
      </c>
      <c r="L1416" s="2">
        <v>8497</v>
      </c>
      <c r="M1416" s="2">
        <f>K1416-L1416</f>
        <v>0</v>
      </c>
      <c r="N1416" s="2">
        <v>5098</v>
      </c>
      <c r="O1416" s="2">
        <v>203</v>
      </c>
      <c r="P1416" s="7">
        <f>grand[[#This Row],[total weight]]/grand[[#This Row],[received]]</f>
        <v>531.0625</v>
      </c>
      <c r="Q1416" s="7">
        <f>grand[[#This Row],[receiving weight]]/grand[[#This Row],[received]]</f>
        <v>531.0625</v>
      </c>
      <c r="R1416" s="7">
        <f>grand[[#This Row],[transportation loss ]]/grand[[#This Row],[received]]</f>
        <v>0</v>
      </c>
      <c r="S1416" s="7">
        <f>grand[[#This Row],[ carcass weight]]/grand[[#This Row],[received]]</f>
        <v>318.625</v>
      </c>
      <c r="T1416" s="7">
        <f>grand[[#This Row],[ kidneys fat quantity]]/grand[[#This Row],[received]]</f>
        <v>12.6875</v>
      </c>
      <c r="U1416">
        <v>24.6875</v>
      </c>
      <c r="V1416">
        <v>0</v>
      </c>
      <c r="W1416">
        <v>46.28125</v>
      </c>
      <c r="X1416">
        <v>10</v>
      </c>
      <c r="Y1416">
        <v>8.5</v>
      </c>
      <c r="Z1416" s="18">
        <f>grand[[#This Row],[av. Transportation loss]]/grand[[#This Row],[av.total weight]]</f>
        <v>0</v>
      </c>
      <c r="AA1416" s="18">
        <f>AVERAGE((grand[[#This Row],[am]]/25),(grand[[#This Row],[pm]]/50))</f>
        <v>0.95656249999999998</v>
      </c>
      <c r="AB1416" s="3">
        <f>grand[[#This Row],[ carcass weight]]/grand[[#This Row],[total weight]]</f>
        <v>0.59997646228080503</v>
      </c>
      <c r="AC1416" s="18">
        <f>SUM(grand[[#This Row],[am]:[meat transportation]])/100</f>
        <v>0.89468749999999997</v>
      </c>
      <c r="AD1416" s="2" t="s">
        <v>839</v>
      </c>
      <c r="AE1416" s="2"/>
      <c r="AF1416" s="2"/>
      <c r="AG1416" s="2"/>
      <c r="AH1416" s="2"/>
      <c r="AI1416" s="2"/>
      <c r="AJ1416" s="2">
        <v>7</v>
      </c>
      <c r="AK1416" s="1"/>
      <c r="AL1416" s="1"/>
    </row>
    <row r="1417" spans="1:38" hidden="1" x14ac:dyDescent="0.2">
      <c r="A1417" s="11">
        <v>45994</v>
      </c>
      <c r="B1417" s="53" t="s">
        <v>2377</v>
      </c>
      <c r="C1417" s="52" t="str">
        <f>IF(MID(B1417,4,2)="09","Ramadan",IF(AND(MID(B1417,4,2)="12",VALUE(LEFT(B1417,2))&lt;=9),"Adha Season","Normal"))</f>
        <v>Normal</v>
      </c>
      <c r="D1417" s="2" t="s">
        <v>294</v>
      </c>
      <c r="F1417" s="4" t="s">
        <v>749</v>
      </c>
      <c r="G1417" s="1">
        <v>37</v>
      </c>
      <c r="H1417">
        <v>37</v>
      </c>
      <c r="I1417">
        <f>grand[[#This Row],[number]]-grand[[#This Row],[received]]</f>
        <v>0</v>
      </c>
      <c r="J1417" s="30"/>
      <c r="K1417" s="2">
        <v>1835</v>
      </c>
      <c r="L1417" s="2">
        <v>1835</v>
      </c>
      <c r="M1417" s="2">
        <f>K1417-L1417</f>
        <v>0</v>
      </c>
      <c r="N1417" s="2">
        <v>1057.4000000000001</v>
      </c>
      <c r="O1417" s="2">
        <v>0</v>
      </c>
      <c r="P1417" s="7">
        <f>grand[[#This Row],[total weight]]/grand[[#This Row],[received]]</f>
        <v>49.594594594594597</v>
      </c>
      <c r="Q1417" s="7">
        <f>grand[[#This Row],[receiving weight]]/grand[[#This Row],[received]]</f>
        <v>49.594594594594597</v>
      </c>
      <c r="R1417" s="7">
        <f>grand[[#This Row],[transportation loss ]]/grand[[#This Row],[received]]</f>
        <v>0</v>
      </c>
      <c r="S1417" s="7">
        <f>grand[[#This Row],[ carcass weight]]/grand[[#This Row],[received]]</f>
        <v>28.578378378378382</v>
      </c>
      <c r="T1417" s="7">
        <f>grand[[#This Row],[ kidneys fat quantity]]/grand[[#This Row],[received]]</f>
        <v>0</v>
      </c>
      <c r="U1417">
        <v>25</v>
      </c>
      <c r="V1417">
        <v>0</v>
      </c>
      <c r="W1417">
        <v>48.189189189189193</v>
      </c>
      <c r="X1417">
        <v>10</v>
      </c>
      <c r="Y1417">
        <v>8.5</v>
      </c>
      <c r="Z1417" s="18">
        <f>grand[[#This Row],[av. Transportation loss]]/grand[[#This Row],[av.total weight]]</f>
        <v>0</v>
      </c>
      <c r="AA1417" s="18">
        <f>AVERAGE((grand[[#This Row],[am]]/25),(grand[[#This Row],[pm]]/50))</f>
        <v>0.98189189189189197</v>
      </c>
      <c r="AB1417" s="3">
        <f>grand[[#This Row],[ carcass weight]]/grand[[#This Row],[total weight]]</f>
        <v>0.57623978201634884</v>
      </c>
      <c r="AC1417" s="18">
        <f>SUM(grand[[#This Row],[am]:[meat transportation]])/100</f>
        <v>0.91689189189189191</v>
      </c>
      <c r="AD1417" s="2" t="s">
        <v>865</v>
      </c>
      <c r="AE1417" s="2"/>
      <c r="AF1417" s="2"/>
      <c r="AG1417" s="2"/>
      <c r="AH1417" s="2"/>
      <c r="AI1417" s="2"/>
      <c r="AJ1417" s="2">
        <v>0</v>
      </c>
      <c r="AK1417" s="1"/>
      <c r="AL1417" s="1"/>
    </row>
    <row r="1418" spans="1:38" hidden="1" x14ac:dyDescent="0.2">
      <c r="A1418" s="11">
        <v>45995</v>
      </c>
      <c r="B1418" s="53" t="s">
        <v>2378</v>
      </c>
      <c r="C1418" s="52" t="str">
        <f>IF(MID(B1418,4,2)="09","Ramadan",IF(AND(MID(B1418,4,2)="12",VALUE(LEFT(B1418,2))&lt;=9),"Adha Season","Normal"))</f>
        <v>Normal</v>
      </c>
      <c r="D1418" s="2" t="s">
        <v>294</v>
      </c>
      <c r="F1418" s="4" t="s">
        <v>656</v>
      </c>
      <c r="G1418" s="1">
        <v>35</v>
      </c>
      <c r="H1418">
        <v>35</v>
      </c>
      <c r="I1418">
        <f>grand[[#This Row],[number]]-grand[[#This Row],[received]]</f>
        <v>0</v>
      </c>
      <c r="J1418" s="30"/>
      <c r="K1418" s="2">
        <v>1776</v>
      </c>
      <c r="L1418" s="2">
        <v>1776</v>
      </c>
      <c r="M1418" s="2">
        <f>K1418-L1418</f>
        <v>0</v>
      </c>
      <c r="N1418" s="2">
        <v>1005.7</v>
      </c>
      <c r="O1418" s="2">
        <v>0</v>
      </c>
      <c r="P1418" s="7">
        <f>grand[[#This Row],[total weight]]/grand[[#This Row],[received]]</f>
        <v>50.74285714285714</v>
      </c>
      <c r="Q1418" s="7">
        <f>grand[[#This Row],[receiving weight]]/grand[[#This Row],[received]]</f>
        <v>50.74285714285714</v>
      </c>
      <c r="R1418" s="7">
        <f>grand[[#This Row],[transportation loss ]]/grand[[#This Row],[received]]</f>
        <v>0</v>
      </c>
      <c r="S1418" s="7">
        <f>grand[[#This Row],[ carcass weight]]/grand[[#This Row],[received]]</f>
        <v>28.734285714285715</v>
      </c>
      <c r="T1418" s="7">
        <f>grand[[#This Row],[ kidneys fat quantity]]/grand[[#This Row],[received]]</f>
        <v>0</v>
      </c>
      <c r="U1418">
        <v>25</v>
      </c>
      <c r="V1418">
        <v>0</v>
      </c>
      <c r="W1418">
        <v>46.342857142857142</v>
      </c>
      <c r="X1418">
        <v>10</v>
      </c>
      <c r="Y1418">
        <v>8.5</v>
      </c>
      <c r="Z1418" s="18">
        <f>grand[[#This Row],[av. Transportation loss]]/grand[[#This Row],[av.total weight]]</f>
        <v>0</v>
      </c>
      <c r="AA1418" s="18">
        <f>AVERAGE((grand[[#This Row],[am]]/25),(grand[[#This Row],[pm]]/50))</f>
        <v>0.96342857142857141</v>
      </c>
      <c r="AB1418" s="3">
        <f>grand[[#This Row],[ carcass weight]]/grand[[#This Row],[total weight]]</f>
        <v>0.56627252252252258</v>
      </c>
      <c r="AC1418" s="18">
        <f>SUM(grand[[#This Row],[am]:[meat transportation]])/100</f>
        <v>0.89842857142857147</v>
      </c>
      <c r="AD1418" s="2" t="s">
        <v>796</v>
      </c>
      <c r="AE1418" s="2"/>
      <c r="AF1418" s="2"/>
      <c r="AG1418" s="2"/>
      <c r="AH1418" s="2"/>
      <c r="AI1418" s="2"/>
      <c r="AJ1418" s="2">
        <v>0</v>
      </c>
      <c r="AK1418" s="1"/>
      <c r="AL1418" s="1"/>
    </row>
    <row r="1419" spans="1:38" hidden="1" x14ac:dyDescent="0.2">
      <c r="A1419" s="11">
        <v>45997</v>
      </c>
      <c r="B1419" s="53" t="s">
        <v>2379</v>
      </c>
      <c r="C1419" s="52" t="str">
        <f>IF(MID(B1419,4,2)="09","Ramadan",IF(AND(MID(B1419,4,2)="12",VALUE(LEFT(B1419,2))&lt;=9),"Adha Season","Normal"))</f>
        <v>Normal</v>
      </c>
      <c r="D1419" s="1" t="s">
        <v>45</v>
      </c>
      <c r="E1419" s="1" t="s">
        <v>483</v>
      </c>
      <c r="F1419" s="4" t="s">
        <v>746</v>
      </c>
      <c r="G1419" s="1">
        <v>50</v>
      </c>
      <c r="H1419">
        <v>50</v>
      </c>
      <c r="I1419">
        <f>grand[[#This Row],[number]]-grand[[#This Row],[received]]</f>
        <v>0</v>
      </c>
      <c r="J1419" s="30"/>
      <c r="K1419" s="2">
        <v>25940</v>
      </c>
      <c r="L1419" s="2">
        <v>25940</v>
      </c>
      <c r="M1419" s="2">
        <f>K1419-L1419</f>
        <v>0</v>
      </c>
      <c r="N1419" s="2">
        <v>15562.8</v>
      </c>
      <c r="O1419" s="2">
        <v>578</v>
      </c>
      <c r="P1419" s="7">
        <f>grand[[#This Row],[total weight]]/grand[[#This Row],[received]]</f>
        <v>518.79999999999995</v>
      </c>
      <c r="Q1419" s="7">
        <f>grand[[#This Row],[receiving weight]]/grand[[#This Row],[received]]</f>
        <v>518.79999999999995</v>
      </c>
      <c r="R1419" s="7">
        <f>grand[[#This Row],[transportation loss ]]/grand[[#This Row],[received]]</f>
        <v>0</v>
      </c>
      <c r="S1419" s="7">
        <f>grand[[#This Row],[ carcass weight]]/grand[[#This Row],[received]]</f>
        <v>311.25599999999997</v>
      </c>
      <c r="T1419" s="7">
        <f>grand[[#This Row],[ kidneys fat quantity]]/grand[[#This Row],[received]]</f>
        <v>11.56</v>
      </c>
      <c r="U1419">
        <v>24</v>
      </c>
      <c r="V1419">
        <v>0</v>
      </c>
      <c r="W1419">
        <v>46.48</v>
      </c>
      <c r="X1419">
        <v>10</v>
      </c>
      <c r="Y1419">
        <v>8.5</v>
      </c>
      <c r="Z1419" s="18">
        <f>grand[[#This Row],[av. Transportation loss]]/grand[[#This Row],[av.total weight]]</f>
        <v>0</v>
      </c>
      <c r="AA1419" s="18">
        <f>AVERAGE((grand[[#This Row],[am]]/25),(grand[[#This Row],[pm]]/50))</f>
        <v>0.94479999999999997</v>
      </c>
      <c r="AB1419" s="3">
        <f>grand[[#This Row],[ carcass weight]]/grand[[#This Row],[total weight]]</f>
        <v>0.59995373939861218</v>
      </c>
      <c r="AC1419" s="18">
        <f>SUM(grand[[#This Row],[am]:[meat transportation]])/100</f>
        <v>0.88979999999999992</v>
      </c>
      <c r="AD1419" s="2" t="s">
        <v>875</v>
      </c>
      <c r="AE1419" s="2"/>
      <c r="AF1419" s="2"/>
      <c r="AG1419" s="2"/>
      <c r="AH1419" s="2"/>
      <c r="AI1419" s="2"/>
      <c r="AJ1419" s="2">
        <v>50</v>
      </c>
      <c r="AK1419" s="1"/>
      <c r="AL1419" s="1"/>
    </row>
    <row r="1420" spans="1:38" hidden="1" x14ac:dyDescent="0.2">
      <c r="A1420" s="11">
        <v>45997</v>
      </c>
      <c r="B1420" s="53" t="s">
        <v>2379</v>
      </c>
      <c r="C1420" s="52" t="str">
        <f>IF(MID(B1420,4,2)="09","Ramadan",IF(AND(MID(B1420,4,2)="12",VALUE(LEFT(B1420,2))&lt;=9),"Adha Season","Normal"))</f>
        <v>Normal</v>
      </c>
      <c r="D1420" s="2" t="s">
        <v>294</v>
      </c>
      <c r="F1420" s="4" t="s">
        <v>1023</v>
      </c>
      <c r="G1420" s="1">
        <v>40</v>
      </c>
      <c r="H1420">
        <v>40</v>
      </c>
      <c r="I1420">
        <f>grand[[#This Row],[number]]-grand[[#This Row],[received]]</f>
        <v>0</v>
      </c>
      <c r="J1420" s="30"/>
      <c r="K1420" s="2">
        <v>2125</v>
      </c>
      <c r="L1420" s="2">
        <v>2125</v>
      </c>
      <c r="M1420" s="2">
        <f>K1420-L1420</f>
        <v>0</v>
      </c>
      <c r="N1420" s="2">
        <v>1288.7</v>
      </c>
      <c r="O1420" s="2">
        <v>0</v>
      </c>
      <c r="P1420" s="7">
        <f>grand[[#This Row],[total weight]]/grand[[#This Row],[received]]</f>
        <v>53.125</v>
      </c>
      <c r="Q1420" s="7">
        <f>grand[[#This Row],[receiving weight]]/grand[[#This Row],[received]]</f>
        <v>53.125</v>
      </c>
      <c r="R1420" s="7">
        <f>grand[[#This Row],[transportation loss ]]/grand[[#This Row],[received]]</f>
        <v>0</v>
      </c>
      <c r="S1420" s="7">
        <f>grand[[#This Row],[ carcass weight]]/grand[[#This Row],[received]]</f>
        <v>32.217500000000001</v>
      </c>
      <c r="T1420" s="7">
        <f>grand[[#This Row],[ kidneys fat quantity]]/grand[[#This Row],[received]]</f>
        <v>0</v>
      </c>
      <c r="U1420">
        <v>25</v>
      </c>
      <c r="V1420">
        <v>0</v>
      </c>
      <c r="W1420">
        <v>46.625</v>
      </c>
      <c r="X1420">
        <v>10</v>
      </c>
      <c r="Y1420">
        <v>8.5</v>
      </c>
      <c r="Z1420" s="18">
        <f>grand[[#This Row],[av. Transportation loss]]/grand[[#This Row],[av.total weight]]</f>
        <v>0</v>
      </c>
      <c r="AA1420" s="18">
        <f>AVERAGE((grand[[#This Row],[am]]/25),(grand[[#This Row],[pm]]/50))</f>
        <v>0.96625000000000005</v>
      </c>
      <c r="AB1420" s="3">
        <f>grand[[#This Row],[ carcass weight]]/grand[[#This Row],[total weight]]</f>
        <v>0.60644705882352945</v>
      </c>
      <c r="AC1420" s="18">
        <f>SUM(grand[[#This Row],[am]:[meat transportation]])/100</f>
        <v>0.90125</v>
      </c>
      <c r="AD1420" s="2" t="s">
        <v>876</v>
      </c>
      <c r="AE1420" s="2"/>
      <c r="AF1420" s="2"/>
      <c r="AG1420" s="2"/>
      <c r="AH1420" s="2"/>
      <c r="AI1420" s="2"/>
      <c r="AJ1420" s="2">
        <v>0</v>
      </c>
      <c r="AK1420" s="1"/>
      <c r="AL1420" s="1"/>
    </row>
    <row r="1421" spans="1:38" hidden="1" x14ac:dyDescent="0.2">
      <c r="A1421" s="11">
        <v>45999</v>
      </c>
      <c r="B1421" s="53" t="s">
        <v>2381</v>
      </c>
      <c r="C1421" s="52" t="str">
        <f>IF(MID(B1421,4,2)="09","Ramadan",IF(AND(MID(B1421,4,2)="12",VALUE(LEFT(B1421,2))&lt;=9),"Adha Season","Normal"))</f>
        <v>Normal</v>
      </c>
      <c r="D1421" s="2" t="s">
        <v>294</v>
      </c>
      <c r="F1421" s="4" t="s">
        <v>1023</v>
      </c>
      <c r="G1421" s="1">
        <v>26</v>
      </c>
      <c r="H1421">
        <v>26</v>
      </c>
      <c r="I1421">
        <f>grand[[#This Row],[number]]-grand[[#This Row],[received]]</f>
        <v>0</v>
      </c>
      <c r="J1421" s="30"/>
      <c r="K1421" s="2">
        <v>1510</v>
      </c>
      <c r="L1421" s="2">
        <v>1510</v>
      </c>
      <c r="M1421" s="2">
        <f>K1421-L1421</f>
        <v>0</v>
      </c>
      <c r="N1421" s="2">
        <v>901.5</v>
      </c>
      <c r="O1421" s="2">
        <v>0</v>
      </c>
      <c r="P1421" s="7">
        <f>grand[[#This Row],[total weight]]/grand[[#This Row],[received]]</f>
        <v>58.07692307692308</v>
      </c>
      <c r="Q1421" s="7">
        <f>grand[[#This Row],[receiving weight]]/grand[[#This Row],[received]]</f>
        <v>58.07692307692308</v>
      </c>
      <c r="R1421" s="7">
        <f>grand[[#This Row],[transportation loss ]]/grand[[#This Row],[received]]</f>
        <v>0</v>
      </c>
      <c r="S1421" s="7">
        <f>grand[[#This Row],[ carcass weight]]/grand[[#This Row],[received]]</f>
        <v>34.67307692307692</v>
      </c>
      <c r="T1421" s="7">
        <f>grand[[#This Row],[ kidneys fat quantity]]/grand[[#This Row],[received]]</f>
        <v>0</v>
      </c>
      <c r="U1421">
        <v>25</v>
      </c>
      <c r="V1421">
        <v>0</v>
      </c>
      <c r="W1421">
        <v>46.692307692307686</v>
      </c>
      <c r="X1421">
        <v>10</v>
      </c>
      <c r="Y1421">
        <v>8.5</v>
      </c>
      <c r="Z1421" s="18">
        <f>grand[[#This Row],[av. Transportation loss]]/grand[[#This Row],[av.total weight]]</f>
        <v>0</v>
      </c>
      <c r="AA1421" s="18">
        <f>AVERAGE((grand[[#This Row],[am]]/25),(grand[[#This Row],[pm]]/50))</f>
        <v>0.96692307692307689</v>
      </c>
      <c r="AB1421" s="3">
        <f>grand[[#This Row],[ carcass weight]]/grand[[#This Row],[total weight]]</f>
        <v>0.59701986754966885</v>
      </c>
      <c r="AC1421" s="18">
        <f>SUM(grand[[#This Row],[am]:[meat transportation]])/100</f>
        <v>0.90192307692307683</v>
      </c>
      <c r="AD1421" s="2" t="s">
        <v>781</v>
      </c>
      <c r="AE1421" s="2"/>
      <c r="AF1421" s="2"/>
      <c r="AG1421" s="2"/>
      <c r="AH1421" s="2"/>
      <c r="AI1421" s="2"/>
      <c r="AJ1421" s="2">
        <v>0</v>
      </c>
      <c r="AK1421" s="1"/>
      <c r="AL1421" s="1"/>
    </row>
    <row r="1422" spans="1:38" hidden="1" x14ac:dyDescent="0.2">
      <c r="A1422" s="11">
        <v>45999</v>
      </c>
      <c r="B1422" s="53" t="s">
        <v>2381</v>
      </c>
      <c r="C1422" s="52" t="str">
        <f>IF(MID(B1422,4,2)="09","Ramadan",IF(AND(MID(B1422,4,2)="12",VALUE(LEFT(B1422,2))&lt;=9),"Adha Season","Normal"))</f>
        <v>Normal</v>
      </c>
      <c r="D1422" s="1" t="s">
        <v>45</v>
      </c>
      <c r="E1422" s="1" t="s">
        <v>483</v>
      </c>
      <c r="F1422" s="4" t="s">
        <v>815</v>
      </c>
      <c r="G1422" s="1">
        <v>52</v>
      </c>
      <c r="H1422">
        <v>52</v>
      </c>
      <c r="I1422">
        <f>grand[[#This Row],[number]]-grand[[#This Row],[received]]</f>
        <v>0</v>
      </c>
      <c r="J1422" s="30"/>
      <c r="K1422" s="2">
        <v>26458</v>
      </c>
      <c r="L1422" s="2">
        <v>26458</v>
      </c>
      <c r="M1422" s="2">
        <f>K1422-L1422</f>
        <v>0</v>
      </c>
      <c r="N1422" s="2">
        <v>17016</v>
      </c>
      <c r="O1422" s="2">
        <v>566</v>
      </c>
      <c r="P1422" s="7">
        <f>grand[[#This Row],[total weight]]/grand[[#This Row],[received]]</f>
        <v>508.80769230769232</v>
      </c>
      <c r="Q1422" s="7">
        <f>grand[[#This Row],[receiving weight]]/grand[[#This Row],[received]]</f>
        <v>508.80769230769232</v>
      </c>
      <c r="R1422" s="7">
        <f>grand[[#This Row],[transportation loss ]]/grand[[#This Row],[received]]</f>
        <v>0</v>
      </c>
      <c r="S1422" s="7">
        <f>grand[[#This Row],[ carcass weight]]/grand[[#This Row],[received]]</f>
        <v>327.23076923076923</v>
      </c>
      <c r="T1422" s="7">
        <f>grand[[#This Row],[ kidneys fat quantity]]/grand[[#This Row],[received]]</f>
        <v>10.884615384615385</v>
      </c>
      <c r="U1422">
        <v>25</v>
      </c>
      <c r="V1422">
        <v>0</v>
      </c>
      <c r="W1422">
        <v>47.615384615384613</v>
      </c>
      <c r="X1422">
        <v>10</v>
      </c>
      <c r="Y1422">
        <v>8.5</v>
      </c>
      <c r="Z1422" s="18">
        <f>grand[[#This Row],[av. Transportation loss]]/grand[[#This Row],[av.total weight]]</f>
        <v>0</v>
      </c>
      <c r="AA1422" s="18">
        <f>AVERAGE((grand[[#This Row],[am]]/25),(grand[[#This Row],[pm]]/50))</f>
        <v>0.97615384615384615</v>
      </c>
      <c r="AB1422" s="3">
        <f>grand[[#This Row],[ carcass weight]]/grand[[#This Row],[total weight]]</f>
        <v>0.64313251190566179</v>
      </c>
      <c r="AC1422" s="18">
        <f>SUM(grand[[#This Row],[am]:[meat transportation]])/100</f>
        <v>0.91115384615384609</v>
      </c>
      <c r="AD1422" s="2" t="s">
        <v>879</v>
      </c>
      <c r="AE1422" s="2"/>
      <c r="AF1422" s="2"/>
      <c r="AG1422" s="2"/>
      <c r="AH1422" s="2"/>
      <c r="AI1422" s="2"/>
      <c r="AJ1422" s="2">
        <v>1</v>
      </c>
      <c r="AK1422" s="1"/>
      <c r="AL1422" s="1"/>
    </row>
    <row r="1423" spans="1:38" hidden="1" x14ac:dyDescent="0.2">
      <c r="A1423" s="11">
        <v>46000</v>
      </c>
      <c r="B1423" s="53" t="s">
        <v>2382</v>
      </c>
      <c r="C1423" s="52" t="str">
        <f>IF(MID(B1423,4,2)="09","Ramadan",IF(AND(MID(B1423,4,2)="12",VALUE(LEFT(B1423,2))&lt;=9),"Adha Season","Normal"))</f>
        <v>Normal</v>
      </c>
      <c r="D1423" s="1" t="s">
        <v>45</v>
      </c>
      <c r="E1423" s="1" t="s">
        <v>528</v>
      </c>
      <c r="F1423" s="4" t="s">
        <v>770</v>
      </c>
      <c r="G1423" s="1">
        <v>20</v>
      </c>
      <c r="H1423">
        <v>20</v>
      </c>
      <c r="I1423">
        <f>grand[[#This Row],[number]]-grand[[#This Row],[received]]</f>
        <v>0</v>
      </c>
      <c r="J1423" s="30"/>
      <c r="K1423" s="2">
        <v>10355.379746835442</v>
      </c>
      <c r="L1423" s="2">
        <v>10355.379746835442</v>
      </c>
      <c r="M1423" s="2">
        <f>K1423-L1423</f>
        <v>0</v>
      </c>
      <c r="N1423" s="2">
        <v>6544.6</v>
      </c>
      <c r="O1423" s="2">
        <v>0</v>
      </c>
      <c r="P1423" s="7">
        <f>grand[[#This Row],[total weight]]/grand[[#This Row],[received]]</f>
        <v>517.76898734177212</v>
      </c>
      <c r="Q1423" s="7">
        <f>grand[[#This Row],[receiving weight]]/grand[[#This Row],[received]]</f>
        <v>517.76898734177212</v>
      </c>
      <c r="R1423" s="7">
        <f>grand[[#This Row],[transportation loss ]]/grand[[#This Row],[received]]</f>
        <v>0</v>
      </c>
      <c r="S1423" s="7">
        <f>grand[[#This Row],[ carcass weight]]/grand[[#This Row],[received]]</f>
        <v>327.23</v>
      </c>
      <c r="T1423" s="7">
        <f>grand[[#This Row],[ kidneys fat quantity]]/grand[[#This Row],[received]]</f>
        <v>0</v>
      </c>
      <c r="U1423">
        <v>25</v>
      </c>
      <c r="V1423">
        <v>4</v>
      </c>
      <c r="W1423">
        <v>45.5</v>
      </c>
      <c r="X1423">
        <v>10</v>
      </c>
      <c r="Y1423">
        <v>8.5</v>
      </c>
      <c r="Z1423" s="18">
        <f>grand[[#This Row],[av. Transportation loss]]/grand[[#This Row],[av.total weight]]</f>
        <v>0</v>
      </c>
      <c r="AA1423" s="18">
        <f>AVERAGE((grand[[#This Row],[am]]/25),(grand[[#This Row],[pm]]/50))</f>
        <v>0.95500000000000007</v>
      </c>
      <c r="AB1423" s="3">
        <f>grand[[#This Row],[ carcass weight]]/grand[[#This Row],[total weight]]</f>
        <v>0.63200000000000012</v>
      </c>
      <c r="AC1423" s="18">
        <f>SUM(grand[[#This Row],[am]:[meat transportation]])/100</f>
        <v>0.93</v>
      </c>
      <c r="AD1423" s="2" t="s">
        <v>881</v>
      </c>
      <c r="AE1423" s="2"/>
      <c r="AF1423" s="2"/>
      <c r="AG1423" s="2"/>
      <c r="AH1423" s="2"/>
      <c r="AI1423" s="2"/>
      <c r="AJ1423" s="2">
        <v>4</v>
      </c>
      <c r="AK1423" s="1"/>
      <c r="AL1423" s="1"/>
    </row>
    <row r="1424" spans="1:38" hidden="1" x14ac:dyDescent="0.2">
      <c r="A1424" s="11">
        <v>46001</v>
      </c>
      <c r="B1424" s="53" t="s">
        <v>2383</v>
      </c>
      <c r="C1424" s="52" t="str">
        <f>IF(MID(B1424,4,2)="09","Ramadan",IF(AND(MID(B1424,4,2)="12",VALUE(LEFT(B1424,2))&lt;=9),"Adha Season","Normal"))</f>
        <v>Normal</v>
      </c>
      <c r="D1424" s="2" t="s">
        <v>294</v>
      </c>
      <c r="F1424" s="4" t="s">
        <v>749</v>
      </c>
      <c r="G1424" s="1">
        <v>35</v>
      </c>
      <c r="H1424">
        <v>35</v>
      </c>
      <c r="I1424">
        <f>grand[[#This Row],[number]]-grand[[#This Row],[received]]</f>
        <v>0</v>
      </c>
      <c r="J1424" s="30"/>
      <c r="K1424" s="2">
        <v>1711</v>
      </c>
      <c r="L1424" s="2">
        <v>1711</v>
      </c>
      <c r="M1424" s="2">
        <f>K1424-L1424</f>
        <v>0</v>
      </c>
      <c r="N1424" s="2">
        <v>996.5</v>
      </c>
      <c r="O1424" s="2">
        <v>0</v>
      </c>
      <c r="P1424" s="7">
        <f>grand[[#This Row],[total weight]]/grand[[#This Row],[received]]</f>
        <v>48.885714285714286</v>
      </c>
      <c r="Q1424" s="7">
        <f>grand[[#This Row],[receiving weight]]/grand[[#This Row],[received]]</f>
        <v>48.885714285714286</v>
      </c>
      <c r="R1424" s="7">
        <f>grand[[#This Row],[transportation loss ]]/grand[[#This Row],[received]]</f>
        <v>0</v>
      </c>
      <c r="S1424" s="7">
        <f>grand[[#This Row],[ carcass weight]]/grand[[#This Row],[received]]</f>
        <v>28.471428571428572</v>
      </c>
      <c r="T1424" s="7">
        <f>grand[[#This Row],[ kidneys fat quantity]]/grand[[#This Row],[received]]</f>
        <v>0</v>
      </c>
      <c r="U1424">
        <v>25</v>
      </c>
      <c r="V1424">
        <v>0</v>
      </c>
      <c r="W1424">
        <v>47.871428571428574</v>
      </c>
      <c r="X1424">
        <v>10</v>
      </c>
      <c r="Y1424">
        <v>8.5</v>
      </c>
      <c r="Z1424" s="18">
        <f>grand[[#This Row],[av. Transportation loss]]/grand[[#This Row],[av.total weight]]</f>
        <v>0</v>
      </c>
      <c r="AA1424" s="18">
        <f>AVERAGE((grand[[#This Row],[am]]/25),(grand[[#This Row],[pm]]/50))</f>
        <v>0.97871428571428576</v>
      </c>
      <c r="AB1424" s="3">
        <f>grand[[#This Row],[ carcass weight]]/grand[[#This Row],[total weight]]</f>
        <v>0.58240794856808886</v>
      </c>
      <c r="AC1424" s="18">
        <f>SUM(grand[[#This Row],[am]:[meat transportation]])/100</f>
        <v>0.9137142857142857</v>
      </c>
      <c r="AD1424" s="2" t="s">
        <v>818</v>
      </c>
      <c r="AE1424" s="2"/>
      <c r="AF1424" s="2"/>
      <c r="AG1424" s="2"/>
      <c r="AH1424" s="2"/>
      <c r="AI1424" s="2"/>
      <c r="AJ1424" s="2">
        <v>0</v>
      </c>
      <c r="AK1424" s="1"/>
      <c r="AL1424" s="1"/>
    </row>
    <row r="1425" spans="1:38" hidden="1" x14ac:dyDescent="0.2">
      <c r="A1425" s="11">
        <v>46001</v>
      </c>
      <c r="B1425" s="53" t="s">
        <v>2383</v>
      </c>
      <c r="C1425" s="52" t="str">
        <f>IF(MID(B1425,4,2)="09","Ramadan",IF(AND(MID(B1425,4,2)="12",VALUE(LEFT(B1425,2))&lt;=9),"Adha Season","Normal"))</f>
        <v>Normal</v>
      </c>
      <c r="D1425" s="1" t="s">
        <v>45</v>
      </c>
      <c r="E1425" s="1" t="s">
        <v>483</v>
      </c>
      <c r="F1425" s="4" t="s">
        <v>165</v>
      </c>
      <c r="G1425" s="1">
        <v>24</v>
      </c>
      <c r="H1425">
        <v>24</v>
      </c>
      <c r="I1425">
        <f>grand[[#This Row],[number]]-grand[[#This Row],[received]]</f>
        <v>0</v>
      </c>
      <c r="J1425" s="30"/>
      <c r="K1425" s="2">
        <v>12926</v>
      </c>
      <c r="L1425" s="2">
        <v>12926</v>
      </c>
      <c r="M1425" s="2">
        <f>K1425-L1425</f>
        <v>0</v>
      </c>
      <c r="N1425" s="2">
        <v>7755.7</v>
      </c>
      <c r="O1425" s="2">
        <v>269</v>
      </c>
      <c r="P1425" s="7">
        <f>grand[[#This Row],[total weight]]/grand[[#This Row],[received]]</f>
        <v>538.58333333333337</v>
      </c>
      <c r="Q1425" s="7">
        <f>grand[[#This Row],[receiving weight]]/grand[[#This Row],[received]]</f>
        <v>538.58333333333337</v>
      </c>
      <c r="R1425" s="7">
        <f>grand[[#This Row],[transportation loss ]]/grand[[#This Row],[received]]</f>
        <v>0</v>
      </c>
      <c r="S1425" s="7">
        <f>grand[[#This Row],[ carcass weight]]/grand[[#This Row],[received]]</f>
        <v>323.15416666666664</v>
      </c>
      <c r="T1425" s="7">
        <f>grand[[#This Row],[ kidneys fat quantity]]/grand[[#This Row],[received]]</f>
        <v>11.208333333333334</v>
      </c>
      <c r="U1425">
        <v>24.166666666666668</v>
      </c>
      <c r="V1425">
        <v>0</v>
      </c>
      <c r="W1425">
        <v>47.083333333333336</v>
      </c>
      <c r="X1425">
        <v>10</v>
      </c>
      <c r="Y1425">
        <v>8.5</v>
      </c>
      <c r="Z1425" s="18">
        <f>grand[[#This Row],[av. Transportation loss]]/grand[[#This Row],[av.total weight]]</f>
        <v>0</v>
      </c>
      <c r="AA1425" s="18">
        <f>AVERAGE((grand[[#This Row],[am]]/25),(grand[[#This Row],[pm]]/50))</f>
        <v>0.95416666666666672</v>
      </c>
      <c r="AB1425" s="3">
        <f>grand[[#This Row],[ carcass weight]]/grand[[#This Row],[total weight]]</f>
        <v>0.60000773634535043</v>
      </c>
      <c r="AC1425" s="18">
        <f>SUM(grand[[#This Row],[am]:[meat transportation]])/100</f>
        <v>0.89749999999999996</v>
      </c>
      <c r="AD1425" s="2" t="s">
        <v>817</v>
      </c>
      <c r="AE1425" s="2"/>
      <c r="AF1425" s="2"/>
      <c r="AG1425" s="2"/>
      <c r="AH1425" s="2"/>
      <c r="AI1425" s="2"/>
      <c r="AJ1425" s="2">
        <v>7</v>
      </c>
      <c r="AK1425" s="1"/>
      <c r="AL1425" s="1"/>
    </row>
    <row r="1426" spans="1:38" hidden="1" x14ac:dyDescent="0.2">
      <c r="A1426" s="11">
        <v>46002</v>
      </c>
      <c r="B1426" s="53" t="s">
        <v>2384</v>
      </c>
      <c r="C1426" s="52" t="str">
        <f>IF(MID(B1426,4,2)="09","Ramadan",IF(AND(MID(B1426,4,2)="12",VALUE(LEFT(B1426,2))&lt;=9),"Adha Season","Normal"))</f>
        <v>Normal</v>
      </c>
      <c r="D1426" s="1" t="s">
        <v>45</v>
      </c>
      <c r="E1426" s="1" t="s">
        <v>483</v>
      </c>
      <c r="F1426" s="4" t="s">
        <v>959</v>
      </c>
      <c r="G1426" s="1">
        <v>85</v>
      </c>
      <c r="H1426">
        <v>85</v>
      </c>
      <c r="I1426">
        <f>grand[[#This Row],[number]]-grand[[#This Row],[received]]</f>
        <v>0</v>
      </c>
      <c r="J1426" s="30"/>
      <c r="K1426" s="2">
        <v>37267</v>
      </c>
      <c r="L1426" s="2">
        <v>37267</v>
      </c>
      <c r="M1426" s="2">
        <f>K1426-L1426</f>
        <v>0</v>
      </c>
      <c r="N1426" s="2">
        <v>22514.6</v>
      </c>
      <c r="O1426" s="2">
        <v>695</v>
      </c>
      <c r="P1426" s="7">
        <f>grand[[#This Row],[total weight]]/grand[[#This Row],[received]]</f>
        <v>438.43529411764706</v>
      </c>
      <c r="Q1426" s="7">
        <f>grand[[#This Row],[receiving weight]]/grand[[#This Row],[received]]</f>
        <v>438.43529411764706</v>
      </c>
      <c r="R1426" s="7">
        <f>grand[[#This Row],[transportation loss ]]/grand[[#This Row],[received]]</f>
        <v>0</v>
      </c>
      <c r="S1426" s="7">
        <f>grand[[#This Row],[ carcass weight]]/grand[[#This Row],[received]]</f>
        <v>264.87764705882353</v>
      </c>
      <c r="T1426" s="7">
        <f>grand[[#This Row],[ kidneys fat quantity]]/grand[[#This Row],[received]]</f>
        <v>8.1764705882352935</v>
      </c>
      <c r="U1426">
        <v>25</v>
      </c>
      <c r="V1426">
        <v>0</v>
      </c>
      <c r="W1426">
        <v>47.576470588235296</v>
      </c>
      <c r="X1426">
        <v>10</v>
      </c>
      <c r="Y1426">
        <v>8.5</v>
      </c>
      <c r="Z1426" s="18">
        <f>grand[[#This Row],[av. Transportation loss]]/grand[[#This Row],[av.total weight]]</f>
        <v>0</v>
      </c>
      <c r="AA1426" s="18">
        <f>AVERAGE((grand[[#This Row],[am]]/25),(grand[[#This Row],[pm]]/50))</f>
        <v>0.97576470588235298</v>
      </c>
      <c r="AB1426" s="3">
        <f>grand[[#This Row],[ carcass weight]]/grand[[#This Row],[total weight]]</f>
        <v>0.60414307564333047</v>
      </c>
      <c r="AC1426" s="18">
        <f>SUM(grand[[#This Row],[am]:[meat transportation]])/100</f>
        <v>0.91076470588235292</v>
      </c>
      <c r="AD1426" s="2" t="s">
        <v>821</v>
      </c>
      <c r="AE1426" s="2"/>
      <c r="AF1426" s="2"/>
      <c r="AG1426" s="2"/>
      <c r="AH1426" s="2"/>
      <c r="AI1426" s="2"/>
      <c r="AJ1426" s="2">
        <v>0</v>
      </c>
      <c r="AK1426" s="1"/>
      <c r="AL1426" s="1"/>
    </row>
    <row r="1427" spans="1:38" hidden="1" x14ac:dyDescent="0.2">
      <c r="A1427" s="11">
        <v>46005</v>
      </c>
      <c r="B1427" s="53" t="s">
        <v>2386</v>
      </c>
      <c r="C1427" s="52" t="str">
        <f>IF(MID(B1427,4,2)="09","Ramadan",IF(AND(MID(B1427,4,2)="12",VALUE(LEFT(B1427,2))&lt;=9),"Adha Season","Normal"))</f>
        <v>Normal</v>
      </c>
      <c r="D1427" s="2" t="s">
        <v>294</v>
      </c>
      <c r="F1427" s="4" t="s">
        <v>746</v>
      </c>
      <c r="G1427" s="1">
        <v>22</v>
      </c>
      <c r="H1427">
        <v>22</v>
      </c>
      <c r="I1427">
        <f>grand[[#This Row],[number]]-grand[[#This Row],[received]]</f>
        <v>0</v>
      </c>
      <c r="J1427" s="30"/>
      <c r="K1427" s="2">
        <v>12380</v>
      </c>
      <c r="L1427" s="2">
        <v>12380</v>
      </c>
      <c r="M1427" s="2">
        <f>K1427-L1427</f>
        <v>0</v>
      </c>
      <c r="N1427" s="2">
        <v>7427.4</v>
      </c>
      <c r="O1427" s="2">
        <v>243</v>
      </c>
      <c r="P1427" s="7">
        <f>grand[[#This Row],[total weight]]/grand[[#This Row],[received]]</f>
        <v>562.72727272727275</v>
      </c>
      <c r="Q1427" s="7">
        <f>grand[[#This Row],[receiving weight]]/grand[[#This Row],[received]]</f>
        <v>562.72727272727275</v>
      </c>
      <c r="R1427" s="7">
        <f>grand[[#This Row],[transportation loss ]]/grand[[#This Row],[received]]</f>
        <v>0</v>
      </c>
      <c r="S1427" s="7">
        <f>grand[[#This Row],[ carcass weight]]/grand[[#This Row],[received]]</f>
        <v>337.60909090909087</v>
      </c>
      <c r="T1427" s="7">
        <f>grand[[#This Row],[ kidneys fat quantity]]/grand[[#This Row],[received]]</f>
        <v>11.045454545454545</v>
      </c>
      <c r="U1427">
        <v>25</v>
      </c>
      <c r="V1427">
        <v>0</v>
      </c>
      <c r="W1427">
        <v>41.363636363636367</v>
      </c>
      <c r="X1427">
        <v>10</v>
      </c>
      <c r="Y1427">
        <v>8.5</v>
      </c>
      <c r="Z1427" s="18">
        <f>grand[[#This Row],[av. Transportation loss]]/grand[[#This Row],[av.total weight]]</f>
        <v>0</v>
      </c>
      <c r="AA1427" s="18">
        <f>AVERAGE((grand[[#This Row],[am]]/25),(grand[[#This Row],[pm]]/50))</f>
        <v>0.91363636363636369</v>
      </c>
      <c r="AB1427" s="3">
        <f>grand[[#This Row],[ carcass weight]]/grand[[#This Row],[total weight]]</f>
        <v>0.59995153473344098</v>
      </c>
      <c r="AC1427" s="18">
        <f>SUM(grand[[#This Row],[am]:[meat transportation]])/100</f>
        <v>0.84863636363636374</v>
      </c>
      <c r="AD1427" s="2" t="s">
        <v>824</v>
      </c>
      <c r="AE1427" s="2"/>
      <c r="AF1427" s="2"/>
      <c r="AG1427" s="2"/>
      <c r="AH1427" s="2"/>
      <c r="AI1427" s="2"/>
      <c r="AJ1427" s="2">
        <v>0</v>
      </c>
      <c r="AK1427" s="1"/>
      <c r="AL1427" s="1"/>
    </row>
    <row r="1428" spans="1:38" hidden="1" x14ac:dyDescent="0.2">
      <c r="A1428" s="11">
        <v>46005</v>
      </c>
      <c r="B1428" s="53" t="s">
        <v>2386</v>
      </c>
      <c r="C1428" s="52" t="str">
        <f>IF(MID(B1428,4,2)="09","Ramadan",IF(AND(MID(B1428,4,2)="12",VALUE(LEFT(B1428,2))&lt;=9),"Adha Season","Normal"))</f>
        <v>Normal</v>
      </c>
      <c r="D1428" s="1" t="s">
        <v>45</v>
      </c>
      <c r="E1428" s="1" t="s">
        <v>483</v>
      </c>
      <c r="F1428" s="4" t="s">
        <v>46</v>
      </c>
      <c r="G1428" s="1">
        <v>21</v>
      </c>
      <c r="H1428">
        <v>21</v>
      </c>
      <c r="I1428">
        <f>grand[[#This Row],[number]]-grand[[#This Row],[received]]</f>
        <v>0</v>
      </c>
      <c r="J1428" s="30"/>
      <c r="K1428" s="2">
        <v>11113</v>
      </c>
      <c r="L1428" s="2">
        <v>11113</v>
      </c>
      <c r="M1428" s="2">
        <f>K1428-L1428</f>
        <v>0</v>
      </c>
      <c r="N1428" s="2">
        <v>6667.5</v>
      </c>
      <c r="O1428" s="2">
        <v>196</v>
      </c>
      <c r="P1428" s="7">
        <f>grand[[#This Row],[total weight]]/grand[[#This Row],[received]]</f>
        <v>529.19047619047615</v>
      </c>
      <c r="Q1428" s="7">
        <f>grand[[#This Row],[receiving weight]]/grand[[#This Row],[received]]</f>
        <v>529.19047619047615</v>
      </c>
      <c r="R1428" s="7">
        <f>grand[[#This Row],[transportation loss ]]/grand[[#This Row],[received]]</f>
        <v>0</v>
      </c>
      <c r="S1428" s="7">
        <f>grand[[#This Row],[ carcass weight]]/grand[[#This Row],[received]]</f>
        <v>317.5</v>
      </c>
      <c r="T1428" s="7">
        <f>grand[[#This Row],[ kidneys fat quantity]]/grand[[#This Row],[received]]</f>
        <v>9.3333333333333339</v>
      </c>
      <c r="U1428">
        <v>25</v>
      </c>
      <c r="V1428">
        <v>0</v>
      </c>
      <c r="W1428">
        <v>46.666666666666671</v>
      </c>
      <c r="X1428">
        <v>10</v>
      </c>
      <c r="Y1428">
        <v>8.5</v>
      </c>
      <c r="Z1428" s="18">
        <f>grand[[#This Row],[av. Transportation loss]]/grand[[#This Row],[av.total weight]]</f>
        <v>0</v>
      </c>
      <c r="AA1428" s="18">
        <f>AVERAGE((grand[[#This Row],[am]]/25),(grand[[#This Row],[pm]]/50))</f>
        <v>0.96666666666666679</v>
      </c>
      <c r="AB1428" s="3">
        <f>grand[[#This Row],[ carcass weight]]/grand[[#This Row],[total weight]]</f>
        <v>0.59997300458921987</v>
      </c>
      <c r="AC1428" s="18">
        <f>SUM(grand[[#This Row],[am]:[meat transportation]])/100</f>
        <v>0.90166666666666673</v>
      </c>
      <c r="AD1428" s="2" t="s">
        <v>822</v>
      </c>
      <c r="AE1428" s="2"/>
      <c r="AF1428" s="2"/>
      <c r="AG1428" s="2"/>
      <c r="AH1428" s="2"/>
      <c r="AI1428" s="2"/>
      <c r="AJ1428" s="2">
        <v>0</v>
      </c>
      <c r="AK1428" s="1"/>
      <c r="AL1428" s="1"/>
    </row>
    <row r="1429" spans="1:38" hidden="1" x14ac:dyDescent="0.2">
      <c r="A1429" s="11">
        <v>46006</v>
      </c>
      <c r="B1429" s="53" t="s">
        <v>2387</v>
      </c>
      <c r="C1429" s="52" t="str">
        <f>IF(MID(B1429,4,2)="09","Ramadan",IF(AND(MID(B1429,4,2)="12",VALUE(LEFT(B1429,2))&lt;=9),"Adha Season","Normal"))</f>
        <v>Normal</v>
      </c>
      <c r="D1429" s="2" t="s">
        <v>294</v>
      </c>
      <c r="F1429" s="4" t="s">
        <v>749</v>
      </c>
      <c r="G1429" s="1">
        <v>31</v>
      </c>
      <c r="H1429">
        <v>31</v>
      </c>
      <c r="I1429">
        <f>grand[[#This Row],[number]]-grand[[#This Row],[received]]</f>
        <v>0</v>
      </c>
      <c r="J1429" s="30"/>
      <c r="K1429" s="2">
        <v>1770</v>
      </c>
      <c r="L1429" s="2">
        <v>1770</v>
      </c>
      <c r="M1429" s="2">
        <f>K1429-L1429</f>
        <v>0</v>
      </c>
      <c r="N1429" s="2">
        <v>1095</v>
      </c>
      <c r="O1429" s="2">
        <v>0</v>
      </c>
      <c r="P1429" s="7">
        <f>grand[[#This Row],[total weight]]/grand[[#This Row],[received]]</f>
        <v>57.096774193548384</v>
      </c>
      <c r="Q1429" s="7">
        <f>grand[[#This Row],[receiving weight]]/grand[[#This Row],[received]]</f>
        <v>57.096774193548384</v>
      </c>
      <c r="R1429" s="7">
        <f>grand[[#This Row],[transportation loss ]]/grand[[#This Row],[received]]</f>
        <v>0</v>
      </c>
      <c r="S1429" s="7">
        <f>grand[[#This Row],[ carcass weight]]/grand[[#This Row],[received]]</f>
        <v>35.322580645161288</v>
      </c>
      <c r="T1429" s="7">
        <f>grand[[#This Row],[ kidneys fat quantity]]/grand[[#This Row],[received]]</f>
        <v>0</v>
      </c>
      <c r="U1429">
        <v>25</v>
      </c>
      <c r="V1429">
        <v>0</v>
      </c>
      <c r="W1429">
        <v>48</v>
      </c>
      <c r="X1429">
        <v>10</v>
      </c>
      <c r="Y1429">
        <v>8.5</v>
      </c>
      <c r="Z1429" s="18">
        <f>grand[[#This Row],[av. Transportation loss]]/grand[[#This Row],[av.total weight]]</f>
        <v>0</v>
      </c>
      <c r="AA1429" s="18">
        <f>AVERAGE((grand[[#This Row],[am]]/25),(grand[[#This Row],[pm]]/50))</f>
        <v>0.98</v>
      </c>
      <c r="AB1429" s="3">
        <f>grand[[#This Row],[ carcass weight]]/grand[[#This Row],[total weight]]</f>
        <v>0.61864406779661019</v>
      </c>
      <c r="AC1429" s="18">
        <f>SUM(grand[[#This Row],[am]:[meat transportation]])/100</f>
        <v>0.91500000000000004</v>
      </c>
      <c r="AD1429" s="2" t="s">
        <v>819</v>
      </c>
      <c r="AE1429" s="2"/>
      <c r="AF1429" s="2"/>
      <c r="AG1429" s="2"/>
      <c r="AH1429" s="2"/>
      <c r="AI1429" s="2"/>
      <c r="AJ1429" s="2">
        <v>0</v>
      </c>
      <c r="AK1429" s="1"/>
      <c r="AL1429" s="1"/>
    </row>
    <row r="1430" spans="1:38" hidden="1" x14ac:dyDescent="0.2">
      <c r="A1430" s="11">
        <v>46007</v>
      </c>
      <c r="B1430" s="53" t="s">
        <v>2388</v>
      </c>
      <c r="C1430" s="52" t="str">
        <f>IF(MID(B1430,4,2)="09","Ramadan",IF(AND(MID(B1430,4,2)="12",VALUE(LEFT(B1430,2))&lt;=9),"Adha Season","Normal"))</f>
        <v>Normal</v>
      </c>
      <c r="D1430" s="1" t="s">
        <v>45</v>
      </c>
      <c r="E1430" s="1" t="s">
        <v>528</v>
      </c>
      <c r="F1430" s="4" t="s">
        <v>770</v>
      </c>
      <c r="G1430" s="1">
        <v>48</v>
      </c>
      <c r="H1430">
        <v>48</v>
      </c>
      <c r="I1430">
        <f>grand[[#This Row],[number]]-grand[[#This Row],[received]]</f>
        <v>0</v>
      </c>
      <c r="J1430" s="30"/>
      <c r="K1430" s="2">
        <v>23640.506329113923</v>
      </c>
      <c r="L1430" s="2">
        <v>23640.506329113923</v>
      </c>
      <c r="M1430" s="2">
        <f>K1430-L1430</f>
        <v>0</v>
      </c>
      <c r="N1430" s="2">
        <v>14940.8</v>
      </c>
      <c r="O1430" s="2">
        <v>0</v>
      </c>
      <c r="P1430" s="7">
        <f>grand[[#This Row],[total weight]]/grand[[#This Row],[received]]</f>
        <v>492.51054852320675</v>
      </c>
      <c r="Q1430" s="7">
        <f>grand[[#This Row],[receiving weight]]/grand[[#This Row],[received]]</f>
        <v>492.51054852320675</v>
      </c>
      <c r="R1430" s="7">
        <f>grand[[#This Row],[transportation loss ]]/grand[[#This Row],[received]]</f>
        <v>0</v>
      </c>
      <c r="S1430" s="7">
        <f>grand[[#This Row],[ carcass weight]]/grand[[#This Row],[received]]</f>
        <v>311.26666666666665</v>
      </c>
      <c r="T1430" s="7">
        <f>grand[[#This Row],[ kidneys fat quantity]]/grand[[#This Row],[received]]</f>
        <v>0</v>
      </c>
      <c r="U1430">
        <v>25</v>
      </c>
      <c r="V1430">
        <v>4</v>
      </c>
      <c r="W1430">
        <v>45.833333333333336</v>
      </c>
      <c r="X1430">
        <v>10</v>
      </c>
      <c r="Y1430">
        <v>8.5</v>
      </c>
      <c r="Z1430" s="18">
        <f>grand[[#This Row],[av. Transportation loss]]/grand[[#This Row],[av.total weight]]</f>
        <v>0</v>
      </c>
      <c r="AA1430" s="18">
        <f>AVERAGE((grand[[#This Row],[am]]/25),(grand[[#This Row],[pm]]/50))</f>
        <v>0.95833333333333337</v>
      </c>
      <c r="AB1430" s="3">
        <f>grand[[#This Row],[ carcass weight]]/grand[[#This Row],[total weight]]</f>
        <v>0.63200000000000001</v>
      </c>
      <c r="AC1430" s="18">
        <f>SUM(grand[[#This Row],[am]:[meat transportation]])/100</f>
        <v>0.93333333333333346</v>
      </c>
      <c r="AD1430" s="2" t="s">
        <v>829</v>
      </c>
      <c r="AE1430" s="2"/>
      <c r="AF1430" s="2"/>
      <c r="AG1430" s="2"/>
      <c r="AH1430" s="2"/>
      <c r="AI1430" s="2"/>
      <c r="AJ1430" s="2">
        <v>18</v>
      </c>
      <c r="AK1430" s="1"/>
      <c r="AL1430" s="1"/>
    </row>
    <row r="1431" spans="1:38" hidden="1" x14ac:dyDescent="0.2">
      <c r="A1431" s="11">
        <v>46009</v>
      </c>
      <c r="B1431" s="53" t="s">
        <v>2390</v>
      </c>
      <c r="C1431" s="52" t="str">
        <f>IF(MID(B1431,4,2)="09","Ramadan",IF(AND(MID(B1431,4,2)="12",VALUE(LEFT(B1431,2))&lt;=9),"Adha Season","Normal"))</f>
        <v>Normal</v>
      </c>
      <c r="D1431" s="2" t="s">
        <v>294</v>
      </c>
      <c r="F1431" s="4" t="s">
        <v>746</v>
      </c>
      <c r="G1431" s="1">
        <v>30</v>
      </c>
      <c r="H1431">
        <v>30</v>
      </c>
      <c r="I1431">
        <f>grand[[#This Row],[number]]-grand[[#This Row],[received]]</f>
        <v>0</v>
      </c>
      <c r="J1431" s="30"/>
      <c r="K1431" s="2">
        <v>1635</v>
      </c>
      <c r="L1431" s="2">
        <v>1635</v>
      </c>
      <c r="M1431" s="2">
        <f>K1431-L1431</f>
        <v>0</v>
      </c>
      <c r="N1431" s="2">
        <v>855.3</v>
      </c>
      <c r="O1431" s="2">
        <v>0</v>
      </c>
      <c r="P1431" s="7">
        <f>grand[[#This Row],[total weight]]/grand[[#This Row],[received]]</f>
        <v>54.5</v>
      </c>
      <c r="Q1431" s="7">
        <f>grand[[#This Row],[receiving weight]]/grand[[#This Row],[received]]</f>
        <v>54.5</v>
      </c>
      <c r="R1431" s="7">
        <f>grand[[#This Row],[transportation loss ]]/grand[[#This Row],[received]]</f>
        <v>0</v>
      </c>
      <c r="S1431" s="7">
        <f>grand[[#This Row],[ carcass weight]]/grand[[#This Row],[received]]</f>
        <v>28.509999999999998</v>
      </c>
      <c r="T1431" s="7">
        <f>grand[[#This Row],[ kidneys fat quantity]]/grand[[#This Row],[received]]</f>
        <v>0</v>
      </c>
      <c r="U1431">
        <v>25</v>
      </c>
      <c r="V1431">
        <v>0</v>
      </c>
      <c r="W1431">
        <v>47.516666666666666</v>
      </c>
      <c r="X1431">
        <v>10</v>
      </c>
      <c r="Y1431">
        <v>8.5</v>
      </c>
      <c r="Z1431" s="18">
        <f>grand[[#This Row],[av. Transportation loss]]/grand[[#This Row],[av.total weight]]</f>
        <v>0</v>
      </c>
      <c r="AA1431" s="18">
        <f>AVERAGE((grand[[#This Row],[am]]/25),(grand[[#This Row],[pm]]/50))</f>
        <v>0.97516666666666674</v>
      </c>
      <c r="AB1431" s="3">
        <f>grand[[#This Row],[ carcass weight]]/grand[[#This Row],[total weight]]</f>
        <v>0.52311926605504588</v>
      </c>
      <c r="AC1431" s="18">
        <f>SUM(grand[[#This Row],[am]:[meat transportation]])/100</f>
        <v>0.91016666666666668</v>
      </c>
      <c r="AD1431" s="2" t="s">
        <v>836</v>
      </c>
      <c r="AE1431" s="2"/>
      <c r="AF1431" s="2"/>
      <c r="AG1431" s="2"/>
      <c r="AH1431" s="2"/>
      <c r="AI1431" s="2"/>
      <c r="AJ1431" s="2">
        <v>0</v>
      </c>
      <c r="AK1431" s="1"/>
      <c r="AL1431" s="1"/>
    </row>
    <row r="1432" spans="1:38" hidden="1" x14ac:dyDescent="0.2">
      <c r="A1432" s="11">
        <v>46009</v>
      </c>
      <c r="B1432" s="53" t="s">
        <v>2390</v>
      </c>
      <c r="C1432" s="52" t="str">
        <f>IF(MID(B1432,4,2)="09","Ramadan",IF(AND(MID(B1432,4,2)="12",VALUE(LEFT(B1432,2))&lt;=9),"Adha Season","Normal"))</f>
        <v>Normal</v>
      </c>
      <c r="D1432" s="1" t="s">
        <v>45</v>
      </c>
      <c r="E1432" s="1" t="s">
        <v>483</v>
      </c>
      <c r="F1432" s="4" t="s">
        <v>46</v>
      </c>
      <c r="G1432" s="1">
        <v>24</v>
      </c>
      <c r="H1432">
        <v>24</v>
      </c>
      <c r="I1432">
        <f>grand[[#This Row],[number]]-grand[[#This Row],[received]]</f>
        <v>0</v>
      </c>
      <c r="J1432" s="30"/>
      <c r="K1432" s="2">
        <v>12721</v>
      </c>
      <c r="L1432" s="2">
        <v>12721</v>
      </c>
      <c r="M1432" s="2">
        <f>K1432-L1432</f>
        <v>0</v>
      </c>
      <c r="N1432" s="2">
        <v>7632.3</v>
      </c>
      <c r="O1432" s="2">
        <v>278</v>
      </c>
      <c r="P1432" s="7">
        <f>grand[[#This Row],[total weight]]/grand[[#This Row],[received]]</f>
        <v>530.04166666666663</v>
      </c>
      <c r="Q1432" s="7">
        <f>grand[[#This Row],[receiving weight]]/grand[[#This Row],[received]]</f>
        <v>530.04166666666663</v>
      </c>
      <c r="R1432" s="7">
        <f>grand[[#This Row],[transportation loss ]]/grand[[#This Row],[received]]</f>
        <v>0</v>
      </c>
      <c r="S1432" s="7">
        <f>grand[[#This Row],[ carcass weight]]/grand[[#This Row],[received]]</f>
        <v>318.01249999999999</v>
      </c>
      <c r="T1432" s="7">
        <f>grand[[#This Row],[ kidneys fat quantity]]/grand[[#This Row],[received]]</f>
        <v>11.583333333333334</v>
      </c>
      <c r="U1432">
        <v>24.375</v>
      </c>
      <c r="V1432">
        <v>0</v>
      </c>
      <c r="W1432">
        <v>45.916666666666664</v>
      </c>
      <c r="X1432">
        <v>10</v>
      </c>
      <c r="Y1432">
        <v>8.5</v>
      </c>
      <c r="Z1432" s="18">
        <f>grand[[#This Row],[av. Transportation loss]]/grand[[#This Row],[av.total weight]]</f>
        <v>0</v>
      </c>
      <c r="AA1432" s="18">
        <f>AVERAGE((grand[[#This Row],[am]]/25),(grand[[#This Row],[pm]]/50))</f>
        <v>0.94666666666666666</v>
      </c>
      <c r="AB1432" s="3">
        <f>grand[[#This Row],[ carcass weight]]/grand[[#This Row],[total weight]]</f>
        <v>0.59997641694835313</v>
      </c>
      <c r="AC1432" s="18">
        <f>SUM(grand[[#This Row],[am]:[meat transportation]])/100</f>
        <v>0.88791666666666658</v>
      </c>
      <c r="AD1432" s="2" t="s">
        <v>835</v>
      </c>
      <c r="AE1432" s="2"/>
      <c r="AF1432" s="2"/>
      <c r="AG1432" s="2"/>
      <c r="AH1432" s="2"/>
      <c r="AI1432" s="2"/>
      <c r="AJ1432" s="2">
        <v>15</v>
      </c>
      <c r="AK1432" s="1"/>
      <c r="AL1432" s="1"/>
    </row>
    <row r="1433" spans="1:38" hidden="1" x14ac:dyDescent="0.2">
      <c r="A1433" s="11">
        <v>46011</v>
      </c>
      <c r="B1433" s="53" t="s">
        <v>2391</v>
      </c>
      <c r="C1433" s="52" t="str">
        <f>IF(MID(B1433,4,2)="09","Ramadan",IF(AND(MID(B1433,4,2)="12",VALUE(LEFT(B1433,2))&lt;=9),"Adha Season","Normal"))</f>
        <v>Normal</v>
      </c>
      <c r="D1433" s="1" t="s">
        <v>45</v>
      </c>
      <c r="E1433" s="1" t="s">
        <v>483</v>
      </c>
      <c r="F1433" s="4" t="s">
        <v>959</v>
      </c>
      <c r="G1433" s="1">
        <v>40</v>
      </c>
      <c r="H1433">
        <v>40</v>
      </c>
      <c r="I1433">
        <f>grand[[#This Row],[number]]-grand[[#This Row],[received]]</f>
        <v>0</v>
      </c>
      <c r="J1433" s="30"/>
      <c r="K1433" s="2">
        <v>16967</v>
      </c>
      <c r="L1433" s="2">
        <v>16967</v>
      </c>
      <c r="M1433" s="2">
        <f>K1433-L1433</f>
        <v>0</v>
      </c>
      <c r="N1433" s="2">
        <v>10272.200000000001</v>
      </c>
      <c r="O1433" s="2">
        <v>325</v>
      </c>
      <c r="P1433" s="7">
        <f>grand[[#This Row],[total weight]]/grand[[#This Row],[received]]</f>
        <v>424.17500000000001</v>
      </c>
      <c r="Q1433" s="7">
        <f>grand[[#This Row],[receiving weight]]/grand[[#This Row],[received]]</f>
        <v>424.17500000000001</v>
      </c>
      <c r="R1433" s="7">
        <f>grand[[#This Row],[transportation loss ]]/grand[[#This Row],[received]]</f>
        <v>0</v>
      </c>
      <c r="S1433" s="7">
        <f>grand[[#This Row],[ carcass weight]]/grand[[#This Row],[received]]</f>
        <v>256.80500000000001</v>
      </c>
      <c r="T1433" s="7">
        <f>grand[[#This Row],[ kidneys fat quantity]]/grand[[#This Row],[received]]</f>
        <v>8.125</v>
      </c>
      <c r="U1433">
        <v>25</v>
      </c>
      <c r="V1433">
        <v>0</v>
      </c>
      <c r="W1433">
        <v>46.75</v>
      </c>
      <c r="X1433">
        <v>10</v>
      </c>
      <c r="Y1433">
        <v>8.5</v>
      </c>
      <c r="Z1433" s="18">
        <f>grand[[#This Row],[av. Transportation loss]]/grand[[#This Row],[av.total weight]]</f>
        <v>0</v>
      </c>
      <c r="AA1433" s="18">
        <f>AVERAGE((grand[[#This Row],[am]]/25),(grand[[#This Row],[pm]]/50))</f>
        <v>0.96750000000000003</v>
      </c>
      <c r="AB1433" s="3">
        <f>grand[[#This Row],[ carcass weight]]/grand[[#This Row],[total weight]]</f>
        <v>0.60542229032828432</v>
      </c>
      <c r="AC1433" s="18">
        <f>SUM(grand[[#This Row],[am]:[meat transportation]])/100</f>
        <v>0.90249999999999997</v>
      </c>
      <c r="AD1433" s="2" t="s">
        <v>842</v>
      </c>
      <c r="AE1433" s="2"/>
      <c r="AF1433" s="2"/>
      <c r="AG1433" s="2"/>
      <c r="AH1433" s="2"/>
      <c r="AI1433" s="2"/>
      <c r="AJ1433" s="2"/>
      <c r="AK1433" s="1"/>
      <c r="AL1433" s="1"/>
    </row>
    <row r="1434" spans="1:38" hidden="1" x14ac:dyDescent="0.2">
      <c r="A1434" s="11">
        <v>46012</v>
      </c>
      <c r="B1434" s="53" t="s">
        <v>2392</v>
      </c>
      <c r="C1434" s="52" t="str">
        <f>IF(MID(B1434,4,2)="09","Ramadan",IF(AND(MID(B1434,4,2)="12",VALUE(LEFT(B1434,2))&lt;=9),"Adha Season","Normal"))</f>
        <v>Normal</v>
      </c>
      <c r="D1434" s="1" t="s">
        <v>45</v>
      </c>
      <c r="E1434" s="1" t="s">
        <v>528</v>
      </c>
      <c r="F1434" s="4" t="s">
        <v>752</v>
      </c>
      <c r="G1434" s="1">
        <v>23</v>
      </c>
      <c r="H1434">
        <v>23</v>
      </c>
      <c r="I1434">
        <f>grand[[#This Row],[number]]-grand[[#This Row],[received]]</f>
        <v>0</v>
      </c>
      <c r="J1434" s="30"/>
      <c r="K1434" s="2">
        <v>12924.525316455696</v>
      </c>
      <c r="L1434" s="2">
        <v>12924.525316455696</v>
      </c>
      <c r="M1434" s="2">
        <f>K1434-L1434</f>
        <v>0</v>
      </c>
      <c r="N1434" s="2">
        <v>8168.3</v>
      </c>
      <c r="O1434" s="2">
        <v>0</v>
      </c>
      <c r="P1434" s="7">
        <f>grand[[#This Row],[total weight]]/grand[[#This Row],[received]]</f>
        <v>561.93588332416073</v>
      </c>
      <c r="Q1434" s="7">
        <f>grand[[#This Row],[receiving weight]]/grand[[#This Row],[received]]</f>
        <v>561.93588332416073</v>
      </c>
      <c r="R1434" s="7">
        <f>grand[[#This Row],[transportation loss ]]/grand[[#This Row],[received]]</f>
        <v>0</v>
      </c>
      <c r="S1434" s="7">
        <f>grand[[#This Row],[ carcass weight]]/grand[[#This Row],[received]]</f>
        <v>355.14347826086959</v>
      </c>
      <c r="T1434" s="7">
        <f>grand[[#This Row],[ kidneys fat quantity]]/grand[[#This Row],[received]]</f>
        <v>0</v>
      </c>
      <c r="U1434">
        <v>25</v>
      </c>
      <c r="V1434">
        <v>0</v>
      </c>
      <c r="W1434">
        <v>50</v>
      </c>
      <c r="X1434">
        <v>10</v>
      </c>
      <c r="Y1434">
        <v>8.5</v>
      </c>
      <c r="Z1434" s="18">
        <f>grand[[#This Row],[av. Transportation loss]]/grand[[#This Row],[av.total weight]]</f>
        <v>0</v>
      </c>
      <c r="AA1434" s="18">
        <f>AVERAGE((grand[[#This Row],[am]]/25),(grand[[#This Row],[pm]]/50))</f>
        <v>1</v>
      </c>
      <c r="AB1434" s="3">
        <f>grand[[#This Row],[ carcass weight]]/grand[[#This Row],[total weight]]</f>
        <v>0.63200000000000001</v>
      </c>
      <c r="AC1434" s="18">
        <f>SUM(grand[[#This Row],[am]:[meat transportation]])/100</f>
        <v>0.93500000000000005</v>
      </c>
      <c r="AD1434" s="2" t="s">
        <v>819</v>
      </c>
      <c r="AE1434" s="2"/>
      <c r="AF1434" s="2"/>
      <c r="AG1434" s="2"/>
      <c r="AH1434" s="2"/>
      <c r="AI1434" s="2"/>
      <c r="AJ1434" s="2">
        <v>5</v>
      </c>
      <c r="AK1434" s="1"/>
      <c r="AL1434" s="1"/>
    </row>
    <row r="1435" spans="1:38" hidden="1" x14ac:dyDescent="0.2">
      <c r="A1435" s="11">
        <v>46012</v>
      </c>
      <c r="B1435" s="53" t="s">
        <v>2392</v>
      </c>
      <c r="C1435" s="52" t="str">
        <f>IF(MID(B1435,4,2)="09","Ramadan",IF(AND(MID(B1435,4,2)="12",VALUE(LEFT(B1435,2))&lt;=9),"Adha Season","Normal"))</f>
        <v>Normal</v>
      </c>
      <c r="D1435" s="1" t="s">
        <v>45</v>
      </c>
      <c r="E1435" s="1" t="s">
        <v>528</v>
      </c>
      <c r="F1435" s="4" t="s">
        <v>752</v>
      </c>
      <c r="G1435" s="1">
        <v>33</v>
      </c>
      <c r="H1435">
        <v>33</v>
      </c>
      <c r="I1435">
        <f>grand[[#This Row],[number]]-grand[[#This Row],[received]]</f>
        <v>0</v>
      </c>
      <c r="J1435" s="30"/>
      <c r="K1435" s="2">
        <v>15412.658227848098</v>
      </c>
      <c r="L1435" s="2">
        <v>15412.658227848098</v>
      </c>
      <c r="M1435" s="2">
        <f>K1435-L1435</f>
        <v>0</v>
      </c>
      <c r="N1435" s="2">
        <v>9740.7999999999993</v>
      </c>
      <c r="O1435" s="2">
        <v>0</v>
      </c>
      <c r="P1435" s="7">
        <f>grand[[#This Row],[total weight]]/grand[[#This Row],[received]]</f>
        <v>467.05024932873027</v>
      </c>
      <c r="Q1435" s="7">
        <f>grand[[#This Row],[receiving weight]]/grand[[#This Row],[received]]</f>
        <v>467.05024932873027</v>
      </c>
      <c r="R1435" s="7">
        <f>grand[[#This Row],[transportation loss ]]/grand[[#This Row],[received]]</f>
        <v>0</v>
      </c>
      <c r="S1435" s="7">
        <f>grand[[#This Row],[ carcass weight]]/grand[[#This Row],[received]]</f>
        <v>295.17575757575753</v>
      </c>
      <c r="T1435" s="7">
        <f>grand[[#This Row],[ kidneys fat quantity]]/grand[[#This Row],[received]]</f>
        <v>0</v>
      </c>
      <c r="U1435">
        <v>25</v>
      </c>
      <c r="V1435">
        <v>0</v>
      </c>
      <c r="W1435">
        <v>47.575757575757571</v>
      </c>
      <c r="X1435">
        <v>10</v>
      </c>
      <c r="Y1435">
        <v>8.5</v>
      </c>
      <c r="Z1435" s="18">
        <f>grand[[#This Row],[av. Transportation loss]]/grand[[#This Row],[av.total weight]]</f>
        <v>0</v>
      </c>
      <c r="AA1435" s="18">
        <f>AVERAGE((grand[[#This Row],[am]]/25),(grand[[#This Row],[pm]]/50))</f>
        <v>0.97575757575757571</v>
      </c>
      <c r="AB1435" s="3">
        <f>grand[[#This Row],[ carcass weight]]/grand[[#This Row],[total weight]]</f>
        <v>0.63200000000000012</v>
      </c>
      <c r="AC1435" s="18">
        <f>SUM(grand[[#This Row],[am]:[meat transportation]])/100</f>
        <v>0.91075757575757565</v>
      </c>
      <c r="AD1435" s="2" t="s">
        <v>859</v>
      </c>
      <c r="AE1435" s="2"/>
      <c r="AF1435" s="2"/>
      <c r="AG1435" s="2"/>
      <c r="AH1435" s="2"/>
      <c r="AI1435" s="2"/>
      <c r="AJ1435" s="2">
        <v>0</v>
      </c>
      <c r="AK1435" s="1"/>
      <c r="AL1435" s="1"/>
    </row>
    <row r="1436" spans="1:38" hidden="1" x14ac:dyDescent="0.2">
      <c r="A1436" s="11">
        <v>46013</v>
      </c>
      <c r="B1436" s="53" t="s">
        <v>2393</v>
      </c>
      <c r="C1436" s="52" t="str">
        <f>IF(MID(B1436,4,2)="09","Ramadan",IF(AND(MID(B1436,4,2)="12",VALUE(LEFT(B1436,2))&lt;=9),"Adha Season","Normal"))</f>
        <v>Normal</v>
      </c>
      <c r="D1436" s="2" t="s">
        <v>294</v>
      </c>
      <c r="F1436" s="4" t="s">
        <v>749</v>
      </c>
      <c r="G1436" s="1">
        <v>40</v>
      </c>
      <c r="H1436">
        <v>40</v>
      </c>
      <c r="I1436">
        <f>grand[[#This Row],[number]]-grand[[#This Row],[received]]</f>
        <v>0</v>
      </c>
      <c r="J1436" s="30"/>
      <c r="K1436" s="2">
        <v>2005</v>
      </c>
      <c r="L1436" s="2">
        <v>1970</v>
      </c>
      <c r="M1436" s="2">
        <f>K1436-L1436</f>
        <v>35</v>
      </c>
      <c r="N1436" s="2">
        <v>1151</v>
      </c>
      <c r="O1436" s="2">
        <v>0</v>
      </c>
      <c r="P1436" s="7">
        <f>grand[[#This Row],[total weight]]/grand[[#This Row],[received]]</f>
        <v>50.125</v>
      </c>
      <c r="Q1436" s="7">
        <f>grand[[#This Row],[receiving weight]]/grand[[#This Row],[received]]</f>
        <v>49.25</v>
      </c>
      <c r="R1436" s="7">
        <f>grand[[#This Row],[transportation loss ]]/grand[[#This Row],[received]]</f>
        <v>0.875</v>
      </c>
      <c r="S1436" s="7">
        <f>grand[[#This Row],[ carcass weight]]/grand[[#This Row],[received]]</f>
        <v>28.774999999999999</v>
      </c>
      <c r="T1436" s="7">
        <f>grand[[#This Row],[ kidneys fat quantity]]/grand[[#This Row],[received]]</f>
        <v>0</v>
      </c>
      <c r="U1436">
        <v>25</v>
      </c>
      <c r="V1436">
        <v>0</v>
      </c>
      <c r="W1436">
        <v>45.737499999999997</v>
      </c>
      <c r="X1436">
        <v>10</v>
      </c>
      <c r="Y1436">
        <v>8.5</v>
      </c>
      <c r="Z1436" s="18">
        <f>grand[[#This Row],[av. Transportation loss]]/grand[[#This Row],[av.total weight]]</f>
        <v>1.7456359102244388E-2</v>
      </c>
      <c r="AA1436" s="18">
        <f>AVERAGE((grand[[#This Row],[am]]/25),(grand[[#This Row],[pm]]/50))</f>
        <v>0.95737499999999998</v>
      </c>
      <c r="AB1436" s="3">
        <f>grand[[#This Row],[ carcass weight]]/grand[[#This Row],[total weight]]</f>
        <v>0.57406483790523688</v>
      </c>
      <c r="AC1436" s="18">
        <f>SUM(grand[[#This Row],[am]:[meat transportation]])/100</f>
        <v>0.89237499999999992</v>
      </c>
      <c r="AD1436" s="2" t="s">
        <v>843</v>
      </c>
      <c r="AE1436" s="2"/>
      <c r="AF1436" s="2"/>
      <c r="AG1436" s="2"/>
      <c r="AH1436" s="2"/>
      <c r="AI1436" s="2"/>
      <c r="AJ1436" s="2">
        <v>0</v>
      </c>
      <c r="AK1436" s="1"/>
      <c r="AL1436" s="1"/>
    </row>
    <row r="1437" spans="1:38" hidden="1" x14ac:dyDescent="0.2">
      <c r="A1437" s="11">
        <v>46014</v>
      </c>
      <c r="B1437" s="53" t="s">
        <v>2394</v>
      </c>
      <c r="C1437" s="52" t="str">
        <f>IF(MID(B1437,4,2)="09","Ramadan",IF(AND(MID(B1437,4,2)="12",VALUE(LEFT(B1437,2))&lt;=9),"Adha Season","Normal"))</f>
        <v>Normal</v>
      </c>
      <c r="D1437" s="1" t="s">
        <v>45</v>
      </c>
      <c r="E1437" s="1" t="s">
        <v>483</v>
      </c>
      <c r="F1437" s="4" t="s">
        <v>46</v>
      </c>
      <c r="G1437" s="1">
        <v>16</v>
      </c>
      <c r="H1437">
        <v>16</v>
      </c>
      <c r="I1437">
        <f>grand[[#This Row],[number]]-grand[[#This Row],[received]]</f>
        <v>0</v>
      </c>
      <c r="J1437" s="30"/>
      <c r="K1437" s="2">
        <v>7635</v>
      </c>
      <c r="L1437" s="2">
        <v>7635</v>
      </c>
      <c r="M1437" s="2">
        <f>K1437-L1437</f>
        <v>0</v>
      </c>
      <c r="N1437" s="2">
        <v>4580.8999999999996</v>
      </c>
      <c r="O1437" s="2">
        <v>126</v>
      </c>
      <c r="P1437" s="7">
        <f>grand[[#This Row],[total weight]]/grand[[#This Row],[received]]</f>
        <v>477.1875</v>
      </c>
      <c r="Q1437" s="7">
        <f>grand[[#This Row],[receiving weight]]/grand[[#This Row],[received]]</f>
        <v>477.1875</v>
      </c>
      <c r="R1437" s="7">
        <f>grand[[#This Row],[transportation loss ]]/grand[[#This Row],[received]]</f>
        <v>0</v>
      </c>
      <c r="S1437" s="7">
        <f>grand[[#This Row],[ carcass weight]]/grand[[#This Row],[received]]</f>
        <v>286.30624999999998</v>
      </c>
      <c r="T1437" s="7">
        <f>grand[[#This Row],[ kidneys fat quantity]]/grand[[#This Row],[received]]</f>
        <v>7.875</v>
      </c>
      <c r="U1437">
        <v>24.6875</v>
      </c>
      <c r="V1437">
        <v>0</v>
      </c>
      <c r="W1437">
        <v>46.125</v>
      </c>
      <c r="X1437">
        <v>9.6875</v>
      </c>
      <c r="Y1437">
        <v>8.5</v>
      </c>
      <c r="Z1437" s="18">
        <f>grand[[#This Row],[av. Transportation loss]]/grand[[#This Row],[av.total weight]]</f>
        <v>0</v>
      </c>
      <c r="AA1437" s="18">
        <f>AVERAGE((grand[[#This Row],[am]]/25),(grand[[#This Row],[pm]]/50))</f>
        <v>0.95500000000000007</v>
      </c>
      <c r="AB1437" s="3">
        <f>grand[[#This Row],[ carcass weight]]/grand[[#This Row],[total weight]]</f>
        <v>0.59998690242305164</v>
      </c>
      <c r="AC1437" s="18">
        <f>SUM(grand[[#This Row],[am]:[meat transportation]])/100</f>
        <v>0.89</v>
      </c>
      <c r="AD1437" s="2" t="s">
        <v>768</v>
      </c>
      <c r="AE1437" s="2"/>
      <c r="AF1437" s="2"/>
      <c r="AG1437" s="2"/>
      <c r="AH1437" s="2"/>
      <c r="AI1437" s="2"/>
      <c r="AJ1437" s="2">
        <v>4</v>
      </c>
      <c r="AK1437" s="1"/>
      <c r="AL1437" s="1"/>
    </row>
    <row r="1438" spans="1:38" hidden="1" x14ac:dyDescent="0.2">
      <c r="A1438" s="11">
        <v>46015</v>
      </c>
      <c r="B1438" s="53" t="s">
        <v>2395</v>
      </c>
      <c r="C1438" s="52" t="str">
        <f>IF(MID(B1438,4,2)="09","Ramadan",IF(AND(MID(B1438,4,2)="12",VALUE(LEFT(B1438,2))&lt;=9),"Adha Season","Normal"))</f>
        <v>Normal</v>
      </c>
      <c r="D1438" s="1" t="s">
        <v>45</v>
      </c>
      <c r="E1438" s="1" t="s">
        <v>483</v>
      </c>
      <c r="F1438" s="4" t="s">
        <v>959</v>
      </c>
      <c r="G1438" s="1">
        <v>54</v>
      </c>
      <c r="H1438">
        <v>54</v>
      </c>
      <c r="I1438">
        <f>grand[[#This Row],[number]]-grand[[#This Row],[received]]</f>
        <v>0</v>
      </c>
      <c r="J1438" s="30"/>
      <c r="K1438" s="2">
        <v>23633</v>
      </c>
      <c r="L1438" s="2">
        <v>22690</v>
      </c>
      <c r="M1438" s="2">
        <f>K1438-L1438</f>
        <v>943</v>
      </c>
      <c r="N1438" s="2">
        <v>14203.6</v>
      </c>
      <c r="O1438" s="2">
        <v>401</v>
      </c>
      <c r="P1438" s="7">
        <f>grand[[#This Row],[total weight]]/grand[[#This Row],[received]]</f>
        <v>437.64814814814815</v>
      </c>
      <c r="Q1438" s="7">
        <f>grand[[#This Row],[receiving weight]]/grand[[#This Row],[received]]</f>
        <v>420.18518518518516</v>
      </c>
      <c r="R1438" s="7">
        <f>grand[[#This Row],[transportation loss ]]/grand[[#This Row],[received]]</f>
        <v>17.462962962962962</v>
      </c>
      <c r="S1438" s="7">
        <f>grand[[#This Row],[ carcass weight]]/grand[[#This Row],[received]]</f>
        <v>263.02962962962965</v>
      </c>
      <c r="T1438" s="7">
        <f>grand[[#This Row],[ kidneys fat quantity]]/grand[[#This Row],[received]]</f>
        <v>7.4259259259259256</v>
      </c>
      <c r="U1438">
        <v>25</v>
      </c>
      <c r="V1438">
        <v>0</v>
      </c>
      <c r="W1438">
        <v>46.712962962962962</v>
      </c>
      <c r="X1438">
        <v>10</v>
      </c>
      <c r="Y1438">
        <v>8.5</v>
      </c>
      <c r="Z1438" s="18">
        <f>grand[[#This Row],[av. Transportation loss]]/grand[[#This Row],[av.total weight]]</f>
        <v>3.990183218381077E-2</v>
      </c>
      <c r="AA1438" s="18">
        <f>AVERAGE((grand[[#This Row],[am]]/25),(grand[[#This Row],[pm]]/50))</f>
        <v>0.96712962962962967</v>
      </c>
      <c r="AB1438" s="3">
        <f>grand[[#This Row],[ carcass weight]]/grand[[#This Row],[total weight]]</f>
        <v>0.60100706639021706</v>
      </c>
      <c r="AC1438" s="18">
        <f>SUM(grand[[#This Row],[am]:[meat transportation]])/100</f>
        <v>0.90212962962962961</v>
      </c>
      <c r="AD1438" s="2" t="s">
        <v>849</v>
      </c>
      <c r="AE1438" s="2"/>
      <c r="AF1438" s="2"/>
      <c r="AG1438" s="2"/>
      <c r="AH1438" s="2"/>
      <c r="AI1438" s="2"/>
      <c r="AJ1438" s="2">
        <v>0</v>
      </c>
      <c r="AK1438" s="1"/>
      <c r="AL1438" s="1"/>
    </row>
    <row r="1439" spans="1:38" hidden="1" x14ac:dyDescent="0.2">
      <c r="A1439" s="11">
        <v>46016</v>
      </c>
      <c r="B1439" s="53" t="s">
        <v>2396</v>
      </c>
      <c r="C1439" s="52" t="str">
        <f>IF(MID(B1439,4,2)="09","Ramadan",IF(AND(MID(B1439,4,2)="12",VALUE(LEFT(B1439,2))&lt;=9),"Adha Season","Normal"))</f>
        <v>Normal</v>
      </c>
      <c r="D1439" s="1" t="s">
        <v>45</v>
      </c>
      <c r="E1439" s="1" t="s">
        <v>483</v>
      </c>
      <c r="F1439" s="4" t="s">
        <v>46</v>
      </c>
      <c r="G1439" s="1">
        <v>21</v>
      </c>
      <c r="H1439">
        <v>21</v>
      </c>
      <c r="I1439">
        <f>grand[[#This Row],[number]]-grand[[#This Row],[received]]</f>
        <v>0</v>
      </c>
      <c r="J1439" s="30"/>
      <c r="K1439" s="2">
        <v>9926</v>
      </c>
      <c r="L1439" s="2">
        <v>9926</v>
      </c>
      <c r="M1439" s="2">
        <f>K1439-L1439</f>
        <v>0</v>
      </c>
      <c r="N1439" s="2">
        <v>5955.5</v>
      </c>
      <c r="O1439" s="2">
        <v>208</v>
      </c>
      <c r="P1439" s="7">
        <f>grand[[#This Row],[total weight]]/grand[[#This Row],[received]]</f>
        <v>472.66666666666669</v>
      </c>
      <c r="Q1439" s="7">
        <f>grand[[#This Row],[receiving weight]]/grand[[#This Row],[received]]</f>
        <v>472.66666666666669</v>
      </c>
      <c r="R1439" s="7">
        <f>grand[[#This Row],[transportation loss ]]/grand[[#This Row],[received]]</f>
        <v>0</v>
      </c>
      <c r="S1439" s="7">
        <f>grand[[#This Row],[ carcass weight]]/grand[[#This Row],[received]]</f>
        <v>283.59523809523807</v>
      </c>
      <c r="T1439" s="7">
        <f>grand[[#This Row],[ kidneys fat quantity]]/grand[[#This Row],[received]]</f>
        <v>9.9047619047619051</v>
      </c>
      <c r="U1439">
        <v>24.761904761904763</v>
      </c>
      <c r="V1439">
        <v>0</v>
      </c>
      <c r="W1439">
        <v>47.904761904761905</v>
      </c>
      <c r="X1439">
        <v>10</v>
      </c>
      <c r="Y1439">
        <v>8.5</v>
      </c>
      <c r="Z1439" s="18">
        <f>grand[[#This Row],[av. Transportation loss]]/grand[[#This Row],[av.total weight]]</f>
        <v>0</v>
      </c>
      <c r="AA1439" s="18">
        <f>AVERAGE((grand[[#This Row],[am]]/25),(grand[[#This Row],[pm]]/50))</f>
        <v>0.97428571428571431</v>
      </c>
      <c r="AB1439" s="3">
        <f>grand[[#This Row],[ carcass weight]]/grand[[#This Row],[total weight]]</f>
        <v>0.59998992544831753</v>
      </c>
      <c r="AC1439" s="18">
        <f>SUM(grand[[#This Row],[am]:[meat transportation]])/100</f>
        <v>0.91166666666666674</v>
      </c>
      <c r="AD1439" s="2" t="s">
        <v>852</v>
      </c>
      <c r="AE1439" s="2"/>
      <c r="AF1439" s="2"/>
      <c r="AG1439" s="2"/>
      <c r="AH1439" s="2"/>
      <c r="AI1439" s="2"/>
      <c r="AJ1439" s="2">
        <v>6</v>
      </c>
      <c r="AK1439" s="1"/>
      <c r="AL1439" s="1"/>
    </row>
    <row r="1440" spans="1:38" hidden="1" x14ac:dyDescent="0.2">
      <c r="A1440" s="11">
        <v>46016</v>
      </c>
      <c r="B1440" s="53" t="s">
        <v>2396</v>
      </c>
      <c r="C1440" s="52" t="str">
        <f>IF(MID(B1440,4,2)="09","Ramadan",IF(AND(MID(B1440,4,2)="12",VALUE(LEFT(B1440,2))&lt;=9),"Adha Season","Normal"))</f>
        <v>Normal</v>
      </c>
      <c r="D1440" s="2" t="s">
        <v>294</v>
      </c>
      <c r="F1440" s="4" t="s">
        <v>746</v>
      </c>
      <c r="G1440" s="1">
        <v>38</v>
      </c>
      <c r="H1440">
        <v>38</v>
      </c>
      <c r="I1440">
        <f>grand[[#This Row],[number]]-grand[[#This Row],[received]]</f>
        <v>0</v>
      </c>
      <c r="J1440" s="30"/>
      <c r="K1440" s="2">
        <v>2100</v>
      </c>
      <c r="L1440" s="2">
        <v>2100</v>
      </c>
      <c r="M1440" s="2">
        <f>K1440-L1440</f>
        <v>0</v>
      </c>
      <c r="N1440" s="2">
        <v>1296.7</v>
      </c>
      <c r="O1440" s="2">
        <v>0</v>
      </c>
      <c r="P1440" s="7">
        <f>grand[[#This Row],[total weight]]/grand[[#This Row],[received]]</f>
        <v>55.263157894736842</v>
      </c>
      <c r="Q1440" s="7">
        <f>grand[[#This Row],[receiving weight]]/grand[[#This Row],[received]]</f>
        <v>55.263157894736842</v>
      </c>
      <c r="R1440" s="7">
        <f>grand[[#This Row],[transportation loss ]]/grand[[#This Row],[received]]</f>
        <v>0</v>
      </c>
      <c r="S1440" s="7">
        <f>grand[[#This Row],[ carcass weight]]/grand[[#This Row],[received]]</f>
        <v>34.123684210526314</v>
      </c>
      <c r="T1440" s="7">
        <f>grand[[#This Row],[ kidneys fat quantity]]/grand[[#This Row],[received]]</f>
        <v>0</v>
      </c>
      <c r="U1440">
        <v>25</v>
      </c>
      <c r="V1440">
        <v>0</v>
      </c>
      <c r="W1440">
        <v>46.65789473684211</v>
      </c>
      <c r="X1440">
        <v>10</v>
      </c>
      <c r="Y1440">
        <v>8.5</v>
      </c>
      <c r="Z1440" s="18">
        <f>grand[[#This Row],[av. Transportation loss]]/grand[[#This Row],[av.total weight]]</f>
        <v>0</v>
      </c>
      <c r="AA1440" s="18">
        <f>AVERAGE((grand[[#This Row],[am]]/25),(grand[[#This Row],[pm]]/50))</f>
        <v>0.96657894736842109</v>
      </c>
      <c r="AB1440" s="3">
        <f>grand[[#This Row],[ carcass weight]]/grand[[#This Row],[total weight]]</f>
        <v>0.61747619047619051</v>
      </c>
      <c r="AC1440" s="18">
        <f>SUM(grand[[#This Row],[am]:[meat transportation]])/100</f>
        <v>0.90157894736842115</v>
      </c>
      <c r="AD1440" s="2" t="s">
        <v>851</v>
      </c>
      <c r="AE1440" s="2"/>
      <c r="AF1440" s="2"/>
      <c r="AG1440" s="2"/>
      <c r="AH1440" s="2"/>
      <c r="AI1440" s="2"/>
      <c r="AJ1440" s="2">
        <v>0</v>
      </c>
      <c r="AK1440" s="1"/>
      <c r="AL1440" s="1"/>
    </row>
    <row r="1441" spans="1:38" hidden="1" x14ac:dyDescent="0.2">
      <c r="A1441" s="11">
        <v>46018</v>
      </c>
      <c r="B1441" s="53" t="s">
        <v>2397</v>
      </c>
      <c r="C1441" s="52" t="str">
        <f>IF(MID(B1441,4,2)="09","Ramadan",IF(AND(MID(B1441,4,2)="12",VALUE(LEFT(B1441,2))&lt;=9),"Adha Season","Normal"))</f>
        <v>Normal</v>
      </c>
      <c r="D1441" s="2" t="s">
        <v>294</v>
      </c>
      <c r="F1441" s="4" t="s">
        <v>656</v>
      </c>
      <c r="G1441" s="1">
        <v>42</v>
      </c>
      <c r="H1441">
        <v>42</v>
      </c>
      <c r="I1441">
        <f>grand[[#This Row],[number]]-grand[[#This Row],[received]]</f>
        <v>0</v>
      </c>
      <c r="J1441" s="30"/>
      <c r="K1441" s="2">
        <v>2175</v>
      </c>
      <c r="L1441" s="2">
        <v>2105</v>
      </c>
      <c r="M1441" s="2">
        <f>K1441-L1441</f>
        <v>70</v>
      </c>
      <c r="N1441" s="2">
        <v>1270.5</v>
      </c>
      <c r="O1441" s="2">
        <v>0</v>
      </c>
      <c r="P1441" s="7">
        <f>grand[[#This Row],[total weight]]/grand[[#This Row],[received]]</f>
        <v>51.785714285714285</v>
      </c>
      <c r="Q1441" s="7">
        <f>grand[[#This Row],[receiving weight]]/grand[[#This Row],[received]]</f>
        <v>50.11904761904762</v>
      </c>
      <c r="R1441" s="7">
        <f>grand[[#This Row],[transportation loss ]]/grand[[#This Row],[received]]</f>
        <v>1.6666666666666667</v>
      </c>
      <c r="S1441" s="7">
        <f>grand[[#This Row],[ carcass weight]]/grand[[#This Row],[received]]</f>
        <v>30.25</v>
      </c>
      <c r="T1441" s="7">
        <f>grand[[#This Row],[ kidneys fat quantity]]/grand[[#This Row],[received]]</f>
        <v>0</v>
      </c>
      <c r="U1441">
        <v>25</v>
      </c>
      <c r="V1441">
        <v>0</v>
      </c>
      <c r="W1441">
        <v>45.928571428571431</v>
      </c>
      <c r="X1441">
        <v>10</v>
      </c>
      <c r="Y1441">
        <v>8.5</v>
      </c>
      <c r="Z1441" s="18">
        <f>grand[[#This Row],[av. Transportation loss]]/grand[[#This Row],[av.total weight]]</f>
        <v>3.2183908045977011E-2</v>
      </c>
      <c r="AA1441" s="18">
        <f>AVERAGE((grand[[#This Row],[am]]/25),(grand[[#This Row],[pm]]/50))</f>
        <v>0.9592857142857143</v>
      </c>
      <c r="AB1441" s="3">
        <f>grand[[#This Row],[ carcass weight]]/grand[[#This Row],[total weight]]</f>
        <v>0.58413793103448275</v>
      </c>
      <c r="AC1441" s="18">
        <f>SUM(grand[[#This Row],[am]:[meat transportation]])/100</f>
        <v>0.89428571428571435</v>
      </c>
      <c r="AD1441" s="2" t="s">
        <v>856</v>
      </c>
      <c r="AE1441" s="2"/>
      <c r="AF1441" s="2"/>
      <c r="AG1441" s="2"/>
      <c r="AH1441" s="2"/>
      <c r="AI1441" s="2"/>
      <c r="AJ1441" s="2">
        <v>0</v>
      </c>
      <c r="AK1441" s="1"/>
      <c r="AL1441" s="1"/>
    </row>
    <row r="1442" spans="1:38" hidden="1" x14ac:dyDescent="0.2">
      <c r="A1442" s="11">
        <v>46018</v>
      </c>
      <c r="B1442" s="53" t="s">
        <v>2397</v>
      </c>
      <c r="C1442" s="52" t="str">
        <f>IF(MID(B1442,4,2)="09","Ramadan",IF(AND(MID(B1442,4,2)="12",VALUE(LEFT(B1442,2))&lt;=9),"Adha Season","Normal"))</f>
        <v>Normal</v>
      </c>
      <c r="D1442" s="1" t="s">
        <v>45</v>
      </c>
      <c r="E1442" s="1" t="s">
        <v>483</v>
      </c>
      <c r="F1442" s="4" t="s">
        <v>959</v>
      </c>
      <c r="G1442" s="1">
        <v>35</v>
      </c>
      <c r="H1442">
        <v>35</v>
      </c>
      <c r="I1442">
        <f>grand[[#This Row],[number]]-grand[[#This Row],[received]]</f>
        <v>0</v>
      </c>
      <c r="J1442" s="30"/>
      <c r="K1442" s="2">
        <v>15409</v>
      </c>
      <c r="L1442" s="2">
        <v>14715</v>
      </c>
      <c r="M1442" s="2">
        <f>K1442-L1442</f>
        <v>694</v>
      </c>
      <c r="N1442" s="2">
        <v>9344.6</v>
      </c>
      <c r="O1442" s="2">
        <v>212</v>
      </c>
      <c r="P1442" s="7">
        <f>grand[[#This Row],[total weight]]/grand[[#This Row],[received]]</f>
        <v>440.25714285714287</v>
      </c>
      <c r="Q1442" s="7">
        <f>grand[[#This Row],[receiving weight]]/grand[[#This Row],[received]]</f>
        <v>420.42857142857144</v>
      </c>
      <c r="R1442" s="7">
        <f>grand[[#This Row],[transportation loss ]]/grand[[#This Row],[received]]</f>
        <v>19.828571428571429</v>
      </c>
      <c r="S1442" s="7">
        <f>grand[[#This Row],[ carcass weight]]/grand[[#This Row],[received]]</f>
        <v>266.98857142857145</v>
      </c>
      <c r="T1442" s="7">
        <f>grand[[#This Row],[ kidneys fat quantity]]/grand[[#This Row],[received]]</f>
        <v>6.0571428571428569</v>
      </c>
      <c r="U1442">
        <v>25</v>
      </c>
      <c r="V1442">
        <v>0</v>
      </c>
      <c r="W1442">
        <v>46</v>
      </c>
      <c r="X1442">
        <v>10</v>
      </c>
      <c r="Y1442">
        <v>8.5</v>
      </c>
      <c r="Z1442" s="18">
        <f>grand[[#This Row],[av. Transportation loss]]/grand[[#This Row],[av.total weight]]</f>
        <v>4.5038613797131546E-2</v>
      </c>
      <c r="AA1442" s="18">
        <f>AVERAGE((grand[[#This Row],[am]]/25),(grand[[#This Row],[pm]]/50))</f>
        <v>0.96</v>
      </c>
      <c r="AB1442" s="3">
        <f>grand[[#This Row],[ carcass weight]]/grand[[#This Row],[total weight]]</f>
        <v>0.60643779609319226</v>
      </c>
      <c r="AC1442" s="18">
        <f>SUM(grand[[#This Row],[am]:[meat transportation]])/100</f>
        <v>0.89500000000000002</v>
      </c>
      <c r="AD1442" s="2" t="s">
        <v>857</v>
      </c>
      <c r="AE1442" s="2"/>
      <c r="AF1442" s="2"/>
      <c r="AG1442" s="2"/>
      <c r="AH1442" s="2"/>
      <c r="AI1442" s="2"/>
      <c r="AJ1442" s="2">
        <v>0</v>
      </c>
      <c r="AK1442" s="1"/>
      <c r="AL1442" s="1"/>
    </row>
    <row r="1443" spans="1:38" hidden="1" x14ac:dyDescent="0.2">
      <c r="A1443" s="11">
        <v>46019</v>
      </c>
      <c r="B1443" s="53" t="s">
        <v>2398</v>
      </c>
      <c r="C1443" s="52" t="str">
        <f>IF(MID(B1443,4,2)="09","Ramadan",IF(AND(MID(B1443,4,2)="12",VALUE(LEFT(B1443,2))&lt;=9),"Adha Season","Normal"))</f>
        <v>Normal</v>
      </c>
      <c r="D1443" s="1" t="s">
        <v>45</v>
      </c>
      <c r="E1443" s="1" t="s">
        <v>483</v>
      </c>
      <c r="F1443" s="4" t="s">
        <v>165</v>
      </c>
      <c r="G1443" s="1">
        <v>52</v>
      </c>
      <c r="H1443">
        <v>52</v>
      </c>
      <c r="I1443">
        <f>grand[[#This Row],[number]]-grand[[#This Row],[received]]</f>
        <v>0</v>
      </c>
      <c r="J1443" s="30"/>
      <c r="K1443" s="2">
        <v>29022</v>
      </c>
      <c r="L1443" s="2">
        <v>29022</v>
      </c>
      <c r="M1443" s="2">
        <f>K1443-L1443</f>
        <v>0</v>
      </c>
      <c r="N1443" s="2">
        <v>17413.2</v>
      </c>
      <c r="O1443" s="2">
        <v>678</v>
      </c>
      <c r="P1443" s="7">
        <f>grand[[#This Row],[total weight]]/grand[[#This Row],[received]]</f>
        <v>558.11538461538464</v>
      </c>
      <c r="Q1443" s="7">
        <f>grand[[#This Row],[receiving weight]]/grand[[#This Row],[received]]</f>
        <v>558.11538461538464</v>
      </c>
      <c r="R1443" s="7">
        <f>grand[[#This Row],[transportation loss ]]/grand[[#This Row],[received]]</f>
        <v>0</v>
      </c>
      <c r="S1443" s="7">
        <f>grand[[#This Row],[ carcass weight]]/grand[[#This Row],[received]]</f>
        <v>334.8692307692308</v>
      </c>
      <c r="T1443" s="7">
        <f>grand[[#This Row],[ kidneys fat quantity]]/grand[[#This Row],[received]]</f>
        <v>13.038461538461538</v>
      </c>
      <c r="U1443">
        <v>24.134615384615383</v>
      </c>
      <c r="V1443">
        <v>0</v>
      </c>
      <c r="W1443">
        <v>46.59615384615384</v>
      </c>
      <c r="X1443">
        <v>10</v>
      </c>
      <c r="Y1443">
        <v>8.5</v>
      </c>
      <c r="Z1443" s="18">
        <f>grand[[#This Row],[av. Transportation loss]]/grand[[#This Row],[av.total weight]]</f>
        <v>0</v>
      </c>
      <c r="AA1443" s="18">
        <f>AVERAGE((grand[[#This Row],[am]]/25),(grand[[#This Row],[pm]]/50))</f>
        <v>0.94865384615384607</v>
      </c>
      <c r="AB1443" s="3">
        <f>grand[[#This Row],[ carcass weight]]/grand[[#This Row],[total weight]]</f>
        <v>0.6</v>
      </c>
      <c r="AC1443" s="18">
        <f>SUM(grand[[#This Row],[am]:[meat transportation]])/100</f>
        <v>0.89230769230769225</v>
      </c>
      <c r="AD1443" s="2" t="s">
        <v>858</v>
      </c>
      <c r="AE1443" s="2"/>
      <c r="AF1443" s="2"/>
      <c r="AG1443" s="2"/>
      <c r="AH1443" s="2"/>
      <c r="AI1443" s="2"/>
      <c r="AJ1443" s="2">
        <v>35</v>
      </c>
      <c r="AK1443" s="1"/>
      <c r="AL1443" s="1"/>
    </row>
    <row r="1444" spans="1:38" hidden="1" x14ac:dyDescent="0.2">
      <c r="A1444" s="11">
        <v>46020</v>
      </c>
      <c r="B1444" s="53" t="s">
        <v>2399</v>
      </c>
      <c r="C1444" s="52" t="str">
        <f>IF(MID(B1444,4,2)="09","Ramadan",IF(AND(MID(B1444,4,2)="12",VALUE(LEFT(B1444,2))&lt;=9),"Adha Season","Normal"))</f>
        <v>Normal</v>
      </c>
      <c r="D1444" s="2" t="s">
        <v>294</v>
      </c>
      <c r="F1444" s="4" t="s">
        <v>746</v>
      </c>
      <c r="G1444" s="1">
        <v>35</v>
      </c>
      <c r="H1444">
        <v>35</v>
      </c>
      <c r="I1444">
        <f>grand[[#This Row],[number]]-grand[[#This Row],[received]]</f>
        <v>0</v>
      </c>
      <c r="J1444" s="30"/>
      <c r="K1444" s="2">
        <v>2140</v>
      </c>
      <c r="L1444" s="2">
        <v>0</v>
      </c>
      <c r="M1444" s="2">
        <f>K1444-L1444</f>
        <v>2140</v>
      </c>
      <c r="N1444" s="2">
        <v>1227.4000000000001</v>
      </c>
      <c r="O1444" s="2">
        <v>0</v>
      </c>
      <c r="P1444" s="7">
        <f>grand[[#This Row],[total weight]]/grand[[#This Row],[received]]</f>
        <v>61.142857142857146</v>
      </c>
      <c r="Q1444" s="7">
        <f>grand[[#This Row],[receiving weight]]/grand[[#This Row],[received]]</f>
        <v>0</v>
      </c>
      <c r="R1444" s="7">
        <f>grand[[#This Row],[transportation loss ]]/grand[[#This Row],[received]]</f>
        <v>61.142857142857146</v>
      </c>
      <c r="S1444" s="7">
        <f>grand[[#This Row],[ carcass weight]]/grand[[#This Row],[received]]</f>
        <v>35.068571428571431</v>
      </c>
      <c r="T1444" s="7">
        <f>grand[[#This Row],[ kidneys fat quantity]]/grand[[#This Row],[received]]</f>
        <v>0</v>
      </c>
      <c r="U1444">
        <v>25</v>
      </c>
      <c r="V1444">
        <v>0</v>
      </c>
      <c r="W1444">
        <v>46.357142857142854</v>
      </c>
      <c r="X1444">
        <v>10</v>
      </c>
      <c r="Y1444">
        <v>8.5</v>
      </c>
      <c r="Z1444" s="18">
        <f>grand[[#This Row],[av. Transportation loss]]/grand[[#This Row],[av.total weight]]</f>
        <v>1</v>
      </c>
      <c r="AA1444" s="18">
        <f>AVERAGE((grand[[#This Row],[am]]/25),(grand[[#This Row],[pm]]/50))</f>
        <v>0.96357142857142852</v>
      </c>
      <c r="AB1444" s="3">
        <f>grand[[#This Row],[ carcass weight]]/grand[[#This Row],[total weight]]</f>
        <v>0.57355140186915887</v>
      </c>
      <c r="AC1444" s="18">
        <f>SUM(grand[[#This Row],[am]:[meat transportation]])/100</f>
        <v>0.89857142857142858</v>
      </c>
      <c r="AD1444" s="2" t="s">
        <v>862</v>
      </c>
      <c r="AE1444" s="2"/>
      <c r="AF1444" s="2"/>
      <c r="AG1444" s="2"/>
      <c r="AH1444" s="2"/>
      <c r="AI1444" s="2"/>
      <c r="AJ1444" s="2"/>
      <c r="AK1444" s="1"/>
      <c r="AL1444" s="1"/>
    </row>
    <row r="1445" spans="1:38" hidden="1" x14ac:dyDescent="0.2">
      <c r="A1445" s="11">
        <v>46022</v>
      </c>
      <c r="B1445" s="53" t="s">
        <v>2401</v>
      </c>
      <c r="C1445" s="52" t="str">
        <f>IF(MID(B1445,4,2)="09","Ramadan",IF(AND(MID(B1445,4,2)="12",VALUE(LEFT(B1445,2))&lt;=9),"Adha Season","Normal"))</f>
        <v>Normal</v>
      </c>
      <c r="D1445" s="2" t="s">
        <v>294</v>
      </c>
      <c r="F1445" s="4" t="s">
        <v>746</v>
      </c>
      <c r="G1445" s="1">
        <v>38</v>
      </c>
      <c r="H1445">
        <v>38</v>
      </c>
      <c r="I1445">
        <f>grand[[#This Row],[number]]-grand[[#This Row],[received]]</f>
        <v>0</v>
      </c>
      <c r="J1445" s="30"/>
      <c r="K1445" s="2">
        <v>2130</v>
      </c>
      <c r="L1445" s="2">
        <v>2130</v>
      </c>
      <c r="M1445" s="2">
        <f>K1445-L1445</f>
        <v>0</v>
      </c>
      <c r="N1445" s="2">
        <v>1240.2</v>
      </c>
      <c r="O1445" s="2">
        <v>0</v>
      </c>
      <c r="P1445" s="7">
        <f>grand[[#This Row],[total weight]]/grand[[#This Row],[received]]</f>
        <v>56.05263157894737</v>
      </c>
      <c r="Q1445" s="7">
        <f>grand[[#This Row],[receiving weight]]/grand[[#This Row],[received]]</f>
        <v>56.05263157894737</v>
      </c>
      <c r="R1445" s="7">
        <f>grand[[#This Row],[transportation loss ]]/grand[[#This Row],[received]]</f>
        <v>0</v>
      </c>
      <c r="S1445" s="7">
        <f>grand[[#This Row],[ carcass weight]]/grand[[#This Row],[received]]</f>
        <v>32.636842105263156</v>
      </c>
      <c r="T1445" s="7">
        <f>grand[[#This Row],[ kidneys fat quantity]]/grand[[#This Row],[received]]</f>
        <v>0</v>
      </c>
      <c r="U1445">
        <v>25</v>
      </c>
      <c r="V1445">
        <v>0</v>
      </c>
      <c r="W1445">
        <v>43.473684210526315</v>
      </c>
      <c r="X1445">
        <v>10</v>
      </c>
      <c r="Y1445">
        <v>8.5</v>
      </c>
      <c r="Z1445" s="18">
        <f>grand[[#This Row],[av. Transportation loss]]/grand[[#This Row],[av.total weight]]</f>
        <v>0</v>
      </c>
      <c r="AA1445" s="18">
        <f>AVERAGE((grand[[#This Row],[am]]/25),(grand[[#This Row],[pm]]/50))</f>
        <v>0.93473684210526309</v>
      </c>
      <c r="AB1445" s="3">
        <f>grand[[#This Row],[ carcass weight]]/grand[[#This Row],[total weight]]</f>
        <v>0.58225352112676054</v>
      </c>
      <c r="AC1445" s="18">
        <f>SUM(grand[[#This Row],[am]:[meat transportation]])/100</f>
        <v>0.86973684210526314</v>
      </c>
      <c r="AD1445" s="2" t="s">
        <v>365</v>
      </c>
      <c r="AE1445" s="2"/>
      <c r="AF1445" s="2"/>
      <c r="AG1445" s="2"/>
      <c r="AH1445" s="2"/>
      <c r="AI1445" s="2"/>
      <c r="AJ1445" s="2">
        <v>0</v>
      </c>
      <c r="AK1445" s="1"/>
      <c r="AL1445" s="1"/>
    </row>
    <row r="1446" spans="1:38" hidden="1" x14ac:dyDescent="0.2">
      <c r="A1446" s="11">
        <v>46022</v>
      </c>
      <c r="B1446" s="53" t="s">
        <v>2401</v>
      </c>
      <c r="C1446" s="52" t="str">
        <f>IF(MID(B1446,4,2)="09","Ramadan",IF(AND(MID(B1446,4,2)="12",VALUE(LEFT(B1446,2))&lt;=9),"Adha Season","Normal"))</f>
        <v>Normal</v>
      </c>
      <c r="D1446" s="1" t="s">
        <v>45</v>
      </c>
      <c r="E1446" s="1" t="s">
        <v>483</v>
      </c>
      <c r="F1446" s="4" t="s">
        <v>959</v>
      </c>
      <c r="G1446" s="1">
        <v>48</v>
      </c>
      <c r="H1446">
        <v>48</v>
      </c>
      <c r="I1446">
        <f>grand[[#This Row],[number]]-grand[[#This Row],[received]]</f>
        <v>0</v>
      </c>
      <c r="J1446" s="30"/>
      <c r="K1446" s="2">
        <v>21405</v>
      </c>
      <c r="L1446" s="2">
        <v>21405</v>
      </c>
      <c r="M1446" s="2">
        <f>K1446-L1446</f>
        <v>0</v>
      </c>
      <c r="N1446" s="2">
        <v>12843.7</v>
      </c>
      <c r="O1446" s="2">
        <v>333</v>
      </c>
      <c r="P1446" s="7">
        <f>grand[[#This Row],[total weight]]/grand[[#This Row],[received]]</f>
        <v>445.9375</v>
      </c>
      <c r="Q1446" s="7">
        <f>grand[[#This Row],[receiving weight]]/grand[[#This Row],[received]]</f>
        <v>445.9375</v>
      </c>
      <c r="R1446" s="7">
        <f>grand[[#This Row],[transportation loss ]]/grand[[#This Row],[received]]</f>
        <v>0</v>
      </c>
      <c r="S1446" s="7">
        <f>grand[[#This Row],[ carcass weight]]/grand[[#This Row],[received]]</f>
        <v>267.57708333333335</v>
      </c>
      <c r="T1446" s="7">
        <f>grand[[#This Row],[ kidneys fat quantity]]/grand[[#This Row],[received]]</f>
        <v>6.9375</v>
      </c>
      <c r="U1446">
        <v>25</v>
      </c>
      <c r="V1446">
        <v>0</v>
      </c>
      <c r="W1446">
        <v>48.000000000000007</v>
      </c>
      <c r="X1446">
        <v>10</v>
      </c>
      <c r="Y1446">
        <v>8.5</v>
      </c>
      <c r="Z1446" s="18">
        <f>grand[[#This Row],[av. Transportation loss]]/grand[[#This Row],[av.total weight]]</f>
        <v>0</v>
      </c>
      <c r="AA1446" s="18">
        <f>AVERAGE((grand[[#This Row],[am]]/25),(grand[[#This Row],[pm]]/50))</f>
        <v>0.98000000000000009</v>
      </c>
      <c r="AB1446" s="3">
        <f>grand[[#This Row],[ carcass weight]]/grand[[#This Row],[total weight]]</f>
        <v>0.6000327026395702</v>
      </c>
      <c r="AC1446" s="18">
        <f>SUM(grand[[#This Row],[am]:[meat transportation]])/100</f>
        <v>0.91500000000000004</v>
      </c>
      <c r="AD1446" s="2" t="s">
        <v>868</v>
      </c>
      <c r="AE1446" s="2"/>
      <c r="AF1446" s="2"/>
      <c r="AG1446" s="2"/>
      <c r="AH1446" s="2"/>
      <c r="AI1446" s="2"/>
      <c r="AJ1446" s="2"/>
      <c r="AK1446" s="1"/>
      <c r="AL1446" s="1"/>
    </row>
    <row r="1447" spans="1:38" hidden="1" x14ac:dyDescent="0.2">
      <c r="A1447" s="11">
        <v>45806</v>
      </c>
      <c r="B1447" s="53" t="s">
        <v>2227</v>
      </c>
      <c r="C1447" s="52" t="str">
        <f>IF(MID(B1447,4,2)="09","Ramadan",IF(AND(MID(B1447,4,2)="12",VALUE(LEFT(B1447,2))&lt;=9),"Adha Season","Normal"))</f>
        <v>Adha Season</v>
      </c>
      <c r="D1447" s="1" t="s">
        <v>45</v>
      </c>
      <c r="E1447" s="1" t="s">
        <v>528</v>
      </c>
      <c r="F1447" s="4" t="s">
        <v>280</v>
      </c>
      <c r="G1447" s="1">
        <v>25</v>
      </c>
      <c r="H1447" s="1">
        <v>25</v>
      </c>
      <c r="I1447" s="1">
        <f>grand[[#This Row],[number]]-grand[[#This Row],[received]]</f>
        <v>0</v>
      </c>
      <c r="J1447" s="30"/>
      <c r="K1447" s="2">
        <v>13325</v>
      </c>
      <c r="L1447" s="2">
        <v>13325</v>
      </c>
      <c r="M1447" s="2">
        <f>K1447-L1447</f>
        <v>0</v>
      </c>
      <c r="N1447" s="2">
        <v>8182.9</v>
      </c>
      <c r="O1447" s="2">
        <v>158</v>
      </c>
      <c r="P1447" s="7">
        <f>grand[[#This Row],[total weight]]/grand[[#This Row],[received]]</f>
        <v>533</v>
      </c>
      <c r="Q1447" s="7">
        <f>grand[[#This Row],[receiving weight]]/grand[[#This Row],[received]]</f>
        <v>533</v>
      </c>
      <c r="R1447" s="7">
        <f>grand[[#This Row],[transportation loss ]]/grand[[#This Row],[received]]</f>
        <v>0</v>
      </c>
      <c r="S1447" s="7">
        <f>grand[[#This Row],[ carcass weight]]/grand[[#This Row],[received]]</f>
        <v>327.31599999999997</v>
      </c>
      <c r="T1447" s="7">
        <f>grand[[#This Row],[ kidneys fat quantity]]/grand[[#This Row],[received]]</f>
        <v>6.32</v>
      </c>
      <c r="U1447" s="1">
        <v>25</v>
      </c>
      <c r="V1447" s="1">
        <v>0</v>
      </c>
      <c r="W1447" s="1">
        <v>47.14</v>
      </c>
      <c r="X1447" s="1">
        <v>10</v>
      </c>
      <c r="Y1447" s="1">
        <v>8.5</v>
      </c>
      <c r="Z1447" s="18">
        <f>grand[[#This Row],[av. Transportation loss]]/grand[[#This Row],[av.total weight]]</f>
        <v>0</v>
      </c>
      <c r="AA1447" s="12">
        <f>AVERAGE((grand[[#This Row],[am]]/25),(grand[[#This Row],[pm]]/50))</f>
        <v>0.97140000000000004</v>
      </c>
      <c r="AB1447" s="3">
        <f>grand[[#This Row],[ carcass weight]]/grand[[#This Row],[total weight]]</f>
        <v>0.61410131332082551</v>
      </c>
      <c r="AC1447" s="18">
        <f>SUM(grand[[#This Row],[am]:[meat transportation]])/100</f>
        <v>0.90639999999999998</v>
      </c>
      <c r="AJ1447" s="1">
        <v>7</v>
      </c>
      <c r="AK1447" s="1"/>
      <c r="AL1447" s="1"/>
    </row>
    <row r="1448" spans="1:38" hidden="1" x14ac:dyDescent="0.2">
      <c r="A1448" s="11">
        <v>45806</v>
      </c>
      <c r="B1448" s="53" t="s">
        <v>2227</v>
      </c>
      <c r="C1448" s="52" t="str">
        <f>IF(MID(B1448,4,2)="09","Ramadan",IF(AND(MID(B1448,4,2)="12",VALUE(LEFT(B1448,2))&lt;=9),"Adha Season","Normal"))</f>
        <v>Adha Season</v>
      </c>
      <c r="D1448" s="1" t="s">
        <v>45</v>
      </c>
      <c r="E1448" s="1" t="s">
        <v>528</v>
      </c>
      <c r="F1448" s="4" t="s">
        <v>462</v>
      </c>
      <c r="G1448" s="1">
        <v>39</v>
      </c>
      <c r="H1448" s="1">
        <v>39</v>
      </c>
      <c r="I1448" s="1">
        <f>grand[[#This Row],[number]]-grand[[#This Row],[received]]</f>
        <v>0</v>
      </c>
      <c r="J1448" s="30"/>
      <c r="K1448" s="2">
        <v>17813.291139240504</v>
      </c>
      <c r="L1448" s="2">
        <v>17813.291139240504</v>
      </c>
      <c r="M1448" s="2">
        <f>K1448-L1448</f>
        <v>0</v>
      </c>
      <c r="N1448" s="2">
        <v>11258</v>
      </c>
      <c r="O1448" s="2">
        <v>0</v>
      </c>
      <c r="P1448" s="7">
        <f>grand[[#This Row],[total weight]]/grand[[#This Row],[received]]</f>
        <v>456.75105485232064</v>
      </c>
      <c r="Q1448" s="7">
        <f>grand[[#This Row],[receiving weight]]/grand[[#This Row],[received]]</f>
        <v>456.75105485232064</v>
      </c>
      <c r="R1448" s="7">
        <f>grand[[#This Row],[transportation loss ]]/grand[[#This Row],[received]]</f>
        <v>0</v>
      </c>
      <c r="S1448" s="7">
        <f>grand[[#This Row],[ carcass weight]]/grand[[#This Row],[received]]</f>
        <v>288.66666666666669</v>
      </c>
      <c r="T1448" s="7">
        <f>grand[[#This Row],[ kidneys fat quantity]]/grand[[#This Row],[received]]</f>
        <v>0</v>
      </c>
      <c r="U1448" s="1">
        <v>25</v>
      </c>
      <c r="V1448" s="1">
        <v>4</v>
      </c>
      <c r="W1448" s="1">
        <v>50</v>
      </c>
      <c r="X1448" s="1">
        <v>10</v>
      </c>
      <c r="Y1448" s="1">
        <v>8.5</v>
      </c>
      <c r="Z1448" s="18">
        <f>grand[[#This Row],[av. Transportation loss]]/grand[[#This Row],[av.total weight]]</f>
        <v>0</v>
      </c>
      <c r="AA1448" s="12">
        <f>AVERAGE((grand[[#This Row],[am]]/25),(grand[[#This Row],[pm]]/50))</f>
        <v>1</v>
      </c>
      <c r="AB1448" s="3">
        <f>grand[[#This Row],[ carcass weight]]/grand[[#This Row],[total weight]]</f>
        <v>0.63200000000000012</v>
      </c>
      <c r="AC1448" s="18">
        <f>SUM(grand[[#This Row],[am]:[meat transportation]])/100</f>
        <v>0.97499999999999998</v>
      </c>
      <c r="AK1448" s="1"/>
      <c r="AL1448" s="1"/>
    </row>
    <row r="1449" spans="1:38" hidden="1" x14ac:dyDescent="0.2">
      <c r="A1449" s="11">
        <v>45807</v>
      </c>
      <c r="B1449" s="53" t="s">
        <v>2228</v>
      </c>
      <c r="C1449" s="52" t="str">
        <f>IF(MID(B1449,4,2)="09","Ramadan",IF(AND(MID(B1449,4,2)="12",VALUE(LEFT(B1449,2))&lt;=9),"Adha Season","Normal"))</f>
        <v>Adha Season</v>
      </c>
      <c r="D1449" s="1" t="s">
        <v>45</v>
      </c>
      <c r="E1449" s="1" t="s">
        <v>483</v>
      </c>
      <c r="F1449" s="4" t="s">
        <v>43</v>
      </c>
      <c r="G1449" s="1">
        <v>60</v>
      </c>
      <c r="H1449" s="1">
        <v>60</v>
      </c>
      <c r="I1449" s="1">
        <f>grand[[#This Row],[number]]-grand[[#This Row],[received]]</f>
        <v>0</v>
      </c>
      <c r="J1449" s="30"/>
      <c r="K1449" s="2">
        <v>31710</v>
      </c>
      <c r="L1449" s="2">
        <v>31710</v>
      </c>
      <c r="M1449" s="2">
        <f>K1449-L1449</f>
        <v>0</v>
      </c>
      <c r="N1449" s="2">
        <v>19025.099999999999</v>
      </c>
      <c r="O1449" s="2">
        <v>633</v>
      </c>
      <c r="P1449" s="7">
        <f>grand[[#This Row],[total weight]]/grand[[#This Row],[received]]</f>
        <v>528.5</v>
      </c>
      <c r="Q1449" s="7">
        <f>grand[[#This Row],[receiving weight]]/grand[[#This Row],[received]]</f>
        <v>528.5</v>
      </c>
      <c r="R1449" s="7">
        <f>grand[[#This Row],[transportation loss ]]/grand[[#This Row],[received]]</f>
        <v>0</v>
      </c>
      <c r="S1449" s="7">
        <f>grand[[#This Row],[ carcass weight]]/grand[[#This Row],[received]]</f>
        <v>317.08499999999998</v>
      </c>
      <c r="T1449" s="7">
        <f>grand[[#This Row],[ kidneys fat quantity]]/grand[[#This Row],[received]]</f>
        <v>10.55</v>
      </c>
      <c r="U1449" s="1">
        <v>24.333333333333336</v>
      </c>
      <c r="V1449" s="1">
        <v>0</v>
      </c>
      <c r="W1449" s="1">
        <v>48.616666666666667</v>
      </c>
      <c r="X1449" s="1">
        <v>10</v>
      </c>
      <c r="Y1449" s="1">
        <v>8.5</v>
      </c>
      <c r="Z1449" s="18">
        <f>grand[[#This Row],[av. Transportation loss]]/grand[[#This Row],[av.total weight]]</f>
        <v>0</v>
      </c>
      <c r="AA1449" s="12">
        <f>AVERAGE((grand[[#This Row],[am]]/25),(grand[[#This Row],[pm]]/50))</f>
        <v>0.97283333333333344</v>
      </c>
      <c r="AB1449" s="3">
        <f>grand[[#This Row],[ carcass weight]]/grand[[#This Row],[total weight]]</f>
        <v>0.59997161778618724</v>
      </c>
      <c r="AC1449" s="18">
        <f>SUM(grand[[#This Row],[am]:[meat transportation]])/100</f>
        <v>0.91449999999999998</v>
      </c>
      <c r="AJ1449" s="1">
        <v>34</v>
      </c>
      <c r="AK1449" s="1"/>
      <c r="AL1449" s="1"/>
    </row>
    <row r="1450" spans="1:38" hidden="1" x14ac:dyDescent="0.2">
      <c r="A1450" s="11">
        <v>45807</v>
      </c>
      <c r="B1450" s="53" t="s">
        <v>2228</v>
      </c>
      <c r="C1450" s="52" t="str">
        <f>IF(MID(B1450,4,2)="09","Ramadan",IF(AND(MID(B1450,4,2)="12",VALUE(LEFT(B1450,2))&lt;=9),"Adha Season","Normal"))</f>
        <v>Adha Season</v>
      </c>
      <c r="D1450" s="1" t="s">
        <v>45</v>
      </c>
      <c r="E1450" s="1" t="s">
        <v>528</v>
      </c>
      <c r="F1450" s="4" t="s">
        <v>280</v>
      </c>
      <c r="G1450" s="1">
        <v>15</v>
      </c>
      <c r="H1450" s="1">
        <v>15</v>
      </c>
      <c r="I1450" s="1">
        <f>grand[[#This Row],[number]]-grand[[#This Row],[received]]</f>
        <v>0</v>
      </c>
      <c r="J1450" s="30"/>
      <c r="K1450" s="2">
        <v>8115</v>
      </c>
      <c r="L1450" s="2">
        <v>8115</v>
      </c>
      <c r="M1450" s="2">
        <f>K1450-L1450</f>
        <v>0</v>
      </c>
      <c r="N1450" s="2">
        <v>5003.3</v>
      </c>
      <c r="O1450" s="2">
        <v>91</v>
      </c>
      <c r="P1450" s="7">
        <f>grand[[#This Row],[total weight]]/grand[[#This Row],[received]]</f>
        <v>541</v>
      </c>
      <c r="Q1450" s="7">
        <f>grand[[#This Row],[receiving weight]]/grand[[#This Row],[received]]</f>
        <v>541</v>
      </c>
      <c r="R1450" s="7">
        <f>grand[[#This Row],[transportation loss ]]/grand[[#This Row],[received]]</f>
        <v>0</v>
      </c>
      <c r="S1450" s="7">
        <f>grand[[#This Row],[ carcass weight]]/grand[[#This Row],[received]]</f>
        <v>333.55333333333334</v>
      </c>
      <c r="T1450" s="7">
        <f>grand[[#This Row],[ kidneys fat quantity]]/grand[[#This Row],[received]]</f>
        <v>6.0666666666666664</v>
      </c>
      <c r="U1450" s="1">
        <v>25</v>
      </c>
      <c r="V1450" s="1">
        <v>0</v>
      </c>
      <c r="W1450" s="1">
        <v>49.06666666666667</v>
      </c>
      <c r="X1450" s="1">
        <v>10</v>
      </c>
      <c r="Y1450" s="1">
        <v>8.5</v>
      </c>
      <c r="Z1450" s="18">
        <f>grand[[#This Row],[av. Transportation loss]]/grand[[#This Row],[av.total weight]]</f>
        <v>0</v>
      </c>
      <c r="AA1450" s="12">
        <f>AVERAGE((grand[[#This Row],[am]]/25),(grand[[#This Row],[pm]]/50))</f>
        <v>0.9906666666666667</v>
      </c>
      <c r="AB1450" s="3">
        <f>grand[[#This Row],[ carcass weight]]/grand[[#This Row],[total weight]]</f>
        <v>0.61654959950708565</v>
      </c>
      <c r="AC1450" s="18">
        <f>SUM(grand[[#This Row],[am]:[meat transportation]])/100</f>
        <v>0.92566666666666664</v>
      </c>
      <c r="AJ1450" s="1">
        <v>4</v>
      </c>
      <c r="AK1450" s="1"/>
      <c r="AL1450" s="1"/>
    </row>
    <row r="1451" spans="1:38" hidden="1" x14ac:dyDescent="0.2">
      <c r="A1451" s="11">
        <v>45807</v>
      </c>
      <c r="B1451" s="53" t="s">
        <v>2228</v>
      </c>
      <c r="C1451" s="52" t="str">
        <f>IF(MID(B1451,4,2)="09","Ramadan",IF(AND(MID(B1451,4,2)="12",VALUE(LEFT(B1451,2))&lt;=9),"Adha Season","Normal"))</f>
        <v>Adha Season</v>
      </c>
      <c r="D1451" s="2" t="s">
        <v>294</v>
      </c>
      <c r="F1451" s="4" t="s">
        <v>280</v>
      </c>
      <c r="G1451" s="1">
        <v>105</v>
      </c>
      <c r="H1451" s="1">
        <v>104</v>
      </c>
      <c r="I1451" s="1">
        <f>grand[[#This Row],[number]]-grand[[#This Row],[received]]</f>
        <v>1</v>
      </c>
      <c r="J1451" s="64" t="s">
        <v>716</v>
      </c>
      <c r="K1451" s="2">
        <v>4981</v>
      </c>
      <c r="L1451" s="2">
        <v>4981</v>
      </c>
      <c r="M1451" s="2">
        <f>K1451-L1451</f>
        <v>0</v>
      </c>
      <c r="N1451" s="2">
        <v>2668.3</v>
      </c>
      <c r="O1451" s="2">
        <v>0</v>
      </c>
      <c r="P1451" s="7">
        <f>grand[[#This Row],[total weight]]/grand[[#This Row],[received]]</f>
        <v>47.894230769230766</v>
      </c>
      <c r="Q1451" s="7">
        <f>grand[[#This Row],[receiving weight]]/grand[[#This Row],[received]]</f>
        <v>47.894230769230766</v>
      </c>
      <c r="R1451" s="7">
        <f>grand[[#This Row],[transportation loss ]]/grand[[#This Row],[received]]</f>
        <v>0</v>
      </c>
      <c r="S1451" s="7">
        <f>grand[[#This Row],[ carcass weight]]/grand[[#This Row],[received]]</f>
        <v>25.656730769230769</v>
      </c>
      <c r="T1451" s="7">
        <f>grand[[#This Row],[ kidneys fat quantity]]/grand[[#This Row],[received]]</f>
        <v>0</v>
      </c>
      <c r="U1451" s="1">
        <v>25</v>
      </c>
      <c r="V1451" s="1">
        <v>0</v>
      </c>
      <c r="W1451" s="1">
        <v>49.067307692307693</v>
      </c>
      <c r="X1451" s="1">
        <v>10</v>
      </c>
      <c r="Y1451" s="1">
        <v>8.5</v>
      </c>
      <c r="Z1451" s="18">
        <f>grand[[#This Row],[av. Transportation loss]]/grand[[#This Row],[av.total weight]]</f>
        <v>0</v>
      </c>
      <c r="AA1451" s="12">
        <f>AVERAGE((grand[[#This Row],[am]]/25),(grand[[#This Row],[pm]]/50))</f>
        <v>0.99067307692307693</v>
      </c>
      <c r="AB1451" s="3">
        <f>grand[[#This Row],[ carcass weight]]/grand[[#This Row],[total weight]]</f>
        <v>0.53569564344509135</v>
      </c>
      <c r="AC1451" s="18">
        <f>SUM(grand[[#This Row],[am]:[meat transportation]])/100</f>
        <v>0.92567307692307699</v>
      </c>
      <c r="AK1451" s="1"/>
      <c r="AL1451" s="1"/>
    </row>
    <row r="1452" spans="1:38" hidden="1" x14ac:dyDescent="0.2">
      <c r="A1452" s="11">
        <v>45808</v>
      </c>
      <c r="B1452" s="53" t="s">
        <v>2229</v>
      </c>
      <c r="C1452" s="52" t="str">
        <f>IF(MID(B1452,4,2)="09","Ramadan",IF(AND(MID(B1452,4,2)="12",VALUE(LEFT(B1452,2))&lt;=9),"Adha Season","Normal"))</f>
        <v>Adha Season</v>
      </c>
      <c r="D1452" s="2" t="s">
        <v>294</v>
      </c>
      <c r="F1452" s="4" t="s">
        <v>656</v>
      </c>
      <c r="G1452" s="1">
        <v>80</v>
      </c>
      <c r="H1452" s="1">
        <v>80</v>
      </c>
      <c r="I1452" s="1">
        <f>grand[[#This Row],[number]]-grand[[#This Row],[received]]</f>
        <v>0</v>
      </c>
      <c r="J1452" s="30"/>
      <c r="K1452" s="2">
        <v>3295</v>
      </c>
      <c r="L1452" s="2">
        <v>3295</v>
      </c>
      <c r="M1452" s="2">
        <f>K1452-L1452</f>
        <v>0</v>
      </c>
      <c r="N1452" s="2">
        <v>1712.4</v>
      </c>
      <c r="O1452" s="2">
        <v>0</v>
      </c>
      <c r="P1452" s="7">
        <f>grand[[#This Row],[total weight]]/grand[[#This Row],[received]]</f>
        <v>41.1875</v>
      </c>
      <c r="Q1452" s="7">
        <f>grand[[#This Row],[receiving weight]]/grand[[#This Row],[received]]</f>
        <v>41.1875</v>
      </c>
      <c r="R1452" s="7">
        <f>grand[[#This Row],[transportation loss ]]/grand[[#This Row],[received]]</f>
        <v>0</v>
      </c>
      <c r="S1452" s="7">
        <f>grand[[#This Row],[ carcass weight]]/grand[[#This Row],[received]]</f>
        <v>21.405000000000001</v>
      </c>
      <c r="T1452" s="7">
        <f>grand[[#This Row],[ kidneys fat quantity]]/grand[[#This Row],[received]]</f>
        <v>0</v>
      </c>
      <c r="U1452" s="1">
        <v>25</v>
      </c>
      <c r="V1452" s="1">
        <v>4</v>
      </c>
      <c r="W1452" s="1">
        <v>49.087500000000006</v>
      </c>
      <c r="X1452" s="1">
        <v>10</v>
      </c>
      <c r="Y1452" s="1">
        <v>8.5</v>
      </c>
      <c r="Z1452" s="18">
        <f>grand[[#This Row],[av. Transportation loss]]/grand[[#This Row],[av.total weight]]</f>
        <v>0</v>
      </c>
      <c r="AA1452" s="12">
        <f>AVERAGE((grand[[#This Row],[am]]/25),(grand[[#This Row],[pm]]/50))</f>
        <v>0.99087500000000006</v>
      </c>
      <c r="AB1452" s="3">
        <f>grand[[#This Row],[ carcass weight]]/grand[[#This Row],[total weight]]</f>
        <v>0.51969650986342941</v>
      </c>
      <c r="AC1452" s="18">
        <f>SUM(grand[[#This Row],[am]:[meat transportation]])/100</f>
        <v>0.96587500000000004</v>
      </c>
      <c r="AK1452" s="1"/>
      <c r="AL1452" s="1"/>
    </row>
    <row r="1453" spans="1:38" hidden="1" x14ac:dyDescent="0.2">
      <c r="A1453" s="11">
        <v>45808</v>
      </c>
      <c r="B1453" s="53" t="s">
        <v>2229</v>
      </c>
      <c r="C1453" s="52" t="str">
        <f>IF(MID(B1453,4,2)="09","Ramadan",IF(AND(MID(B1453,4,2)="12",VALUE(LEFT(B1453,2))&lt;=9),"Adha Season","Normal"))</f>
        <v>Adha Season</v>
      </c>
      <c r="D1453" s="1" t="s">
        <v>45</v>
      </c>
      <c r="E1453" s="1" t="s">
        <v>528</v>
      </c>
      <c r="F1453" s="4" t="s">
        <v>462</v>
      </c>
      <c r="G1453" s="1">
        <v>65</v>
      </c>
      <c r="H1453" s="1">
        <v>65</v>
      </c>
      <c r="I1453" s="1">
        <f>grand[[#This Row],[number]]-grand[[#This Row],[received]]</f>
        <v>0</v>
      </c>
      <c r="J1453" s="30"/>
      <c r="K1453" s="2">
        <v>29085.759493670885</v>
      </c>
      <c r="L1453" s="2">
        <v>29085.759493670885</v>
      </c>
      <c r="M1453" s="2">
        <f>K1453-L1453</f>
        <v>0</v>
      </c>
      <c r="N1453" s="2">
        <v>18382.2</v>
      </c>
      <c r="O1453" s="2">
        <v>0</v>
      </c>
      <c r="P1453" s="7">
        <f>grand[[#This Row],[total weight]]/grand[[#This Row],[received]]</f>
        <v>447.47322297955208</v>
      </c>
      <c r="Q1453" s="7">
        <f>grand[[#This Row],[receiving weight]]/grand[[#This Row],[received]]</f>
        <v>447.47322297955208</v>
      </c>
      <c r="R1453" s="7">
        <f>grand[[#This Row],[transportation loss ]]/grand[[#This Row],[received]]</f>
        <v>0</v>
      </c>
      <c r="S1453" s="7">
        <f>grand[[#This Row],[ carcass weight]]/grand[[#This Row],[received]]</f>
        <v>282.80307692307696</v>
      </c>
      <c r="T1453" s="7">
        <f>grand[[#This Row],[ kidneys fat quantity]]/grand[[#This Row],[received]]</f>
        <v>0</v>
      </c>
      <c r="U1453" s="1">
        <v>24.76923076923077</v>
      </c>
      <c r="V1453" s="1">
        <v>4</v>
      </c>
      <c r="W1453" s="1">
        <v>50</v>
      </c>
      <c r="X1453" s="1">
        <v>10</v>
      </c>
      <c r="Y1453" s="1">
        <v>8.5</v>
      </c>
      <c r="Z1453" s="18">
        <f>grand[[#This Row],[av. Transportation loss]]/grand[[#This Row],[av.total weight]]</f>
        <v>0</v>
      </c>
      <c r="AA1453" s="12">
        <f>AVERAGE((grand[[#This Row],[am]]/25),(grand[[#This Row],[pm]]/50))</f>
        <v>0.99538461538461542</v>
      </c>
      <c r="AB1453" s="3">
        <f>grand[[#This Row],[ carcass weight]]/grand[[#This Row],[total weight]]</f>
        <v>0.63200000000000001</v>
      </c>
      <c r="AC1453" s="18">
        <f>SUM(grand[[#This Row],[am]:[meat transportation]])/100</f>
        <v>0.97269230769230774</v>
      </c>
      <c r="AJ1453" s="1">
        <v>15</v>
      </c>
      <c r="AK1453" s="1"/>
      <c r="AL1453" s="1"/>
    </row>
    <row r="1454" spans="1:38" hidden="1" x14ac:dyDescent="0.2">
      <c r="A1454" s="11">
        <v>45809</v>
      </c>
      <c r="B1454" s="53" t="s">
        <v>2230</v>
      </c>
      <c r="C1454" s="52" t="str">
        <f>IF(MID(B1454,4,2)="09","Ramadan",IF(AND(MID(B1454,4,2)="12",VALUE(LEFT(B1454,2))&lt;=9),"Adha Season","Normal"))</f>
        <v>Adha Season</v>
      </c>
      <c r="D1454" s="1" t="s">
        <v>45</v>
      </c>
      <c r="E1454" s="1" t="s">
        <v>483</v>
      </c>
      <c r="F1454" s="4" t="s">
        <v>576</v>
      </c>
      <c r="G1454" s="1">
        <v>70</v>
      </c>
      <c r="H1454" s="1">
        <v>70</v>
      </c>
      <c r="I1454" s="1">
        <f>grand[[#This Row],[number]]-grand[[#This Row],[received]]</f>
        <v>0</v>
      </c>
      <c r="J1454" s="30"/>
      <c r="K1454" s="2">
        <v>34118</v>
      </c>
      <c r="L1454" s="2">
        <v>34118</v>
      </c>
      <c r="M1454" s="2">
        <f>K1454-L1454</f>
        <v>0</v>
      </c>
      <c r="N1454" s="2">
        <v>21160.7</v>
      </c>
      <c r="O1454" s="2">
        <v>487</v>
      </c>
      <c r="P1454" s="7">
        <f>grand[[#This Row],[total weight]]/grand[[#This Row],[received]]</f>
        <v>487.4</v>
      </c>
      <c r="Q1454" s="7">
        <f>grand[[#This Row],[receiving weight]]/grand[[#This Row],[received]]</f>
        <v>487.4</v>
      </c>
      <c r="R1454" s="7">
        <f>grand[[#This Row],[transportation loss ]]/grand[[#This Row],[received]]</f>
        <v>0</v>
      </c>
      <c r="S1454" s="7">
        <f>grand[[#This Row],[ carcass weight]]/grand[[#This Row],[received]]</f>
        <v>302.29571428571427</v>
      </c>
      <c r="T1454" s="7">
        <f>grand[[#This Row],[ kidneys fat quantity]]/grand[[#This Row],[received]]</f>
        <v>6.9571428571428573</v>
      </c>
      <c r="U1454" s="1">
        <v>24.928571428571431</v>
      </c>
      <c r="V1454" s="1">
        <v>0</v>
      </c>
      <c r="W1454" s="1">
        <v>48.914285714285718</v>
      </c>
      <c r="X1454" s="1">
        <v>10</v>
      </c>
      <c r="Y1454" s="1">
        <v>8.5</v>
      </c>
      <c r="Z1454" s="18">
        <f>grand[[#This Row],[av. Transportation loss]]/grand[[#This Row],[av.total weight]]</f>
        <v>0</v>
      </c>
      <c r="AA1454" s="18">
        <f>AVERAGE((grand[[#This Row],[am]]/25),(grand[[#This Row],[pm]]/50))</f>
        <v>0.98771428571428577</v>
      </c>
      <c r="AB1454" s="3">
        <f>grand[[#This Row],[ carcass weight]]/grand[[#This Row],[total weight]]</f>
        <v>0.62022099771381678</v>
      </c>
      <c r="AC1454" s="18">
        <f>SUM(grand[[#This Row],[am]:[meat transportation]])/100</f>
        <v>0.9234285714285716</v>
      </c>
      <c r="AJ1454" s="1">
        <v>11</v>
      </c>
      <c r="AK1454" s="1"/>
      <c r="AL1454" s="1"/>
    </row>
    <row r="1455" spans="1:38" hidden="1" x14ac:dyDescent="0.2">
      <c r="A1455" s="11">
        <v>45809</v>
      </c>
      <c r="B1455" s="53" t="s">
        <v>2230</v>
      </c>
      <c r="C1455" s="52" t="str">
        <f>IF(MID(B1455,4,2)="09","Ramadan",IF(AND(MID(B1455,4,2)="12",VALUE(LEFT(B1455,2))&lt;=9),"Adha Season","Normal"))</f>
        <v>Adha Season</v>
      </c>
      <c r="D1455" s="2" t="s">
        <v>294</v>
      </c>
      <c r="F1455" s="4" t="s">
        <v>656</v>
      </c>
      <c r="G1455" s="1">
        <v>87</v>
      </c>
      <c r="H1455" s="1">
        <v>86</v>
      </c>
      <c r="I1455" s="1">
        <f>grand[[#This Row],[number]]-grand[[#This Row],[received]]</f>
        <v>1</v>
      </c>
      <c r="J1455" s="64" t="s">
        <v>717</v>
      </c>
      <c r="K1455" s="2">
        <v>3476</v>
      </c>
      <c r="L1455" s="2">
        <v>3476</v>
      </c>
      <c r="M1455" s="2">
        <f>K1455-L1455</f>
        <v>0</v>
      </c>
      <c r="N1455" s="2">
        <v>1776.7</v>
      </c>
      <c r="O1455" s="2">
        <v>0</v>
      </c>
      <c r="P1455" s="7">
        <f>grand[[#This Row],[total weight]]/grand[[#This Row],[received]]</f>
        <v>40.418604651162788</v>
      </c>
      <c r="Q1455" s="7">
        <f>grand[[#This Row],[receiving weight]]/grand[[#This Row],[received]]</f>
        <v>40.418604651162788</v>
      </c>
      <c r="R1455" s="7">
        <f>grand[[#This Row],[transportation loss ]]/grand[[#This Row],[received]]</f>
        <v>0</v>
      </c>
      <c r="S1455" s="7">
        <f>grand[[#This Row],[ carcass weight]]/grand[[#This Row],[received]]</f>
        <v>20.659302325581397</v>
      </c>
      <c r="T1455" s="7">
        <f>grand[[#This Row],[ kidneys fat quantity]]/grand[[#This Row],[received]]</f>
        <v>0</v>
      </c>
      <c r="U1455" s="1">
        <v>25</v>
      </c>
      <c r="V1455" s="1">
        <v>0</v>
      </c>
      <c r="W1455" s="1">
        <v>48.406976744186039</v>
      </c>
      <c r="X1455" s="1">
        <v>10</v>
      </c>
      <c r="Y1455" s="1">
        <v>8.5</v>
      </c>
      <c r="Z1455" s="18">
        <f>grand[[#This Row],[av. Transportation loss]]/grand[[#This Row],[av.total weight]]</f>
        <v>0</v>
      </c>
      <c r="AA1455" s="18">
        <f>AVERAGE((grand[[#This Row],[am]]/25),(grand[[#This Row],[pm]]/50))</f>
        <v>0.98406976744186037</v>
      </c>
      <c r="AB1455" s="3">
        <f>grand[[#This Row],[ carcass weight]]/grand[[#This Row],[total weight]]</f>
        <v>0.51113348676639814</v>
      </c>
      <c r="AC1455" s="18">
        <f>SUM(grand[[#This Row],[am]:[meat transportation]])/100</f>
        <v>0.91906976744186042</v>
      </c>
      <c r="AK1455" s="1"/>
      <c r="AL1455" s="1"/>
    </row>
    <row r="1456" spans="1:38" hidden="1" x14ac:dyDescent="0.2">
      <c r="A1456" s="11">
        <v>45810</v>
      </c>
      <c r="B1456" s="53" t="s">
        <v>2231</v>
      </c>
      <c r="C1456" s="52" t="str">
        <f>IF(MID(B1456,4,2)="09","Ramadan",IF(AND(MID(B1456,4,2)="12",VALUE(LEFT(B1456,2))&lt;=9),"Adha Season","Normal"))</f>
        <v>Adha Season</v>
      </c>
      <c r="D1456" s="2" t="s">
        <v>294</v>
      </c>
      <c r="F1456" s="4" t="s">
        <v>280</v>
      </c>
      <c r="G1456" s="1">
        <v>110</v>
      </c>
      <c r="H1456" s="1">
        <v>110</v>
      </c>
      <c r="I1456" s="1">
        <f>grand[[#This Row],[number]]-grand[[#This Row],[received]]</f>
        <v>0</v>
      </c>
      <c r="J1456" s="30"/>
      <c r="K1456" s="2">
        <v>5305</v>
      </c>
      <c r="L1456" s="2">
        <v>5305</v>
      </c>
      <c r="M1456" s="2">
        <f>K1456-L1456</f>
        <v>0</v>
      </c>
      <c r="N1456" s="2">
        <v>2939</v>
      </c>
      <c r="O1456" s="2">
        <v>0</v>
      </c>
      <c r="P1456" s="7">
        <f>grand[[#This Row],[total weight]]/grand[[#This Row],[received]]</f>
        <v>48.227272727272727</v>
      </c>
      <c r="Q1456" s="7">
        <f>grand[[#This Row],[receiving weight]]/grand[[#This Row],[received]]</f>
        <v>48.227272727272727</v>
      </c>
      <c r="R1456" s="7">
        <f>grand[[#This Row],[transportation loss ]]/grand[[#This Row],[received]]</f>
        <v>0</v>
      </c>
      <c r="S1456" s="7">
        <f>grand[[#This Row],[ carcass weight]]/grand[[#This Row],[received]]</f>
        <v>26.718181818181819</v>
      </c>
      <c r="T1456" s="7">
        <f>grand[[#This Row],[ kidneys fat quantity]]/grand[[#This Row],[received]]</f>
        <v>0</v>
      </c>
      <c r="U1456" s="1">
        <v>25</v>
      </c>
      <c r="V1456" s="1">
        <v>0</v>
      </c>
      <c r="W1456" s="1">
        <v>47.963636363636361</v>
      </c>
      <c r="X1456" s="1">
        <v>10</v>
      </c>
      <c r="Y1456" s="1">
        <v>8.5</v>
      </c>
      <c r="Z1456" s="18">
        <f>grand[[#This Row],[av. Transportation loss]]/grand[[#This Row],[av.total weight]]</f>
        <v>0</v>
      </c>
      <c r="AA1456" s="18">
        <f>AVERAGE((grand[[#This Row],[am]]/25),(grand[[#This Row],[pm]]/50))</f>
        <v>0.97963636363636364</v>
      </c>
      <c r="AB1456" s="3">
        <f>grand[[#This Row],[ carcass weight]]/grand[[#This Row],[total weight]]</f>
        <v>0.55400565504241284</v>
      </c>
      <c r="AC1456" s="18">
        <f>SUM(grand[[#This Row],[am]:[meat transportation]])/100</f>
        <v>0.91463636363636369</v>
      </c>
      <c r="AK1456" s="1"/>
      <c r="AL1456" s="1"/>
    </row>
    <row r="1457" spans="1:38" hidden="1" x14ac:dyDescent="0.2">
      <c r="A1457" s="11">
        <v>45810</v>
      </c>
      <c r="B1457" s="53" t="s">
        <v>2231</v>
      </c>
      <c r="C1457" s="52" t="str">
        <f>IF(MID(B1457,4,2)="09","Ramadan",IF(AND(MID(B1457,4,2)="12",VALUE(LEFT(B1457,2))&lt;=9),"Adha Season","Normal"))</f>
        <v>Adha Season</v>
      </c>
      <c r="D1457" s="1" t="s">
        <v>45</v>
      </c>
      <c r="E1457" s="1" t="s">
        <v>483</v>
      </c>
      <c r="F1457" s="4" t="s">
        <v>576</v>
      </c>
      <c r="G1457" s="1">
        <v>80</v>
      </c>
      <c r="H1457" s="1">
        <v>80</v>
      </c>
      <c r="I1457" s="1">
        <f>grand[[#This Row],[number]]-grand[[#This Row],[received]]</f>
        <v>0</v>
      </c>
      <c r="J1457" s="30"/>
      <c r="K1457" s="2">
        <v>33861</v>
      </c>
      <c r="L1457" s="2">
        <v>33861</v>
      </c>
      <c r="M1457" s="2">
        <f>K1457-L1457</f>
        <v>0</v>
      </c>
      <c r="N1457" s="2">
        <v>20672.5</v>
      </c>
      <c r="O1457" s="2">
        <v>510</v>
      </c>
      <c r="P1457" s="7">
        <f>grand[[#This Row],[total weight]]/grand[[#This Row],[received]]</f>
        <v>423.26249999999999</v>
      </c>
      <c r="Q1457" s="7">
        <f>grand[[#This Row],[receiving weight]]/grand[[#This Row],[received]]</f>
        <v>423.26249999999999</v>
      </c>
      <c r="R1457" s="7">
        <f>grand[[#This Row],[transportation loss ]]/grand[[#This Row],[received]]</f>
        <v>0</v>
      </c>
      <c r="S1457" s="7">
        <f>grand[[#This Row],[ carcass weight]]/grand[[#This Row],[received]]</f>
        <v>258.40625</v>
      </c>
      <c r="T1457" s="7">
        <f>grand[[#This Row],[ kidneys fat quantity]]/grand[[#This Row],[received]]</f>
        <v>6.375</v>
      </c>
      <c r="U1457" s="1">
        <v>24.875</v>
      </c>
      <c r="V1457" s="1">
        <v>0</v>
      </c>
      <c r="W1457" s="1">
        <v>47.375</v>
      </c>
      <c r="X1457" s="1">
        <v>9.9375</v>
      </c>
      <c r="Y1457" s="1">
        <v>8.5</v>
      </c>
      <c r="Z1457" s="18">
        <f>grand[[#This Row],[av. Transportation loss]]/grand[[#This Row],[av.total weight]]</f>
        <v>0</v>
      </c>
      <c r="AA1457" s="18">
        <f>AVERAGE((grand[[#This Row],[am]]/25),(grand[[#This Row],[pm]]/50))</f>
        <v>0.97124999999999995</v>
      </c>
      <c r="AB1457" s="3">
        <f>grand[[#This Row],[ carcass weight]]/grand[[#This Row],[total weight]]</f>
        <v>0.61051061693393582</v>
      </c>
      <c r="AC1457" s="18">
        <f>SUM(grand[[#This Row],[am]:[meat transportation]])/100</f>
        <v>0.90687499999999999</v>
      </c>
      <c r="AJ1457" s="1">
        <v>11</v>
      </c>
      <c r="AK1457" s="1"/>
      <c r="AL1457" s="1"/>
    </row>
    <row r="1458" spans="1:38" hidden="1" x14ac:dyDescent="0.2">
      <c r="A1458" s="11">
        <v>45811</v>
      </c>
      <c r="B1458" s="53" t="s">
        <v>2232</v>
      </c>
      <c r="C1458" s="52" t="str">
        <f>IF(MID(B1458,4,2)="09","Ramadan",IF(AND(MID(B1458,4,2)="12",VALUE(LEFT(B1458,2))&lt;=9),"Adha Season","Normal"))</f>
        <v>Adha Season</v>
      </c>
      <c r="D1458" s="2" t="s">
        <v>294</v>
      </c>
      <c r="F1458" s="4" t="s">
        <v>280</v>
      </c>
      <c r="G1458" s="1">
        <v>170</v>
      </c>
      <c r="H1458" s="1">
        <v>170</v>
      </c>
      <c r="I1458" s="1">
        <f>grand[[#This Row],[number]]-grand[[#This Row],[received]]</f>
        <v>0</v>
      </c>
      <c r="J1458" s="30"/>
      <c r="K1458" s="2">
        <v>8380</v>
      </c>
      <c r="L1458" s="2">
        <v>8380</v>
      </c>
      <c r="M1458" s="2">
        <f>K1458-L1458</f>
        <v>0</v>
      </c>
      <c r="N1458" s="2">
        <v>4525.8</v>
      </c>
      <c r="O1458" s="2">
        <v>0</v>
      </c>
      <c r="P1458" s="7">
        <f>grand[[#This Row],[total weight]]/grand[[#This Row],[received]]</f>
        <v>49.294117647058826</v>
      </c>
      <c r="Q1458" s="7">
        <f>grand[[#This Row],[receiving weight]]/grand[[#This Row],[received]]</f>
        <v>49.294117647058826</v>
      </c>
      <c r="R1458" s="7">
        <f>grand[[#This Row],[transportation loss ]]/grand[[#This Row],[received]]</f>
        <v>0</v>
      </c>
      <c r="S1458" s="7">
        <f>grand[[#This Row],[ carcass weight]]/grand[[#This Row],[received]]</f>
        <v>26.622352941176473</v>
      </c>
      <c r="T1458" s="7">
        <f>grand[[#This Row],[ kidneys fat quantity]]/grand[[#This Row],[received]]</f>
        <v>0</v>
      </c>
      <c r="U1458" s="1">
        <v>25</v>
      </c>
      <c r="V1458" s="1">
        <v>0</v>
      </c>
      <c r="W1458" s="1">
        <v>47.847058823529409</v>
      </c>
      <c r="X1458" s="1">
        <v>10</v>
      </c>
      <c r="Y1458" s="1">
        <v>8.5</v>
      </c>
      <c r="Z1458" s="18">
        <f>grand[[#This Row],[av. Transportation loss]]/grand[[#This Row],[av.total weight]]</f>
        <v>0</v>
      </c>
      <c r="AA1458" s="18">
        <f>AVERAGE((grand[[#This Row],[am]]/25),(grand[[#This Row],[pm]]/50))</f>
        <v>0.97847058823529409</v>
      </c>
      <c r="AB1458" s="3">
        <f>grand[[#This Row],[ carcass weight]]/grand[[#This Row],[total weight]]</f>
        <v>0.54007159904534607</v>
      </c>
      <c r="AC1458" s="18">
        <f>SUM(grand[[#This Row],[am]:[meat transportation]])/100</f>
        <v>0.91347058823529403</v>
      </c>
      <c r="AK1458" s="1"/>
      <c r="AL1458" s="1"/>
    </row>
    <row r="1459" spans="1:38" hidden="1" x14ac:dyDescent="0.2">
      <c r="A1459" s="11">
        <v>45811</v>
      </c>
      <c r="B1459" s="53" t="s">
        <v>2232</v>
      </c>
      <c r="C1459" s="52" t="str">
        <f>IF(MID(B1459,4,2)="09","Ramadan",IF(AND(MID(B1459,4,2)="12",VALUE(LEFT(B1459,2))&lt;=9),"Adha Season","Normal"))</f>
        <v>Adha Season</v>
      </c>
      <c r="D1459" s="1" t="s">
        <v>45</v>
      </c>
      <c r="E1459" s="1" t="s">
        <v>483</v>
      </c>
      <c r="F1459" s="4" t="s">
        <v>46</v>
      </c>
      <c r="G1459" s="1">
        <v>100</v>
      </c>
      <c r="H1459" s="1">
        <v>99</v>
      </c>
      <c r="I1459" s="1">
        <f>grand[[#This Row],[number]]-grand[[#This Row],[received]]</f>
        <v>1</v>
      </c>
      <c r="J1459" s="64" t="s">
        <v>718</v>
      </c>
      <c r="K1459" s="2">
        <v>44570</v>
      </c>
      <c r="L1459" s="2">
        <v>44570</v>
      </c>
      <c r="M1459" s="2">
        <f>K1459-L1459</f>
        <v>0</v>
      </c>
      <c r="N1459" s="2">
        <v>26742.400000000001</v>
      </c>
      <c r="O1459" s="2">
        <v>871</v>
      </c>
      <c r="P1459" s="7">
        <f>grand[[#This Row],[total weight]]/grand[[#This Row],[received]]</f>
        <v>450.20202020202021</v>
      </c>
      <c r="Q1459" s="7">
        <f>grand[[#This Row],[receiving weight]]/grand[[#This Row],[received]]</f>
        <v>450.20202020202021</v>
      </c>
      <c r="R1459" s="7">
        <f>grand[[#This Row],[transportation loss ]]/grand[[#This Row],[received]]</f>
        <v>0</v>
      </c>
      <c r="S1459" s="7">
        <f>grand[[#This Row],[ carcass weight]]/grand[[#This Row],[received]]</f>
        <v>270.12525252525256</v>
      </c>
      <c r="T1459" s="7">
        <f>grand[[#This Row],[ kidneys fat quantity]]/grand[[#This Row],[received]]</f>
        <v>8.7979797979797976</v>
      </c>
      <c r="U1459" s="1">
        <v>25</v>
      </c>
      <c r="V1459" s="1">
        <v>0</v>
      </c>
      <c r="W1459" s="1">
        <v>49.737373737373737</v>
      </c>
      <c r="X1459" s="1">
        <v>10</v>
      </c>
      <c r="Y1459" s="1">
        <v>8.5</v>
      </c>
      <c r="Z1459" s="18">
        <f>grand[[#This Row],[av. Transportation loss]]/grand[[#This Row],[av.total weight]]</f>
        <v>0</v>
      </c>
      <c r="AA1459" s="18">
        <f>AVERAGE((grand[[#This Row],[am]]/25),(grand[[#This Row],[pm]]/50))</f>
        <v>0.99737373737373736</v>
      </c>
      <c r="AB1459" s="3">
        <f>grand[[#This Row],[ carcass weight]]/grand[[#This Row],[total weight]]</f>
        <v>0.60000897464662328</v>
      </c>
      <c r="AC1459" s="18">
        <f>SUM(grand[[#This Row],[am]:[meat transportation]])/100</f>
        <v>0.9323737373737373</v>
      </c>
      <c r="AJ1459" s="1">
        <v>25</v>
      </c>
      <c r="AK1459" s="1"/>
      <c r="AL1459" s="1"/>
    </row>
    <row r="1460" spans="1:38" hidden="1" x14ac:dyDescent="0.2">
      <c r="A1460" s="11">
        <v>45812</v>
      </c>
      <c r="B1460" s="53" t="s">
        <v>2233</v>
      </c>
      <c r="C1460" s="52" t="str">
        <f>IF(MID(B1460,4,2)="09","Ramadan",IF(AND(MID(B1460,4,2)="12",VALUE(LEFT(B1460,2))&lt;=9),"Adha Season","Normal"))</f>
        <v>Adha Season</v>
      </c>
      <c r="D1460" s="2" t="s">
        <v>294</v>
      </c>
      <c r="F1460" s="4" t="s">
        <v>280</v>
      </c>
      <c r="G1460" s="1">
        <v>143</v>
      </c>
      <c r="H1460" s="1">
        <v>143</v>
      </c>
      <c r="I1460" s="1">
        <f>grand[[#This Row],[number]]-grand[[#This Row],[received]]</f>
        <v>0</v>
      </c>
      <c r="J1460" s="30"/>
      <c r="K1460" s="2">
        <v>7045</v>
      </c>
      <c r="L1460" s="2">
        <v>7045</v>
      </c>
      <c r="M1460" s="2">
        <f>K1460-L1460</f>
        <v>0</v>
      </c>
      <c r="N1460" s="2">
        <v>3869.5</v>
      </c>
      <c r="O1460" s="2">
        <v>0</v>
      </c>
      <c r="P1460" s="7">
        <f>grand[[#This Row],[total weight]]/grand[[#This Row],[received]]</f>
        <v>49.265734265734267</v>
      </c>
      <c r="Q1460" s="7">
        <f>grand[[#This Row],[receiving weight]]/grand[[#This Row],[received]]</f>
        <v>49.265734265734267</v>
      </c>
      <c r="R1460" s="7">
        <f>grand[[#This Row],[transportation loss ]]/grand[[#This Row],[received]]</f>
        <v>0</v>
      </c>
      <c r="S1460" s="7">
        <f>grand[[#This Row],[ carcass weight]]/grand[[#This Row],[received]]</f>
        <v>27.05944055944056</v>
      </c>
      <c r="T1460" s="7">
        <f>grand[[#This Row],[ kidneys fat quantity]]/grand[[#This Row],[received]]</f>
        <v>0</v>
      </c>
      <c r="U1460" s="1">
        <v>25</v>
      </c>
      <c r="V1460" s="1">
        <v>0</v>
      </c>
      <c r="W1460" s="1">
        <v>48.867132867132867</v>
      </c>
      <c r="X1460" s="1">
        <v>10</v>
      </c>
      <c r="Y1460" s="1">
        <v>8.5</v>
      </c>
      <c r="Z1460" s="18">
        <f>grand[[#This Row],[av. Transportation loss]]/grand[[#This Row],[av.total weight]]</f>
        <v>0</v>
      </c>
      <c r="AA1460" s="18">
        <f>AVERAGE((grand[[#This Row],[am]]/25),(grand[[#This Row],[pm]]/50))</f>
        <v>0.98867132867132868</v>
      </c>
      <c r="AB1460" s="3">
        <f>grand[[#This Row],[ carcass weight]]/grand[[#This Row],[total weight]]</f>
        <v>0.54925479063165361</v>
      </c>
      <c r="AC1460" s="18">
        <f>SUM(grand[[#This Row],[am]:[meat transportation]])/100</f>
        <v>0.92367132867132862</v>
      </c>
      <c r="AK1460" s="1"/>
      <c r="AL1460" s="1"/>
    </row>
    <row r="1461" spans="1:38" hidden="1" x14ac:dyDescent="0.2">
      <c r="A1461" s="11">
        <v>45812</v>
      </c>
      <c r="B1461" s="53" t="s">
        <v>2233</v>
      </c>
      <c r="C1461" s="52" t="str">
        <f>IF(MID(B1461,4,2)="09","Ramadan",IF(AND(MID(B1461,4,2)="12",VALUE(LEFT(B1461,2))&lt;=9),"Adha Season","Normal"))</f>
        <v>Adha Season</v>
      </c>
      <c r="D1461" s="1" t="s">
        <v>45</v>
      </c>
      <c r="E1461" s="1" t="s">
        <v>483</v>
      </c>
      <c r="F1461" s="4" t="s">
        <v>46</v>
      </c>
      <c r="G1461" s="1">
        <v>106</v>
      </c>
      <c r="H1461" s="1">
        <v>104</v>
      </c>
      <c r="I1461" s="1">
        <f>grand[[#This Row],[number]]-grand[[#This Row],[received]]</f>
        <v>2</v>
      </c>
      <c r="J1461" s="64" t="s">
        <v>719</v>
      </c>
      <c r="K1461" s="2">
        <v>44990</v>
      </c>
      <c r="L1461" s="2">
        <v>44990</v>
      </c>
      <c r="M1461" s="2">
        <f>K1461-L1461</f>
        <v>0</v>
      </c>
      <c r="N1461" s="2">
        <v>26994.400000000001</v>
      </c>
      <c r="O1461" s="2">
        <v>0</v>
      </c>
      <c r="P1461" s="7">
        <f>grand[[#This Row],[total weight]]/grand[[#This Row],[received]]</f>
        <v>432.59615384615387</v>
      </c>
      <c r="Q1461" s="7">
        <f>grand[[#This Row],[receiving weight]]/grand[[#This Row],[received]]</f>
        <v>432.59615384615387</v>
      </c>
      <c r="R1461" s="7">
        <f>grand[[#This Row],[transportation loss ]]/grand[[#This Row],[received]]</f>
        <v>0</v>
      </c>
      <c r="S1461" s="7">
        <f>grand[[#This Row],[ carcass weight]]/grand[[#This Row],[received]]</f>
        <v>259.56153846153848</v>
      </c>
      <c r="T1461" s="7">
        <f>grand[[#This Row],[ kidneys fat quantity]]/grand[[#This Row],[received]]</f>
        <v>0</v>
      </c>
      <c r="U1461" s="1">
        <v>24.85576923076923</v>
      </c>
      <c r="V1461" s="1">
        <v>0</v>
      </c>
      <c r="W1461" s="1">
        <v>49.769230769230766</v>
      </c>
      <c r="X1461" s="1">
        <v>10</v>
      </c>
      <c r="Y1461" s="1">
        <v>8.5</v>
      </c>
      <c r="Z1461" s="18">
        <f>grand[[#This Row],[av. Transportation loss]]/grand[[#This Row],[av.total weight]]</f>
        <v>0</v>
      </c>
      <c r="AA1461" s="18">
        <f>AVERAGE((grand[[#This Row],[am]]/25),(grand[[#This Row],[pm]]/50))</f>
        <v>0.99480769230769228</v>
      </c>
      <c r="AB1461" s="3">
        <f>grand[[#This Row],[ carcass weight]]/grand[[#This Row],[total weight]]</f>
        <v>0.6000088908646366</v>
      </c>
      <c r="AC1461" s="18">
        <f>SUM(grand[[#This Row],[am]:[meat transportation]])/100</f>
        <v>0.93125000000000002</v>
      </c>
      <c r="AJ1461" s="1">
        <v>15</v>
      </c>
      <c r="AK1461" s="1"/>
      <c r="AL1461" s="1"/>
    </row>
    <row r="1462" spans="1:38" hidden="1" x14ac:dyDescent="0.2">
      <c r="A1462" s="11">
        <v>45817</v>
      </c>
      <c r="B1462" s="53" t="s">
        <v>2234</v>
      </c>
      <c r="C1462" s="52" t="str">
        <f>IF(MID(B1462,4,2)="09","Ramadan",IF(AND(MID(B1462,4,2)="12",VALUE(LEFT(B1462,2))&lt;=9),"Adha Season","Normal"))</f>
        <v>Normal</v>
      </c>
      <c r="D1462" s="1" t="s">
        <v>45</v>
      </c>
      <c r="E1462" s="1" t="s">
        <v>528</v>
      </c>
      <c r="F1462" s="4" t="s">
        <v>462</v>
      </c>
      <c r="G1462" s="1">
        <v>80</v>
      </c>
      <c r="H1462" s="1">
        <v>80</v>
      </c>
      <c r="I1462" s="1">
        <f>grand[[#This Row],[number]]-grand[[#This Row],[received]]</f>
        <v>0</v>
      </c>
      <c r="J1462" s="30"/>
      <c r="K1462" s="2">
        <v>35776.265822784808</v>
      </c>
      <c r="L1462" s="2">
        <v>35776.265822784808</v>
      </c>
      <c r="M1462" s="2">
        <f>K1462-L1462</f>
        <v>0</v>
      </c>
      <c r="N1462" s="2">
        <v>22610.6</v>
      </c>
      <c r="O1462" s="2">
        <v>0</v>
      </c>
      <c r="P1462" s="7">
        <f>grand[[#This Row],[total weight]]/grand[[#This Row],[received]]</f>
        <v>447.2033227848101</v>
      </c>
      <c r="Q1462" s="7">
        <f>grand[[#This Row],[receiving weight]]/grand[[#This Row],[received]]</f>
        <v>447.2033227848101</v>
      </c>
      <c r="R1462" s="7">
        <f>grand[[#This Row],[transportation loss ]]/grand[[#This Row],[received]]</f>
        <v>0</v>
      </c>
      <c r="S1462" s="7">
        <f>grand[[#This Row],[ carcass weight]]/grand[[#This Row],[received]]</f>
        <v>282.63249999999999</v>
      </c>
      <c r="T1462" s="7">
        <f>grand[[#This Row],[ kidneys fat quantity]]/grand[[#This Row],[received]]</f>
        <v>0</v>
      </c>
      <c r="U1462" s="1">
        <v>24.9375</v>
      </c>
      <c r="V1462" s="1">
        <v>4</v>
      </c>
      <c r="W1462" s="1">
        <v>50</v>
      </c>
      <c r="X1462" s="1">
        <v>9.8125</v>
      </c>
      <c r="Y1462" s="1">
        <v>8.5</v>
      </c>
      <c r="Z1462" s="18">
        <f>grand[[#This Row],[av. Transportation loss]]/grand[[#This Row],[av.total weight]]</f>
        <v>0</v>
      </c>
      <c r="AA1462" s="18">
        <f>AVERAGE((grand[[#This Row],[am]]/25),(grand[[#This Row],[pm]]/50))</f>
        <v>0.99875000000000003</v>
      </c>
      <c r="AB1462" s="3">
        <f>grand[[#This Row],[ carcass weight]]/grand[[#This Row],[total weight]]</f>
        <v>0.63200000000000001</v>
      </c>
      <c r="AC1462" s="18">
        <f>SUM(grand[[#This Row],[am]:[meat transportation]])/100</f>
        <v>0.97250000000000003</v>
      </c>
      <c r="AJ1462" s="1">
        <v>21</v>
      </c>
      <c r="AK1462" s="1"/>
      <c r="AL1462" s="1"/>
    </row>
    <row r="1463" spans="1:38" hidden="1" x14ac:dyDescent="0.2">
      <c r="A1463" s="11">
        <v>45819</v>
      </c>
      <c r="B1463" s="53" t="s">
        <v>2235</v>
      </c>
      <c r="C1463" s="52" t="str">
        <f>IF(MID(B1463,4,2)="09","Ramadan",IF(AND(MID(B1463,4,2)="12",VALUE(LEFT(B1463,2))&lt;=9),"Adha Season","Normal"))</f>
        <v>Normal</v>
      </c>
      <c r="D1463" s="1" t="s">
        <v>45</v>
      </c>
      <c r="E1463" s="1" t="s">
        <v>528</v>
      </c>
      <c r="F1463" s="4" t="s">
        <v>462</v>
      </c>
      <c r="G1463" s="1">
        <v>84</v>
      </c>
      <c r="H1463" s="1">
        <v>83</v>
      </c>
      <c r="I1463" s="1">
        <f>grand[[#This Row],[number]]-grand[[#This Row],[received]]</f>
        <v>1</v>
      </c>
      <c r="J1463" s="64" t="s">
        <v>720</v>
      </c>
      <c r="K1463" s="2">
        <v>38463.924050632908</v>
      </c>
      <c r="L1463" s="2">
        <v>38463.924050632908</v>
      </c>
      <c r="M1463" s="2">
        <f>K1463-L1463</f>
        <v>0</v>
      </c>
      <c r="N1463" s="2">
        <v>24309.200000000001</v>
      </c>
      <c r="O1463" s="2">
        <v>0</v>
      </c>
      <c r="P1463" s="7">
        <f>grand[[#This Row],[total weight]]/grand[[#This Row],[received]]</f>
        <v>463.42077169437238</v>
      </c>
      <c r="Q1463" s="7">
        <f>grand[[#This Row],[receiving weight]]/grand[[#This Row],[received]]</f>
        <v>463.42077169437238</v>
      </c>
      <c r="R1463" s="7">
        <f>grand[[#This Row],[transportation loss ]]/grand[[#This Row],[received]]</f>
        <v>0</v>
      </c>
      <c r="S1463" s="7">
        <f>grand[[#This Row],[ carcass weight]]/grand[[#This Row],[received]]</f>
        <v>292.8819277108434</v>
      </c>
      <c r="T1463" s="7">
        <f>grand[[#This Row],[ kidneys fat quantity]]/grand[[#This Row],[received]]</f>
        <v>0</v>
      </c>
      <c r="U1463" s="1">
        <v>25</v>
      </c>
      <c r="V1463" s="1">
        <v>4</v>
      </c>
      <c r="W1463" s="1">
        <v>50</v>
      </c>
      <c r="X1463" s="1">
        <v>10</v>
      </c>
      <c r="Y1463" s="1">
        <v>8.5</v>
      </c>
      <c r="Z1463" s="18">
        <f>grand[[#This Row],[av. Transportation loss]]/grand[[#This Row],[av.total weight]]</f>
        <v>0</v>
      </c>
      <c r="AA1463" s="18">
        <f>AVERAGE((grand[[#This Row],[am]]/25),(grand[[#This Row],[pm]]/50))</f>
        <v>1</v>
      </c>
      <c r="AB1463" s="3">
        <f>grand[[#This Row],[ carcass weight]]/grand[[#This Row],[total weight]]</f>
        <v>0.63200000000000012</v>
      </c>
      <c r="AC1463" s="18">
        <f>SUM(grand[[#This Row],[am]:[meat transportation]])/100</f>
        <v>0.97499999999999998</v>
      </c>
      <c r="AK1463" s="1"/>
      <c r="AL1463" s="1"/>
    </row>
    <row r="1464" spans="1:38" hidden="1" x14ac:dyDescent="0.2">
      <c r="A1464" s="11">
        <v>45820</v>
      </c>
      <c r="B1464" s="53" t="s">
        <v>2236</v>
      </c>
      <c r="C1464" s="52" t="str">
        <f>IF(MID(B1464,4,2)="09","Ramadan",IF(AND(MID(B1464,4,2)="12",VALUE(LEFT(B1464,2))&lt;=9),"Adha Season","Normal"))</f>
        <v>Normal</v>
      </c>
      <c r="D1464" s="2" t="s">
        <v>294</v>
      </c>
      <c r="F1464" s="4" t="s">
        <v>656</v>
      </c>
      <c r="G1464" s="1">
        <v>55</v>
      </c>
      <c r="H1464" s="1">
        <v>55</v>
      </c>
      <c r="I1464" s="1">
        <f>grand[[#This Row],[number]]-grand[[#This Row],[received]]</f>
        <v>0</v>
      </c>
      <c r="J1464" s="30"/>
      <c r="K1464" s="2">
        <v>2178</v>
      </c>
      <c r="L1464" s="2">
        <v>2178</v>
      </c>
      <c r="M1464" s="2">
        <f>K1464-L1464</f>
        <v>0</v>
      </c>
      <c r="N1464" s="2">
        <v>1089.2</v>
      </c>
      <c r="O1464" s="2">
        <v>0</v>
      </c>
      <c r="P1464" s="7">
        <f>grand[[#This Row],[total weight]]/grand[[#This Row],[received]]</f>
        <v>39.6</v>
      </c>
      <c r="Q1464" s="7">
        <f>grand[[#This Row],[receiving weight]]/grand[[#This Row],[received]]</f>
        <v>39.6</v>
      </c>
      <c r="R1464" s="7">
        <f>grand[[#This Row],[transportation loss ]]/grand[[#This Row],[received]]</f>
        <v>0</v>
      </c>
      <c r="S1464" s="7">
        <f>grand[[#This Row],[ carcass weight]]/grand[[#This Row],[received]]</f>
        <v>19.803636363636365</v>
      </c>
      <c r="T1464" s="7">
        <f>grand[[#This Row],[ kidneys fat quantity]]/grand[[#This Row],[received]]</f>
        <v>0</v>
      </c>
      <c r="U1464" s="1">
        <v>25</v>
      </c>
      <c r="V1464" s="1">
        <v>0</v>
      </c>
      <c r="W1464" s="1">
        <v>45.272727272727273</v>
      </c>
      <c r="X1464" s="1">
        <v>10</v>
      </c>
      <c r="Y1464" s="1">
        <v>8.5</v>
      </c>
      <c r="Z1464" s="18">
        <f>grand[[#This Row],[av. Transportation loss]]/grand[[#This Row],[av.total weight]]</f>
        <v>0</v>
      </c>
      <c r="AA1464" s="18">
        <f>AVERAGE((grand[[#This Row],[am]]/25),(grand[[#This Row],[pm]]/50))</f>
        <v>0.95272727272727276</v>
      </c>
      <c r="AB1464" s="3">
        <f>grand[[#This Row],[ carcass weight]]/grand[[#This Row],[total weight]]</f>
        <v>0.50009182736455471</v>
      </c>
      <c r="AC1464" s="18">
        <f>SUM(grand[[#This Row],[am]:[meat transportation]])/100</f>
        <v>0.88772727272727281</v>
      </c>
      <c r="AK1464" s="1"/>
      <c r="AL1464" s="1"/>
    </row>
    <row r="1465" spans="1:38" hidden="1" x14ac:dyDescent="0.2">
      <c r="A1465" s="11">
        <v>45820</v>
      </c>
      <c r="B1465" s="53" t="s">
        <v>2236</v>
      </c>
      <c r="C1465" s="52" t="str">
        <f>IF(MID(B1465,4,2)="09","Ramadan",IF(AND(MID(B1465,4,2)="12",VALUE(LEFT(B1465,2))&lt;=9),"Adha Season","Normal"))</f>
        <v>Normal</v>
      </c>
      <c r="D1465" s="1" t="s">
        <v>45</v>
      </c>
      <c r="E1465" s="1" t="s">
        <v>483</v>
      </c>
      <c r="F1465" s="4" t="s">
        <v>959</v>
      </c>
      <c r="G1465" s="1">
        <v>1</v>
      </c>
      <c r="H1465" s="1">
        <v>1</v>
      </c>
      <c r="I1465" s="1">
        <f>grand[[#This Row],[number]]-grand[[#This Row],[received]]</f>
        <v>0</v>
      </c>
      <c r="J1465" s="30"/>
      <c r="K1465" s="2">
        <v>476</v>
      </c>
      <c r="L1465" s="2">
        <v>476</v>
      </c>
      <c r="M1465" s="2">
        <f>K1465-L1465</f>
        <v>0</v>
      </c>
      <c r="N1465" s="2">
        <v>305.2</v>
      </c>
      <c r="O1465" s="2">
        <v>0</v>
      </c>
      <c r="P1465" s="7">
        <f>grand[[#This Row],[total weight]]/grand[[#This Row],[received]]</f>
        <v>476</v>
      </c>
      <c r="Q1465" s="7">
        <f>grand[[#This Row],[receiving weight]]/grand[[#This Row],[received]]</f>
        <v>476</v>
      </c>
      <c r="R1465" s="7">
        <f>grand[[#This Row],[transportation loss ]]/grand[[#This Row],[received]]</f>
        <v>0</v>
      </c>
      <c r="S1465" s="7">
        <f>grand[[#This Row],[ carcass weight]]/grand[[#This Row],[received]]</f>
        <v>305.2</v>
      </c>
      <c r="T1465" s="7">
        <f>grand[[#This Row],[ kidneys fat quantity]]/grand[[#This Row],[received]]</f>
        <v>0</v>
      </c>
      <c r="U1465" s="1">
        <v>24.85576923076923</v>
      </c>
      <c r="V1465" s="1">
        <v>0</v>
      </c>
      <c r="W1465" s="1">
        <v>49.769230769230766</v>
      </c>
      <c r="X1465" s="1">
        <v>10</v>
      </c>
      <c r="Y1465" s="1">
        <v>8.5</v>
      </c>
      <c r="Z1465" s="18">
        <f>grand[[#This Row],[av. Transportation loss]]/grand[[#This Row],[av.total weight]]</f>
        <v>0</v>
      </c>
      <c r="AA1465" s="18">
        <f>AVERAGE((grand[[#This Row],[am]]/25),(grand[[#This Row],[pm]]/50))</f>
        <v>0.99480769230769228</v>
      </c>
      <c r="AB1465" s="3">
        <f>grand[[#This Row],[ carcass weight]]/grand[[#This Row],[total weight]]</f>
        <v>0.64117647058823524</v>
      </c>
      <c r="AC1465" s="18">
        <f>SUM(grand[[#This Row],[am]:[meat transportation]])/100</f>
        <v>0.93125000000000002</v>
      </c>
      <c r="AK1465" s="1"/>
      <c r="AL1465" s="1"/>
    </row>
    <row r="1466" spans="1:38" hidden="1" x14ac:dyDescent="0.2">
      <c r="A1466" s="11">
        <v>45822</v>
      </c>
      <c r="B1466" s="53" t="s">
        <v>2237</v>
      </c>
      <c r="C1466" s="52" t="str">
        <f>IF(MID(B1466,4,2)="09","Ramadan",IF(AND(MID(B1466,4,2)="12",VALUE(LEFT(B1466,2))&lt;=9),"Adha Season","Normal"))</f>
        <v>Normal</v>
      </c>
      <c r="D1466" s="2" t="s">
        <v>294</v>
      </c>
      <c r="F1466" s="4" t="s">
        <v>656</v>
      </c>
      <c r="G1466" s="1">
        <v>51</v>
      </c>
      <c r="H1466" s="1">
        <v>51</v>
      </c>
      <c r="I1466" s="1">
        <f>grand[[#This Row],[number]]-grand[[#This Row],[received]]</f>
        <v>0</v>
      </c>
      <c r="J1466" s="30"/>
      <c r="K1466" s="2">
        <v>1972</v>
      </c>
      <c r="L1466" s="2">
        <v>1972</v>
      </c>
      <c r="M1466" s="2">
        <f>K1466-L1466</f>
        <v>0</v>
      </c>
      <c r="N1466" s="2">
        <v>981.7</v>
      </c>
      <c r="O1466" s="2">
        <v>0</v>
      </c>
      <c r="P1466" s="7">
        <f>grand[[#This Row],[total weight]]/grand[[#This Row],[received]]</f>
        <v>38.666666666666664</v>
      </c>
      <c r="Q1466" s="7">
        <f>grand[[#This Row],[receiving weight]]/grand[[#This Row],[received]]</f>
        <v>38.666666666666664</v>
      </c>
      <c r="R1466" s="7">
        <f>grand[[#This Row],[transportation loss ]]/grand[[#This Row],[received]]</f>
        <v>0</v>
      </c>
      <c r="S1466" s="7">
        <f>grand[[#This Row],[ carcass weight]]/grand[[#This Row],[received]]</f>
        <v>19.249019607843138</v>
      </c>
      <c r="T1466" s="7">
        <f>grand[[#This Row],[ kidneys fat quantity]]/grand[[#This Row],[received]]</f>
        <v>0</v>
      </c>
      <c r="U1466" s="1">
        <v>25</v>
      </c>
      <c r="V1466" s="1">
        <v>0</v>
      </c>
      <c r="W1466" s="1">
        <v>47.588235294117652</v>
      </c>
      <c r="X1466" s="1">
        <v>10</v>
      </c>
      <c r="Y1466" s="1">
        <v>8.5</v>
      </c>
      <c r="Z1466" s="18">
        <f>grand[[#This Row],[av. Transportation loss]]/grand[[#This Row],[av.total weight]]</f>
        <v>0</v>
      </c>
      <c r="AA1466" s="18">
        <f>AVERAGE((grand[[#This Row],[am]]/25),(grand[[#This Row],[pm]]/50))</f>
        <v>0.97588235294117653</v>
      </c>
      <c r="AB1466" s="3">
        <f>grand[[#This Row],[ carcass weight]]/grand[[#This Row],[total weight]]</f>
        <v>0.4978194726166329</v>
      </c>
      <c r="AC1466" s="18">
        <f>SUM(grand[[#This Row],[am]:[meat transportation]])/100</f>
        <v>0.91088235294117648</v>
      </c>
      <c r="AK1466" s="1"/>
      <c r="AL1466" s="1"/>
    </row>
    <row r="1467" spans="1:38" hidden="1" x14ac:dyDescent="0.2">
      <c r="A1467" s="11">
        <v>45822</v>
      </c>
      <c r="B1467" s="53" t="s">
        <v>2237</v>
      </c>
      <c r="C1467" s="52" t="str">
        <f>IF(MID(B1467,4,2)="09","Ramadan",IF(AND(MID(B1467,4,2)="12",VALUE(LEFT(B1467,2))&lt;=9),"Adha Season","Normal"))</f>
        <v>Normal</v>
      </c>
      <c r="D1467" s="1" t="s">
        <v>45</v>
      </c>
      <c r="E1467" s="1" t="s">
        <v>528</v>
      </c>
      <c r="F1467" s="4" t="s">
        <v>462</v>
      </c>
      <c r="G1467" s="1">
        <v>75</v>
      </c>
      <c r="H1467" s="1">
        <v>72</v>
      </c>
      <c r="I1467" s="1">
        <f>grand[[#This Row],[number]]-grand[[#This Row],[received]]</f>
        <v>3</v>
      </c>
      <c r="J1467" s="64" t="s">
        <v>1146</v>
      </c>
      <c r="K1467" s="2">
        <v>32100</v>
      </c>
      <c r="L1467" s="2">
        <v>32100</v>
      </c>
      <c r="M1467" s="2">
        <f>K1467-L1467</f>
        <v>0</v>
      </c>
      <c r="N1467" s="2">
        <v>20287.2</v>
      </c>
      <c r="O1467" s="2">
        <v>0</v>
      </c>
      <c r="P1467" s="7">
        <f>grand[[#This Row],[total weight]]/grand[[#This Row],[received]]</f>
        <v>445.83333333333331</v>
      </c>
      <c r="Q1467" s="7">
        <f>grand[[#This Row],[receiving weight]]/grand[[#This Row],[received]]</f>
        <v>445.83333333333331</v>
      </c>
      <c r="R1467" s="7">
        <f>grand[[#This Row],[transportation loss ]]/grand[[#This Row],[received]]</f>
        <v>0</v>
      </c>
      <c r="S1467" s="7">
        <f>grand[[#This Row],[ carcass weight]]/grand[[#This Row],[received]]</f>
        <v>281.76666666666665</v>
      </c>
      <c r="T1467" s="7">
        <f>grand[[#This Row],[ kidneys fat quantity]]/grand[[#This Row],[received]]</f>
        <v>0</v>
      </c>
      <c r="U1467" s="1">
        <v>25</v>
      </c>
      <c r="V1467" s="1">
        <v>0</v>
      </c>
      <c r="W1467" s="1">
        <v>50</v>
      </c>
      <c r="X1467" s="1">
        <v>9.9305555555555554</v>
      </c>
      <c r="Y1467" s="1">
        <v>8.5</v>
      </c>
      <c r="Z1467" s="18">
        <f>grand[[#This Row],[av. Transportation loss]]/grand[[#This Row],[av.total weight]]</f>
        <v>0</v>
      </c>
      <c r="AA1467" s="18">
        <f>AVERAGE((grand[[#This Row],[am]]/25),(grand[[#This Row],[pm]]/50))</f>
        <v>1</v>
      </c>
      <c r="AB1467" s="3">
        <f>grand[[#This Row],[ carcass weight]]/grand[[#This Row],[total weight]]</f>
        <v>0.63200000000000001</v>
      </c>
      <c r="AC1467" s="18">
        <f>SUM(grand[[#This Row],[am]:[meat transportation]])/100</f>
        <v>0.93430555555555561</v>
      </c>
      <c r="AJ1467" s="1">
        <v>18</v>
      </c>
      <c r="AK1467" s="1"/>
      <c r="AL1467" s="1"/>
    </row>
    <row r="1468" spans="1:38" hidden="1" x14ac:dyDescent="0.2">
      <c r="A1468" s="11">
        <v>45823</v>
      </c>
      <c r="B1468" s="53" t="s">
        <v>2238</v>
      </c>
      <c r="C1468" s="52" t="str">
        <f>IF(MID(B1468,4,2)="09","Ramadan",IF(AND(MID(B1468,4,2)="12",VALUE(LEFT(B1468,2))&lt;=9),"Adha Season","Normal"))</f>
        <v>Normal</v>
      </c>
      <c r="D1468" s="1" t="s">
        <v>45</v>
      </c>
      <c r="E1468" s="1" t="s">
        <v>528</v>
      </c>
      <c r="F1468" s="4" t="s">
        <v>462</v>
      </c>
      <c r="G1468" s="1">
        <v>79</v>
      </c>
      <c r="H1468" s="1">
        <v>78</v>
      </c>
      <c r="I1468" s="1">
        <f>grand[[#This Row],[number]]-grand[[#This Row],[received]]</f>
        <v>1</v>
      </c>
      <c r="J1468" s="64" t="s">
        <v>721</v>
      </c>
      <c r="K1468" s="2">
        <v>35631.012658227846</v>
      </c>
      <c r="L1468" s="2">
        <v>35631.012658227846</v>
      </c>
      <c r="M1468" s="2">
        <f>K1468-L1468</f>
        <v>0</v>
      </c>
      <c r="N1468" s="2">
        <v>22518.799999999999</v>
      </c>
      <c r="O1468" s="2">
        <v>0</v>
      </c>
      <c r="P1468" s="7">
        <f>grand[[#This Row],[total weight]]/grand[[#This Row],[received]]</f>
        <v>456.80785459266468</v>
      </c>
      <c r="Q1468" s="7">
        <f>grand[[#This Row],[receiving weight]]/grand[[#This Row],[received]]</f>
        <v>456.80785459266468</v>
      </c>
      <c r="R1468" s="7">
        <f>grand[[#This Row],[transportation loss ]]/grand[[#This Row],[received]]</f>
        <v>0</v>
      </c>
      <c r="S1468" s="7">
        <f>grand[[#This Row],[ carcass weight]]/grand[[#This Row],[received]]</f>
        <v>288.70256410256411</v>
      </c>
      <c r="T1468" s="7">
        <f>grand[[#This Row],[ kidneys fat quantity]]/grand[[#This Row],[received]]</f>
        <v>0</v>
      </c>
      <c r="U1468" s="1">
        <v>25</v>
      </c>
      <c r="V1468" s="1">
        <v>4</v>
      </c>
      <c r="W1468" s="1">
        <v>50</v>
      </c>
      <c r="X1468" s="1">
        <v>10</v>
      </c>
      <c r="Y1468" s="1">
        <v>8.5</v>
      </c>
      <c r="Z1468" s="18">
        <f>grand[[#This Row],[av. Transportation loss]]/grand[[#This Row],[av.total weight]]</f>
        <v>0</v>
      </c>
      <c r="AA1468" s="18">
        <f>AVERAGE((grand[[#This Row],[am]]/25),(grand[[#This Row],[pm]]/50))</f>
        <v>1</v>
      </c>
      <c r="AB1468" s="3">
        <f>grand[[#This Row],[ carcass weight]]/grand[[#This Row],[total weight]]</f>
        <v>0.63200000000000001</v>
      </c>
      <c r="AC1468" s="18">
        <f>SUM(grand[[#This Row],[am]:[meat transportation]])/100</f>
        <v>0.97499999999999998</v>
      </c>
      <c r="AJ1468" s="1">
        <v>13</v>
      </c>
      <c r="AK1468" s="1"/>
      <c r="AL1468" s="1"/>
    </row>
    <row r="1469" spans="1:38" hidden="1" x14ac:dyDescent="0.2">
      <c r="A1469" s="11">
        <v>45825</v>
      </c>
      <c r="B1469" s="53" t="s">
        <v>2239</v>
      </c>
      <c r="C1469" s="52" t="str">
        <f>IF(MID(B1469,4,2)="09","Ramadan",IF(AND(MID(B1469,4,2)="12",VALUE(LEFT(B1469,2))&lt;=9),"Adha Season","Normal"))</f>
        <v>Normal</v>
      </c>
      <c r="D1469" s="2" t="s">
        <v>294</v>
      </c>
      <c r="F1469" s="4" t="s">
        <v>280</v>
      </c>
      <c r="G1469" s="1">
        <v>51</v>
      </c>
      <c r="H1469" s="1">
        <v>51</v>
      </c>
      <c r="I1469" s="1">
        <f>grand[[#This Row],[number]]-grand[[#This Row],[received]]</f>
        <v>0</v>
      </c>
      <c r="J1469" s="30"/>
      <c r="K1469" s="2">
        <v>2390</v>
      </c>
      <c r="L1469" s="2">
        <v>2390</v>
      </c>
      <c r="M1469" s="2">
        <f>K1469-L1469</f>
        <v>0</v>
      </c>
      <c r="N1469" s="2">
        <v>1330</v>
      </c>
      <c r="O1469" s="2">
        <v>0</v>
      </c>
      <c r="P1469" s="7">
        <f>grand[[#This Row],[total weight]]/grand[[#This Row],[received]]</f>
        <v>46.862745098039213</v>
      </c>
      <c r="Q1469" s="7">
        <f>grand[[#This Row],[receiving weight]]/grand[[#This Row],[received]]</f>
        <v>46.862745098039213</v>
      </c>
      <c r="R1469" s="7">
        <f>grand[[#This Row],[transportation loss ]]/grand[[#This Row],[received]]</f>
        <v>0</v>
      </c>
      <c r="S1469" s="7">
        <f>grand[[#This Row],[ carcass weight]]/grand[[#This Row],[received]]</f>
        <v>26.078431372549019</v>
      </c>
      <c r="T1469" s="7">
        <f>grand[[#This Row],[ kidneys fat quantity]]/grand[[#This Row],[received]]</f>
        <v>0</v>
      </c>
      <c r="U1469" s="1">
        <v>25</v>
      </c>
      <c r="V1469" s="1">
        <v>0</v>
      </c>
      <c r="W1469" s="1">
        <v>48.058823529411768</v>
      </c>
      <c r="X1469" s="1">
        <v>10</v>
      </c>
      <c r="Y1469" s="1">
        <v>8.5</v>
      </c>
      <c r="Z1469" s="18">
        <f>grand[[#This Row],[av. Transportation loss]]/grand[[#This Row],[av.total weight]]</f>
        <v>0</v>
      </c>
      <c r="AA1469" s="18">
        <f>AVERAGE((grand[[#This Row],[am]]/25),(grand[[#This Row],[pm]]/50))</f>
        <v>0.98058823529411776</v>
      </c>
      <c r="AB1469" s="3">
        <f>grand[[#This Row],[ carcass weight]]/grand[[#This Row],[total weight]]</f>
        <v>0.55648535564853552</v>
      </c>
      <c r="AC1469" s="18">
        <f>SUM(grand[[#This Row],[am]:[meat transportation]])/100</f>
        <v>0.9155882352941177</v>
      </c>
      <c r="AK1469" s="1"/>
      <c r="AL1469" s="1"/>
    </row>
    <row r="1470" spans="1:38" hidden="1" x14ac:dyDescent="0.2">
      <c r="A1470" s="11">
        <v>45825</v>
      </c>
      <c r="B1470" s="53" t="s">
        <v>2239</v>
      </c>
      <c r="C1470" s="52" t="str">
        <f>IF(MID(B1470,4,2)="09","Ramadan",IF(AND(MID(B1470,4,2)="12",VALUE(LEFT(B1470,2))&lt;=9),"Adha Season","Normal"))</f>
        <v>Normal</v>
      </c>
      <c r="D1470" s="1" t="s">
        <v>45</v>
      </c>
      <c r="E1470" s="1" t="s">
        <v>528</v>
      </c>
      <c r="F1470" s="4" t="s">
        <v>462</v>
      </c>
      <c r="G1470" s="1">
        <v>48</v>
      </c>
      <c r="H1470" s="1">
        <v>45</v>
      </c>
      <c r="I1470" s="1">
        <f>grand[[#This Row],[number]]-grand[[#This Row],[received]]</f>
        <v>3</v>
      </c>
      <c r="J1470" s="64" t="s">
        <v>1147</v>
      </c>
      <c r="K1470" s="2">
        <v>20886.075949367088</v>
      </c>
      <c r="L1470" s="2">
        <v>20886.075949367088</v>
      </c>
      <c r="M1470" s="2">
        <f>K1470-L1470</f>
        <v>0</v>
      </c>
      <c r="N1470" s="2">
        <v>13200</v>
      </c>
      <c r="O1470" s="2">
        <v>0</v>
      </c>
      <c r="P1470" s="7">
        <f>grand[[#This Row],[total weight]]/grand[[#This Row],[received]]</f>
        <v>464.13502109704643</v>
      </c>
      <c r="Q1470" s="7">
        <f>grand[[#This Row],[receiving weight]]/grand[[#This Row],[received]]</f>
        <v>464.13502109704643</v>
      </c>
      <c r="R1470" s="7">
        <f>grand[[#This Row],[transportation loss ]]/grand[[#This Row],[received]]</f>
        <v>0</v>
      </c>
      <c r="S1470" s="7">
        <f>grand[[#This Row],[ carcass weight]]/grand[[#This Row],[received]]</f>
        <v>293.33333333333331</v>
      </c>
      <c r="T1470" s="7">
        <f>grand[[#This Row],[ kidneys fat quantity]]/grand[[#This Row],[received]]</f>
        <v>0</v>
      </c>
      <c r="U1470" s="1">
        <v>25</v>
      </c>
      <c r="V1470" s="1">
        <v>4</v>
      </c>
      <c r="W1470" s="1">
        <v>50</v>
      </c>
      <c r="X1470" s="1">
        <v>10</v>
      </c>
      <c r="Y1470" s="1">
        <v>8.5</v>
      </c>
      <c r="Z1470" s="18">
        <f>grand[[#This Row],[av. Transportation loss]]/grand[[#This Row],[av.total weight]]</f>
        <v>0</v>
      </c>
      <c r="AA1470" s="18">
        <f>AVERAGE((grand[[#This Row],[am]]/25),(grand[[#This Row],[pm]]/50))</f>
        <v>1</v>
      </c>
      <c r="AB1470" s="3">
        <f>grand[[#This Row],[ carcass weight]]/grand[[#This Row],[total weight]]</f>
        <v>0.63200000000000001</v>
      </c>
      <c r="AC1470" s="18">
        <f>SUM(grand[[#This Row],[am]:[meat transportation]])/100</f>
        <v>0.97499999999999998</v>
      </c>
      <c r="AK1470" s="1"/>
      <c r="AL1470" s="1"/>
    </row>
    <row r="1471" spans="1:38" hidden="1" x14ac:dyDescent="0.2">
      <c r="A1471" s="11">
        <v>45827</v>
      </c>
      <c r="B1471" s="53" t="s">
        <v>2240</v>
      </c>
      <c r="C1471" s="52" t="str">
        <f>IF(MID(B1471,4,2)="09","Ramadan",IF(AND(MID(B1471,4,2)="12",VALUE(LEFT(B1471,2))&lt;=9),"Adha Season","Normal"))</f>
        <v>Normal</v>
      </c>
      <c r="D1471" s="2" t="s">
        <v>294</v>
      </c>
      <c r="F1471" s="4" t="s">
        <v>280</v>
      </c>
      <c r="G1471" s="1">
        <v>52</v>
      </c>
      <c r="H1471" s="1">
        <v>52</v>
      </c>
      <c r="I1471" s="1">
        <f>grand[[#This Row],[number]]-grand[[#This Row],[received]]</f>
        <v>0</v>
      </c>
      <c r="J1471" s="30"/>
      <c r="K1471" s="2">
        <v>2600</v>
      </c>
      <c r="L1471" s="2">
        <v>2600</v>
      </c>
      <c r="M1471" s="2">
        <f>K1471-L1471</f>
        <v>0</v>
      </c>
      <c r="N1471" s="2">
        <v>1363.8</v>
      </c>
      <c r="O1471" s="2">
        <v>0</v>
      </c>
      <c r="P1471" s="7">
        <f>grand[[#This Row],[total weight]]/grand[[#This Row],[received]]</f>
        <v>50</v>
      </c>
      <c r="Q1471" s="7">
        <f>grand[[#This Row],[receiving weight]]/grand[[#This Row],[received]]</f>
        <v>50</v>
      </c>
      <c r="R1471" s="7">
        <f>grand[[#This Row],[transportation loss ]]/grand[[#This Row],[received]]</f>
        <v>0</v>
      </c>
      <c r="S1471" s="7">
        <f>grand[[#This Row],[ carcass weight]]/grand[[#This Row],[received]]</f>
        <v>26.226923076923075</v>
      </c>
      <c r="T1471" s="7">
        <f>grand[[#This Row],[ kidneys fat quantity]]/grand[[#This Row],[received]]</f>
        <v>0</v>
      </c>
      <c r="U1471" s="1">
        <v>25</v>
      </c>
      <c r="V1471" s="1">
        <v>0</v>
      </c>
      <c r="W1471" s="1">
        <v>43.44</v>
      </c>
      <c r="X1471" s="1">
        <v>10</v>
      </c>
      <c r="Y1471" s="1">
        <v>8.5</v>
      </c>
      <c r="Z1471" s="18">
        <f>grand[[#This Row],[av. Transportation loss]]/grand[[#This Row],[av.total weight]]</f>
        <v>0</v>
      </c>
      <c r="AA1471" s="18">
        <f>AVERAGE((grand[[#This Row],[am]]/25),(grand[[#This Row],[pm]]/50))</f>
        <v>0.9343999999999999</v>
      </c>
      <c r="AB1471" s="3">
        <f>grand[[#This Row],[ carcass weight]]/grand[[#This Row],[total weight]]</f>
        <v>0.52453846153846151</v>
      </c>
      <c r="AC1471" s="18">
        <f>SUM(grand[[#This Row],[am]:[meat transportation]])/100</f>
        <v>0.86939999999999995</v>
      </c>
      <c r="AK1471" s="1"/>
      <c r="AL1471" s="1"/>
    </row>
    <row r="1472" spans="1:38" hidden="1" x14ac:dyDescent="0.2">
      <c r="A1472" s="11">
        <v>45827</v>
      </c>
      <c r="B1472" s="53" t="s">
        <v>2240</v>
      </c>
      <c r="C1472" s="52" t="str">
        <f>IF(MID(B1472,4,2)="09","Ramadan",IF(AND(MID(B1472,4,2)="12",VALUE(LEFT(B1472,2))&lt;=9),"Adha Season","Normal"))</f>
        <v>Normal</v>
      </c>
      <c r="D1472" s="1" t="s">
        <v>45</v>
      </c>
      <c r="E1472" s="1" t="s">
        <v>528</v>
      </c>
      <c r="F1472" s="4" t="s">
        <v>462</v>
      </c>
      <c r="G1472" s="1">
        <v>61</v>
      </c>
      <c r="H1472" s="1">
        <v>59</v>
      </c>
      <c r="I1472" s="1">
        <f>grand[[#This Row],[number]]-grand[[#This Row],[received]]</f>
        <v>2</v>
      </c>
      <c r="J1472" s="64" t="s">
        <v>1148</v>
      </c>
      <c r="K1472" s="2">
        <v>26943.670886075954</v>
      </c>
      <c r="L1472" s="2">
        <v>26943.670886075954</v>
      </c>
      <c r="M1472" s="2">
        <f>K1472-L1472</f>
        <v>0</v>
      </c>
      <c r="N1472" s="2">
        <v>17028.400000000001</v>
      </c>
      <c r="O1472" s="2">
        <v>0</v>
      </c>
      <c r="P1472" s="7">
        <f>grand[[#This Row],[total weight]]/grand[[#This Row],[received]]</f>
        <v>456.67238789959242</v>
      </c>
      <c r="Q1472" s="7">
        <f>grand[[#This Row],[receiving weight]]/grand[[#This Row],[received]]</f>
        <v>456.67238789959242</v>
      </c>
      <c r="R1472" s="7">
        <f>grand[[#This Row],[transportation loss ]]/grand[[#This Row],[received]]</f>
        <v>0</v>
      </c>
      <c r="S1472" s="7">
        <f>grand[[#This Row],[ carcass weight]]/grand[[#This Row],[received]]</f>
        <v>288.61694915254242</v>
      </c>
      <c r="T1472" s="7">
        <f>grand[[#This Row],[ kidneys fat quantity]]/grand[[#This Row],[received]]</f>
        <v>0</v>
      </c>
      <c r="U1472" s="1">
        <v>25</v>
      </c>
      <c r="V1472" s="1">
        <v>4</v>
      </c>
      <c r="W1472" s="1">
        <v>50</v>
      </c>
      <c r="X1472" s="1">
        <v>10</v>
      </c>
      <c r="Y1472" s="1">
        <v>8.5</v>
      </c>
      <c r="Z1472" s="18">
        <f>grand[[#This Row],[av. Transportation loss]]/grand[[#This Row],[av.total weight]]</f>
        <v>0</v>
      </c>
      <c r="AA1472" s="18">
        <f>AVERAGE((grand[[#This Row],[am]]/25),(grand[[#This Row],[pm]]/50))</f>
        <v>1</v>
      </c>
      <c r="AB1472" s="3">
        <f>grand[[#This Row],[ carcass weight]]/grand[[#This Row],[total weight]]</f>
        <v>0.63200000000000001</v>
      </c>
      <c r="AC1472" s="18">
        <f>SUM(grand[[#This Row],[am]:[meat transportation]])/100</f>
        <v>0.97499999999999998</v>
      </c>
      <c r="AK1472" s="1"/>
      <c r="AL1472" s="1"/>
    </row>
    <row r="1473" spans="1:38" hidden="1" x14ac:dyDescent="0.2">
      <c r="A1473" s="11">
        <v>45829</v>
      </c>
      <c r="B1473" s="53" t="s">
        <v>2241</v>
      </c>
      <c r="C1473" s="52" t="str">
        <f>IF(MID(B1473,4,2)="09","Ramadan",IF(AND(MID(B1473,4,2)="12",VALUE(LEFT(B1473,2))&lt;=9),"Adha Season","Normal"))</f>
        <v>Normal</v>
      </c>
      <c r="D1473" s="1" t="s">
        <v>45</v>
      </c>
      <c r="E1473" s="1" t="s">
        <v>528</v>
      </c>
      <c r="F1473" s="4" t="s">
        <v>462</v>
      </c>
      <c r="G1473" s="1">
        <v>36</v>
      </c>
      <c r="H1473" s="1">
        <v>36</v>
      </c>
      <c r="I1473" s="1">
        <f>grand[[#This Row],[number]]-grand[[#This Row],[received]]</f>
        <v>0</v>
      </c>
      <c r="J1473" s="30"/>
      <c r="K1473" s="2">
        <v>16803.797468354431</v>
      </c>
      <c r="L1473" s="2">
        <v>16803.797468354431</v>
      </c>
      <c r="M1473" s="2">
        <f>K1473-L1473</f>
        <v>0</v>
      </c>
      <c r="N1473" s="2">
        <v>10620</v>
      </c>
      <c r="O1473" s="2">
        <v>0</v>
      </c>
      <c r="P1473" s="7">
        <f>grand[[#This Row],[total weight]]/grand[[#This Row],[received]]</f>
        <v>466.77215189873419</v>
      </c>
      <c r="Q1473" s="7">
        <f>grand[[#This Row],[receiving weight]]/grand[[#This Row],[received]]</f>
        <v>466.77215189873419</v>
      </c>
      <c r="R1473" s="7">
        <f>grand[[#This Row],[transportation loss ]]/grand[[#This Row],[received]]</f>
        <v>0</v>
      </c>
      <c r="S1473" s="7">
        <f>grand[[#This Row],[ carcass weight]]/grand[[#This Row],[received]]</f>
        <v>295</v>
      </c>
      <c r="T1473" s="7">
        <f>grand[[#This Row],[ kidneys fat quantity]]/grand[[#This Row],[received]]</f>
        <v>0</v>
      </c>
      <c r="U1473" s="1">
        <v>25</v>
      </c>
      <c r="V1473" s="1">
        <v>4</v>
      </c>
      <c r="W1473" s="1">
        <v>50</v>
      </c>
      <c r="X1473" s="1">
        <v>10</v>
      </c>
      <c r="Y1473" s="1">
        <v>8.5</v>
      </c>
      <c r="Z1473" s="18">
        <f>grand[[#This Row],[av. Transportation loss]]/grand[[#This Row],[av.total weight]]</f>
        <v>0</v>
      </c>
      <c r="AA1473" s="18">
        <f>AVERAGE((grand[[#This Row],[am]]/25),(grand[[#This Row],[pm]]/50))</f>
        <v>1</v>
      </c>
      <c r="AB1473" s="3">
        <f>grand[[#This Row],[ carcass weight]]/grand[[#This Row],[total weight]]</f>
        <v>0.63200000000000001</v>
      </c>
      <c r="AC1473" s="18">
        <f>SUM(grand[[#This Row],[am]:[meat transportation]])/100</f>
        <v>0.97499999999999998</v>
      </c>
      <c r="AJ1473" s="1">
        <v>2</v>
      </c>
      <c r="AK1473" s="1"/>
      <c r="AL1473" s="1"/>
    </row>
    <row r="1474" spans="1:38" hidden="1" x14ac:dyDescent="0.2">
      <c r="A1474" s="11">
        <v>45830</v>
      </c>
      <c r="B1474" s="53" t="s">
        <v>2242</v>
      </c>
      <c r="C1474" s="52" t="str">
        <f>IF(MID(B1474,4,2)="09","Ramadan",IF(AND(MID(B1474,4,2)="12",VALUE(LEFT(B1474,2))&lt;=9),"Adha Season","Normal"))</f>
        <v>Normal</v>
      </c>
      <c r="D1474" s="2" t="s">
        <v>294</v>
      </c>
      <c r="F1474" s="4" t="s">
        <v>280</v>
      </c>
      <c r="G1474" s="1">
        <v>38</v>
      </c>
      <c r="H1474" s="1">
        <v>38</v>
      </c>
      <c r="I1474" s="1">
        <f>grand[[#This Row],[number]]-grand[[#This Row],[received]]</f>
        <v>0</v>
      </c>
      <c r="J1474" s="30"/>
      <c r="K1474" s="2">
        <v>1836</v>
      </c>
      <c r="L1474" s="2">
        <v>1836</v>
      </c>
      <c r="M1474" s="2">
        <f>K1474-L1474</f>
        <v>0</v>
      </c>
      <c r="N1474" s="2">
        <v>1042</v>
      </c>
      <c r="O1474" s="2">
        <v>0</v>
      </c>
      <c r="P1474" s="7">
        <f>grand[[#This Row],[total weight]]/grand[[#This Row],[received]]</f>
        <v>48.315789473684212</v>
      </c>
      <c r="Q1474" s="7">
        <f>grand[[#This Row],[receiving weight]]/grand[[#This Row],[received]]</f>
        <v>48.315789473684212</v>
      </c>
      <c r="R1474" s="7">
        <f>grand[[#This Row],[transportation loss ]]/grand[[#This Row],[received]]</f>
        <v>0</v>
      </c>
      <c r="S1474" s="7">
        <f>grand[[#This Row],[ carcass weight]]/grand[[#This Row],[received]]</f>
        <v>27.421052631578949</v>
      </c>
      <c r="T1474" s="7">
        <f>grand[[#This Row],[ kidneys fat quantity]]/grand[[#This Row],[received]]</f>
        <v>0</v>
      </c>
      <c r="U1474" s="1">
        <v>25</v>
      </c>
      <c r="V1474" s="1">
        <v>0</v>
      </c>
      <c r="W1474" s="1">
        <v>48.68421052631578</v>
      </c>
      <c r="X1474" s="1">
        <v>10</v>
      </c>
      <c r="Y1474" s="1">
        <v>8.5</v>
      </c>
      <c r="Z1474" s="18">
        <f>grand[[#This Row],[av. Transportation loss]]/grand[[#This Row],[av.total weight]]</f>
        <v>0</v>
      </c>
      <c r="AA1474" s="18">
        <f>AVERAGE((grand[[#This Row],[am]]/25),(grand[[#This Row],[pm]]/50))</f>
        <v>0.98684210526315774</v>
      </c>
      <c r="AB1474" s="3">
        <f>grand[[#This Row],[ carcass weight]]/grand[[#This Row],[total weight]]</f>
        <v>0.56753812636165579</v>
      </c>
      <c r="AC1474" s="18">
        <f>SUM(grand[[#This Row],[am]:[meat transportation]])/100</f>
        <v>0.9218421052631578</v>
      </c>
      <c r="AK1474" s="1"/>
      <c r="AL1474" s="1"/>
    </row>
    <row r="1475" spans="1:38" hidden="1" x14ac:dyDescent="0.2">
      <c r="A1475" s="11">
        <v>45830</v>
      </c>
      <c r="B1475" s="53" t="s">
        <v>2242</v>
      </c>
      <c r="C1475" s="52" t="str">
        <f>IF(MID(B1475,4,2)="09","Ramadan",IF(AND(MID(B1475,4,2)="12",VALUE(LEFT(B1475,2))&lt;=9),"Adha Season","Normal"))</f>
        <v>Normal</v>
      </c>
      <c r="D1475" s="1" t="s">
        <v>45</v>
      </c>
      <c r="E1475" s="1" t="s">
        <v>528</v>
      </c>
      <c r="F1475" s="4" t="s">
        <v>462</v>
      </c>
      <c r="G1475" s="1">
        <v>59</v>
      </c>
      <c r="H1475" s="1">
        <v>59</v>
      </c>
      <c r="I1475" s="1">
        <f>grand[[#This Row],[number]]-grand[[#This Row],[received]]</f>
        <v>0</v>
      </c>
      <c r="J1475" s="30"/>
      <c r="K1475" s="2">
        <v>27274.367088607596</v>
      </c>
      <c r="L1475" s="2">
        <v>27274.367088607596</v>
      </c>
      <c r="M1475" s="2">
        <f>K1475-L1475</f>
        <v>0</v>
      </c>
      <c r="N1475" s="2">
        <v>17237.400000000001</v>
      </c>
      <c r="O1475" s="2">
        <v>0</v>
      </c>
      <c r="P1475" s="7">
        <f>grand[[#This Row],[total weight]]/grand[[#This Row],[received]]</f>
        <v>462.27740828148467</v>
      </c>
      <c r="Q1475" s="7">
        <f>grand[[#This Row],[receiving weight]]/grand[[#This Row],[received]]</f>
        <v>462.27740828148467</v>
      </c>
      <c r="R1475" s="7">
        <f>grand[[#This Row],[transportation loss ]]/grand[[#This Row],[received]]</f>
        <v>0</v>
      </c>
      <c r="S1475" s="7">
        <f>grand[[#This Row],[ carcass weight]]/grand[[#This Row],[received]]</f>
        <v>292.15932203389832</v>
      </c>
      <c r="T1475" s="7">
        <f>grand[[#This Row],[ kidneys fat quantity]]/grand[[#This Row],[received]]</f>
        <v>0</v>
      </c>
      <c r="U1475" s="1">
        <v>25</v>
      </c>
      <c r="V1475" s="1">
        <v>4</v>
      </c>
      <c r="W1475" s="1">
        <v>50</v>
      </c>
      <c r="X1475" s="1">
        <v>10</v>
      </c>
      <c r="Y1475" s="1">
        <v>8.5</v>
      </c>
      <c r="Z1475" s="18">
        <f>grand[[#This Row],[av. Transportation loss]]/grand[[#This Row],[av.total weight]]</f>
        <v>0</v>
      </c>
      <c r="AA1475" s="18">
        <f>AVERAGE((grand[[#This Row],[am]]/25),(grand[[#This Row],[pm]]/50))</f>
        <v>1</v>
      </c>
      <c r="AB1475" s="3">
        <f>grand[[#This Row],[ carcass weight]]/grand[[#This Row],[total weight]]</f>
        <v>0.63200000000000001</v>
      </c>
      <c r="AC1475" s="18">
        <f>SUM(grand[[#This Row],[am]:[meat transportation]])/100</f>
        <v>0.97499999999999998</v>
      </c>
      <c r="AK1475" s="1"/>
      <c r="AL1475" s="1"/>
    </row>
    <row r="1476" spans="1:38" hidden="1" x14ac:dyDescent="0.2">
      <c r="A1476" s="11">
        <v>45832</v>
      </c>
      <c r="B1476" s="53" t="s">
        <v>2243</v>
      </c>
      <c r="C1476" s="52" t="str">
        <f>IF(MID(B1476,4,2)="09","Ramadan",IF(AND(MID(B1476,4,2)="12",VALUE(LEFT(B1476,2))&lt;=9),"Adha Season","Normal"))</f>
        <v>Normal</v>
      </c>
      <c r="D1476" s="1" t="s">
        <v>45</v>
      </c>
      <c r="E1476" s="1" t="s">
        <v>483</v>
      </c>
      <c r="F1476" s="4" t="s">
        <v>280</v>
      </c>
      <c r="G1476" s="1">
        <v>40</v>
      </c>
      <c r="H1476" s="1">
        <v>39</v>
      </c>
      <c r="I1476" s="1">
        <f>grand[[#This Row],[number]]-grand[[#This Row],[received]]</f>
        <v>1</v>
      </c>
      <c r="J1476" s="64" t="s">
        <v>722</v>
      </c>
      <c r="K1476" s="2">
        <v>19020</v>
      </c>
      <c r="L1476" s="2">
        <v>18055</v>
      </c>
      <c r="M1476" s="2">
        <f>K1476-L1476</f>
        <v>965</v>
      </c>
      <c r="N1476" s="2">
        <v>11440.9</v>
      </c>
      <c r="O1476" s="2">
        <v>411</v>
      </c>
      <c r="P1476" s="7">
        <f>grand[[#This Row],[total weight]]/grand[[#This Row],[received]]</f>
        <v>487.69230769230768</v>
      </c>
      <c r="Q1476" s="7">
        <f>grand[[#This Row],[receiving weight]]/grand[[#This Row],[received]]</f>
        <v>462.94871794871796</v>
      </c>
      <c r="R1476" s="7">
        <f>grand[[#This Row],[transportation loss ]]/grand[[#This Row],[received]]</f>
        <v>24.743589743589745</v>
      </c>
      <c r="S1476" s="7">
        <f>grand[[#This Row],[ carcass weight]]/grand[[#This Row],[received]]</f>
        <v>293.35641025641024</v>
      </c>
      <c r="T1476" s="7">
        <f>grand[[#This Row],[ kidneys fat quantity]]/grand[[#This Row],[received]]</f>
        <v>10.538461538461538</v>
      </c>
      <c r="U1476" s="1">
        <v>24.743589743589745</v>
      </c>
      <c r="V1476" s="1">
        <v>0</v>
      </c>
      <c r="W1476" s="1">
        <v>48.974358974358978</v>
      </c>
      <c r="X1476" s="1">
        <v>10</v>
      </c>
      <c r="Y1476" s="1">
        <v>8.5</v>
      </c>
      <c r="Z1476" s="18">
        <f>grand[[#This Row],[av. Transportation loss]]/grand[[#This Row],[av.total weight]]</f>
        <v>5.0736067297581497E-2</v>
      </c>
      <c r="AA1476" s="18">
        <f>AVERAGE((grand[[#This Row],[am]]/25),(grand[[#This Row],[pm]]/50))</f>
        <v>0.98461538461538467</v>
      </c>
      <c r="AB1476" s="3">
        <f>grand[[#This Row],[ carcass weight]]/grand[[#This Row],[total weight]]</f>
        <v>0.60151945320715039</v>
      </c>
      <c r="AC1476" s="18">
        <f>SUM(grand[[#This Row],[am]:[meat transportation]])/100</f>
        <v>0.92217948717948728</v>
      </c>
      <c r="AJ1476" s="1">
        <v>22</v>
      </c>
      <c r="AK1476" s="1"/>
      <c r="AL1476" s="1"/>
    </row>
    <row r="1477" spans="1:38" hidden="1" x14ac:dyDescent="0.2">
      <c r="A1477" s="11">
        <v>45833</v>
      </c>
      <c r="B1477" s="53" t="s">
        <v>2244</v>
      </c>
      <c r="C1477" s="52" t="str">
        <f>IF(MID(B1477,4,2)="09","Ramadan",IF(AND(MID(B1477,4,2)="12",VALUE(LEFT(B1477,2))&lt;=9),"Adha Season","Normal"))</f>
        <v>Normal</v>
      </c>
      <c r="D1477" s="2" t="s">
        <v>294</v>
      </c>
      <c r="F1477" s="4" t="s">
        <v>280</v>
      </c>
      <c r="G1477" s="1">
        <v>55</v>
      </c>
      <c r="H1477" s="1">
        <v>55</v>
      </c>
      <c r="I1477" s="1">
        <f>grand[[#This Row],[number]]-grand[[#This Row],[received]]</f>
        <v>0</v>
      </c>
      <c r="J1477" s="30"/>
      <c r="K1477" s="2">
        <v>2754</v>
      </c>
      <c r="L1477" s="2">
        <v>2625</v>
      </c>
      <c r="M1477" s="2">
        <f>K1477-L1477</f>
        <v>129</v>
      </c>
      <c r="N1477" s="2">
        <v>1506.2</v>
      </c>
      <c r="O1477" s="2">
        <v>0</v>
      </c>
      <c r="P1477" s="7">
        <f>grand[[#This Row],[total weight]]/grand[[#This Row],[received]]</f>
        <v>50.072727272727271</v>
      </c>
      <c r="Q1477" s="7">
        <f>grand[[#This Row],[receiving weight]]/grand[[#This Row],[received]]</f>
        <v>47.727272727272727</v>
      </c>
      <c r="R1477" s="7">
        <f>grand[[#This Row],[transportation loss ]]/grand[[#This Row],[received]]</f>
        <v>2.3454545454545452</v>
      </c>
      <c r="S1477" s="7">
        <f>grand[[#This Row],[ carcass weight]]/grand[[#This Row],[received]]</f>
        <v>27.385454545454547</v>
      </c>
      <c r="T1477" s="7">
        <f>grand[[#This Row],[ kidneys fat quantity]]/grand[[#This Row],[received]]</f>
        <v>0</v>
      </c>
      <c r="U1477" s="1">
        <v>25</v>
      </c>
      <c r="V1477" s="1">
        <v>0</v>
      </c>
      <c r="W1477" s="1">
        <v>44.254545454545458</v>
      </c>
      <c r="X1477" s="1">
        <v>10</v>
      </c>
      <c r="Y1477" s="1">
        <v>8.5</v>
      </c>
      <c r="Z1477" s="18">
        <f>grand[[#This Row],[av. Transportation loss]]/grand[[#This Row],[av.total weight]]</f>
        <v>4.6840958605664486E-2</v>
      </c>
      <c r="AA1477" s="18">
        <f>AVERAGE((grand[[#This Row],[am]]/25),(grand[[#This Row],[pm]]/50))</f>
        <v>0.94254545454545458</v>
      </c>
      <c r="AB1477" s="3">
        <f>grand[[#This Row],[ carcass weight]]/grand[[#This Row],[total weight]]</f>
        <v>0.54691358024691361</v>
      </c>
      <c r="AC1477" s="18">
        <f>SUM(grand[[#This Row],[am]:[meat transportation]])/100</f>
        <v>0.87754545454545452</v>
      </c>
      <c r="AK1477" s="1"/>
      <c r="AL1477" s="1"/>
    </row>
    <row r="1478" spans="1:38" hidden="1" x14ac:dyDescent="0.2">
      <c r="A1478" s="11">
        <v>45833</v>
      </c>
      <c r="B1478" s="53" t="s">
        <v>2244</v>
      </c>
      <c r="C1478" s="52" t="str">
        <f>IF(MID(B1478,4,2)="09","Ramadan",IF(AND(MID(B1478,4,2)="12",VALUE(LEFT(B1478,2))&lt;=9),"Adha Season","Normal"))</f>
        <v>Normal</v>
      </c>
      <c r="D1478" s="1" t="s">
        <v>45</v>
      </c>
      <c r="E1478" s="1" t="s">
        <v>483</v>
      </c>
      <c r="F1478" s="4" t="s">
        <v>280</v>
      </c>
      <c r="G1478" s="1">
        <v>33</v>
      </c>
      <c r="H1478" s="1">
        <v>32</v>
      </c>
      <c r="I1478" s="1">
        <f>grand[[#This Row],[number]]-grand[[#This Row],[received]]</f>
        <v>1</v>
      </c>
      <c r="J1478" s="64" t="s">
        <v>723</v>
      </c>
      <c r="K1478" s="2">
        <v>13685</v>
      </c>
      <c r="L1478" s="2">
        <v>13405</v>
      </c>
      <c r="M1478" s="2">
        <f>K1478-L1478</f>
        <v>280</v>
      </c>
      <c r="N1478" s="2">
        <v>8211.1</v>
      </c>
      <c r="O1478" s="2">
        <v>263</v>
      </c>
      <c r="P1478" s="7">
        <f>grand[[#This Row],[total weight]]/grand[[#This Row],[received]]</f>
        <v>427.65625</v>
      </c>
      <c r="Q1478" s="7">
        <f>grand[[#This Row],[receiving weight]]/grand[[#This Row],[received]]</f>
        <v>418.90625</v>
      </c>
      <c r="R1478" s="7">
        <f>grand[[#This Row],[transportation loss ]]/grand[[#This Row],[received]]</f>
        <v>8.75</v>
      </c>
      <c r="S1478" s="7">
        <f>grand[[#This Row],[ carcass weight]]/grand[[#This Row],[received]]</f>
        <v>256.59687500000001</v>
      </c>
      <c r="T1478" s="7">
        <f>grand[[#This Row],[ kidneys fat quantity]]/grand[[#This Row],[received]]</f>
        <v>8.21875</v>
      </c>
      <c r="U1478" s="1">
        <v>24.53125</v>
      </c>
      <c r="V1478" s="1">
        <v>0</v>
      </c>
      <c r="W1478" s="1">
        <v>44.65625</v>
      </c>
      <c r="X1478" s="1">
        <v>9.6875</v>
      </c>
      <c r="Y1478" s="1">
        <v>8.5</v>
      </c>
      <c r="Z1478" s="18">
        <f>grand[[#This Row],[av. Transportation loss]]/grand[[#This Row],[av.total weight]]</f>
        <v>2.0460358056265986E-2</v>
      </c>
      <c r="AA1478" s="18">
        <f>AVERAGE((grand[[#This Row],[am]]/25),(grand[[#This Row],[pm]]/50))</f>
        <v>0.93718749999999995</v>
      </c>
      <c r="AB1478" s="3">
        <f>grand[[#This Row],[ carcass weight]]/grand[[#This Row],[total weight]]</f>
        <v>0.60000730727073437</v>
      </c>
      <c r="AC1478" s="18">
        <f>SUM(grand[[#This Row],[am]:[meat transportation]])/100</f>
        <v>0.87375000000000003</v>
      </c>
      <c r="AJ1478" s="1">
        <v>18</v>
      </c>
      <c r="AK1478" s="1"/>
      <c r="AL1478" s="1"/>
    </row>
    <row r="1479" spans="1:38" hidden="1" x14ac:dyDescent="0.2">
      <c r="A1479" s="11">
        <v>45834</v>
      </c>
      <c r="B1479" s="53" t="s">
        <v>2245</v>
      </c>
      <c r="C1479" s="52" t="str">
        <f>IF(MID(B1479,4,2)="09","Ramadan",IF(AND(MID(B1479,4,2)="12",VALUE(LEFT(B1479,2))&lt;=9),"Adha Season","Normal"))</f>
        <v>Normal</v>
      </c>
      <c r="D1479" s="1" t="s">
        <v>45</v>
      </c>
      <c r="E1479" s="1" t="s">
        <v>483</v>
      </c>
      <c r="F1479" s="4" t="s">
        <v>280</v>
      </c>
      <c r="G1479" s="1">
        <v>75</v>
      </c>
      <c r="H1479" s="28">
        <v>70</v>
      </c>
      <c r="I1479" s="1">
        <f>grand[[#This Row],[number]]-grand[[#This Row],[received]]</f>
        <v>5</v>
      </c>
      <c r="J1479" s="64" t="s">
        <v>724</v>
      </c>
      <c r="K1479" s="2">
        <v>34390</v>
      </c>
      <c r="L1479" s="2">
        <v>33805</v>
      </c>
      <c r="M1479" s="2">
        <f>K1479-L1479</f>
        <v>585</v>
      </c>
      <c r="N1479" s="2">
        <v>20641.8</v>
      </c>
      <c r="O1479" s="2">
        <v>644</v>
      </c>
      <c r="P1479" s="7">
        <f>grand[[#This Row],[total weight]]/grand[[#This Row],[received]]</f>
        <v>491.28571428571428</v>
      </c>
      <c r="Q1479" s="7">
        <f>grand[[#This Row],[receiving weight]]/grand[[#This Row],[received]]</f>
        <v>482.92857142857144</v>
      </c>
      <c r="R1479" s="7">
        <f>grand[[#This Row],[transportation loss ]]/grand[[#This Row],[received]]</f>
        <v>8.3571428571428577</v>
      </c>
      <c r="S1479" s="7">
        <f>grand[[#This Row],[ carcass weight]]/grand[[#This Row],[received]]</f>
        <v>294.88285714285712</v>
      </c>
      <c r="T1479" s="7">
        <f>grand[[#This Row],[ kidneys fat quantity]]/grand[[#This Row],[received]]</f>
        <v>9.1999999999999993</v>
      </c>
      <c r="U1479" s="1">
        <v>24.714285714285715</v>
      </c>
      <c r="V1479" s="1">
        <v>0</v>
      </c>
      <c r="W1479" s="1">
        <v>48.557142857142857</v>
      </c>
      <c r="X1479" s="1">
        <v>9.9285714285714288</v>
      </c>
      <c r="Y1479" s="1">
        <v>8.5</v>
      </c>
      <c r="Z1479" s="18">
        <f>grand[[#This Row],[av. Transportation loss]]/grand[[#This Row],[av.total weight]]</f>
        <v>1.7010758941552778E-2</v>
      </c>
      <c r="AA1479" s="18">
        <f>AVERAGE((grand[[#This Row],[am]]/25),(grand[[#This Row],[pm]]/50))</f>
        <v>0.97985714285714287</v>
      </c>
      <c r="AB1479" s="3">
        <f>grand[[#This Row],[ carcass weight]]/grand[[#This Row],[total weight]]</f>
        <v>0.60022681011922063</v>
      </c>
      <c r="AC1479" s="18">
        <f>SUM(grand[[#This Row],[am]:[meat transportation]])/100</f>
        <v>0.91700000000000004</v>
      </c>
      <c r="AJ1479" s="1">
        <v>27</v>
      </c>
      <c r="AK1479" s="1"/>
      <c r="AL1479" s="1"/>
    </row>
    <row r="1480" spans="1:38" hidden="1" x14ac:dyDescent="0.2">
      <c r="A1480" s="11">
        <v>45836</v>
      </c>
      <c r="B1480" s="53" t="s">
        <v>2246</v>
      </c>
      <c r="C1480" s="52" t="str">
        <f>IF(MID(B1480,4,2)="09","Ramadan",IF(AND(MID(B1480,4,2)="12",VALUE(LEFT(B1480,2))&lt;=9),"Adha Season","Normal"))</f>
        <v>Normal</v>
      </c>
      <c r="D1480" s="1" t="s">
        <v>45</v>
      </c>
      <c r="E1480" s="1" t="s">
        <v>528</v>
      </c>
      <c r="F1480" s="4" t="s">
        <v>752</v>
      </c>
      <c r="G1480" s="1">
        <v>56</v>
      </c>
      <c r="H1480" s="1">
        <v>56</v>
      </c>
      <c r="I1480" s="1">
        <f>grand[[#This Row],[number]]-grand[[#This Row],[received]]</f>
        <v>0</v>
      </c>
      <c r="J1480" s="30"/>
      <c r="K1480" s="2">
        <v>26988.132911392404</v>
      </c>
      <c r="L1480" s="2">
        <v>26988.132911392404</v>
      </c>
      <c r="M1480" s="2">
        <f>K1480-L1480</f>
        <v>0</v>
      </c>
      <c r="N1480" s="2">
        <v>17056.5</v>
      </c>
      <c r="O1480" s="2">
        <v>0</v>
      </c>
      <c r="P1480" s="7">
        <f>grand[[#This Row],[total weight]]/grand[[#This Row],[received]]</f>
        <v>481.9309448462929</v>
      </c>
      <c r="Q1480" s="7">
        <f>grand[[#This Row],[receiving weight]]/grand[[#This Row],[received]]</f>
        <v>481.9309448462929</v>
      </c>
      <c r="R1480" s="7">
        <f>grand[[#This Row],[transportation loss ]]/grand[[#This Row],[received]]</f>
        <v>0</v>
      </c>
      <c r="S1480" s="7">
        <f>grand[[#This Row],[ carcass weight]]/grand[[#This Row],[received]]</f>
        <v>304.58035714285717</v>
      </c>
      <c r="T1480" s="7">
        <f>grand[[#This Row],[ kidneys fat quantity]]/grand[[#This Row],[received]]</f>
        <v>0</v>
      </c>
      <c r="U1480" s="1">
        <v>25</v>
      </c>
      <c r="V1480" s="1">
        <v>4</v>
      </c>
      <c r="W1480" s="1">
        <v>50</v>
      </c>
      <c r="X1480" s="1">
        <v>10</v>
      </c>
      <c r="Y1480" s="1">
        <v>8.5</v>
      </c>
      <c r="Z1480" s="18">
        <f>grand[[#This Row],[av. Transportation loss]]/grand[[#This Row],[av.total weight]]</f>
        <v>0</v>
      </c>
      <c r="AA1480" s="18">
        <f>AVERAGE((grand[[#This Row],[am]]/25),(grand[[#This Row],[pm]]/50))</f>
        <v>1</v>
      </c>
      <c r="AB1480" s="3">
        <f>grand[[#This Row],[ carcass weight]]/grand[[#This Row],[total weight]]</f>
        <v>0.63200000000000001</v>
      </c>
      <c r="AC1480" s="18">
        <f>SUM(grand[[#This Row],[am]:[meat transportation]])/100</f>
        <v>0.97499999999999998</v>
      </c>
      <c r="AK1480" s="1"/>
      <c r="AL1480" s="1"/>
    </row>
    <row r="1481" spans="1:38" hidden="1" x14ac:dyDescent="0.2">
      <c r="A1481" s="11">
        <v>45837</v>
      </c>
      <c r="B1481" s="53" t="s">
        <v>2247</v>
      </c>
      <c r="C1481" s="52" t="str">
        <f>IF(MID(B1481,4,2)="09","Ramadan",IF(AND(MID(B1481,4,2)="12",VALUE(LEFT(B1481,2))&lt;=9),"Adha Season","Normal"))</f>
        <v>Normal</v>
      </c>
      <c r="D1481" s="1" t="s">
        <v>45</v>
      </c>
      <c r="E1481" s="1" t="s">
        <v>528</v>
      </c>
      <c r="F1481" s="4" t="s">
        <v>752</v>
      </c>
      <c r="G1481" s="1">
        <v>66</v>
      </c>
      <c r="H1481" s="1">
        <v>66</v>
      </c>
      <c r="I1481" s="1">
        <f>grand[[#This Row],[number]]-grand[[#This Row],[received]]</f>
        <v>0</v>
      </c>
      <c r="J1481" s="30"/>
      <c r="K1481" s="2">
        <v>29106.170886075943</v>
      </c>
      <c r="L1481" s="2">
        <v>29106.170886075943</v>
      </c>
      <c r="M1481" s="2">
        <f>K1481-L1481</f>
        <v>0</v>
      </c>
      <c r="N1481" s="2">
        <v>18395.099999999999</v>
      </c>
      <c r="O1481" s="2">
        <v>0</v>
      </c>
      <c r="P1481" s="7">
        <f>grand[[#This Row],[total weight]]/grand[[#This Row],[received]]</f>
        <v>441.00258918296885</v>
      </c>
      <c r="Q1481" s="7">
        <f>grand[[#This Row],[receiving weight]]/grand[[#This Row],[received]]</f>
        <v>441.00258918296885</v>
      </c>
      <c r="R1481" s="7">
        <f>grand[[#This Row],[transportation loss ]]/grand[[#This Row],[received]]</f>
        <v>0</v>
      </c>
      <c r="S1481" s="7">
        <f>grand[[#This Row],[ carcass weight]]/grand[[#This Row],[received]]</f>
        <v>278.71363636363634</v>
      </c>
      <c r="T1481" s="7">
        <f>grand[[#This Row],[ kidneys fat quantity]]/grand[[#This Row],[received]]</f>
        <v>0</v>
      </c>
      <c r="U1481" s="1">
        <v>25</v>
      </c>
      <c r="V1481" s="1">
        <v>4</v>
      </c>
      <c r="W1481" s="1">
        <v>50</v>
      </c>
      <c r="X1481" s="1">
        <v>9.8484848484848477</v>
      </c>
      <c r="Y1481" s="1">
        <v>8.5</v>
      </c>
      <c r="Z1481" s="18">
        <f>grand[[#This Row],[av. Transportation loss]]/grand[[#This Row],[av.total weight]]</f>
        <v>0</v>
      </c>
      <c r="AA1481" s="18">
        <f>AVERAGE((grand[[#This Row],[am]]/25),(grand[[#This Row],[pm]]/50))</f>
        <v>1</v>
      </c>
      <c r="AB1481" s="3">
        <f>grand[[#This Row],[ carcass weight]]/grand[[#This Row],[total weight]]</f>
        <v>0.63200000000000012</v>
      </c>
      <c r="AC1481" s="18">
        <f>SUM(grand[[#This Row],[am]:[meat transportation]])/100</f>
        <v>0.9734848484848484</v>
      </c>
      <c r="AJ1481" s="1">
        <v>8</v>
      </c>
      <c r="AK1481" s="1"/>
      <c r="AL1481" s="1"/>
    </row>
    <row r="1482" spans="1:38" hidden="1" x14ac:dyDescent="0.2">
      <c r="A1482" s="11">
        <v>45839</v>
      </c>
      <c r="B1482" s="53" t="s">
        <v>2248</v>
      </c>
      <c r="C1482" s="52" t="str">
        <f>IF(MID(B1482,4,2)="09","Ramadan",IF(AND(MID(B1482,4,2)="12",VALUE(LEFT(B1482,2))&lt;=9),"Adha Season","Normal"))</f>
        <v>Normal</v>
      </c>
      <c r="D1482" s="1" t="s">
        <v>45</v>
      </c>
      <c r="E1482" s="1" t="s">
        <v>528</v>
      </c>
      <c r="F1482" s="4" t="s">
        <v>752</v>
      </c>
      <c r="G1482" s="1">
        <v>56</v>
      </c>
      <c r="H1482" s="1">
        <v>56</v>
      </c>
      <c r="I1482" s="1">
        <f>grand[[#This Row],[number]]-grand[[#This Row],[received]]</f>
        <v>0</v>
      </c>
      <c r="J1482" s="30"/>
      <c r="K1482" s="2">
        <f>grand[[#This Row],[ carcass weight]]*100/63.2</f>
        <v>27673.417721518981</v>
      </c>
      <c r="L1482" s="2">
        <f>grand[[#This Row],[ carcass weight]]*100/63.2</f>
        <v>27673.417721518981</v>
      </c>
      <c r="M1482" s="2">
        <f>K1482-L1482</f>
        <v>0</v>
      </c>
      <c r="N1482" s="2">
        <v>17489.599999999999</v>
      </c>
      <c r="O1482" s="2">
        <v>0</v>
      </c>
      <c r="P1482" s="7">
        <f>grand[[#This Row],[total weight]]/grand[[#This Row],[received]]</f>
        <v>494.16817359855321</v>
      </c>
      <c r="Q1482" s="7">
        <f>grand[[#This Row],[receiving weight]]/grand[[#This Row],[received]]</f>
        <v>494.16817359855321</v>
      </c>
      <c r="R1482" s="7">
        <f>grand[[#This Row],[transportation loss ]]/grand[[#This Row],[received]]</f>
        <v>0</v>
      </c>
      <c r="S1482" s="7">
        <f>grand[[#This Row],[ carcass weight]]/grand[[#This Row],[received]]</f>
        <v>312.31428571428569</v>
      </c>
      <c r="T1482" s="7">
        <f>grand[[#This Row],[ kidneys fat quantity]]/grand[[#This Row],[received]]</f>
        <v>0</v>
      </c>
      <c r="U1482" s="1">
        <v>25</v>
      </c>
      <c r="V1482" s="1">
        <v>0</v>
      </c>
      <c r="W1482" s="1">
        <v>50</v>
      </c>
      <c r="X1482" s="1">
        <v>10</v>
      </c>
      <c r="Y1482" s="1">
        <v>8.5</v>
      </c>
      <c r="Z1482" s="18">
        <f>grand[[#This Row],[av. Transportation loss]]/grand[[#This Row],[av.total weight]]</f>
        <v>0</v>
      </c>
      <c r="AA1482" s="18">
        <f>AVERAGE((grand[[#This Row],[am]]/25),(grand[[#This Row],[pm]]/50))</f>
        <v>1</v>
      </c>
      <c r="AB1482" s="3">
        <f>grand[[#This Row],[ carcass weight]]/grand[[#This Row],[total weight]]</f>
        <v>0.63200000000000012</v>
      </c>
      <c r="AC1482" s="18">
        <f>SUM(grand[[#This Row],[am]:[meat transportation]])/100</f>
        <v>0.93500000000000005</v>
      </c>
      <c r="AJ1482" s="1">
        <v>1</v>
      </c>
      <c r="AK1482" s="1"/>
      <c r="AL1482" s="1"/>
    </row>
    <row r="1483" spans="1:38" hidden="1" x14ac:dyDescent="0.2">
      <c r="A1483" s="11">
        <v>45840</v>
      </c>
      <c r="B1483" s="53" t="s">
        <v>2249</v>
      </c>
      <c r="C1483" s="52" t="str">
        <f>IF(MID(B1483,4,2)="09","Ramadan",IF(AND(MID(B1483,4,2)="12",VALUE(LEFT(B1483,2))&lt;=9),"Adha Season","Normal"))</f>
        <v>Normal</v>
      </c>
      <c r="D1483" s="2" t="s">
        <v>294</v>
      </c>
      <c r="F1483" s="4" t="s">
        <v>280</v>
      </c>
      <c r="G1483" s="1">
        <v>65</v>
      </c>
      <c r="H1483" s="1">
        <v>65</v>
      </c>
      <c r="I1483" s="1">
        <f>grand[[#This Row],[number]]-grand[[#This Row],[received]]</f>
        <v>0</v>
      </c>
      <c r="J1483" s="30"/>
      <c r="K1483" s="2">
        <v>3215</v>
      </c>
      <c r="L1483" s="2">
        <v>3175</v>
      </c>
      <c r="M1483" s="2">
        <f>K1483-L1483</f>
        <v>40</v>
      </c>
      <c r="N1483" s="2">
        <v>1814</v>
      </c>
      <c r="O1483" s="2">
        <v>0</v>
      </c>
      <c r="P1483" s="7">
        <f>grand[[#This Row],[total weight]]/grand[[#This Row],[received]]</f>
        <v>49.46153846153846</v>
      </c>
      <c r="Q1483" s="7">
        <f>grand[[#This Row],[receiving weight]]/grand[[#This Row],[received]]</f>
        <v>48.846153846153847</v>
      </c>
      <c r="R1483" s="7">
        <f>grand[[#This Row],[transportation loss ]]/grand[[#This Row],[received]]</f>
        <v>0.61538461538461542</v>
      </c>
      <c r="S1483" s="7">
        <f>grand[[#This Row],[ carcass weight]]/grand[[#This Row],[received]]</f>
        <v>27.907692307692308</v>
      </c>
      <c r="T1483" s="7">
        <f>grand[[#This Row],[ kidneys fat quantity]]/grand[[#This Row],[received]]</f>
        <v>0</v>
      </c>
      <c r="U1483" s="1">
        <v>25</v>
      </c>
      <c r="V1483" s="1">
        <v>0</v>
      </c>
      <c r="W1483" s="1">
        <v>39.015384615384619</v>
      </c>
      <c r="X1483" s="1">
        <v>10</v>
      </c>
      <c r="Y1483" s="1">
        <v>8.5</v>
      </c>
      <c r="Z1483" s="18">
        <f>grand[[#This Row],[av. Transportation loss]]/grand[[#This Row],[av.total weight]]</f>
        <v>1.2441679626749613E-2</v>
      </c>
      <c r="AA1483" s="18">
        <f>AVERAGE((grand[[#This Row],[am]]/25),(grand[[#This Row],[pm]]/50))</f>
        <v>0.89015384615384618</v>
      </c>
      <c r="AB1483" s="3">
        <f>grand[[#This Row],[ carcass weight]]/grand[[#This Row],[total weight]]</f>
        <v>0.56423017107309492</v>
      </c>
      <c r="AC1483" s="18">
        <f>SUM(grand[[#This Row],[am]:[meat transportation]])/100</f>
        <v>0.82515384615384624</v>
      </c>
      <c r="AD1483" s="1" t="s">
        <v>731</v>
      </c>
      <c r="AJ1483" s="1">
        <v>0</v>
      </c>
      <c r="AK1483" s="1"/>
      <c r="AL1483" s="1"/>
    </row>
    <row r="1484" spans="1:38" hidden="1" x14ac:dyDescent="0.2">
      <c r="A1484" s="11">
        <v>45841</v>
      </c>
      <c r="B1484" s="53" t="s">
        <v>2250</v>
      </c>
      <c r="C1484" s="52" t="str">
        <f>IF(MID(B1484,4,2)="09","Ramadan",IF(AND(MID(B1484,4,2)="12",VALUE(LEFT(B1484,2))&lt;=9),"Adha Season","Normal"))</f>
        <v>Normal</v>
      </c>
      <c r="D1484" s="1" t="s">
        <v>45</v>
      </c>
      <c r="E1484" s="1" t="s">
        <v>483</v>
      </c>
      <c r="F1484" s="4" t="s">
        <v>280</v>
      </c>
      <c r="G1484" s="1">
        <v>78</v>
      </c>
      <c r="H1484" s="1">
        <v>76</v>
      </c>
      <c r="I1484" s="1">
        <f>grand[[#This Row],[number]]-grand[[#This Row],[received]]</f>
        <v>2</v>
      </c>
      <c r="J1484" s="64" t="s">
        <v>3179</v>
      </c>
      <c r="K1484" s="2">
        <v>33668</v>
      </c>
      <c r="L1484" s="2">
        <v>33270</v>
      </c>
      <c r="M1484" s="2">
        <f>K1484-L1484</f>
        <v>398</v>
      </c>
      <c r="N1484" s="2">
        <v>20324.3</v>
      </c>
      <c r="O1484" s="2">
        <v>633</v>
      </c>
      <c r="P1484" s="7">
        <f>grand[[#This Row],[total weight]]/grand[[#This Row],[received]]</f>
        <v>443</v>
      </c>
      <c r="Q1484" s="7">
        <f>grand[[#This Row],[receiving weight]]/grand[[#This Row],[received]]</f>
        <v>437.76315789473682</v>
      </c>
      <c r="R1484" s="7">
        <f>grand[[#This Row],[transportation loss ]]/grand[[#This Row],[received]]</f>
        <v>5.2368421052631575</v>
      </c>
      <c r="S1484" s="7">
        <f>grand[[#This Row],[ carcass weight]]/grand[[#This Row],[received]]</f>
        <v>267.42500000000001</v>
      </c>
      <c r="T1484" s="7">
        <f>grand[[#This Row],[ kidneys fat quantity]]/grand[[#This Row],[received]]</f>
        <v>8.3289473684210531</v>
      </c>
      <c r="U1484" s="1">
        <v>24.666666666666668</v>
      </c>
      <c r="V1484" s="1">
        <v>0</v>
      </c>
      <c r="W1484" s="1">
        <v>46.72</v>
      </c>
      <c r="X1484" s="1">
        <v>10</v>
      </c>
      <c r="Y1484" s="1">
        <v>8.5</v>
      </c>
      <c r="Z1484" s="18">
        <f>grand[[#This Row],[av. Transportation loss]]/grand[[#This Row],[av.total weight]]</f>
        <v>1.1821314007366045E-2</v>
      </c>
      <c r="AA1484" s="18">
        <f>AVERAGE((grand[[#This Row],[am]]/25),(grand[[#This Row],[pm]]/50))</f>
        <v>0.96053333333333335</v>
      </c>
      <c r="AB1484" s="3">
        <f>grand[[#This Row],[ carcass weight]]/grand[[#This Row],[total weight]]</f>
        <v>0.60366817155756203</v>
      </c>
      <c r="AC1484" s="18">
        <f>SUM(grand[[#This Row],[am]:[meat transportation]])/100</f>
        <v>0.8988666666666667</v>
      </c>
      <c r="AD1484" s="1" t="s">
        <v>737</v>
      </c>
      <c r="AJ1484" s="1">
        <v>38</v>
      </c>
      <c r="AK1484" s="1"/>
      <c r="AL1484" s="1"/>
    </row>
    <row r="1485" spans="1:38" hidden="1" x14ac:dyDescent="0.2">
      <c r="A1485" s="11">
        <v>45843</v>
      </c>
      <c r="B1485" s="53" t="s">
        <v>2251</v>
      </c>
      <c r="C1485" s="52" t="str">
        <f>IF(MID(B1485,4,2)="09","Ramadan",IF(AND(MID(B1485,4,2)="12",VALUE(LEFT(B1485,2))&lt;=9),"Adha Season","Normal"))</f>
        <v>Normal</v>
      </c>
      <c r="D1485" s="1" t="s">
        <v>45</v>
      </c>
      <c r="E1485" s="1" t="s">
        <v>483</v>
      </c>
      <c r="F1485" s="4" t="s">
        <v>280</v>
      </c>
      <c r="G1485" s="1">
        <v>46</v>
      </c>
      <c r="H1485" s="1">
        <v>46</v>
      </c>
      <c r="I1485" s="1">
        <f>grand[[#This Row],[number]]-grand[[#This Row],[received]]</f>
        <v>0</v>
      </c>
      <c r="J1485" s="30"/>
      <c r="K1485" s="2">
        <v>21450</v>
      </c>
      <c r="L1485" s="2">
        <v>21341</v>
      </c>
      <c r="M1485" s="2">
        <f>K1485-L1485</f>
        <v>109</v>
      </c>
      <c r="N1485" s="2">
        <v>12878.9</v>
      </c>
      <c r="O1485" s="2">
        <v>385</v>
      </c>
      <c r="P1485" s="7">
        <f>grand[[#This Row],[total weight]]/grand[[#This Row],[received]]</f>
        <v>466.30434782608694</v>
      </c>
      <c r="Q1485" s="7">
        <f>grand[[#This Row],[receiving weight]]/grand[[#This Row],[received]]</f>
        <v>463.93478260869563</v>
      </c>
      <c r="R1485" s="7">
        <f>grand[[#This Row],[transportation loss ]]/grand[[#This Row],[received]]</f>
        <v>2.3695652173913042</v>
      </c>
      <c r="S1485" s="7">
        <f>grand[[#This Row],[ carcass weight]]/grand[[#This Row],[received]]</f>
        <v>279.97608695652173</v>
      </c>
      <c r="T1485" s="7">
        <f>grand[[#This Row],[ kidneys fat quantity]]/grand[[#This Row],[received]]</f>
        <v>8.3695652173913047</v>
      </c>
      <c r="U1485" s="1">
        <v>24.732142857142858</v>
      </c>
      <c r="V1485" s="1">
        <v>0</v>
      </c>
      <c r="W1485" s="1">
        <v>49.410714285714278</v>
      </c>
      <c r="X1485" s="1">
        <v>10</v>
      </c>
      <c r="Y1485" s="1">
        <v>8.5</v>
      </c>
      <c r="Z1485" s="18">
        <f>grand[[#This Row],[av. Transportation loss]]/grand[[#This Row],[av.total weight]]</f>
        <v>5.0815850815850811E-3</v>
      </c>
      <c r="AA1485" s="18">
        <f>AVERAGE((grand[[#This Row],[am]]/25),(grand[[#This Row],[pm]]/50))</f>
        <v>0.98875000000000002</v>
      </c>
      <c r="AB1485" s="3">
        <f>grand[[#This Row],[ carcass weight]]/grand[[#This Row],[total weight]]</f>
        <v>0.60041491841491845</v>
      </c>
      <c r="AC1485" s="18">
        <f>SUM(grand[[#This Row],[am]:[meat transportation]])/100</f>
        <v>0.92642857142857138</v>
      </c>
      <c r="AD1485" s="1" t="s">
        <v>741</v>
      </c>
      <c r="AJ1485" s="1">
        <v>10</v>
      </c>
      <c r="AK1485" s="1"/>
      <c r="AL1485" s="1"/>
    </row>
    <row r="1486" spans="1:38" hidden="1" x14ac:dyDescent="0.2">
      <c r="A1486" s="11">
        <v>45844</v>
      </c>
      <c r="B1486" s="53" t="s">
        <v>2252</v>
      </c>
      <c r="C1486" s="52" t="str">
        <f>IF(MID(B1486,4,2)="09","Ramadan",IF(AND(MID(B1486,4,2)="12",VALUE(LEFT(B1486,2))&lt;=9),"Adha Season","Normal"))</f>
        <v>Normal</v>
      </c>
      <c r="D1486" s="1" t="s">
        <v>45</v>
      </c>
      <c r="E1486" s="1" t="s">
        <v>483</v>
      </c>
      <c r="F1486" s="4" t="s">
        <v>280</v>
      </c>
      <c r="G1486" s="1">
        <v>52</v>
      </c>
      <c r="H1486" s="1">
        <v>48</v>
      </c>
      <c r="I1486" s="1">
        <f>grand[[#This Row],[number]]-grand[[#This Row],[received]]</f>
        <v>4</v>
      </c>
      <c r="J1486" s="64" t="s">
        <v>3188</v>
      </c>
      <c r="K1486" s="2">
        <v>22170</v>
      </c>
      <c r="L1486" s="2">
        <v>22170</v>
      </c>
      <c r="M1486" s="2">
        <f>K1486-L1486</f>
        <v>0</v>
      </c>
      <c r="N1486" s="2">
        <v>13350.9</v>
      </c>
      <c r="O1486" s="2">
        <v>396</v>
      </c>
      <c r="P1486" s="7">
        <f>grand[[#This Row],[total weight]]/grand[[#This Row],[received]]</f>
        <v>461.875</v>
      </c>
      <c r="Q1486" s="7">
        <f>grand[[#This Row],[receiving weight]]/grand[[#This Row],[received]]</f>
        <v>461.875</v>
      </c>
      <c r="R1486" s="7">
        <f>grand[[#This Row],[transportation loss ]]/grand[[#This Row],[received]]</f>
        <v>0</v>
      </c>
      <c r="S1486" s="7">
        <f>grand[[#This Row],[ carcass weight]]/grand[[#This Row],[received]]</f>
        <v>278.14375000000001</v>
      </c>
      <c r="T1486" s="7">
        <f>grand[[#This Row],[ kidneys fat quantity]]/grand[[#This Row],[received]]</f>
        <v>8.25</v>
      </c>
      <c r="U1486" s="1">
        <v>24.6875</v>
      </c>
      <c r="V1486" s="1">
        <v>0</v>
      </c>
      <c r="W1486" s="1">
        <v>47.583333333333336</v>
      </c>
      <c r="X1486" s="1">
        <v>10</v>
      </c>
      <c r="Y1486" s="1">
        <v>8.5</v>
      </c>
      <c r="Z1486" s="18">
        <f>grand[[#This Row],[av. Transportation loss]]/grand[[#This Row],[av.total weight]]</f>
        <v>0</v>
      </c>
      <c r="AA1486" s="18">
        <f>AVERAGE((grand[[#This Row],[am]]/25),(grand[[#This Row],[pm]]/50))</f>
        <v>0.96958333333333335</v>
      </c>
      <c r="AB1486" s="3">
        <f>grand[[#This Row],[ carcass weight]]/grand[[#This Row],[total weight]]</f>
        <v>0.60220568335588631</v>
      </c>
      <c r="AC1486" s="18">
        <f>SUM(grand[[#This Row],[am]:[meat transportation]])/100</f>
        <v>0.90770833333333345</v>
      </c>
      <c r="AD1486" s="1" t="s">
        <v>742</v>
      </c>
      <c r="AJ1486" s="1">
        <v>18</v>
      </c>
      <c r="AK1486" s="1"/>
      <c r="AL1486" s="1"/>
    </row>
    <row r="1487" spans="1:38" hidden="1" x14ac:dyDescent="0.2">
      <c r="A1487" s="11">
        <v>45845</v>
      </c>
      <c r="B1487" s="53" t="s">
        <v>2253</v>
      </c>
      <c r="C1487" s="52" t="str">
        <f>IF(MID(B1487,4,2)="09","Ramadan",IF(AND(MID(B1487,4,2)="12",VALUE(LEFT(B1487,2))&lt;=9),"Adha Season","Normal"))</f>
        <v>Normal</v>
      </c>
      <c r="D1487" s="1" t="s">
        <v>45</v>
      </c>
      <c r="E1487" s="1" t="s">
        <v>483</v>
      </c>
      <c r="F1487" s="4" t="s">
        <v>280</v>
      </c>
      <c r="G1487" s="1">
        <v>33</v>
      </c>
      <c r="H1487" s="1">
        <v>33</v>
      </c>
      <c r="I1487" s="1">
        <f>grand[[#This Row],[number]]-grand[[#This Row],[received]]</f>
        <v>0</v>
      </c>
      <c r="J1487" s="30"/>
      <c r="K1487" s="2">
        <v>14620</v>
      </c>
      <c r="L1487" s="2">
        <v>14100</v>
      </c>
      <c r="M1487" s="2">
        <f>K1487-L1487</f>
        <v>520</v>
      </c>
      <c r="N1487" s="2">
        <v>8770.5</v>
      </c>
      <c r="O1487" s="2">
        <v>238</v>
      </c>
      <c r="P1487" s="7">
        <f>grand[[#This Row],[total weight]]/grand[[#This Row],[received]]</f>
        <v>443.030303030303</v>
      </c>
      <c r="Q1487" s="7">
        <f>grand[[#This Row],[receiving weight]]/grand[[#This Row],[received]]</f>
        <v>427.27272727272725</v>
      </c>
      <c r="R1487" s="7">
        <f>grand[[#This Row],[transportation loss ]]/grand[[#This Row],[received]]</f>
        <v>15.757575757575758</v>
      </c>
      <c r="S1487" s="7">
        <f>grand[[#This Row],[ carcass weight]]/grand[[#This Row],[received]]</f>
        <v>265.77272727272725</v>
      </c>
      <c r="T1487" s="7">
        <f>grand[[#This Row],[ kidneys fat quantity]]/grand[[#This Row],[received]]</f>
        <v>7.2121212121212119</v>
      </c>
      <c r="U1487" s="1">
        <v>25</v>
      </c>
      <c r="V1487" s="1">
        <v>0</v>
      </c>
      <c r="W1487" s="1">
        <v>46.696969696969703</v>
      </c>
      <c r="X1487" s="1">
        <v>10</v>
      </c>
      <c r="Y1487" s="1">
        <v>8.5</v>
      </c>
      <c r="Z1487" s="18">
        <f>grand[[#This Row],[av. Transportation loss]]/grand[[#This Row],[av.total weight]]</f>
        <v>3.5567715458276333E-2</v>
      </c>
      <c r="AA1487" s="18">
        <f>AVERAGE((grand[[#This Row],[am]]/25),(grand[[#This Row],[pm]]/50))</f>
        <v>0.96696969696969703</v>
      </c>
      <c r="AB1487" s="3">
        <f>grand[[#This Row],[ carcass weight]]/grand[[#This Row],[total weight]]</f>
        <v>0.59989740082079346</v>
      </c>
      <c r="AC1487" s="18">
        <f>SUM(grand[[#This Row],[am]:[meat transportation]])/100</f>
        <v>0.90196969696969698</v>
      </c>
      <c r="AD1487" s="1" t="s">
        <v>743</v>
      </c>
      <c r="AJ1487" s="1">
        <v>10</v>
      </c>
      <c r="AK1487" s="1"/>
      <c r="AL1487" s="1"/>
    </row>
    <row r="1488" spans="1:38" hidden="1" x14ac:dyDescent="0.2">
      <c r="A1488" s="11">
        <v>45846</v>
      </c>
      <c r="B1488" s="53" t="s">
        <v>2254</v>
      </c>
      <c r="C1488" s="52" t="str">
        <f>IF(MID(B1488,4,2)="09","Ramadan",IF(AND(MID(B1488,4,2)="12",VALUE(LEFT(B1488,2))&lt;=9),"Adha Season","Normal"))</f>
        <v>Normal</v>
      </c>
      <c r="D1488" s="1" t="s">
        <v>45</v>
      </c>
      <c r="E1488" s="1" t="s">
        <v>528</v>
      </c>
      <c r="F1488" s="4" t="s">
        <v>462</v>
      </c>
      <c r="G1488" s="1">
        <v>69</v>
      </c>
      <c r="H1488" s="1">
        <v>67</v>
      </c>
      <c r="I1488" s="1">
        <f>grand[[#This Row],[number]]-grand[[#This Row],[received]]</f>
        <v>2</v>
      </c>
      <c r="J1488" s="64" t="s">
        <v>3181</v>
      </c>
      <c r="K1488" s="2">
        <f>grand[[#This Row],[ carcass weight]]*100/63.2</f>
        <v>31740.506329113923</v>
      </c>
      <c r="L1488" s="2">
        <f>grand[[#This Row],[ carcass weight]]*100/63.2</f>
        <v>31740.506329113923</v>
      </c>
      <c r="M1488" s="2">
        <f>K1488-L1488</f>
        <v>0</v>
      </c>
      <c r="N1488" s="2">
        <v>20060</v>
      </c>
      <c r="O1488" s="2">
        <v>0</v>
      </c>
      <c r="P1488" s="7">
        <f>grand[[#This Row],[total weight]]/grand[[#This Row],[received]]</f>
        <v>473.73890043453616</v>
      </c>
      <c r="Q1488" s="7">
        <f>grand[[#This Row],[receiving weight]]/grand[[#This Row],[received]]</f>
        <v>473.73890043453616</v>
      </c>
      <c r="R1488" s="7">
        <f>grand[[#This Row],[transportation loss ]]/grand[[#This Row],[received]]</f>
        <v>0</v>
      </c>
      <c r="S1488" s="7">
        <f>grand[[#This Row],[ carcass weight]]/grand[[#This Row],[received]]</f>
        <v>299.40298507462688</v>
      </c>
      <c r="T1488" s="7">
        <f>grand[[#This Row],[ kidneys fat quantity]]/grand[[#This Row],[received]]</f>
        <v>0</v>
      </c>
      <c r="U1488" s="1">
        <v>24.925373134328357</v>
      </c>
      <c r="V1488" s="1">
        <v>0</v>
      </c>
      <c r="W1488" s="1">
        <v>50</v>
      </c>
      <c r="X1488" s="1">
        <v>9.7761194029850742</v>
      </c>
      <c r="Y1488" s="1">
        <v>8.5</v>
      </c>
      <c r="Z1488" s="18">
        <f>grand[[#This Row],[av. Transportation loss]]/grand[[#This Row],[av.total weight]]</f>
        <v>0</v>
      </c>
      <c r="AA1488" s="18">
        <f>AVERAGE((grand[[#This Row],[am]]/25),(grand[[#This Row],[pm]]/50))</f>
        <v>0.99850746268656709</v>
      </c>
      <c r="AB1488" s="3">
        <f>grand[[#This Row],[ carcass weight]]/grand[[#This Row],[total weight]]</f>
        <v>0.63200000000000001</v>
      </c>
      <c r="AC1488" s="18">
        <f>SUM(grand[[#This Row],[am]:[meat transportation]])/100</f>
        <v>0.93201492537313424</v>
      </c>
      <c r="AJ1488" s="1">
        <v>14</v>
      </c>
      <c r="AK1488" s="1"/>
      <c r="AL1488" s="1"/>
    </row>
    <row r="1489" spans="1:38" hidden="1" x14ac:dyDescent="0.2">
      <c r="A1489" s="11">
        <v>45848</v>
      </c>
      <c r="B1489" s="53" t="s">
        <v>2255</v>
      </c>
      <c r="C1489" s="52" t="str">
        <f>IF(MID(B1489,4,2)="09","Ramadan",IF(AND(MID(B1489,4,2)="12",VALUE(LEFT(B1489,2))&lt;=9),"Adha Season","Normal"))</f>
        <v>Normal</v>
      </c>
      <c r="D1489" s="1" t="s">
        <v>45</v>
      </c>
      <c r="E1489" s="1" t="s">
        <v>483</v>
      </c>
      <c r="F1489" s="4" t="s">
        <v>576</v>
      </c>
      <c r="G1489" s="1">
        <v>48</v>
      </c>
      <c r="H1489" s="1">
        <v>48</v>
      </c>
      <c r="I1489" s="1">
        <f>grand[[#This Row],[number]]-grand[[#This Row],[received]]</f>
        <v>0</v>
      </c>
      <c r="J1489" s="30"/>
      <c r="K1489" s="2">
        <v>22443</v>
      </c>
      <c r="L1489" s="2">
        <v>22443</v>
      </c>
      <c r="M1489" s="2">
        <f>K1489-L1489</f>
        <v>0</v>
      </c>
      <c r="N1489" s="2">
        <v>13650.4</v>
      </c>
      <c r="O1489" s="2">
        <v>389</v>
      </c>
      <c r="P1489" s="7">
        <f>grand[[#This Row],[total weight]]/grand[[#This Row],[received]]</f>
        <v>467.5625</v>
      </c>
      <c r="Q1489" s="7">
        <f>grand[[#This Row],[receiving weight]]/grand[[#This Row],[received]]</f>
        <v>467.5625</v>
      </c>
      <c r="R1489" s="7">
        <f>grand[[#This Row],[transportation loss ]]/grand[[#This Row],[received]]</f>
        <v>0</v>
      </c>
      <c r="S1489" s="7">
        <f>grand[[#This Row],[ carcass weight]]/grand[[#This Row],[received]]</f>
        <v>284.38333333333333</v>
      </c>
      <c r="T1489" s="7">
        <f>grand[[#This Row],[ kidneys fat quantity]]/grand[[#This Row],[received]]</f>
        <v>8.1041666666666661</v>
      </c>
      <c r="U1489" s="1">
        <v>25</v>
      </c>
      <c r="V1489" s="1">
        <v>0</v>
      </c>
      <c r="W1489" s="1">
        <v>44.4375</v>
      </c>
      <c r="X1489" s="1">
        <v>10</v>
      </c>
      <c r="Y1489" s="1">
        <v>8.5</v>
      </c>
      <c r="Z1489" s="18">
        <f>grand[[#This Row],[av. Transportation loss]]/grand[[#This Row],[av.total weight]]</f>
        <v>0</v>
      </c>
      <c r="AA1489" s="18">
        <f>AVERAGE((grand[[#This Row],[am]]/25),(grand[[#This Row],[pm]]/50))</f>
        <v>0.94437499999999996</v>
      </c>
      <c r="AB1489" s="3">
        <f>grand[[#This Row],[ carcass weight]]/grand[[#This Row],[total weight]]</f>
        <v>0.60822528182506796</v>
      </c>
      <c r="AC1489" s="18">
        <f>SUM(grand[[#This Row],[am]:[meat transportation]])/100</f>
        <v>0.87937500000000002</v>
      </c>
      <c r="AD1489" s="1" t="s">
        <v>725</v>
      </c>
      <c r="AJ1489" s="1">
        <v>4</v>
      </c>
      <c r="AK1489" s="1"/>
      <c r="AL1489" s="1"/>
    </row>
    <row r="1490" spans="1:38" hidden="1" x14ac:dyDescent="0.2">
      <c r="A1490" s="11">
        <v>45848</v>
      </c>
      <c r="B1490" s="53" t="s">
        <v>2255</v>
      </c>
      <c r="C1490" s="52" t="str">
        <f>IF(MID(B1490,4,2)="09","Ramadan",IF(AND(MID(B1490,4,2)="12",VALUE(LEFT(B1490,2))&lt;=9),"Adha Season","Normal"))</f>
        <v>Normal</v>
      </c>
      <c r="D1490" s="1" t="s">
        <v>45</v>
      </c>
      <c r="E1490" s="1" t="s">
        <v>483</v>
      </c>
      <c r="F1490" s="4" t="s">
        <v>43</v>
      </c>
      <c r="G1490" s="1">
        <v>24</v>
      </c>
      <c r="H1490" s="1">
        <v>23</v>
      </c>
      <c r="I1490" s="1">
        <f>grand[[#This Row],[number]]-grand[[#This Row],[received]]</f>
        <v>1</v>
      </c>
      <c r="J1490" s="64" t="s">
        <v>723</v>
      </c>
      <c r="K1490" s="2">
        <v>10776</v>
      </c>
      <c r="L1490" s="2">
        <v>10776</v>
      </c>
      <c r="M1490" s="2">
        <f>K1490-L1490</f>
        <v>0</v>
      </c>
      <c r="N1490" s="2">
        <v>6465.3</v>
      </c>
      <c r="O1490" s="2">
        <v>231</v>
      </c>
      <c r="P1490" s="7">
        <f>grand[[#This Row],[total weight]]/grand[[#This Row],[received]]</f>
        <v>468.52173913043481</v>
      </c>
      <c r="Q1490" s="7">
        <f>grand[[#This Row],[receiving weight]]/grand[[#This Row],[received]]</f>
        <v>468.52173913043481</v>
      </c>
      <c r="R1490" s="7">
        <f>grand[[#This Row],[transportation loss ]]/grand[[#This Row],[received]]</f>
        <v>0</v>
      </c>
      <c r="S1490" s="7">
        <f>grand[[#This Row],[ carcass weight]]/grand[[#This Row],[received]]</f>
        <v>281.10000000000002</v>
      </c>
      <c r="T1490" s="7">
        <f>grand[[#This Row],[ kidneys fat quantity]]/grand[[#This Row],[received]]</f>
        <v>10.043478260869565</v>
      </c>
      <c r="U1490" s="1">
        <v>24.782608695652172</v>
      </c>
      <c r="V1490" s="1">
        <v>0</v>
      </c>
      <c r="W1490" s="1">
        <v>47.521739130434781</v>
      </c>
      <c r="X1490" s="1">
        <v>10</v>
      </c>
      <c r="Y1490" s="1">
        <v>8.5</v>
      </c>
      <c r="Z1490" s="18">
        <f>grand[[#This Row],[av. Transportation loss]]/grand[[#This Row],[av.total weight]]</f>
        <v>0</v>
      </c>
      <c r="AA1490" s="18">
        <f>AVERAGE((grand[[#This Row],[am]]/25),(grand[[#This Row],[pm]]/50))</f>
        <v>0.97086956521739132</v>
      </c>
      <c r="AB1490" s="3">
        <f>grand[[#This Row],[ carcass weight]]/grand[[#This Row],[total weight]]</f>
        <v>0.59997216035634748</v>
      </c>
      <c r="AC1490" s="18">
        <f>SUM(grand[[#This Row],[am]:[meat transportation]])/100</f>
        <v>0.90804347826086951</v>
      </c>
      <c r="AD1490" s="1" t="s">
        <v>113</v>
      </c>
      <c r="AJ1490" s="1">
        <v>9</v>
      </c>
      <c r="AK1490" s="1"/>
      <c r="AL1490" s="1"/>
    </row>
    <row r="1491" spans="1:38" hidden="1" x14ac:dyDescent="0.2">
      <c r="A1491" s="11">
        <v>45850</v>
      </c>
      <c r="B1491" s="53" t="s">
        <v>2256</v>
      </c>
      <c r="C1491" s="52" t="str">
        <f>IF(MID(B1491,4,2)="09","Ramadan",IF(AND(MID(B1491,4,2)="12",VALUE(LEFT(B1491,2))&lt;=9),"Adha Season","Normal"))</f>
        <v>Normal</v>
      </c>
      <c r="D1491" s="1" t="s">
        <v>45</v>
      </c>
      <c r="E1491" s="1" t="s">
        <v>528</v>
      </c>
      <c r="F1491" s="4" t="s">
        <v>462</v>
      </c>
      <c r="G1491" s="1">
        <v>39</v>
      </c>
      <c r="H1491" s="1">
        <v>39</v>
      </c>
      <c r="I1491" s="1">
        <f>grand[[#This Row],[number]]-grand[[#This Row],[received]]</f>
        <v>0</v>
      </c>
      <c r="J1491" s="30"/>
      <c r="K1491" s="2">
        <f>grand[[#This Row],[ carcass weight]]*100/63.2</f>
        <v>17405.063291139239</v>
      </c>
      <c r="L1491" s="2">
        <f>grand[[#This Row],[ carcass weight]]*100/63.2</f>
        <v>17405.063291139239</v>
      </c>
      <c r="M1491" s="2">
        <f>K1491-L1491</f>
        <v>0</v>
      </c>
      <c r="N1491" s="2">
        <v>11000</v>
      </c>
      <c r="O1491" s="2">
        <v>0</v>
      </c>
      <c r="P1491" s="7">
        <f>grand[[#This Row],[total weight]]/grand[[#This Row],[received]]</f>
        <v>446.28367413177534</v>
      </c>
      <c r="Q1491" s="7">
        <f>grand[[#This Row],[receiving weight]]/grand[[#This Row],[received]]</f>
        <v>446.28367413177534</v>
      </c>
      <c r="R1491" s="7">
        <f>grand[[#This Row],[transportation loss ]]/grand[[#This Row],[received]]</f>
        <v>0</v>
      </c>
      <c r="S1491" s="7">
        <f>grand[[#This Row],[ carcass weight]]/grand[[#This Row],[received]]</f>
        <v>282.05128205128204</v>
      </c>
      <c r="T1491" s="7">
        <f>grand[[#This Row],[ kidneys fat quantity]]/grand[[#This Row],[received]]</f>
        <v>0</v>
      </c>
      <c r="U1491" s="1">
        <v>25</v>
      </c>
      <c r="V1491" s="1">
        <v>0</v>
      </c>
      <c r="W1491" s="1">
        <v>50</v>
      </c>
      <c r="X1491" s="1">
        <v>10</v>
      </c>
      <c r="Y1491" s="1">
        <v>8.5</v>
      </c>
      <c r="Z1491" s="18">
        <f>grand[[#This Row],[av. Transportation loss]]/grand[[#This Row],[av.total weight]]</f>
        <v>0</v>
      </c>
      <c r="AA1491" s="18">
        <f>AVERAGE((grand[[#This Row],[am]]/25),(grand[[#This Row],[pm]]/50))</f>
        <v>1</v>
      </c>
      <c r="AB1491" s="3">
        <f>grand[[#This Row],[ carcass weight]]/grand[[#This Row],[total weight]]</f>
        <v>0.63200000000000012</v>
      </c>
      <c r="AC1491" s="18">
        <f>SUM(grand[[#This Row],[am]:[meat transportation]])/100</f>
        <v>0.93500000000000005</v>
      </c>
      <c r="AK1491" s="1"/>
      <c r="AL1491" s="1"/>
    </row>
    <row r="1492" spans="1:38" hidden="1" x14ac:dyDescent="0.2">
      <c r="A1492" s="11">
        <v>45851</v>
      </c>
      <c r="B1492" s="53" t="s">
        <v>2257</v>
      </c>
      <c r="C1492" s="52" t="str">
        <f>IF(MID(B1492,4,2)="09","Ramadan",IF(AND(MID(B1492,4,2)="12",VALUE(LEFT(B1492,2))&lt;=9),"Adha Season","Normal"))</f>
        <v>Normal</v>
      </c>
      <c r="D1492" s="1" t="s">
        <v>45</v>
      </c>
      <c r="E1492" s="1" t="s">
        <v>528</v>
      </c>
      <c r="F1492" s="4" t="s">
        <v>462</v>
      </c>
      <c r="G1492" s="1">
        <v>69</v>
      </c>
      <c r="H1492" s="1">
        <v>64</v>
      </c>
      <c r="I1492" s="1">
        <f>grand[[#This Row],[number]]-grand[[#This Row],[received]]</f>
        <v>5</v>
      </c>
      <c r="J1492" s="64" t="s">
        <v>3189</v>
      </c>
      <c r="K1492" s="2">
        <f>grand[[#This Row],[ carcass weight]]*100/63.2</f>
        <v>27959.177215189873</v>
      </c>
      <c r="L1492" s="2">
        <f>grand[[#This Row],[ carcass weight]]*100/63.2</f>
        <v>27959.177215189873</v>
      </c>
      <c r="M1492" s="2">
        <f>K1492-L1492</f>
        <v>0</v>
      </c>
      <c r="N1492" s="2">
        <v>17670.2</v>
      </c>
      <c r="O1492" s="2">
        <v>0</v>
      </c>
      <c r="P1492" s="7">
        <f>grand[[#This Row],[total weight]]/grand[[#This Row],[received]]</f>
        <v>436.86214398734177</v>
      </c>
      <c r="Q1492" s="7">
        <f>grand[[#This Row],[receiving weight]]/grand[[#This Row],[received]]</f>
        <v>436.86214398734177</v>
      </c>
      <c r="R1492" s="7">
        <f>grand[[#This Row],[transportation loss ]]/grand[[#This Row],[received]]</f>
        <v>0</v>
      </c>
      <c r="S1492" s="7">
        <f>grand[[#This Row],[ carcass weight]]/grand[[#This Row],[received]]</f>
        <v>276.09687500000001</v>
      </c>
      <c r="T1492" s="7">
        <f>grand[[#This Row],[ kidneys fat quantity]]/grand[[#This Row],[received]]</f>
        <v>0</v>
      </c>
      <c r="U1492" s="1">
        <v>24.453125</v>
      </c>
      <c r="V1492" s="1">
        <v>0</v>
      </c>
      <c r="W1492" s="1">
        <v>50</v>
      </c>
      <c r="X1492" s="1">
        <v>10</v>
      </c>
      <c r="Y1492" s="1">
        <v>8.5</v>
      </c>
      <c r="Z1492" s="18">
        <f>grand[[#This Row],[av. Transportation loss]]/grand[[#This Row],[av.total weight]]</f>
        <v>0</v>
      </c>
      <c r="AA1492" s="18">
        <f>AVERAGE((grand[[#This Row],[am]]/25),(grand[[#This Row],[pm]]/50))</f>
        <v>0.98906249999999996</v>
      </c>
      <c r="AB1492" s="3">
        <f>grand[[#This Row],[ carcass weight]]/grand[[#This Row],[total weight]]</f>
        <v>0.63200000000000001</v>
      </c>
      <c r="AC1492" s="18">
        <f>SUM(grand[[#This Row],[am]:[meat transportation]])/100</f>
        <v>0.92953125000000003</v>
      </c>
      <c r="AJ1492" s="1">
        <v>23</v>
      </c>
      <c r="AK1492" s="1"/>
      <c r="AL1492" s="1"/>
    </row>
    <row r="1493" spans="1:38" hidden="1" x14ac:dyDescent="0.2">
      <c r="A1493" s="11">
        <v>45853</v>
      </c>
      <c r="B1493" s="53" t="s">
        <v>2258</v>
      </c>
      <c r="C1493" s="52" t="str">
        <f>IF(MID(B1493,4,2)="09","Ramadan",IF(AND(MID(B1493,4,2)="12",VALUE(LEFT(B1493,2))&lt;=9),"Adha Season","Normal"))</f>
        <v>Normal</v>
      </c>
      <c r="D1493" s="2" t="s">
        <v>294</v>
      </c>
      <c r="F1493" s="4" t="s">
        <v>280</v>
      </c>
      <c r="G1493" s="1">
        <v>37</v>
      </c>
      <c r="H1493" s="1">
        <v>37</v>
      </c>
      <c r="I1493" s="1">
        <f>grand[[#This Row],[number]]-grand[[#This Row],[received]]</f>
        <v>0</v>
      </c>
      <c r="J1493" s="30"/>
      <c r="K1493" s="2">
        <v>1900</v>
      </c>
      <c r="L1493" s="2">
        <v>1850</v>
      </c>
      <c r="M1493" s="2">
        <f>K1493-L1493</f>
        <v>50</v>
      </c>
      <c r="N1493" s="2">
        <v>1044.9000000000001</v>
      </c>
      <c r="O1493" s="2">
        <v>0</v>
      </c>
      <c r="P1493" s="7">
        <f>grand[[#This Row],[total weight]]/grand[[#This Row],[received]]</f>
        <v>51.351351351351354</v>
      </c>
      <c r="Q1493" s="7">
        <f>grand[[#This Row],[receiving weight]]/grand[[#This Row],[received]]</f>
        <v>50</v>
      </c>
      <c r="R1493" s="7">
        <f>grand[[#This Row],[transportation loss ]]/grand[[#This Row],[received]]</f>
        <v>1.3513513513513513</v>
      </c>
      <c r="S1493" s="7">
        <f>grand[[#This Row],[ carcass weight]]/grand[[#This Row],[received]]</f>
        <v>28.240540540540543</v>
      </c>
      <c r="T1493" s="7">
        <f>grand[[#This Row],[ kidneys fat quantity]]/grand[[#This Row],[received]]</f>
        <v>0</v>
      </c>
      <c r="U1493" s="1">
        <v>25</v>
      </c>
      <c r="V1493" s="1">
        <v>0</v>
      </c>
      <c r="W1493" s="1">
        <v>48.189189189189186</v>
      </c>
      <c r="X1493" s="1">
        <v>10</v>
      </c>
      <c r="Y1493" s="1">
        <v>8.5</v>
      </c>
      <c r="Z1493" s="18">
        <f>grand[[#This Row],[av. Transportation loss]]/grand[[#This Row],[av.total weight]]</f>
        <v>2.6315789473684209E-2</v>
      </c>
      <c r="AA1493" s="18">
        <f>AVERAGE((grand[[#This Row],[am]]/25),(grand[[#This Row],[pm]]/50))</f>
        <v>0.98189189189189185</v>
      </c>
      <c r="AB1493" s="3">
        <f>grand[[#This Row],[ carcass weight]]/grand[[#This Row],[total weight]]</f>
        <v>0.54994736842105263</v>
      </c>
      <c r="AC1493" s="18">
        <f>SUM(grand[[#This Row],[am]:[meat transportation]])/100</f>
        <v>0.91689189189189191</v>
      </c>
      <c r="AD1493" s="1" t="s">
        <v>727</v>
      </c>
      <c r="AJ1493" s="1">
        <v>0</v>
      </c>
      <c r="AK1493" s="1"/>
      <c r="AL1493" s="1"/>
    </row>
    <row r="1494" spans="1:38" hidden="1" x14ac:dyDescent="0.2">
      <c r="A1494" s="11">
        <v>45853</v>
      </c>
      <c r="B1494" s="53" t="s">
        <v>2258</v>
      </c>
      <c r="C1494" s="52" t="str">
        <f>IF(MID(B1494,4,2)="09","Ramadan",IF(AND(MID(B1494,4,2)="12",VALUE(LEFT(B1494,2))&lt;=9),"Adha Season","Normal"))</f>
        <v>Normal</v>
      </c>
      <c r="D1494" s="1" t="s">
        <v>45</v>
      </c>
      <c r="E1494" s="1" t="s">
        <v>483</v>
      </c>
      <c r="F1494" s="4" t="s">
        <v>280</v>
      </c>
      <c r="G1494" s="1">
        <v>44</v>
      </c>
      <c r="H1494" s="1">
        <v>43</v>
      </c>
      <c r="I1494" s="1">
        <f>grand[[#This Row],[number]]-grand[[#This Row],[received]]</f>
        <v>1</v>
      </c>
      <c r="J1494" s="64" t="s">
        <v>723</v>
      </c>
      <c r="K1494" s="2">
        <v>20630</v>
      </c>
      <c r="L1494" s="2">
        <v>20435</v>
      </c>
      <c r="M1494" s="2">
        <f>K1494-L1494</f>
        <v>195</v>
      </c>
      <c r="N1494" s="2">
        <v>12389.5</v>
      </c>
      <c r="O1494" s="2">
        <v>372</v>
      </c>
      <c r="P1494" s="7">
        <f>grand[[#This Row],[total weight]]/grand[[#This Row],[received]]</f>
        <v>479.76744186046511</v>
      </c>
      <c r="Q1494" s="7">
        <f>grand[[#This Row],[receiving weight]]/grand[[#This Row],[received]]</f>
        <v>475.23255813953489</v>
      </c>
      <c r="R1494" s="7">
        <f>grand[[#This Row],[transportation loss ]]/grand[[#This Row],[received]]</f>
        <v>4.5348837209302326</v>
      </c>
      <c r="S1494" s="7">
        <f>grand[[#This Row],[ carcass weight]]/grand[[#This Row],[received]]</f>
        <v>288.12790697674421</v>
      </c>
      <c r="T1494" s="7">
        <f>grand[[#This Row],[ kidneys fat quantity]]/grand[[#This Row],[received]]</f>
        <v>8.6511627906976738</v>
      </c>
      <c r="U1494" s="1">
        <v>25</v>
      </c>
      <c r="V1494" s="1">
        <v>0</v>
      </c>
      <c r="W1494" s="1">
        <v>47.232558139534888</v>
      </c>
      <c r="X1494" s="1">
        <v>10</v>
      </c>
      <c r="Y1494" s="1">
        <v>8.5</v>
      </c>
      <c r="Z1494" s="18">
        <f>grand[[#This Row],[av. Transportation loss]]/grand[[#This Row],[av.total weight]]</f>
        <v>9.4522539990305379E-3</v>
      </c>
      <c r="AA1494" s="18">
        <f>AVERAGE((grand[[#This Row],[am]]/25),(grand[[#This Row],[pm]]/50))</f>
        <v>0.97232558139534886</v>
      </c>
      <c r="AB1494" s="3">
        <f>grand[[#This Row],[ carcass weight]]/grand[[#This Row],[total weight]]</f>
        <v>0.60055744062045568</v>
      </c>
      <c r="AC1494" s="18">
        <f>SUM(grand[[#This Row],[am]:[meat transportation]])/100</f>
        <v>0.90732558139534891</v>
      </c>
      <c r="AD1494" s="1" t="s">
        <v>726</v>
      </c>
      <c r="AJ1494" s="1">
        <v>16</v>
      </c>
      <c r="AK1494" s="1"/>
      <c r="AL1494" s="1"/>
    </row>
    <row r="1495" spans="1:38" hidden="1" x14ac:dyDescent="0.2">
      <c r="A1495" s="11">
        <v>45854</v>
      </c>
      <c r="B1495" s="53" t="s">
        <v>2259</v>
      </c>
      <c r="C1495" s="52" t="str">
        <f>IF(MID(B1495,4,2)="09","Ramadan",IF(AND(MID(B1495,4,2)="12",VALUE(LEFT(B1495,2))&lt;=9),"Adha Season","Normal"))</f>
        <v>Normal</v>
      </c>
      <c r="D1495" s="1" t="s">
        <v>45</v>
      </c>
      <c r="E1495" s="1" t="s">
        <v>483</v>
      </c>
      <c r="F1495" s="4" t="s">
        <v>280</v>
      </c>
      <c r="G1495" s="1">
        <v>28</v>
      </c>
      <c r="H1495" s="1">
        <v>25</v>
      </c>
      <c r="I1495" s="1">
        <f>grand[[#This Row],[number]]-grand[[#This Row],[received]]</f>
        <v>3</v>
      </c>
      <c r="J1495" s="64" t="s">
        <v>3190</v>
      </c>
      <c r="K1495" s="2">
        <v>11660</v>
      </c>
      <c r="L1495" s="2">
        <v>11660</v>
      </c>
      <c r="M1495" s="2">
        <f>K1495-L1495</f>
        <v>0</v>
      </c>
      <c r="N1495" s="2">
        <v>7027.8</v>
      </c>
      <c r="O1495" s="2">
        <v>224</v>
      </c>
      <c r="P1495" s="7">
        <f>grand[[#This Row],[total weight]]/grand[[#This Row],[received]]</f>
        <v>466.4</v>
      </c>
      <c r="Q1495" s="7">
        <f>grand[[#This Row],[receiving weight]]/grand[[#This Row],[received]]</f>
        <v>466.4</v>
      </c>
      <c r="R1495" s="7">
        <f>grand[[#This Row],[transportation loss ]]/grand[[#This Row],[received]]</f>
        <v>0</v>
      </c>
      <c r="S1495" s="7">
        <f>grand[[#This Row],[ carcass weight]]/grand[[#This Row],[received]]</f>
        <v>281.11200000000002</v>
      </c>
      <c r="T1495" s="7">
        <f>grand[[#This Row],[ kidneys fat quantity]]/grand[[#This Row],[received]]</f>
        <v>8.9600000000000009</v>
      </c>
      <c r="U1495" s="1">
        <v>24.6</v>
      </c>
      <c r="V1495" s="1">
        <v>0</v>
      </c>
      <c r="W1495" s="1">
        <v>47.560000000000009</v>
      </c>
      <c r="X1495" s="1">
        <v>10</v>
      </c>
      <c r="Y1495" s="1">
        <v>8.5</v>
      </c>
      <c r="Z1495" s="18">
        <f>grand[[#This Row],[av. Transportation loss]]/grand[[#This Row],[av.total weight]]</f>
        <v>0</v>
      </c>
      <c r="AA1495" s="18">
        <f>AVERAGE((grand[[#This Row],[am]]/25),(grand[[#This Row],[pm]]/50))</f>
        <v>0.96760000000000013</v>
      </c>
      <c r="AB1495" s="3">
        <f>grand[[#This Row],[ carcass weight]]/grand[[#This Row],[total weight]]</f>
        <v>0.60272727272727278</v>
      </c>
      <c r="AC1495" s="18">
        <f>SUM(grand[[#This Row],[am]:[meat transportation]])/100</f>
        <v>0.90660000000000007</v>
      </c>
      <c r="AD1495" s="1" t="s">
        <v>728</v>
      </c>
      <c r="AJ1495" s="1">
        <v>11</v>
      </c>
      <c r="AK1495" s="1"/>
      <c r="AL1495" s="1"/>
    </row>
    <row r="1496" spans="1:38" hidden="1" x14ac:dyDescent="0.2">
      <c r="A1496" s="11">
        <v>45855</v>
      </c>
      <c r="B1496" s="53" t="s">
        <v>2260</v>
      </c>
      <c r="C1496" s="52" t="str">
        <f>IF(MID(B1496,4,2)="09","Ramadan",IF(AND(MID(B1496,4,2)="12",VALUE(LEFT(B1496,2))&lt;=9),"Adha Season","Normal"))</f>
        <v>Normal</v>
      </c>
      <c r="D1496" s="2" t="s">
        <v>294</v>
      </c>
      <c r="F1496" s="4" t="s">
        <v>640</v>
      </c>
      <c r="G1496" s="1">
        <v>36</v>
      </c>
      <c r="H1496" s="1">
        <v>36</v>
      </c>
      <c r="I1496" s="1">
        <f>grand[[#This Row],[number]]-grand[[#This Row],[received]]</f>
        <v>0</v>
      </c>
      <c r="J1496" s="30"/>
      <c r="K1496" s="2">
        <v>1847</v>
      </c>
      <c r="L1496" s="2">
        <v>1735</v>
      </c>
      <c r="M1496" s="2">
        <f>K1496-L1496</f>
        <v>112</v>
      </c>
      <c r="N1496" s="2">
        <v>953</v>
      </c>
      <c r="O1496" s="2">
        <v>0</v>
      </c>
      <c r="P1496" s="7">
        <f>grand[[#This Row],[total weight]]/grand[[#This Row],[received]]</f>
        <v>51.305555555555557</v>
      </c>
      <c r="Q1496" s="7">
        <f>grand[[#This Row],[receiving weight]]/grand[[#This Row],[received]]</f>
        <v>48.194444444444443</v>
      </c>
      <c r="R1496" s="7">
        <f>grand[[#This Row],[transportation loss ]]/grand[[#This Row],[received]]</f>
        <v>3.1111111111111112</v>
      </c>
      <c r="S1496" s="7">
        <f>grand[[#This Row],[ carcass weight]]/grand[[#This Row],[received]]</f>
        <v>26.472222222222221</v>
      </c>
      <c r="T1496" s="7">
        <f>grand[[#This Row],[ kidneys fat quantity]]/grand[[#This Row],[received]]</f>
        <v>0</v>
      </c>
      <c r="U1496" s="1">
        <v>25</v>
      </c>
      <c r="V1496" s="1">
        <v>0</v>
      </c>
      <c r="W1496" s="1">
        <v>45.666666666666664</v>
      </c>
      <c r="X1496" s="1">
        <v>10</v>
      </c>
      <c r="Y1496" s="1">
        <v>8.5</v>
      </c>
      <c r="Z1496" s="18">
        <f>grand[[#This Row],[av. Transportation loss]]/grand[[#This Row],[av.total weight]]</f>
        <v>6.0638873849485651E-2</v>
      </c>
      <c r="AA1496" s="18">
        <f>AVERAGE((grand[[#This Row],[am]]/25),(grand[[#This Row],[pm]]/50))</f>
        <v>0.95666666666666667</v>
      </c>
      <c r="AB1496" s="3">
        <f>grand[[#This Row],[ carcass weight]]/grand[[#This Row],[total weight]]</f>
        <v>0.51597184623714132</v>
      </c>
      <c r="AC1496" s="18">
        <f>SUM(grand[[#This Row],[am]:[meat transportation]])/100</f>
        <v>0.89166666666666661</v>
      </c>
      <c r="AD1496" s="1" t="s">
        <v>729</v>
      </c>
      <c r="AJ1496" s="1">
        <v>0</v>
      </c>
      <c r="AK1496" s="1"/>
      <c r="AL1496" s="1"/>
    </row>
    <row r="1497" spans="1:38" hidden="1" x14ac:dyDescent="0.2">
      <c r="A1497" s="11">
        <v>45855</v>
      </c>
      <c r="B1497" s="53" t="s">
        <v>2260</v>
      </c>
      <c r="C1497" s="52" t="str">
        <f>IF(MID(B1497,4,2)="09","Ramadan",IF(AND(MID(B1497,4,2)="12",VALUE(LEFT(B1497,2))&lt;=9),"Adha Season","Normal"))</f>
        <v>Normal</v>
      </c>
      <c r="D1497" s="1" t="s">
        <v>45</v>
      </c>
      <c r="E1497" s="1" t="s">
        <v>483</v>
      </c>
      <c r="F1497" s="4" t="s">
        <v>43</v>
      </c>
      <c r="G1497" s="1">
        <v>80</v>
      </c>
      <c r="H1497" s="1">
        <v>76</v>
      </c>
      <c r="I1497" s="1">
        <f>grand[[#This Row],[number]]-grand[[#This Row],[received]]</f>
        <v>4</v>
      </c>
      <c r="J1497" s="64" t="s">
        <v>3188</v>
      </c>
      <c r="K1497" s="2">
        <v>35670</v>
      </c>
      <c r="L1497" s="2">
        <v>33770</v>
      </c>
      <c r="M1497" s="2">
        <f>K1497-L1497</f>
        <v>1900</v>
      </c>
      <c r="N1497" s="2">
        <v>21402.7</v>
      </c>
      <c r="O1497" s="2">
        <v>740</v>
      </c>
      <c r="P1497" s="7">
        <f>grand[[#This Row],[total weight]]/grand[[#This Row],[received]]</f>
        <v>469.34210526315792</v>
      </c>
      <c r="Q1497" s="7">
        <f>grand[[#This Row],[receiving weight]]/grand[[#This Row],[received]]</f>
        <v>444.34210526315792</v>
      </c>
      <c r="R1497" s="7">
        <f>grand[[#This Row],[transportation loss ]]/grand[[#This Row],[received]]</f>
        <v>25</v>
      </c>
      <c r="S1497" s="7">
        <f>grand[[#This Row],[ carcass weight]]/grand[[#This Row],[received]]</f>
        <v>281.61447368421051</v>
      </c>
      <c r="T1497" s="7">
        <f>grand[[#This Row],[ kidneys fat quantity]]/grand[[#This Row],[received]]</f>
        <v>9.7368421052631575</v>
      </c>
      <c r="U1497" s="1">
        <v>24.671052631578949</v>
      </c>
      <c r="V1497" s="1">
        <v>0</v>
      </c>
      <c r="W1497" s="1">
        <v>47.815789473684205</v>
      </c>
      <c r="X1497" s="1">
        <v>10</v>
      </c>
      <c r="Y1497" s="1">
        <v>8.5</v>
      </c>
      <c r="Z1497" s="18">
        <f>grand[[#This Row],[av. Transportation loss]]/grand[[#This Row],[av.total weight]]</f>
        <v>5.3266049901878325E-2</v>
      </c>
      <c r="AA1497" s="18">
        <f>AVERAGE((grand[[#This Row],[am]]/25),(grand[[#This Row],[pm]]/50))</f>
        <v>0.9715789473684211</v>
      </c>
      <c r="AB1497" s="3">
        <f>grand[[#This Row],[ carcass weight]]/grand[[#This Row],[total weight]]</f>
        <v>0.60001962433417444</v>
      </c>
      <c r="AC1497" s="18">
        <f>SUM(grand[[#This Row],[am]:[meat transportation]])/100</f>
        <v>0.90986842105263155</v>
      </c>
      <c r="AD1497" s="1" t="s">
        <v>730</v>
      </c>
      <c r="AJ1497" s="1">
        <v>38</v>
      </c>
      <c r="AK1497" s="1"/>
      <c r="AL1497" s="1"/>
    </row>
    <row r="1498" spans="1:38" hidden="1" x14ac:dyDescent="0.2">
      <c r="A1498" s="11">
        <v>45857</v>
      </c>
      <c r="B1498" s="53" t="s">
        <v>2261</v>
      </c>
      <c r="C1498" s="52" t="str">
        <f>IF(MID(B1498,4,2)="09","Ramadan",IF(AND(MID(B1498,4,2)="12",VALUE(LEFT(B1498,2))&lt;=9),"Adha Season","Normal"))</f>
        <v>Normal</v>
      </c>
      <c r="D1498" s="1" t="s">
        <v>45</v>
      </c>
      <c r="E1498" s="1" t="s">
        <v>483</v>
      </c>
      <c r="F1498" s="4" t="s">
        <v>280</v>
      </c>
      <c r="G1498" s="1">
        <v>45</v>
      </c>
      <c r="H1498" s="1">
        <v>45</v>
      </c>
      <c r="I1498" s="1">
        <f>grand[[#This Row],[number]]-grand[[#This Row],[received]]</f>
        <v>0</v>
      </c>
      <c r="J1498" s="30"/>
      <c r="K1498" s="2">
        <v>21960</v>
      </c>
      <c r="L1498" s="2">
        <v>21595</v>
      </c>
      <c r="M1498" s="2">
        <f>K1498-L1498</f>
        <v>365</v>
      </c>
      <c r="N1498" s="2">
        <v>13193.5</v>
      </c>
      <c r="O1498" s="2">
        <v>387</v>
      </c>
      <c r="P1498" s="7">
        <f>grand[[#This Row],[total weight]]/grand[[#This Row],[received]]</f>
        <v>488</v>
      </c>
      <c r="Q1498" s="7">
        <f>grand[[#This Row],[receiving weight]]/grand[[#This Row],[received]]</f>
        <v>479.88888888888891</v>
      </c>
      <c r="R1498" s="7">
        <f>grand[[#This Row],[transportation loss ]]/grand[[#This Row],[received]]</f>
        <v>8.1111111111111107</v>
      </c>
      <c r="S1498" s="7">
        <f>grand[[#This Row],[ carcass weight]]/grand[[#This Row],[received]]</f>
        <v>293.18888888888887</v>
      </c>
      <c r="T1498" s="7">
        <f>grand[[#This Row],[ kidneys fat quantity]]/grand[[#This Row],[received]]</f>
        <v>8.6</v>
      </c>
      <c r="U1498" s="1">
        <v>24.555555555555557</v>
      </c>
      <c r="V1498" s="1">
        <v>0</v>
      </c>
      <c r="W1498" s="1">
        <v>47.622222222222227</v>
      </c>
      <c r="X1498" s="1">
        <v>10</v>
      </c>
      <c r="Y1498" s="1">
        <v>8.5</v>
      </c>
      <c r="Z1498" s="18">
        <f>grand[[#This Row],[av. Transportation loss]]/grand[[#This Row],[av.total weight]]</f>
        <v>1.6621129326047358E-2</v>
      </c>
      <c r="AA1498" s="18">
        <f>AVERAGE((grand[[#This Row],[am]]/25),(grand[[#This Row],[pm]]/50))</f>
        <v>0.96733333333333338</v>
      </c>
      <c r="AB1498" s="3">
        <f>grand[[#This Row],[ carcass weight]]/grand[[#This Row],[total weight]]</f>
        <v>0.60079690346083792</v>
      </c>
      <c r="AC1498" s="18">
        <f>SUM(grand[[#This Row],[am]:[meat transportation]])/100</f>
        <v>0.90677777777777779</v>
      </c>
      <c r="AD1498" s="1" t="s">
        <v>730</v>
      </c>
      <c r="AJ1498" s="1">
        <v>30</v>
      </c>
      <c r="AK1498" s="1"/>
      <c r="AL1498" s="1"/>
    </row>
    <row r="1499" spans="1:38" hidden="1" x14ac:dyDescent="0.2">
      <c r="A1499" s="11">
        <v>45858</v>
      </c>
      <c r="B1499" s="53" t="s">
        <v>2262</v>
      </c>
      <c r="C1499" s="52" t="str">
        <f>IF(MID(B1499,4,2)="09","Ramadan",IF(AND(MID(B1499,4,2)="12",VALUE(LEFT(B1499,2))&lt;=9),"Adha Season","Normal"))</f>
        <v>Normal</v>
      </c>
      <c r="D1499" s="1" t="s">
        <v>45</v>
      </c>
      <c r="E1499" s="1" t="s">
        <v>483</v>
      </c>
      <c r="F1499" s="4" t="s">
        <v>43</v>
      </c>
      <c r="G1499" s="1">
        <v>56</v>
      </c>
      <c r="H1499" s="1">
        <v>53</v>
      </c>
      <c r="I1499" s="1">
        <f>grand[[#This Row],[number]]-grand[[#This Row],[received]]</f>
        <v>3</v>
      </c>
      <c r="J1499" s="64" t="s">
        <v>3191</v>
      </c>
      <c r="K1499" s="2">
        <v>24372</v>
      </c>
      <c r="L1499" s="2">
        <v>23906</v>
      </c>
      <c r="M1499" s="2">
        <f>K1499-L1499</f>
        <v>466</v>
      </c>
      <c r="N1499" s="2">
        <v>14622.8</v>
      </c>
      <c r="O1499" s="2">
        <v>433</v>
      </c>
      <c r="P1499" s="7">
        <f>grand[[#This Row],[total weight]]/grand[[#This Row],[received]]</f>
        <v>459.84905660377359</v>
      </c>
      <c r="Q1499" s="7">
        <f>grand[[#This Row],[receiving weight]]/grand[[#This Row],[received]]</f>
        <v>451.05660377358492</v>
      </c>
      <c r="R1499" s="7">
        <f>grand[[#This Row],[transportation loss ]]/grand[[#This Row],[received]]</f>
        <v>8.7924528301886795</v>
      </c>
      <c r="S1499" s="7">
        <f>grand[[#This Row],[ carcass weight]]/grand[[#This Row],[received]]</f>
        <v>275.90188679245284</v>
      </c>
      <c r="T1499" s="7">
        <f>grand[[#This Row],[ kidneys fat quantity]]/grand[[#This Row],[received]]</f>
        <v>8.1698113207547163</v>
      </c>
      <c r="U1499" s="1">
        <v>24.622641509433961</v>
      </c>
      <c r="V1499" s="1">
        <v>0</v>
      </c>
      <c r="W1499" s="1">
        <v>49.339622641509443</v>
      </c>
      <c r="X1499" s="1">
        <v>10</v>
      </c>
      <c r="Y1499" s="1">
        <v>8.5</v>
      </c>
      <c r="Z1499" s="18">
        <f>grand[[#This Row],[av. Transportation loss]]/grand[[#This Row],[av.total weight]]</f>
        <v>1.9120301985885442E-2</v>
      </c>
      <c r="AA1499" s="18">
        <f>AVERAGE((grand[[#This Row],[am]]/25),(grand[[#This Row],[pm]]/50))</f>
        <v>0.98584905660377364</v>
      </c>
      <c r="AB1499" s="3">
        <f>grand[[#This Row],[ carcass weight]]/grand[[#This Row],[total weight]]</f>
        <v>0.59998358772361726</v>
      </c>
      <c r="AC1499" s="18">
        <f>SUM(grand[[#This Row],[am]:[meat transportation]])/100</f>
        <v>0.92462264150943407</v>
      </c>
      <c r="AD1499" s="1" t="s">
        <v>732</v>
      </c>
      <c r="AJ1499" s="1">
        <v>25</v>
      </c>
      <c r="AK1499" s="1"/>
      <c r="AL1499" s="1"/>
    </row>
    <row r="1500" spans="1:38" hidden="1" x14ac:dyDescent="0.2">
      <c r="A1500" s="11">
        <v>45859</v>
      </c>
      <c r="B1500" s="53" t="s">
        <v>2263</v>
      </c>
      <c r="C1500" s="52" t="str">
        <f>IF(MID(B1500,4,2)="09","Ramadan",IF(AND(MID(B1500,4,2)="12",VALUE(LEFT(B1500,2))&lt;=9),"Adha Season","Normal"))</f>
        <v>Normal</v>
      </c>
      <c r="D1500" s="1" t="s">
        <v>45</v>
      </c>
      <c r="E1500" s="1" t="s">
        <v>483</v>
      </c>
      <c r="F1500" s="4" t="s">
        <v>43</v>
      </c>
      <c r="G1500" s="1">
        <v>36</v>
      </c>
      <c r="H1500" s="1">
        <v>34</v>
      </c>
      <c r="I1500" s="1">
        <f>grand[[#This Row],[number]]-grand[[#This Row],[received]]</f>
        <v>2</v>
      </c>
      <c r="J1500" s="64" t="s">
        <v>3182</v>
      </c>
      <c r="K1500" s="2">
        <v>15360</v>
      </c>
      <c r="L1500" s="2">
        <v>15089</v>
      </c>
      <c r="M1500" s="2">
        <f>K1500-L1500</f>
        <v>271</v>
      </c>
      <c r="N1500" s="2">
        <v>9215.7999999999993</v>
      </c>
      <c r="O1500" s="2">
        <v>338</v>
      </c>
      <c r="P1500" s="7">
        <f>grand[[#This Row],[total weight]]/grand[[#This Row],[received]]</f>
        <v>451.76470588235293</v>
      </c>
      <c r="Q1500" s="7">
        <f>grand[[#This Row],[receiving weight]]/grand[[#This Row],[received]]</f>
        <v>443.79411764705884</v>
      </c>
      <c r="R1500" s="7">
        <f>grand[[#This Row],[transportation loss ]]/grand[[#This Row],[received]]</f>
        <v>7.9705882352941178</v>
      </c>
      <c r="S1500" s="7">
        <f>grand[[#This Row],[ carcass weight]]/grand[[#This Row],[received]]</f>
        <v>271.05294117647054</v>
      </c>
      <c r="T1500" s="7">
        <f>grand[[#This Row],[ kidneys fat quantity]]/grand[[#This Row],[received]]</f>
        <v>9.9411764705882355</v>
      </c>
      <c r="U1500" s="1">
        <v>24.411764705882355</v>
      </c>
      <c r="V1500" s="1">
        <v>0</v>
      </c>
      <c r="W1500" s="1">
        <v>46.382352941176471</v>
      </c>
      <c r="X1500" s="1">
        <v>10</v>
      </c>
      <c r="Y1500" s="1">
        <v>8.5</v>
      </c>
      <c r="Z1500" s="18">
        <f>grand[[#This Row],[av. Transportation loss]]/grand[[#This Row],[av.total weight]]</f>
        <v>1.7643229166666666E-2</v>
      </c>
      <c r="AA1500" s="18">
        <f>AVERAGE((grand[[#This Row],[am]]/25),(grand[[#This Row],[pm]]/50))</f>
        <v>0.95205882352941185</v>
      </c>
      <c r="AB1500" s="3">
        <f>grand[[#This Row],[ carcass weight]]/grand[[#This Row],[total weight]]</f>
        <v>0.59998697916666666</v>
      </c>
      <c r="AC1500" s="18">
        <f>SUM(grand[[#This Row],[am]:[meat transportation]])/100</f>
        <v>0.89294117647058824</v>
      </c>
      <c r="AD1500" s="1" t="s">
        <v>733</v>
      </c>
      <c r="AJ1500" s="1">
        <v>18</v>
      </c>
      <c r="AK1500" s="1"/>
      <c r="AL1500" s="1"/>
    </row>
    <row r="1501" spans="1:38" hidden="1" x14ac:dyDescent="0.2">
      <c r="A1501" s="11">
        <v>45860</v>
      </c>
      <c r="B1501" s="53" t="s">
        <v>2264</v>
      </c>
      <c r="C1501" s="52" t="str">
        <f>IF(MID(B1501,4,2)="09","Ramadan",IF(AND(MID(B1501,4,2)="12",VALUE(LEFT(B1501,2))&lt;=9),"Adha Season","Normal"))</f>
        <v>Normal</v>
      </c>
      <c r="D1501" s="1" t="s">
        <v>45</v>
      </c>
      <c r="E1501" s="1" t="s">
        <v>483</v>
      </c>
      <c r="F1501" s="4" t="s">
        <v>280</v>
      </c>
      <c r="G1501" s="1">
        <v>48</v>
      </c>
      <c r="H1501" s="1">
        <v>47</v>
      </c>
      <c r="I1501" s="1">
        <f>grand[[#This Row],[number]]-grand[[#This Row],[received]]</f>
        <v>1</v>
      </c>
      <c r="J1501" s="64" t="s">
        <v>723</v>
      </c>
      <c r="K1501" s="2">
        <v>23020</v>
      </c>
      <c r="L1501" s="2">
        <v>22345</v>
      </c>
      <c r="M1501" s="2">
        <f>K1501-L1501</f>
        <v>675</v>
      </c>
      <c r="N1501" s="2">
        <v>13822</v>
      </c>
      <c r="O1501" s="2">
        <v>473</v>
      </c>
      <c r="P1501" s="7">
        <f>grand[[#This Row],[total weight]]/grand[[#This Row],[received]]</f>
        <v>489.78723404255317</v>
      </c>
      <c r="Q1501" s="7">
        <f>grand[[#This Row],[receiving weight]]/grand[[#This Row],[received]]</f>
        <v>475.42553191489361</v>
      </c>
      <c r="R1501" s="7">
        <f>grand[[#This Row],[transportation loss ]]/grand[[#This Row],[received]]</f>
        <v>14.361702127659575</v>
      </c>
      <c r="S1501" s="7">
        <f>grand[[#This Row],[ carcass weight]]/grand[[#This Row],[received]]</f>
        <v>294.08510638297872</v>
      </c>
      <c r="T1501" s="7">
        <f>grand[[#This Row],[ kidneys fat quantity]]/grand[[#This Row],[received]]</f>
        <v>10.063829787234043</v>
      </c>
      <c r="U1501" s="1">
        <v>24.468085106382979</v>
      </c>
      <c r="V1501" s="1">
        <v>0</v>
      </c>
      <c r="W1501" s="1">
        <v>47.468085106382979</v>
      </c>
      <c r="X1501" s="1">
        <v>10</v>
      </c>
      <c r="Y1501" s="1">
        <v>8.5</v>
      </c>
      <c r="Z1501" s="18">
        <f>grand[[#This Row],[av. Transportation loss]]/grand[[#This Row],[av.total weight]]</f>
        <v>2.9322328410078195E-2</v>
      </c>
      <c r="AA1501" s="18">
        <f>AVERAGE((grand[[#This Row],[am]]/25),(grand[[#This Row],[pm]]/50))</f>
        <v>0.96404255319148935</v>
      </c>
      <c r="AB1501" s="3">
        <f>grand[[#This Row],[ carcass weight]]/grand[[#This Row],[total weight]]</f>
        <v>0.6004344048653345</v>
      </c>
      <c r="AC1501" s="18">
        <f>SUM(grand[[#This Row],[am]:[meat transportation]])/100</f>
        <v>0.90436170212765954</v>
      </c>
      <c r="AD1501" s="2" t="s">
        <v>744</v>
      </c>
      <c r="AE1501" s="2"/>
      <c r="AF1501" s="2"/>
      <c r="AG1501" s="2"/>
      <c r="AH1501" s="2"/>
      <c r="AI1501" s="2"/>
      <c r="AJ1501" s="2">
        <v>18</v>
      </c>
    </row>
    <row r="1502" spans="1:38" hidden="1" x14ac:dyDescent="0.2">
      <c r="A1502" s="11">
        <v>45861</v>
      </c>
      <c r="B1502" s="53" t="s">
        <v>2265</v>
      </c>
      <c r="C1502" s="52" t="str">
        <f>IF(MID(B1502,4,2)="09","Ramadan",IF(AND(MID(B1502,4,2)="12",VALUE(LEFT(B1502,2))&lt;=9),"Adha Season","Normal"))</f>
        <v>Normal</v>
      </c>
      <c r="D1502" s="2" t="s">
        <v>294</v>
      </c>
      <c r="F1502" s="4" t="s">
        <v>280</v>
      </c>
      <c r="G1502" s="1">
        <v>54</v>
      </c>
      <c r="H1502" s="1">
        <v>54</v>
      </c>
      <c r="I1502" s="1">
        <f>grand[[#This Row],[number]]-grand[[#This Row],[received]]</f>
        <v>0</v>
      </c>
      <c r="J1502" s="30"/>
      <c r="K1502" s="2">
        <v>2655</v>
      </c>
      <c r="L1502" s="2">
        <v>2655</v>
      </c>
      <c r="M1502" s="2">
        <f>K1502-L1502</f>
        <v>0</v>
      </c>
      <c r="N1502" s="2">
        <v>1420.2</v>
      </c>
      <c r="O1502" s="2">
        <v>0</v>
      </c>
      <c r="P1502" s="7">
        <f>grand[[#This Row],[total weight]]/grand[[#This Row],[received]]</f>
        <v>49.166666666666664</v>
      </c>
      <c r="Q1502" s="7">
        <f>grand[[#This Row],[receiving weight]]/grand[[#This Row],[received]]</f>
        <v>49.166666666666664</v>
      </c>
      <c r="R1502" s="7">
        <f>grand[[#This Row],[transportation loss ]]/grand[[#This Row],[received]]</f>
        <v>0</v>
      </c>
      <c r="S1502" s="7">
        <f>grand[[#This Row],[ carcass weight]]/grand[[#This Row],[received]]</f>
        <v>26.3</v>
      </c>
      <c r="T1502" s="7">
        <f>grand[[#This Row],[ kidneys fat quantity]]/grand[[#This Row],[received]]</f>
        <v>0</v>
      </c>
      <c r="U1502" s="1">
        <v>25</v>
      </c>
      <c r="V1502" s="1">
        <v>0</v>
      </c>
      <c r="W1502" s="1">
        <v>48.592592592592595</v>
      </c>
      <c r="X1502" s="1">
        <v>10</v>
      </c>
      <c r="Y1502" s="1">
        <v>8.5</v>
      </c>
      <c r="Z1502" s="18">
        <f>grand[[#This Row],[av. Transportation loss]]/grand[[#This Row],[av.total weight]]</f>
        <v>0</v>
      </c>
      <c r="AA1502" s="18">
        <f>AVERAGE((grand[[#This Row],[am]]/25),(grand[[#This Row],[pm]]/50))</f>
        <v>0.98592592592592587</v>
      </c>
      <c r="AB1502" s="3">
        <f>grand[[#This Row],[ carcass weight]]/grand[[#This Row],[total weight]]</f>
        <v>0.53491525423728814</v>
      </c>
      <c r="AC1502" s="18">
        <f>SUM(grand[[#This Row],[am]:[meat transportation]])/100</f>
        <v>0.92092592592592593</v>
      </c>
      <c r="AD1502" s="2" t="s">
        <v>736</v>
      </c>
      <c r="AE1502" s="2"/>
      <c r="AF1502" s="2"/>
      <c r="AG1502" s="2"/>
      <c r="AH1502" s="2"/>
      <c r="AI1502" s="2"/>
      <c r="AJ1502" s="2">
        <v>0</v>
      </c>
    </row>
    <row r="1503" spans="1:38" hidden="1" x14ac:dyDescent="0.2">
      <c r="A1503" s="11">
        <v>45861</v>
      </c>
      <c r="B1503" s="53" t="s">
        <v>2265</v>
      </c>
      <c r="C1503" s="52" t="str">
        <f>IF(MID(B1503,4,2)="09","Ramadan",IF(AND(MID(B1503,4,2)="12",VALUE(LEFT(B1503,2))&lt;=9),"Adha Season","Normal"))</f>
        <v>Normal</v>
      </c>
      <c r="D1503" s="1" t="s">
        <v>45</v>
      </c>
      <c r="E1503" s="1" t="s">
        <v>483</v>
      </c>
      <c r="F1503" s="4" t="s">
        <v>280</v>
      </c>
      <c r="G1503" s="1">
        <v>35</v>
      </c>
      <c r="H1503" s="1">
        <v>34</v>
      </c>
      <c r="I1503" s="1">
        <f>grand[[#This Row],[number]]-grand[[#This Row],[received]]</f>
        <v>1</v>
      </c>
      <c r="J1503" s="64" t="s">
        <v>653</v>
      </c>
      <c r="K1503" s="2">
        <v>15850</v>
      </c>
      <c r="L1503" s="2">
        <v>15850</v>
      </c>
      <c r="M1503" s="2">
        <f>K1503-L1503</f>
        <v>0</v>
      </c>
      <c r="N1503" s="2">
        <v>9511.6</v>
      </c>
      <c r="O1503" s="2">
        <v>276</v>
      </c>
      <c r="P1503" s="7">
        <f>grand[[#This Row],[total weight]]/grand[[#This Row],[received]]</f>
        <v>466.1764705882353</v>
      </c>
      <c r="Q1503" s="7">
        <f>grand[[#This Row],[receiving weight]]/grand[[#This Row],[received]]</f>
        <v>466.1764705882353</v>
      </c>
      <c r="R1503" s="7">
        <f>grand[[#This Row],[transportation loss ]]/grand[[#This Row],[received]]</f>
        <v>0</v>
      </c>
      <c r="S1503" s="7">
        <f>grand[[#This Row],[ carcass weight]]/grand[[#This Row],[received]]</f>
        <v>279.75294117647059</v>
      </c>
      <c r="T1503" s="7">
        <f>grand[[#This Row],[ kidneys fat quantity]]/grand[[#This Row],[received]]</f>
        <v>8.117647058823529</v>
      </c>
      <c r="U1503" s="1">
        <v>25</v>
      </c>
      <c r="V1503" s="1">
        <v>0</v>
      </c>
      <c r="W1503" s="1">
        <v>46.117647058823529</v>
      </c>
      <c r="X1503" s="1">
        <v>10</v>
      </c>
      <c r="Y1503" s="1">
        <v>8.5</v>
      </c>
      <c r="Z1503" s="18">
        <f>grand[[#This Row],[av. Transportation loss]]/grand[[#This Row],[av.total weight]]</f>
        <v>0</v>
      </c>
      <c r="AA1503" s="18">
        <f>AVERAGE((grand[[#This Row],[am]]/25),(grand[[#This Row],[pm]]/50))</f>
        <v>0.9611764705882353</v>
      </c>
      <c r="AB1503" s="3">
        <f>grand[[#This Row],[ carcass weight]]/grand[[#This Row],[total weight]]</f>
        <v>0.60010094637223976</v>
      </c>
      <c r="AC1503" s="18">
        <f>SUM(grand[[#This Row],[am]:[meat transportation]])/100</f>
        <v>0.89617647058823535</v>
      </c>
      <c r="AD1503" s="2" t="s">
        <v>117</v>
      </c>
      <c r="AE1503" s="2"/>
      <c r="AF1503" s="2"/>
      <c r="AG1503" s="2"/>
      <c r="AH1503" s="2"/>
      <c r="AI1503" s="2"/>
      <c r="AJ1503" s="2">
        <v>24</v>
      </c>
    </row>
    <row r="1504" spans="1:38" hidden="1" x14ac:dyDescent="0.2">
      <c r="A1504" s="11">
        <v>45862</v>
      </c>
      <c r="B1504" s="53" t="s">
        <v>2266</v>
      </c>
      <c r="C1504" s="52" t="str">
        <f>IF(MID(B1504,4,2)="09","Ramadan",IF(AND(MID(B1504,4,2)="12",VALUE(LEFT(B1504,2))&lt;=9),"Adha Season","Normal"))</f>
        <v>Normal</v>
      </c>
      <c r="D1504" s="1" t="s">
        <v>45</v>
      </c>
      <c r="E1504" s="1" t="s">
        <v>483</v>
      </c>
      <c r="F1504" s="4" t="s">
        <v>280</v>
      </c>
      <c r="G1504" s="1">
        <v>72</v>
      </c>
      <c r="H1504" s="1">
        <v>71</v>
      </c>
      <c r="I1504" s="1">
        <f>grand[[#This Row],[number]]-grand[[#This Row],[received]]</f>
        <v>1</v>
      </c>
      <c r="J1504" s="64" t="s">
        <v>723</v>
      </c>
      <c r="K1504" s="2">
        <v>33450</v>
      </c>
      <c r="L1504" s="2">
        <v>32335</v>
      </c>
      <c r="M1504" s="2">
        <f>K1504-L1504</f>
        <v>1115</v>
      </c>
      <c r="N1504" s="2">
        <v>20108.2</v>
      </c>
      <c r="O1504" s="2">
        <v>524</v>
      </c>
      <c r="P1504" s="7">
        <f>grand[[#This Row],[total weight]]/grand[[#This Row],[received]]</f>
        <v>471.12676056338029</v>
      </c>
      <c r="Q1504" s="7">
        <f>grand[[#This Row],[receiving weight]]/grand[[#This Row],[received]]</f>
        <v>455.42253521126759</v>
      </c>
      <c r="R1504" s="7">
        <f>grand[[#This Row],[transportation loss ]]/grand[[#This Row],[received]]</f>
        <v>15.704225352112676</v>
      </c>
      <c r="S1504" s="7">
        <f>grand[[#This Row],[ carcass weight]]/grand[[#This Row],[received]]</f>
        <v>283.21408450704229</v>
      </c>
      <c r="T1504" s="7">
        <f>grand[[#This Row],[ kidneys fat quantity]]/grand[[#This Row],[received]]</f>
        <v>7.380281690140845</v>
      </c>
      <c r="U1504" s="1">
        <v>24.589041095890412</v>
      </c>
      <c r="V1504" s="1">
        <v>0</v>
      </c>
      <c r="W1504" s="1">
        <v>47.794520547945197</v>
      </c>
      <c r="X1504" s="1">
        <v>10</v>
      </c>
      <c r="Y1504" s="1">
        <v>8.5</v>
      </c>
      <c r="Z1504" s="18">
        <f>grand[[#This Row],[av. Transportation loss]]/grand[[#This Row],[av.total weight]]</f>
        <v>3.3333333333333333E-2</v>
      </c>
      <c r="AA1504" s="18">
        <f>AVERAGE((grand[[#This Row],[am]]/25),(grand[[#This Row],[pm]]/50))</f>
        <v>0.96972602739726022</v>
      </c>
      <c r="AB1504" s="3">
        <f>grand[[#This Row],[ carcass weight]]/grand[[#This Row],[total weight]]</f>
        <v>0.60114200298953668</v>
      </c>
      <c r="AC1504" s="18">
        <f>SUM(grand[[#This Row],[am]:[meat transportation]])/100</f>
        <v>0.90883561643835609</v>
      </c>
      <c r="AD1504" s="1" t="s">
        <v>89</v>
      </c>
      <c r="AJ1504" s="1">
        <v>27</v>
      </c>
      <c r="AK1504" s="1"/>
      <c r="AL1504" s="1"/>
    </row>
    <row r="1505" spans="1:38" hidden="1" x14ac:dyDescent="0.2">
      <c r="A1505" s="11">
        <v>45864</v>
      </c>
      <c r="B1505" s="53" t="s">
        <v>2267</v>
      </c>
      <c r="C1505" s="52" t="str">
        <f>IF(MID(B1505,4,2)="09","Ramadan",IF(AND(MID(B1505,4,2)="12",VALUE(LEFT(B1505,2))&lt;=9),"Adha Season","Normal"))</f>
        <v>Normal</v>
      </c>
      <c r="D1505" s="1" t="s">
        <v>45</v>
      </c>
      <c r="E1505" s="1" t="s">
        <v>483</v>
      </c>
      <c r="F1505" s="4" t="s">
        <v>43</v>
      </c>
      <c r="G1505" s="1">
        <v>40</v>
      </c>
      <c r="H1505" s="1">
        <v>37</v>
      </c>
      <c r="I1505" s="1">
        <f>grand[[#This Row],[number]]-grand[[#This Row],[received]]</f>
        <v>3</v>
      </c>
      <c r="J1505" s="64" t="s">
        <v>3192</v>
      </c>
      <c r="K1505" s="2">
        <v>18364</v>
      </c>
      <c r="L1505" s="2">
        <v>17355</v>
      </c>
      <c r="M1505" s="2">
        <f>K1505-L1505</f>
        <v>1009</v>
      </c>
      <c r="N1505" s="2">
        <v>11018.7</v>
      </c>
      <c r="O1505" s="2">
        <v>334</v>
      </c>
      <c r="P1505" s="7">
        <f>grand[[#This Row],[total weight]]/grand[[#This Row],[received]]</f>
        <v>496.32432432432432</v>
      </c>
      <c r="Q1505" s="7">
        <f>grand[[#This Row],[receiving weight]]/grand[[#This Row],[received]]</f>
        <v>469.05405405405406</v>
      </c>
      <c r="R1505" s="7">
        <f>grand[[#This Row],[transportation loss ]]/grand[[#This Row],[received]]</f>
        <v>27.27027027027027</v>
      </c>
      <c r="S1505" s="7">
        <f>grand[[#This Row],[ carcass weight]]/grand[[#This Row],[received]]</f>
        <v>297.80270270270273</v>
      </c>
      <c r="T1505" s="7">
        <f>grand[[#This Row],[ kidneys fat quantity]]/grand[[#This Row],[received]]</f>
        <v>9.0270270270270263</v>
      </c>
      <c r="U1505" s="1">
        <v>24.45945945945946</v>
      </c>
      <c r="V1505" s="1">
        <v>0</v>
      </c>
      <c r="W1505" s="1">
        <v>49.054054054054056</v>
      </c>
      <c r="X1505" s="1">
        <v>10</v>
      </c>
      <c r="Y1505" s="1">
        <v>8.5</v>
      </c>
      <c r="Z1505" s="18">
        <f>grand[[#This Row],[av. Transportation loss]]/grand[[#This Row],[av.total weight]]</f>
        <v>5.4944456545414945E-2</v>
      </c>
      <c r="AA1505" s="18">
        <f>AVERAGE((grand[[#This Row],[am]]/25),(grand[[#This Row],[pm]]/50))</f>
        <v>0.97972972972972983</v>
      </c>
      <c r="AB1505" s="3">
        <f>grand[[#This Row],[ carcass weight]]/grand[[#This Row],[total weight]]</f>
        <v>0.60001633631017215</v>
      </c>
      <c r="AC1505" s="18">
        <f>SUM(grand[[#This Row],[am]:[meat transportation]])/100</f>
        <v>0.92013513513513512</v>
      </c>
      <c r="AD1505" s="1" t="s">
        <v>734</v>
      </c>
      <c r="AJ1505" s="1">
        <v>22</v>
      </c>
      <c r="AK1505" s="1"/>
      <c r="AL1505" s="1"/>
    </row>
    <row r="1506" spans="1:38" hidden="1" x14ac:dyDescent="0.2">
      <c r="A1506" s="11">
        <v>45865</v>
      </c>
      <c r="B1506" s="53" t="s">
        <v>2268</v>
      </c>
      <c r="C1506" s="52" t="str">
        <f>IF(MID(B1506,4,2)="09","Ramadan",IF(AND(MID(B1506,4,2)="12",VALUE(LEFT(B1506,2))&lt;=9),"Adha Season","Normal"))</f>
        <v>Normal</v>
      </c>
      <c r="D1506" s="1" t="s">
        <v>45</v>
      </c>
      <c r="E1506" s="1" t="s">
        <v>483</v>
      </c>
      <c r="F1506" s="4" t="s">
        <v>43</v>
      </c>
      <c r="G1506" s="1">
        <v>55</v>
      </c>
      <c r="H1506" s="1">
        <v>44</v>
      </c>
      <c r="I1506" s="1">
        <f>grand[[#This Row],[number]]-grand[[#This Row],[received]]</f>
        <v>11</v>
      </c>
      <c r="J1506" s="64" t="s">
        <v>3193</v>
      </c>
      <c r="K1506" s="2">
        <v>21281</v>
      </c>
      <c r="L1506" s="2">
        <v>19754</v>
      </c>
      <c r="M1506" s="2">
        <f>K1506-L1506</f>
        <v>1527</v>
      </c>
      <c r="N1506" s="2">
        <v>12768.5</v>
      </c>
      <c r="O1506" s="2">
        <v>447</v>
      </c>
      <c r="P1506" s="7">
        <f>grand[[#This Row],[total weight]]/grand[[#This Row],[received]]</f>
        <v>483.65909090909093</v>
      </c>
      <c r="Q1506" s="7">
        <f>grand[[#This Row],[receiving weight]]/grand[[#This Row],[received]]</f>
        <v>448.95454545454544</v>
      </c>
      <c r="R1506" s="7">
        <f>grand[[#This Row],[transportation loss ]]/grand[[#This Row],[received]]</f>
        <v>34.704545454545453</v>
      </c>
      <c r="S1506" s="7">
        <f>grand[[#This Row],[ carcass weight]]/grand[[#This Row],[received]]</f>
        <v>290.19318181818181</v>
      </c>
      <c r="T1506" s="7">
        <f>grand[[#This Row],[ kidneys fat quantity]]/grand[[#This Row],[received]]</f>
        <v>10.159090909090908</v>
      </c>
      <c r="U1506" s="1">
        <v>24.545454545454547</v>
      </c>
      <c r="V1506" s="1">
        <v>0</v>
      </c>
      <c r="W1506" s="1">
        <v>46.886363636363633</v>
      </c>
      <c r="X1506" s="1">
        <v>10</v>
      </c>
      <c r="Y1506" s="1">
        <v>8.5</v>
      </c>
      <c r="Z1506" s="18">
        <f>grand[[#This Row],[av. Transportation loss]]/grand[[#This Row],[av.total weight]]</f>
        <v>7.1754146891593429E-2</v>
      </c>
      <c r="AA1506" s="18">
        <f>AVERAGE((grand[[#This Row],[am]]/25),(grand[[#This Row],[pm]]/50))</f>
        <v>0.95977272727272722</v>
      </c>
      <c r="AB1506" s="3">
        <f>grand[[#This Row],[ carcass weight]]/grand[[#This Row],[total weight]]</f>
        <v>0.5999953009726986</v>
      </c>
      <c r="AC1506" s="18">
        <f>SUM(grand[[#This Row],[am]:[meat transportation]])/100</f>
        <v>0.89931818181818191</v>
      </c>
      <c r="AD1506" s="2" t="s">
        <v>745</v>
      </c>
      <c r="AE1506" s="2"/>
      <c r="AF1506" s="2"/>
      <c r="AG1506" s="2"/>
      <c r="AH1506" s="2"/>
      <c r="AI1506" s="2"/>
      <c r="AJ1506" s="2">
        <v>19</v>
      </c>
    </row>
    <row r="1507" spans="1:38" hidden="1" x14ac:dyDescent="0.2">
      <c r="A1507" s="11">
        <v>45866</v>
      </c>
      <c r="B1507" s="53" t="s">
        <v>2269</v>
      </c>
      <c r="C1507" s="52" t="str">
        <f>IF(MID(B1507,4,2)="09","Ramadan",IF(AND(MID(B1507,4,2)="12",VALUE(LEFT(B1507,2))&lt;=9),"Adha Season","Normal"))</f>
        <v>Normal</v>
      </c>
      <c r="D1507" s="1" t="s">
        <v>45</v>
      </c>
      <c r="E1507" s="1" t="s">
        <v>483</v>
      </c>
      <c r="F1507" s="4" t="s">
        <v>43</v>
      </c>
      <c r="G1507" s="1">
        <v>39</v>
      </c>
      <c r="H1507" s="1">
        <v>36</v>
      </c>
      <c r="I1507" s="1">
        <f>grand[[#This Row],[number]]-grand[[#This Row],[received]]</f>
        <v>3</v>
      </c>
      <c r="J1507" s="64" t="s">
        <v>3190</v>
      </c>
      <c r="K1507" s="2">
        <v>16196</v>
      </c>
      <c r="L1507" s="2">
        <v>15188</v>
      </c>
      <c r="M1507" s="2">
        <f>K1507-L1507</f>
        <v>1008</v>
      </c>
      <c r="N1507" s="2">
        <v>9717.1</v>
      </c>
      <c r="O1507" s="2">
        <v>319</v>
      </c>
      <c r="P1507" s="7">
        <f>grand[[#This Row],[total weight]]/grand[[#This Row],[received]]</f>
        <v>449.88888888888891</v>
      </c>
      <c r="Q1507" s="7">
        <f>grand[[#This Row],[receiving weight]]/grand[[#This Row],[received]]</f>
        <v>421.88888888888891</v>
      </c>
      <c r="R1507" s="7">
        <f>grand[[#This Row],[transportation loss ]]/grand[[#This Row],[received]]</f>
        <v>28</v>
      </c>
      <c r="S1507" s="7">
        <f>grand[[#This Row],[ carcass weight]]/grand[[#This Row],[received]]</f>
        <v>269.91944444444448</v>
      </c>
      <c r="T1507" s="7">
        <f>grand[[#This Row],[ kidneys fat quantity]]/grand[[#This Row],[received]]</f>
        <v>8.8611111111111107</v>
      </c>
      <c r="U1507" s="1">
        <v>23.888888888888889</v>
      </c>
      <c r="V1507" s="1">
        <v>0</v>
      </c>
      <c r="W1507" s="1">
        <v>45.638888888888893</v>
      </c>
      <c r="X1507" s="1">
        <v>10</v>
      </c>
      <c r="Y1507" s="1">
        <v>8.5</v>
      </c>
      <c r="Z1507" s="18">
        <f>grand[[#This Row],[av. Transportation loss]]/grand[[#This Row],[av.total weight]]</f>
        <v>6.2237589528278583E-2</v>
      </c>
      <c r="AA1507" s="18">
        <f>AVERAGE((grand[[#This Row],[am]]/25),(grand[[#This Row],[pm]]/50))</f>
        <v>0.93416666666666681</v>
      </c>
      <c r="AB1507" s="3">
        <f>grand[[#This Row],[ carcass weight]]/grand[[#This Row],[total weight]]</f>
        <v>0.59996912817979753</v>
      </c>
      <c r="AC1507" s="18">
        <f>SUM(grand[[#This Row],[am]:[meat transportation]])/100</f>
        <v>0.88027777777777783</v>
      </c>
      <c r="AD1507" s="1" t="s">
        <v>735</v>
      </c>
      <c r="AJ1507" s="1">
        <v>19</v>
      </c>
      <c r="AK1507" s="1"/>
      <c r="AL1507" s="1"/>
    </row>
    <row r="1508" spans="1:38" hidden="1" x14ac:dyDescent="0.2">
      <c r="A1508" s="11">
        <v>45867</v>
      </c>
      <c r="B1508" s="53" t="s">
        <v>2270</v>
      </c>
      <c r="C1508" s="52" t="str">
        <f>IF(MID(B1508,4,2)="09","Ramadan",IF(AND(MID(B1508,4,2)="12",VALUE(LEFT(B1508,2))&lt;=9),"Adha Season","Normal"))</f>
        <v>Normal</v>
      </c>
      <c r="D1508" s="2" t="s">
        <v>294</v>
      </c>
      <c r="F1508" s="4" t="s">
        <v>656</v>
      </c>
      <c r="G1508" s="1">
        <v>40</v>
      </c>
      <c r="H1508" s="1">
        <v>40</v>
      </c>
      <c r="I1508" s="1">
        <f>grand[[#This Row],[number]]-grand[[#This Row],[received]]</f>
        <v>0</v>
      </c>
      <c r="J1508" s="30"/>
      <c r="K1508" s="2">
        <v>1820</v>
      </c>
      <c r="L1508" s="2">
        <v>1820</v>
      </c>
      <c r="M1508" s="2">
        <f>K1508-L1508</f>
        <v>0</v>
      </c>
      <c r="N1508" s="2">
        <v>1030.7</v>
      </c>
      <c r="O1508" s="2">
        <v>0</v>
      </c>
      <c r="P1508" s="7">
        <f>grand[[#This Row],[total weight]]/grand[[#This Row],[received]]</f>
        <v>45.5</v>
      </c>
      <c r="Q1508" s="7">
        <f>grand[[#This Row],[receiving weight]]/grand[[#This Row],[received]]</f>
        <v>45.5</v>
      </c>
      <c r="R1508" s="7">
        <f>grand[[#This Row],[transportation loss ]]/grand[[#This Row],[received]]</f>
        <v>0</v>
      </c>
      <c r="S1508" s="7">
        <f>grand[[#This Row],[ carcass weight]]/grand[[#This Row],[received]]</f>
        <v>25.767500000000002</v>
      </c>
      <c r="T1508" s="7">
        <f>grand[[#This Row],[ kidneys fat quantity]]/grand[[#This Row],[received]]</f>
        <v>0</v>
      </c>
      <c r="U1508" s="1">
        <v>25</v>
      </c>
      <c r="V1508" s="1">
        <v>0</v>
      </c>
      <c r="W1508" s="1">
        <v>48.125</v>
      </c>
      <c r="X1508" s="1">
        <v>10</v>
      </c>
      <c r="Y1508" s="1">
        <v>8.5</v>
      </c>
      <c r="Z1508" s="18">
        <f>grand[[#This Row],[av. Transportation loss]]/grand[[#This Row],[av.total weight]]</f>
        <v>0</v>
      </c>
      <c r="AA1508" s="18">
        <f>AVERAGE((grand[[#This Row],[am]]/25),(grand[[#This Row],[pm]]/50))</f>
        <v>0.98124999999999996</v>
      </c>
      <c r="AB1508" s="3">
        <f>grand[[#This Row],[ carcass weight]]/grand[[#This Row],[total weight]]</f>
        <v>0.56631868131868135</v>
      </c>
      <c r="AC1508" s="18">
        <f>SUM(grand[[#This Row],[am]:[meat transportation]])/100</f>
        <v>0.91625000000000001</v>
      </c>
      <c r="AD1508" s="1" t="s">
        <v>736</v>
      </c>
      <c r="AJ1508" s="1">
        <v>0</v>
      </c>
      <c r="AK1508" s="1"/>
      <c r="AL1508" s="1"/>
    </row>
    <row r="1509" spans="1:38" hidden="1" x14ac:dyDescent="0.2">
      <c r="A1509" s="11">
        <v>45867</v>
      </c>
      <c r="B1509" s="53" t="s">
        <v>2270</v>
      </c>
      <c r="C1509" s="52" t="str">
        <f>IF(MID(B1509,4,2)="09","Ramadan",IF(AND(MID(B1509,4,2)="12",VALUE(LEFT(B1509,2))&lt;=9),"Adha Season","Normal"))</f>
        <v>Normal</v>
      </c>
      <c r="D1509" s="1" t="s">
        <v>45</v>
      </c>
      <c r="E1509" s="1" t="s">
        <v>483</v>
      </c>
      <c r="F1509" s="4" t="s">
        <v>576</v>
      </c>
      <c r="G1509" s="1">
        <v>50</v>
      </c>
      <c r="H1509" s="1">
        <v>50</v>
      </c>
      <c r="I1509" s="1">
        <f>grand[[#This Row],[number]]-grand[[#This Row],[received]]</f>
        <v>0</v>
      </c>
      <c r="J1509" s="30"/>
      <c r="K1509" s="2">
        <v>22443</v>
      </c>
      <c r="L1509" s="2">
        <v>22443</v>
      </c>
      <c r="M1509" s="2">
        <f>K1509-L1509</f>
        <v>0</v>
      </c>
      <c r="N1509" s="2">
        <v>13607.8</v>
      </c>
      <c r="O1509" s="2">
        <v>356</v>
      </c>
      <c r="P1509" s="7">
        <f>grand[[#This Row],[total weight]]/grand[[#This Row],[received]]</f>
        <v>448.86</v>
      </c>
      <c r="Q1509" s="7">
        <f>grand[[#This Row],[receiving weight]]/grand[[#This Row],[received]]</f>
        <v>448.86</v>
      </c>
      <c r="R1509" s="7">
        <f>grand[[#This Row],[transportation loss ]]/grand[[#This Row],[received]]</f>
        <v>0</v>
      </c>
      <c r="S1509" s="7">
        <f>grand[[#This Row],[ carcass weight]]/grand[[#This Row],[received]]</f>
        <v>272.15600000000001</v>
      </c>
      <c r="T1509" s="7">
        <f>grand[[#This Row],[ kidneys fat quantity]]/grand[[#This Row],[received]]</f>
        <v>7.12</v>
      </c>
      <c r="U1509" s="1">
        <v>25</v>
      </c>
      <c r="V1509" s="1">
        <v>0</v>
      </c>
      <c r="W1509" s="1">
        <v>39.619999999999997</v>
      </c>
      <c r="X1509" s="1">
        <v>10</v>
      </c>
      <c r="Y1509" s="1">
        <v>8.5</v>
      </c>
      <c r="Z1509" s="18">
        <f>grand[[#This Row],[av. Transportation loss]]/grand[[#This Row],[av.total weight]]</f>
        <v>0</v>
      </c>
      <c r="AA1509" s="18">
        <f>AVERAGE((grand[[#This Row],[am]]/25),(grand[[#This Row],[pm]]/50))</f>
        <v>0.8962</v>
      </c>
      <c r="AB1509" s="3">
        <f>grand[[#This Row],[ carcass weight]]/grand[[#This Row],[total weight]]</f>
        <v>0.60632713986543685</v>
      </c>
      <c r="AC1509" s="18">
        <f>SUM(grand[[#This Row],[am]:[meat transportation]])/100</f>
        <v>0.83120000000000005</v>
      </c>
      <c r="AD1509" s="1" t="s">
        <v>97</v>
      </c>
      <c r="AJ1509" s="1">
        <v>6</v>
      </c>
      <c r="AK1509" s="1"/>
      <c r="AL1509" s="1"/>
    </row>
    <row r="1510" spans="1:38" hidden="1" x14ac:dyDescent="0.2">
      <c r="A1510" s="11">
        <v>45868</v>
      </c>
      <c r="B1510" s="53" t="s">
        <v>2271</v>
      </c>
      <c r="C1510" s="52" t="str">
        <f>IF(MID(B1510,4,2)="09","Ramadan",IF(AND(MID(B1510,4,2)="12",VALUE(LEFT(B1510,2))&lt;=9),"Adha Season","Normal"))</f>
        <v>Normal</v>
      </c>
      <c r="D1510" s="1" t="s">
        <v>45</v>
      </c>
      <c r="E1510" s="1" t="s">
        <v>483</v>
      </c>
      <c r="F1510" s="4" t="s">
        <v>280</v>
      </c>
      <c r="G1510" s="1">
        <v>32</v>
      </c>
      <c r="H1510" s="1">
        <v>32</v>
      </c>
      <c r="I1510" s="1">
        <f>grand[[#This Row],[number]]-grand[[#This Row],[received]]</f>
        <v>0</v>
      </c>
      <c r="J1510" s="30"/>
      <c r="K1510" s="2">
        <v>14535</v>
      </c>
      <c r="L1510" s="2">
        <v>14535</v>
      </c>
      <c r="M1510" s="2">
        <f>K1510-L1510</f>
        <v>0</v>
      </c>
      <c r="N1510" s="2">
        <v>8761.5</v>
      </c>
      <c r="O1510" s="2">
        <v>289</v>
      </c>
      <c r="P1510" s="7">
        <f>grand[[#This Row],[total weight]]/grand[[#This Row],[received]]</f>
        <v>454.21875</v>
      </c>
      <c r="Q1510" s="7">
        <f>grand[[#This Row],[receiving weight]]/grand[[#This Row],[received]]</f>
        <v>454.21875</v>
      </c>
      <c r="R1510" s="7">
        <f>grand[[#This Row],[transportation loss ]]/grand[[#This Row],[received]]</f>
        <v>0</v>
      </c>
      <c r="S1510" s="7">
        <f>grand[[#This Row],[ carcass weight]]/grand[[#This Row],[received]]</f>
        <v>273.796875</v>
      </c>
      <c r="T1510" s="7">
        <f>grand[[#This Row],[ kidneys fat quantity]]/grand[[#This Row],[received]]</f>
        <v>9.03125</v>
      </c>
      <c r="U1510" s="1">
        <v>24.53125</v>
      </c>
      <c r="V1510" s="1">
        <v>0</v>
      </c>
      <c r="W1510" s="1">
        <v>47</v>
      </c>
      <c r="X1510" s="1">
        <v>10</v>
      </c>
      <c r="Y1510" s="1">
        <v>8.5</v>
      </c>
      <c r="Z1510" s="18">
        <f>grand[[#This Row],[av. Transportation loss]]/grand[[#This Row],[av.total weight]]</f>
        <v>0</v>
      </c>
      <c r="AA1510" s="18">
        <f>AVERAGE((grand[[#This Row],[am]]/25),(grand[[#This Row],[pm]]/50))</f>
        <v>0.96062499999999995</v>
      </c>
      <c r="AB1510" s="3">
        <f>grand[[#This Row],[ carcass weight]]/grand[[#This Row],[total weight]]</f>
        <v>0.60278637770897836</v>
      </c>
      <c r="AC1510" s="18">
        <f>SUM(grand[[#This Row],[am]:[meat transportation]])/100</f>
        <v>0.90031249999999996</v>
      </c>
      <c r="AD1510" s="1" t="s">
        <v>738</v>
      </c>
      <c r="AJ1510" s="1">
        <v>10</v>
      </c>
      <c r="AK1510" s="1"/>
      <c r="AL1510" s="1"/>
    </row>
    <row r="1511" spans="1:38" hidden="1" x14ac:dyDescent="0.2">
      <c r="A1511" s="11">
        <v>45869</v>
      </c>
      <c r="B1511" s="53" t="s">
        <v>2272</v>
      </c>
      <c r="C1511" s="52" t="str">
        <f>IF(MID(B1511,4,2)="09","Ramadan",IF(AND(MID(B1511,4,2)="12",VALUE(LEFT(B1511,2))&lt;=9),"Adha Season","Normal"))</f>
        <v>Normal</v>
      </c>
      <c r="D1511" s="2" t="s">
        <v>294</v>
      </c>
      <c r="F1511" s="4" t="s">
        <v>280</v>
      </c>
      <c r="G1511" s="1">
        <v>52</v>
      </c>
      <c r="H1511" s="1">
        <v>52</v>
      </c>
      <c r="I1511" s="1">
        <f>grand[[#This Row],[number]]-grand[[#This Row],[received]]</f>
        <v>0</v>
      </c>
      <c r="J1511" s="30"/>
      <c r="K1511" s="2">
        <v>2416</v>
      </c>
      <c r="L1511" s="2">
        <v>2405</v>
      </c>
      <c r="M1511" s="2">
        <f>K1511-L1511</f>
        <v>11</v>
      </c>
      <c r="N1511" s="2">
        <v>1406.3</v>
      </c>
      <c r="O1511" s="2">
        <v>0</v>
      </c>
      <c r="P1511" s="7">
        <f>grand[[#This Row],[total weight]]/grand[[#This Row],[received]]</f>
        <v>46.46153846153846</v>
      </c>
      <c r="Q1511" s="7">
        <f>grand[[#This Row],[receiving weight]]/grand[[#This Row],[received]]</f>
        <v>46.25</v>
      </c>
      <c r="R1511" s="7">
        <f>grand[[#This Row],[transportation loss ]]/grand[[#This Row],[received]]</f>
        <v>0.21153846153846154</v>
      </c>
      <c r="S1511" s="7">
        <f>grand[[#This Row],[ carcass weight]]/grand[[#This Row],[received]]</f>
        <v>27.044230769230769</v>
      </c>
      <c r="T1511" s="7">
        <f>grand[[#This Row],[ kidneys fat quantity]]/grand[[#This Row],[received]]</f>
        <v>0</v>
      </c>
      <c r="U1511" s="1">
        <v>25</v>
      </c>
      <c r="V1511" s="1">
        <v>0</v>
      </c>
      <c r="W1511" s="1">
        <v>44.249999999999993</v>
      </c>
      <c r="X1511" s="1">
        <v>10</v>
      </c>
      <c r="Y1511" s="1">
        <v>8.5</v>
      </c>
      <c r="Z1511" s="18">
        <f>grand[[#This Row],[av. Transportation loss]]/grand[[#This Row],[av.total weight]]</f>
        <v>4.552980132450331E-3</v>
      </c>
      <c r="AA1511" s="18">
        <f>AVERAGE((grand[[#This Row],[am]]/25),(grand[[#This Row],[pm]]/50))</f>
        <v>0.94249999999999989</v>
      </c>
      <c r="AB1511" s="3">
        <f>grand[[#This Row],[ carcass weight]]/grand[[#This Row],[total weight]]</f>
        <v>0.58207781456953644</v>
      </c>
      <c r="AC1511" s="18">
        <f>SUM(grand[[#This Row],[am]:[meat transportation]])/100</f>
        <v>0.87749999999999995</v>
      </c>
      <c r="AD1511" s="1" t="s">
        <v>739</v>
      </c>
      <c r="AJ1511" s="1">
        <v>0</v>
      </c>
      <c r="AK1511" s="1"/>
      <c r="AL1511" s="1"/>
    </row>
    <row r="1512" spans="1:38" hidden="1" x14ac:dyDescent="0.2">
      <c r="A1512" s="11">
        <v>45869</v>
      </c>
      <c r="B1512" s="53" t="s">
        <v>2272</v>
      </c>
      <c r="C1512" s="52" t="str">
        <f>IF(MID(B1512,4,2)="09","Ramadan",IF(AND(MID(B1512,4,2)="12",VALUE(LEFT(B1512,2))&lt;=9),"Adha Season","Normal"))</f>
        <v>Normal</v>
      </c>
      <c r="D1512" s="1" t="s">
        <v>45</v>
      </c>
      <c r="E1512" s="1" t="s">
        <v>483</v>
      </c>
      <c r="F1512" s="4" t="s">
        <v>280</v>
      </c>
      <c r="G1512" s="1">
        <v>82</v>
      </c>
      <c r="H1512" s="1">
        <v>79</v>
      </c>
      <c r="I1512" s="1">
        <f>grand[[#This Row],[number]]-grand[[#This Row],[received]]</f>
        <v>3</v>
      </c>
      <c r="J1512" s="64" t="s">
        <v>3194</v>
      </c>
      <c r="K1512" s="2">
        <v>36980</v>
      </c>
      <c r="L1512" s="2">
        <v>35985</v>
      </c>
      <c r="M1512" s="2">
        <f>K1512-L1512</f>
        <v>995</v>
      </c>
      <c r="N1512" s="2">
        <v>22503.4</v>
      </c>
      <c r="O1512" s="2">
        <v>723</v>
      </c>
      <c r="P1512" s="7">
        <f>grand[[#This Row],[total weight]]/grand[[#This Row],[received]]</f>
        <v>468.1012658227848</v>
      </c>
      <c r="Q1512" s="7">
        <f>grand[[#This Row],[receiving weight]]/grand[[#This Row],[received]]</f>
        <v>455.50632911392404</v>
      </c>
      <c r="R1512" s="7">
        <f>grand[[#This Row],[transportation loss ]]/grand[[#This Row],[received]]</f>
        <v>12.594936708860759</v>
      </c>
      <c r="S1512" s="7">
        <f>grand[[#This Row],[ carcass weight]]/grand[[#This Row],[received]]</f>
        <v>284.85316455696204</v>
      </c>
      <c r="T1512" s="7">
        <f>grand[[#This Row],[ kidneys fat quantity]]/grand[[#This Row],[received]]</f>
        <v>9.151898734177216</v>
      </c>
      <c r="U1512" s="1">
        <v>24.620253164556964</v>
      </c>
      <c r="V1512" s="1">
        <v>0</v>
      </c>
      <c r="W1512" s="1">
        <v>49.341772151898731</v>
      </c>
      <c r="X1512" s="1">
        <v>10</v>
      </c>
      <c r="Y1512" s="1">
        <v>8.5</v>
      </c>
      <c r="Z1512" s="18">
        <f>grand[[#This Row],[av. Transportation loss]]/grand[[#This Row],[av.total weight]]</f>
        <v>2.6906435911303407E-2</v>
      </c>
      <c r="AA1512" s="18">
        <f>AVERAGE((grand[[#This Row],[am]]/25),(grand[[#This Row],[pm]]/50))</f>
        <v>0.98582278481012664</v>
      </c>
      <c r="AB1512" s="3">
        <f>grand[[#This Row],[ carcass weight]]/grand[[#This Row],[total weight]]</f>
        <v>0.60852893455922119</v>
      </c>
      <c r="AC1512" s="18">
        <f>SUM(grand[[#This Row],[am]:[meat transportation]])/100</f>
        <v>0.92462025316455698</v>
      </c>
      <c r="AD1512" s="1" t="s">
        <v>740</v>
      </c>
      <c r="AJ1512" s="1">
        <v>26</v>
      </c>
      <c r="AK1512" s="1"/>
      <c r="AL1512" s="1"/>
    </row>
    <row r="1513" spans="1:38" hidden="1" x14ac:dyDescent="0.2">
      <c r="A1513" s="11">
        <v>45871</v>
      </c>
      <c r="B1513" s="53" t="s">
        <v>2273</v>
      </c>
      <c r="C1513" s="52" t="str">
        <f>IF(MID(B1513,4,2)="09","Ramadan",IF(AND(MID(B1513,4,2)="12",VALUE(LEFT(B1513,2))&lt;=9),"Adha Season","Normal"))</f>
        <v>Normal</v>
      </c>
      <c r="D1513" s="1" t="s">
        <v>45</v>
      </c>
      <c r="E1513" s="1" t="s">
        <v>528</v>
      </c>
      <c r="F1513" s="4" t="s">
        <v>752</v>
      </c>
      <c r="G1513" s="1">
        <v>46</v>
      </c>
      <c r="H1513">
        <v>46</v>
      </c>
      <c r="I1513">
        <f>grand[[#This Row],[number]]-grand[[#This Row],[received]]</f>
        <v>0</v>
      </c>
      <c r="J1513" s="30"/>
      <c r="K1513" s="2">
        <f>14109.1*100/63.2</f>
        <v>22324.525316455696</v>
      </c>
      <c r="L1513" s="2">
        <f>14109.1*100/63.2</f>
        <v>22324.525316455696</v>
      </c>
      <c r="M1513" s="2">
        <f>K1513-L1513</f>
        <v>0</v>
      </c>
      <c r="N1513" s="2">
        <v>14109.1</v>
      </c>
      <c r="O1513" s="2">
        <v>0</v>
      </c>
      <c r="P1513" s="7">
        <f>grand[[#This Row],[total weight]]/grand[[#This Row],[received]]</f>
        <v>485.31576774903687</v>
      </c>
      <c r="Q1513" s="7">
        <f>grand[[#This Row],[receiving weight]]/grand[[#This Row],[received]]</f>
        <v>485.31576774903687</v>
      </c>
      <c r="R1513" s="7">
        <f>grand[[#This Row],[transportation loss ]]/grand[[#This Row],[received]]</f>
        <v>0</v>
      </c>
      <c r="S1513" s="7">
        <f>grand[[#This Row],[ carcass weight]]/grand[[#This Row],[received]]</f>
        <v>306.71956521739133</v>
      </c>
      <c r="T1513" s="7">
        <f>grand[[#This Row],[ kidneys fat quantity]]/grand[[#This Row],[received]]</f>
        <v>0</v>
      </c>
      <c r="U1513">
        <v>24.89130434782609</v>
      </c>
      <c r="V1513">
        <v>0</v>
      </c>
      <c r="W1513">
        <v>50</v>
      </c>
      <c r="X1513">
        <v>10</v>
      </c>
      <c r="Y1513">
        <v>8.5</v>
      </c>
      <c r="Z1513" s="18">
        <f>grand[[#This Row],[av. Transportation loss]]/grand[[#This Row],[av.total weight]]</f>
        <v>0</v>
      </c>
      <c r="AA1513" s="18">
        <f>AVERAGE((grand[[#This Row],[am]]/25),(grand[[#This Row],[pm]]/50))</f>
        <v>0.99782608695652186</v>
      </c>
      <c r="AB1513" s="3">
        <f>grand[[#This Row],[ carcass weight]]/grand[[#This Row],[total weight]]</f>
        <v>0.63200000000000001</v>
      </c>
      <c r="AC1513" s="18">
        <f>SUM(grand[[#This Row],[am]:[meat transportation]])/100</f>
        <v>0.93391304347826098</v>
      </c>
      <c r="AD1513" s="2"/>
      <c r="AE1513" s="2"/>
      <c r="AF1513" s="2"/>
      <c r="AG1513" s="2"/>
      <c r="AH1513" s="2"/>
      <c r="AI1513" s="2"/>
      <c r="AJ1513" s="2">
        <v>14</v>
      </c>
    </row>
    <row r="1514" spans="1:38" hidden="1" x14ac:dyDescent="0.2">
      <c r="A1514" s="11">
        <v>45872</v>
      </c>
      <c r="B1514" s="53" t="s">
        <v>2274</v>
      </c>
      <c r="C1514" s="52" t="str">
        <f>IF(MID(B1514,4,2)="09","Ramadan",IF(AND(MID(B1514,4,2)="12",VALUE(LEFT(B1514,2))&lt;=9),"Adha Season","Normal"))</f>
        <v>Normal</v>
      </c>
      <c r="D1514" s="1" t="s">
        <v>45</v>
      </c>
      <c r="E1514" s="1" t="s">
        <v>483</v>
      </c>
      <c r="F1514" s="4" t="s">
        <v>884</v>
      </c>
      <c r="G1514" s="1">
        <v>58</v>
      </c>
      <c r="H1514">
        <v>58</v>
      </c>
      <c r="I1514">
        <f>grand[[#This Row],[number]]-grand[[#This Row],[received]]</f>
        <v>0</v>
      </c>
      <c r="J1514" s="30"/>
      <c r="K1514" s="2">
        <v>26655</v>
      </c>
      <c r="L1514" s="2">
        <v>25765</v>
      </c>
      <c r="M1514" s="2">
        <f>K1514-L1514</f>
        <v>890</v>
      </c>
      <c r="N1514" s="2">
        <v>16097.9</v>
      </c>
      <c r="O1514" s="2">
        <v>465</v>
      </c>
      <c r="P1514" s="7">
        <f>grand[[#This Row],[total weight]]/grand[[#This Row],[received]]</f>
        <v>459.56896551724139</v>
      </c>
      <c r="Q1514" s="7">
        <f>grand[[#This Row],[receiving weight]]/grand[[#This Row],[received]]</f>
        <v>444.22413793103448</v>
      </c>
      <c r="R1514" s="7">
        <f>grand[[#This Row],[transportation loss ]]/grand[[#This Row],[received]]</f>
        <v>15.344827586206897</v>
      </c>
      <c r="S1514" s="7">
        <f>grand[[#This Row],[ carcass weight]]/grand[[#This Row],[received]]</f>
        <v>277.55</v>
      </c>
      <c r="T1514" s="7">
        <f>grand[[#This Row],[ kidneys fat quantity]]/grand[[#This Row],[received]]</f>
        <v>8.0172413793103452</v>
      </c>
      <c r="U1514">
        <v>25</v>
      </c>
      <c r="V1514">
        <v>0</v>
      </c>
      <c r="W1514">
        <v>48.103448275862064</v>
      </c>
      <c r="X1514">
        <v>10</v>
      </c>
      <c r="Y1514">
        <v>8.5</v>
      </c>
      <c r="Z1514" s="18">
        <f>grand[[#This Row],[av. Transportation loss]]/grand[[#This Row],[av.total weight]]</f>
        <v>3.3389607953479644E-2</v>
      </c>
      <c r="AA1514" s="18">
        <f>AVERAGE((grand[[#This Row],[am]]/25),(grand[[#This Row],[pm]]/50))</f>
        <v>0.9810344827586206</v>
      </c>
      <c r="AB1514" s="3">
        <f>grand[[#This Row],[ carcass weight]]/grand[[#This Row],[total weight]]</f>
        <v>0.60393547176889883</v>
      </c>
      <c r="AC1514" s="18">
        <f>SUM(grand[[#This Row],[am]:[meat transportation]])/100</f>
        <v>0.91603448275862065</v>
      </c>
      <c r="AD1514" s="2" t="s">
        <v>771</v>
      </c>
      <c r="AE1514" s="2"/>
      <c r="AF1514" s="2"/>
      <c r="AG1514" s="2"/>
      <c r="AH1514" s="2"/>
      <c r="AI1514" s="2"/>
      <c r="AJ1514" s="2">
        <v>1</v>
      </c>
    </row>
    <row r="1515" spans="1:38" hidden="1" x14ac:dyDescent="0.2">
      <c r="A1515" s="11">
        <v>45873</v>
      </c>
      <c r="B1515" s="53" t="s">
        <v>2275</v>
      </c>
      <c r="C1515" s="52" t="str">
        <f>IF(MID(B1515,4,2)="09","Ramadan",IF(AND(MID(B1515,4,2)="12",VALUE(LEFT(B1515,2))&lt;=9),"Adha Season","Normal"))</f>
        <v>Normal</v>
      </c>
      <c r="D1515" s="1" t="s">
        <v>45</v>
      </c>
      <c r="E1515" s="1" t="s">
        <v>483</v>
      </c>
      <c r="F1515" s="4" t="s">
        <v>640</v>
      </c>
      <c r="G1515" s="1">
        <v>40</v>
      </c>
      <c r="H1515">
        <v>40</v>
      </c>
      <c r="I1515">
        <f>grand[[#This Row],[number]]-grand[[#This Row],[received]]</f>
        <v>0</v>
      </c>
      <c r="J1515" s="30"/>
      <c r="K1515" s="2">
        <v>18266</v>
      </c>
      <c r="L1515" s="2">
        <v>17430</v>
      </c>
      <c r="M1515" s="2">
        <f>K1515-L1515</f>
        <v>836</v>
      </c>
      <c r="N1515" s="2">
        <v>11050.4</v>
      </c>
      <c r="O1515" s="2">
        <v>281</v>
      </c>
      <c r="P1515" s="7">
        <f>grand[[#This Row],[total weight]]/grand[[#This Row],[received]]</f>
        <v>456.65</v>
      </c>
      <c r="Q1515" s="7">
        <f>grand[[#This Row],[receiving weight]]/grand[[#This Row],[received]]</f>
        <v>435.75</v>
      </c>
      <c r="R1515" s="7">
        <f>grand[[#This Row],[transportation loss ]]/grand[[#This Row],[received]]</f>
        <v>20.9</v>
      </c>
      <c r="S1515" s="7">
        <f>grand[[#This Row],[ carcass weight]]/grand[[#This Row],[received]]</f>
        <v>276.26</v>
      </c>
      <c r="T1515" s="7">
        <f>grand[[#This Row],[ kidneys fat quantity]]/grand[[#This Row],[received]]</f>
        <v>7.0250000000000004</v>
      </c>
      <c r="U1515">
        <v>25</v>
      </c>
      <c r="V1515">
        <v>0</v>
      </c>
      <c r="W1515">
        <v>47</v>
      </c>
      <c r="X1515">
        <v>10</v>
      </c>
      <c r="Y1515">
        <v>8.5</v>
      </c>
      <c r="Z1515" s="18">
        <f>grand[[#This Row],[av. Transportation loss]]/grand[[#This Row],[av.total weight]]</f>
        <v>4.5768093726048398E-2</v>
      </c>
      <c r="AA1515" s="18">
        <f>AVERAGE((grand[[#This Row],[am]]/25),(grand[[#This Row],[pm]]/50))</f>
        <v>0.97</v>
      </c>
      <c r="AB1515" s="3">
        <f>grand[[#This Row],[ carcass weight]]/grand[[#This Row],[total weight]]</f>
        <v>0.60497098434249419</v>
      </c>
      <c r="AC1515" s="18">
        <f>SUM(grand[[#This Row],[am]:[meat transportation]])/100</f>
        <v>0.90500000000000003</v>
      </c>
      <c r="AD1515" s="2" t="s">
        <v>775</v>
      </c>
      <c r="AE1515" s="2"/>
      <c r="AF1515" s="2"/>
      <c r="AG1515" s="2"/>
      <c r="AH1515" s="2"/>
      <c r="AI1515" s="2"/>
      <c r="AJ1515" s="2">
        <v>5</v>
      </c>
    </row>
    <row r="1516" spans="1:38" hidden="1" x14ac:dyDescent="0.2">
      <c r="A1516" s="11">
        <v>45874</v>
      </c>
      <c r="B1516" s="53" t="s">
        <v>2276</v>
      </c>
      <c r="C1516" s="52" t="str">
        <f>IF(MID(B1516,4,2)="09","Ramadan",IF(AND(MID(B1516,4,2)="12",VALUE(LEFT(B1516,2))&lt;=9),"Adha Season","Normal"))</f>
        <v>Normal</v>
      </c>
      <c r="D1516" s="2" t="s">
        <v>294</v>
      </c>
      <c r="F1516" s="4" t="s">
        <v>656</v>
      </c>
      <c r="G1516" s="1">
        <v>37</v>
      </c>
      <c r="H1516">
        <v>37</v>
      </c>
      <c r="I1516">
        <f>grand[[#This Row],[number]]-grand[[#This Row],[received]]</f>
        <v>0</v>
      </c>
      <c r="J1516" s="30"/>
      <c r="K1516" s="2">
        <v>1728</v>
      </c>
      <c r="L1516" s="2">
        <v>1685</v>
      </c>
      <c r="M1516" s="2">
        <f>K1516-L1516</f>
        <v>43</v>
      </c>
      <c r="N1516" s="2">
        <v>946.5</v>
      </c>
      <c r="O1516" s="2">
        <v>0</v>
      </c>
      <c r="P1516" s="7">
        <f>grand[[#This Row],[total weight]]/grand[[#This Row],[received]]</f>
        <v>46.702702702702702</v>
      </c>
      <c r="Q1516" s="7">
        <f>grand[[#This Row],[receiving weight]]/grand[[#This Row],[received]]</f>
        <v>45.54054054054054</v>
      </c>
      <c r="R1516" s="7">
        <f>grand[[#This Row],[transportation loss ]]/grand[[#This Row],[received]]</f>
        <v>1.1621621621621621</v>
      </c>
      <c r="S1516" s="7">
        <f>grand[[#This Row],[ carcass weight]]/grand[[#This Row],[received]]</f>
        <v>25.581081081081081</v>
      </c>
      <c r="T1516" s="7">
        <f>grand[[#This Row],[ kidneys fat quantity]]/grand[[#This Row],[received]]</f>
        <v>0</v>
      </c>
      <c r="U1516">
        <v>25</v>
      </c>
      <c r="V1516">
        <v>0</v>
      </c>
      <c r="W1516">
        <v>46.756756756756758</v>
      </c>
      <c r="X1516">
        <v>10</v>
      </c>
      <c r="Y1516">
        <v>8.5</v>
      </c>
      <c r="Z1516" s="18">
        <f>grand[[#This Row],[av. Transportation loss]]/grand[[#This Row],[av.total weight]]</f>
        <v>2.4884259259259259E-2</v>
      </c>
      <c r="AA1516" s="18">
        <f>AVERAGE((grand[[#This Row],[am]]/25),(grand[[#This Row],[pm]]/50))</f>
        <v>0.96756756756756757</v>
      </c>
      <c r="AB1516" s="3">
        <f>grand[[#This Row],[ carcass weight]]/grand[[#This Row],[total weight]]</f>
        <v>0.54774305555555558</v>
      </c>
      <c r="AC1516" s="18">
        <f>SUM(grand[[#This Row],[am]:[meat transportation]])/100</f>
        <v>0.90256756756756762</v>
      </c>
      <c r="AD1516" s="2" t="s">
        <v>776</v>
      </c>
      <c r="AE1516" s="2"/>
      <c r="AF1516" s="2"/>
      <c r="AG1516" s="2"/>
      <c r="AH1516" s="2"/>
      <c r="AI1516" s="2"/>
      <c r="AJ1516" s="2">
        <v>0</v>
      </c>
    </row>
    <row r="1517" spans="1:38" hidden="1" x14ac:dyDescent="0.2">
      <c r="A1517" s="11">
        <v>45874</v>
      </c>
      <c r="B1517" s="53" t="s">
        <v>2276</v>
      </c>
      <c r="C1517" s="52" t="str">
        <f>IF(MID(B1517,4,2)="09","Ramadan",IF(AND(MID(B1517,4,2)="12",VALUE(LEFT(B1517,2))&lt;=9),"Adha Season","Normal"))</f>
        <v>Normal</v>
      </c>
      <c r="D1517" s="1" t="s">
        <v>45</v>
      </c>
      <c r="E1517" s="1" t="s">
        <v>483</v>
      </c>
      <c r="F1517" s="4" t="s">
        <v>757</v>
      </c>
      <c r="G1517" s="1">
        <v>55</v>
      </c>
      <c r="H1517">
        <v>51</v>
      </c>
      <c r="I1517">
        <f>grand[[#This Row],[number]]-grand[[#This Row],[received]]</f>
        <v>4</v>
      </c>
      <c r="J1517" s="64" t="s">
        <v>3195</v>
      </c>
      <c r="K1517" s="2">
        <v>22993.06</v>
      </c>
      <c r="L1517" s="2">
        <v>22993.06</v>
      </c>
      <c r="M1517" s="2">
        <f>K1517-L1517</f>
        <v>0</v>
      </c>
      <c r="N1517" s="2">
        <v>13774.3</v>
      </c>
      <c r="O1517" s="2">
        <v>457</v>
      </c>
      <c r="P1517" s="7">
        <f>grand[[#This Row],[total weight]]/grand[[#This Row],[received]]</f>
        <v>450.84431372549022</v>
      </c>
      <c r="Q1517" s="7">
        <f>grand[[#This Row],[receiving weight]]/grand[[#This Row],[received]]</f>
        <v>450.84431372549022</v>
      </c>
      <c r="R1517" s="7">
        <f>grand[[#This Row],[transportation loss ]]/grand[[#This Row],[received]]</f>
        <v>0</v>
      </c>
      <c r="S1517" s="7">
        <f>grand[[#This Row],[ carcass weight]]/grand[[#This Row],[received]]</f>
        <v>270.08431372549018</v>
      </c>
      <c r="T1517" s="7">
        <f>grand[[#This Row],[ kidneys fat quantity]]/grand[[#This Row],[received]]</f>
        <v>8.9607843137254903</v>
      </c>
      <c r="U1517">
        <v>25</v>
      </c>
      <c r="V1517">
        <v>0</v>
      </c>
      <c r="W1517">
        <v>47.431372549019613</v>
      </c>
      <c r="X1517">
        <v>10</v>
      </c>
      <c r="Y1517">
        <v>8.5</v>
      </c>
      <c r="Z1517" s="18">
        <f>grand[[#This Row],[av. Transportation loss]]/grand[[#This Row],[av.total weight]]</f>
        <v>0</v>
      </c>
      <c r="AA1517" s="18">
        <f>AVERAGE((grand[[#This Row],[am]]/25),(grand[[#This Row],[pm]]/50))</f>
        <v>0.97431372549019613</v>
      </c>
      <c r="AB1517" s="3">
        <f>grand[[#This Row],[ carcass weight]]/grand[[#This Row],[total weight]]</f>
        <v>0.59906336955585726</v>
      </c>
      <c r="AC1517" s="18">
        <f>SUM(grand[[#This Row],[am]:[meat transportation]])/100</f>
        <v>0.90931372549019618</v>
      </c>
      <c r="AD1517" s="2" t="s">
        <v>777</v>
      </c>
      <c r="AE1517" s="2"/>
      <c r="AF1517" s="2"/>
      <c r="AG1517" s="2"/>
      <c r="AH1517" s="2"/>
      <c r="AI1517" s="2"/>
      <c r="AJ1517" s="2">
        <v>17</v>
      </c>
    </row>
    <row r="1518" spans="1:38" hidden="1" x14ac:dyDescent="0.2">
      <c r="A1518" s="11">
        <v>45875</v>
      </c>
      <c r="B1518" s="53" t="s">
        <v>2277</v>
      </c>
      <c r="C1518" s="52" t="str">
        <f>IF(MID(B1518,4,2)="09","Ramadan",IF(AND(MID(B1518,4,2)="12",VALUE(LEFT(B1518,2))&lt;=9),"Adha Season","Normal"))</f>
        <v>Normal</v>
      </c>
      <c r="D1518" s="1" t="s">
        <v>45</v>
      </c>
      <c r="E1518" s="1" t="s">
        <v>483</v>
      </c>
      <c r="F1518" s="4" t="s">
        <v>757</v>
      </c>
      <c r="G1518" s="1">
        <v>45</v>
      </c>
      <c r="H1518">
        <v>43</v>
      </c>
      <c r="I1518">
        <f>grand[[#This Row],[number]]-grand[[#This Row],[received]]</f>
        <v>2</v>
      </c>
      <c r="J1518" s="64" t="s">
        <v>3180</v>
      </c>
      <c r="K1518" s="2">
        <v>19755.34</v>
      </c>
      <c r="L1518" s="2">
        <v>19755.34</v>
      </c>
      <c r="M1518" s="2">
        <f>K1518-L1518</f>
        <v>0</v>
      </c>
      <c r="N1518" s="2">
        <v>11831.6</v>
      </c>
      <c r="O1518" s="2">
        <v>381</v>
      </c>
      <c r="P1518" s="7">
        <f>grand[[#This Row],[total weight]]/grand[[#This Row],[received]]</f>
        <v>459.42651162790696</v>
      </c>
      <c r="Q1518" s="7">
        <f>grand[[#This Row],[receiving weight]]/grand[[#This Row],[received]]</f>
        <v>459.42651162790696</v>
      </c>
      <c r="R1518" s="7">
        <f>grand[[#This Row],[transportation loss ]]/grand[[#This Row],[received]]</f>
        <v>0</v>
      </c>
      <c r="S1518" s="7">
        <f>grand[[#This Row],[ carcass weight]]/grand[[#This Row],[received]]</f>
        <v>275.15348837209302</v>
      </c>
      <c r="T1518" s="7">
        <f>grand[[#This Row],[ kidneys fat quantity]]/grand[[#This Row],[received]]</f>
        <v>8.8604651162790695</v>
      </c>
      <c r="U1518">
        <v>24.534883720930232</v>
      </c>
      <c r="V1518">
        <v>0</v>
      </c>
      <c r="W1518">
        <v>48.069767441860463</v>
      </c>
      <c r="X1518">
        <v>10</v>
      </c>
      <c r="Y1518">
        <v>8.5</v>
      </c>
      <c r="Z1518" s="18">
        <f>grand[[#This Row],[av. Transportation loss]]/grand[[#This Row],[av.total weight]]</f>
        <v>0</v>
      </c>
      <c r="AA1518" s="18">
        <f>AVERAGE((grand[[#This Row],[am]]/25),(grand[[#This Row],[pm]]/50))</f>
        <v>0.97139534883720924</v>
      </c>
      <c r="AB1518" s="3">
        <f>grand[[#This Row],[ carcass weight]]/grand[[#This Row],[total weight]]</f>
        <v>0.59890642226355006</v>
      </c>
      <c r="AC1518" s="18">
        <f>SUM(grand[[#This Row],[am]:[meat transportation]])/100</f>
        <v>0.91104651162790706</v>
      </c>
      <c r="AD1518" s="2" t="s">
        <v>778</v>
      </c>
      <c r="AE1518" s="2"/>
      <c r="AF1518" s="2"/>
      <c r="AG1518" s="2"/>
      <c r="AH1518" s="2"/>
      <c r="AI1518" s="2"/>
      <c r="AJ1518" s="2">
        <v>20</v>
      </c>
    </row>
    <row r="1519" spans="1:38" hidden="1" x14ac:dyDescent="0.2">
      <c r="A1519" s="11">
        <v>45876</v>
      </c>
      <c r="B1519" s="53" t="s">
        <v>2278</v>
      </c>
      <c r="C1519" s="52" t="str">
        <f>IF(MID(B1519,4,2)="09","Ramadan",IF(AND(MID(B1519,4,2)="12",VALUE(LEFT(B1519,2))&lt;=9),"Adha Season","Normal"))</f>
        <v>Normal</v>
      </c>
      <c r="D1519" s="2" t="s">
        <v>294</v>
      </c>
      <c r="F1519" s="4" t="s">
        <v>656</v>
      </c>
      <c r="G1519" s="1">
        <v>50</v>
      </c>
      <c r="H1519">
        <v>49</v>
      </c>
      <c r="I1519">
        <f>grand[[#This Row],[number]]-grand[[#This Row],[received]]</f>
        <v>1</v>
      </c>
      <c r="J1519" s="64" t="s">
        <v>811</v>
      </c>
      <c r="K1519" s="2">
        <v>2279.5</v>
      </c>
      <c r="L1519" s="2">
        <v>2279.5</v>
      </c>
      <c r="M1519" s="2">
        <f>K1519-L1519</f>
        <v>0</v>
      </c>
      <c r="N1519" s="2">
        <v>1280.4000000000001</v>
      </c>
      <c r="O1519" s="2">
        <v>0</v>
      </c>
      <c r="P1519" s="7">
        <f>grand[[#This Row],[total weight]]/grand[[#This Row],[received]]</f>
        <v>46.520408163265309</v>
      </c>
      <c r="Q1519" s="7">
        <f>grand[[#This Row],[receiving weight]]/grand[[#This Row],[received]]</f>
        <v>46.520408163265309</v>
      </c>
      <c r="R1519" s="7">
        <f>grand[[#This Row],[transportation loss ]]/grand[[#This Row],[received]]</f>
        <v>0</v>
      </c>
      <c r="S1519" s="7">
        <f>grand[[#This Row],[ carcass weight]]/grand[[#This Row],[received]]</f>
        <v>26.130612244897961</v>
      </c>
      <c r="T1519" s="7">
        <f>grand[[#This Row],[ kidneys fat quantity]]/grand[[#This Row],[received]]</f>
        <v>0</v>
      </c>
      <c r="U1519">
        <v>25</v>
      </c>
      <c r="V1519">
        <v>0</v>
      </c>
      <c r="W1519">
        <v>48.387755102040821</v>
      </c>
      <c r="X1519">
        <v>10</v>
      </c>
      <c r="Y1519">
        <v>8.5</v>
      </c>
      <c r="Z1519" s="18">
        <f>grand[[#This Row],[av. Transportation loss]]/grand[[#This Row],[av.total weight]]</f>
        <v>0</v>
      </c>
      <c r="AA1519" s="18">
        <f>AVERAGE((grand[[#This Row],[am]]/25),(grand[[#This Row],[pm]]/50))</f>
        <v>0.98387755102040819</v>
      </c>
      <c r="AB1519" s="3">
        <f>grand[[#This Row],[ carcass weight]]/grand[[#This Row],[total weight]]</f>
        <v>0.5617021276595745</v>
      </c>
      <c r="AC1519" s="18">
        <f>SUM(grand[[#This Row],[am]:[meat transportation]])/100</f>
        <v>0.91887755102040813</v>
      </c>
      <c r="AD1519" s="2" t="s">
        <v>779</v>
      </c>
      <c r="AE1519" s="2"/>
      <c r="AF1519" s="2"/>
      <c r="AG1519" s="2"/>
      <c r="AH1519" s="2"/>
      <c r="AI1519" s="2"/>
      <c r="AJ1519" s="2">
        <v>0</v>
      </c>
    </row>
    <row r="1520" spans="1:38" hidden="1" x14ac:dyDescent="0.2">
      <c r="A1520" s="11">
        <v>45876</v>
      </c>
      <c r="B1520" s="53" t="s">
        <v>2278</v>
      </c>
      <c r="C1520" s="52" t="str">
        <f>IF(MID(B1520,4,2)="09","Ramadan",IF(AND(MID(B1520,4,2)="12",VALUE(LEFT(B1520,2))&lt;=9),"Adha Season","Normal"))</f>
        <v>Normal</v>
      </c>
      <c r="D1520" s="1" t="s">
        <v>45</v>
      </c>
      <c r="E1520" s="1" t="s">
        <v>483</v>
      </c>
      <c r="F1520" s="4" t="s">
        <v>749</v>
      </c>
      <c r="G1520" s="1">
        <v>85</v>
      </c>
      <c r="H1520">
        <v>82</v>
      </c>
      <c r="I1520">
        <f>grand[[#This Row],[number]]-grand[[#This Row],[received]]</f>
        <v>3</v>
      </c>
      <c r="J1520" s="64" t="s">
        <v>3196</v>
      </c>
      <c r="K1520" s="2">
        <v>37310</v>
      </c>
      <c r="L1520" s="2">
        <v>36355</v>
      </c>
      <c r="M1520" s="2">
        <f>K1520-L1520</f>
        <v>955</v>
      </c>
      <c r="N1520" s="2">
        <v>22398.5</v>
      </c>
      <c r="O1520" s="2">
        <v>719</v>
      </c>
      <c r="P1520" s="7">
        <f>grand[[#This Row],[total weight]]/grand[[#This Row],[received]]</f>
        <v>455</v>
      </c>
      <c r="Q1520" s="7">
        <f>grand[[#This Row],[receiving weight]]/grand[[#This Row],[received]]</f>
        <v>443.35365853658539</v>
      </c>
      <c r="R1520" s="7">
        <f>grand[[#This Row],[transportation loss ]]/grand[[#This Row],[received]]</f>
        <v>11.646341463414634</v>
      </c>
      <c r="S1520" s="7">
        <f>grand[[#This Row],[ carcass weight]]/grand[[#This Row],[received]]</f>
        <v>273.15243902439022</v>
      </c>
      <c r="T1520" s="7">
        <f>grand[[#This Row],[ kidneys fat quantity]]/grand[[#This Row],[received]]</f>
        <v>8.7682926829268286</v>
      </c>
      <c r="U1520">
        <v>24.390243902439025</v>
      </c>
      <c r="V1520">
        <v>0</v>
      </c>
      <c r="W1520">
        <v>48.085365853658537</v>
      </c>
      <c r="X1520">
        <v>9.9390243902439028</v>
      </c>
      <c r="Y1520">
        <v>8.5</v>
      </c>
      <c r="Z1520" s="18">
        <f>grand[[#This Row],[av. Transportation loss]]/grand[[#This Row],[av.total weight]]</f>
        <v>2.5596354864647546E-2</v>
      </c>
      <c r="AA1520" s="18">
        <f>AVERAGE((grand[[#This Row],[am]]/25),(grand[[#This Row],[pm]]/50))</f>
        <v>0.96865853658536583</v>
      </c>
      <c r="AB1520" s="3">
        <f>grand[[#This Row],[ carcass weight]]/grand[[#This Row],[total weight]]</f>
        <v>0.60033503082283568</v>
      </c>
      <c r="AC1520" s="18">
        <f>SUM(grand[[#This Row],[am]:[meat transportation]])/100</f>
        <v>0.90914634146341455</v>
      </c>
      <c r="AD1520" s="2" t="s">
        <v>778</v>
      </c>
      <c r="AE1520" s="2"/>
      <c r="AF1520" s="2"/>
      <c r="AG1520" s="2"/>
      <c r="AH1520" s="2"/>
      <c r="AI1520" s="2"/>
      <c r="AJ1520" s="2">
        <v>31</v>
      </c>
    </row>
    <row r="1521" spans="1:36" hidden="1" x14ac:dyDescent="0.2">
      <c r="A1521" s="11">
        <v>45878</v>
      </c>
      <c r="B1521" s="53" t="s">
        <v>2279</v>
      </c>
      <c r="C1521" s="52" t="str">
        <f>IF(MID(B1521,4,2)="09","Ramadan",IF(AND(MID(B1521,4,2)="12",VALUE(LEFT(B1521,2))&lt;=9),"Adha Season","Normal"))</f>
        <v>Normal</v>
      </c>
      <c r="D1521" s="1" t="s">
        <v>45</v>
      </c>
      <c r="E1521" s="1" t="s">
        <v>483</v>
      </c>
      <c r="F1521" s="4" t="s">
        <v>746</v>
      </c>
      <c r="G1521" s="1">
        <v>48</v>
      </c>
      <c r="H1521">
        <v>45</v>
      </c>
      <c r="I1521">
        <f>grand[[#This Row],[number]]-grand[[#This Row],[received]]</f>
        <v>3</v>
      </c>
      <c r="J1521" s="64" t="s">
        <v>3196</v>
      </c>
      <c r="K1521" s="2">
        <v>19700</v>
      </c>
      <c r="L1521" s="2">
        <v>18552</v>
      </c>
      <c r="M1521" s="2">
        <f>K1521-L1521</f>
        <v>1148</v>
      </c>
      <c r="N1521" s="2">
        <v>11819.1</v>
      </c>
      <c r="O1521" s="2">
        <v>353</v>
      </c>
      <c r="P1521" s="7">
        <f>grand[[#This Row],[total weight]]/grand[[#This Row],[received]]</f>
        <v>437.77777777777777</v>
      </c>
      <c r="Q1521" s="7">
        <f>grand[[#This Row],[receiving weight]]/grand[[#This Row],[received]]</f>
        <v>412.26666666666665</v>
      </c>
      <c r="R1521" s="7">
        <f>grand[[#This Row],[transportation loss ]]/grand[[#This Row],[received]]</f>
        <v>25.511111111111113</v>
      </c>
      <c r="S1521" s="7">
        <f>grand[[#This Row],[ carcass weight]]/grand[[#This Row],[received]]</f>
        <v>262.64666666666665</v>
      </c>
      <c r="T1521" s="7">
        <f>grand[[#This Row],[ kidneys fat quantity]]/grand[[#This Row],[received]]</f>
        <v>7.8444444444444441</v>
      </c>
      <c r="U1521">
        <v>24.555555555555557</v>
      </c>
      <c r="V1521">
        <v>0</v>
      </c>
      <c r="W1521">
        <v>46.911111111111111</v>
      </c>
      <c r="X1521">
        <v>10</v>
      </c>
      <c r="Y1521">
        <v>8.5</v>
      </c>
      <c r="Z1521" s="18">
        <f>grand[[#This Row],[av. Transportation loss]]/grand[[#This Row],[av.total weight]]</f>
        <v>5.8274111675126909E-2</v>
      </c>
      <c r="AA1521" s="18">
        <f>AVERAGE((grand[[#This Row],[am]]/25),(grand[[#This Row],[pm]]/50))</f>
        <v>0.96022222222222231</v>
      </c>
      <c r="AB1521" s="3">
        <f>grand[[#This Row],[ carcass weight]]/grand[[#This Row],[total weight]]</f>
        <v>0.59995431472081218</v>
      </c>
      <c r="AC1521" s="18">
        <f>SUM(grand[[#This Row],[am]:[meat transportation]])/100</f>
        <v>0.89966666666666673</v>
      </c>
      <c r="AD1521" s="2" t="s">
        <v>777</v>
      </c>
      <c r="AE1521" s="2"/>
      <c r="AF1521" s="2"/>
      <c r="AG1521" s="2"/>
      <c r="AH1521" s="2"/>
      <c r="AI1521" s="2"/>
      <c r="AJ1521" s="2">
        <v>22</v>
      </c>
    </row>
    <row r="1522" spans="1:36" hidden="1" x14ac:dyDescent="0.2">
      <c r="A1522" s="11">
        <v>45879</v>
      </c>
      <c r="B1522" s="53" t="s">
        <v>2280</v>
      </c>
      <c r="C1522" s="52" t="str">
        <f>IF(MID(B1522,4,2)="09","Ramadan",IF(AND(MID(B1522,4,2)="12",VALUE(LEFT(B1522,2))&lt;=9),"Adha Season","Normal"))</f>
        <v>Normal</v>
      </c>
      <c r="D1522" s="2" t="s">
        <v>294</v>
      </c>
      <c r="F1522" s="4" t="s">
        <v>656</v>
      </c>
      <c r="G1522" s="1">
        <v>54</v>
      </c>
      <c r="H1522">
        <v>53</v>
      </c>
      <c r="I1522">
        <f>grand[[#This Row],[number]]-grand[[#This Row],[received]]</f>
        <v>1</v>
      </c>
      <c r="J1522" s="64" t="s">
        <v>810</v>
      </c>
      <c r="K1522" s="2">
        <v>2451</v>
      </c>
      <c r="L1522" s="2">
        <v>2451</v>
      </c>
      <c r="M1522" s="2">
        <f>K1522-L1522</f>
        <v>0</v>
      </c>
      <c r="N1522" s="2">
        <v>1347.9</v>
      </c>
      <c r="O1522" s="2">
        <v>0</v>
      </c>
      <c r="P1522" s="7">
        <f>grand[[#This Row],[total weight]]/grand[[#This Row],[received]]</f>
        <v>46.245283018867923</v>
      </c>
      <c r="Q1522" s="7">
        <f>grand[[#This Row],[receiving weight]]/grand[[#This Row],[received]]</f>
        <v>46.245283018867923</v>
      </c>
      <c r="R1522" s="7">
        <f>grand[[#This Row],[transportation loss ]]/grand[[#This Row],[received]]</f>
        <v>0</v>
      </c>
      <c r="S1522" s="7">
        <f>grand[[#This Row],[ carcass weight]]/grand[[#This Row],[received]]</f>
        <v>25.432075471698116</v>
      </c>
      <c r="T1522" s="7">
        <f>grand[[#This Row],[ kidneys fat quantity]]/grand[[#This Row],[received]]</f>
        <v>0</v>
      </c>
      <c r="U1522">
        <v>25</v>
      </c>
      <c r="V1522">
        <v>0</v>
      </c>
      <c r="W1522">
        <v>48.000000000000007</v>
      </c>
      <c r="X1522">
        <v>10</v>
      </c>
      <c r="Y1522">
        <v>8.5</v>
      </c>
      <c r="Z1522" s="18">
        <f>grand[[#This Row],[av. Transportation loss]]/grand[[#This Row],[av.total weight]]</f>
        <v>0</v>
      </c>
      <c r="AA1522" s="18">
        <f>AVERAGE((grand[[#This Row],[am]]/25),(grand[[#This Row],[pm]]/50))</f>
        <v>0.98000000000000009</v>
      </c>
      <c r="AB1522" s="3">
        <f>grand[[#This Row],[ carcass weight]]/grand[[#This Row],[total weight]]</f>
        <v>0.54993880048959609</v>
      </c>
      <c r="AC1522" s="18">
        <f>SUM(grand[[#This Row],[am]:[meat transportation]])/100</f>
        <v>0.91500000000000004</v>
      </c>
      <c r="AD1522" s="2" t="s">
        <v>265</v>
      </c>
      <c r="AE1522" s="2"/>
      <c r="AF1522" s="2"/>
      <c r="AG1522" s="2"/>
      <c r="AH1522" s="2"/>
      <c r="AI1522" s="2"/>
      <c r="AJ1522" s="2">
        <v>0</v>
      </c>
    </row>
    <row r="1523" spans="1:36" hidden="1" x14ac:dyDescent="0.2">
      <c r="A1523" s="11">
        <v>45879</v>
      </c>
      <c r="B1523" s="53" t="s">
        <v>2280</v>
      </c>
      <c r="C1523" s="52" t="str">
        <f>IF(MID(B1523,4,2)="09","Ramadan",IF(AND(MID(B1523,4,2)="12",VALUE(LEFT(B1523,2))&lt;=9),"Adha Season","Normal"))</f>
        <v>Normal</v>
      </c>
      <c r="D1523" s="1" t="s">
        <v>45</v>
      </c>
      <c r="E1523" s="1" t="s">
        <v>483</v>
      </c>
      <c r="F1523" s="4" t="s">
        <v>746</v>
      </c>
      <c r="G1523" s="1">
        <v>48</v>
      </c>
      <c r="H1523">
        <v>47</v>
      </c>
      <c r="I1523">
        <f>grand[[#This Row],[number]]-grand[[#This Row],[received]]</f>
        <v>1</v>
      </c>
      <c r="J1523" s="64" t="s">
        <v>723</v>
      </c>
      <c r="K1523" s="2">
        <v>21267</v>
      </c>
      <c r="L1523" s="2">
        <v>21267</v>
      </c>
      <c r="M1523" s="2">
        <f>K1523-L1523</f>
        <v>0</v>
      </c>
      <c r="N1523" s="2">
        <v>12759.9</v>
      </c>
      <c r="O1523" s="2">
        <v>417</v>
      </c>
      <c r="P1523" s="7">
        <f>grand[[#This Row],[total weight]]/grand[[#This Row],[received]]</f>
        <v>452.48936170212767</v>
      </c>
      <c r="Q1523" s="7">
        <f>grand[[#This Row],[receiving weight]]/grand[[#This Row],[received]]</f>
        <v>452.48936170212767</v>
      </c>
      <c r="R1523" s="7">
        <f>grand[[#This Row],[transportation loss ]]/grand[[#This Row],[received]]</f>
        <v>0</v>
      </c>
      <c r="S1523" s="7">
        <f>grand[[#This Row],[ carcass weight]]/grand[[#This Row],[received]]</f>
        <v>271.48723404255321</v>
      </c>
      <c r="T1523" s="7">
        <f>grand[[#This Row],[ kidneys fat quantity]]/grand[[#This Row],[received]]</f>
        <v>8.8723404255319149</v>
      </c>
      <c r="U1523">
        <v>24.148936170212764</v>
      </c>
      <c r="V1523">
        <v>0</v>
      </c>
      <c r="W1523">
        <v>45.170212765957437</v>
      </c>
      <c r="X1523">
        <v>10</v>
      </c>
      <c r="Y1523">
        <v>8.5</v>
      </c>
      <c r="Z1523" s="18">
        <f>grand[[#This Row],[av. Transportation loss]]/grand[[#This Row],[av.total weight]]</f>
        <v>0</v>
      </c>
      <c r="AA1523" s="18">
        <f>AVERAGE((grand[[#This Row],[am]]/25),(grand[[#This Row],[pm]]/50))</f>
        <v>0.93468085106382959</v>
      </c>
      <c r="AB1523" s="3">
        <f>grand[[#This Row],[ carcass weight]]/grand[[#This Row],[total weight]]</f>
        <v>0.59998589363803079</v>
      </c>
      <c r="AC1523" s="18">
        <f>SUM(grand[[#This Row],[am]:[meat transportation]])/100</f>
        <v>0.87819148936170199</v>
      </c>
      <c r="AD1523" s="2" t="s">
        <v>747</v>
      </c>
      <c r="AE1523" s="2"/>
      <c r="AF1523" s="2"/>
      <c r="AG1523" s="2"/>
      <c r="AH1523" s="2"/>
      <c r="AI1523" s="2"/>
      <c r="AJ1523" s="2">
        <v>22</v>
      </c>
    </row>
    <row r="1524" spans="1:36" hidden="1" x14ac:dyDescent="0.2">
      <c r="A1524" s="11">
        <v>45880</v>
      </c>
      <c r="B1524" s="53" t="s">
        <v>2281</v>
      </c>
      <c r="C1524" s="52" t="str">
        <f>IF(MID(B1524,4,2)="09","Ramadan",IF(AND(MID(B1524,4,2)="12",VALUE(LEFT(B1524,2))&lt;=9),"Adha Season","Normal"))</f>
        <v>Normal</v>
      </c>
      <c r="D1524" s="1" t="s">
        <v>45</v>
      </c>
      <c r="E1524" s="1" t="s">
        <v>483</v>
      </c>
      <c r="F1524" s="4" t="s">
        <v>746</v>
      </c>
      <c r="G1524" s="1">
        <v>39</v>
      </c>
      <c r="H1524">
        <v>39</v>
      </c>
      <c r="I1524">
        <f>grand[[#This Row],[number]]-grand[[#This Row],[received]]</f>
        <v>0</v>
      </c>
      <c r="J1524" s="30"/>
      <c r="K1524" s="2">
        <v>17941</v>
      </c>
      <c r="L1524" s="2">
        <v>17135</v>
      </c>
      <c r="M1524" s="2">
        <f>K1524-L1524</f>
        <v>806</v>
      </c>
      <c r="N1524" s="2">
        <v>10765</v>
      </c>
      <c r="O1524" s="2">
        <v>305</v>
      </c>
      <c r="P1524" s="7">
        <f>grand[[#This Row],[total weight]]/grand[[#This Row],[received]]</f>
        <v>460.02564102564105</v>
      </c>
      <c r="Q1524" s="7">
        <f>grand[[#This Row],[receiving weight]]/grand[[#This Row],[received]]</f>
        <v>439.35897435897436</v>
      </c>
      <c r="R1524" s="7">
        <f>grand[[#This Row],[transportation loss ]]/grand[[#This Row],[received]]</f>
        <v>20.666666666666668</v>
      </c>
      <c r="S1524" s="7">
        <f>grand[[#This Row],[ carcass weight]]/grand[[#This Row],[received]]</f>
        <v>276.02564102564105</v>
      </c>
      <c r="T1524" s="7">
        <f>grand[[#This Row],[ kidneys fat quantity]]/grand[[#This Row],[received]]</f>
        <v>7.8205128205128203</v>
      </c>
      <c r="U1524">
        <v>25</v>
      </c>
      <c r="V1524">
        <v>0</v>
      </c>
      <c r="W1524">
        <v>48.717948717948723</v>
      </c>
      <c r="X1524">
        <v>10</v>
      </c>
      <c r="Y1524">
        <v>8.5</v>
      </c>
      <c r="Z1524" s="18">
        <f>grand[[#This Row],[av. Transportation loss]]/grand[[#This Row],[av.total weight]]</f>
        <v>4.4925032049495571E-2</v>
      </c>
      <c r="AA1524" s="18">
        <f>AVERAGE((grand[[#This Row],[am]]/25),(grand[[#This Row],[pm]]/50))</f>
        <v>0.98717948717948723</v>
      </c>
      <c r="AB1524" s="3">
        <f>grand[[#This Row],[ carcass weight]]/grand[[#This Row],[total weight]]</f>
        <v>0.60002229530126527</v>
      </c>
      <c r="AC1524" s="18">
        <f>SUM(grand[[#This Row],[am]:[meat transportation]])/100</f>
        <v>0.92217948717948728</v>
      </c>
      <c r="AD1524" s="2" t="s">
        <v>748</v>
      </c>
      <c r="AE1524" s="2"/>
      <c r="AF1524" s="2"/>
      <c r="AG1524" s="2"/>
      <c r="AH1524" s="2"/>
      <c r="AI1524" s="2"/>
      <c r="AJ1524" s="2">
        <v>7</v>
      </c>
    </row>
    <row r="1525" spans="1:36" hidden="1" x14ac:dyDescent="0.2">
      <c r="A1525" s="11">
        <v>45881</v>
      </c>
      <c r="B1525" s="53" t="s">
        <v>2282</v>
      </c>
      <c r="C1525" s="52" t="str">
        <f>IF(MID(B1525,4,2)="09","Ramadan",IF(AND(MID(B1525,4,2)="12",VALUE(LEFT(B1525,2))&lt;=9),"Adha Season","Normal"))</f>
        <v>Normal</v>
      </c>
      <c r="D1525" s="2" t="s">
        <v>294</v>
      </c>
      <c r="F1525" s="4" t="s">
        <v>750</v>
      </c>
      <c r="G1525" s="1">
        <v>50</v>
      </c>
      <c r="H1525">
        <v>50</v>
      </c>
      <c r="I1525">
        <f>grand[[#This Row],[number]]-grand[[#This Row],[received]]</f>
        <v>0</v>
      </c>
      <c r="J1525" s="30"/>
      <c r="K1525" s="2">
        <v>2130</v>
      </c>
      <c r="L1525" s="2">
        <v>2080</v>
      </c>
      <c r="M1525" s="2">
        <f>K1525-L1525</f>
        <v>50</v>
      </c>
      <c r="N1525" s="2">
        <v>1217.9000000000001</v>
      </c>
      <c r="O1525" s="2">
        <v>0</v>
      </c>
      <c r="P1525" s="7">
        <f>grand[[#This Row],[total weight]]/grand[[#This Row],[received]]</f>
        <v>42.6</v>
      </c>
      <c r="Q1525" s="7">
        <f>grand[[#This Row],[receiving weight]]/grand[[#This Row],[received]]</f>
        <v>41.6</v>
      </c>
      <c r="R1525" s="7">
        <f>grand[[#This Row],[transportation loss ]]/grand[[#This Row],[received]]</f>
        <v>1</v>
      </c>
      <c r="S1525" s="7">
        <f>grand[[#This Row],[ carcass weight]]/grand[[#This Row],[received]]</f>
        <v>24.358000000000001</v>
      </c>
      <c r="T1525" s="7">
        <f>grand[[#This Row],[ kidneys fat quantity]]/grand[[#This Row],[received]]</f>
        <v>0</v>
      </c>
      <c r="U1525">
        <v>25</v>
      </c>
      <c r="V1525">
        <v>0</v>
      </c>
      <c r="W1525">
        <v>48.66</v>
      </c>
      <c r="X1525">
        <v>10</v>
      </c>
      <c r="Y1525">
        <v>8.5</v>
      </c>
      <c r="Z1525" s="18">
        <f>grand[[#This Row],[av. Transportation loss]]/grand[[#This Row],[av.total weight]]</f>
        <v>2.3474178403755867E-2</v>
      </c>
      <c r="AA1525" s="18">
        <f>AVERAGE((grand[[#This Row],[am]]/25),(grand[[#This Row],[pm]]/50))</f>
        <v>0.98659999999999992</v>
      </c>
      <c r="AB1525" s="3">
        <f>grand[[#This Row],[ carcass weight]]/grand[[#This Row],[total weight]]</f>
        <v>0.57178403755868545</v>
      </c>
      <c r="AC1525" s="18">
        <f>SUM(grand[[#This Row],[am]:[meat transportation]])/100</f>
        <v>0.92159999999999997</v>
      </c>
      <c r="AD1525" s="2" t="s">
        <v>751</v>
      </c>
      <c r="AE1525" s="2"/>
      <c r="AF1525" s="2"/>
      <c r="AG1525" s="2"/>
      <c r="AH1525" s="2"/>
      <c r="AI1525" s="2"/>
      <c r="AJ1525" s="2">
        <v>0</v>
      </c>
    </row>
    <row r="1526" spans="1:36" hidden="1" x14ac:dyDescent="0.2">
      <c r="A1526" s="11">
        <v>45881</v>
      </c>
      <c r="B1526" s="53" t="s">
        <v>2282</v>
      </c>
      <c r="C1526" s="52" t="str">
        <f>IF(MID(B1526,4,2)="09","Ramadan",IF(AND(MID(B1526,4,2)="12",VALUE(LEFT(B1526,2))&lt;=9),"Adha Season","Normal"))</f>
        <v>Normal</v>
      </c>
      <c r="D1526" s="1" t="s">
        <v>45</v>
      </c>
      <c r="E1526" s="1" t="s">
        <v>483</v>
      </c>
      <c r="F1526" s="4" t="s">
        <v>749</v>
      </c>
      <c r="G1526" s="1">
        <v>55</v>
      </c>
      <c r="H1526">
        <v>52</v>
      </c>
      <c r="I1526">
        <f>grand[[#This Row],[number]]-grand[[#This Row],[received]]</f>
        <v>3</v>
      </c>
      <c r="J1526" s="64" t="s">
        <v>723</v>
      </c>
      <c r="K1526" s="2">
        <v>23575</v>
      </c>
      <c r="L1526" s="2">
        <v>23370</v>
      </c>
      <c r="M1526" s="2">
        <f>K1526-L1526</f>
        <v>205</v>
      </c>
      <c r="N1526" s="2">
        <v>14159.9</v>
      </c>
      <c r="O1526" s="2">
        <v>428</v>
      </c>
      <c r="P1526" s="7">
        <f>grand[[#This Row],[total weight]]/grand[[#This Row],[received]]</f>
        <v>453.36538461538464</v>
      </c>
      <c r="Q1526" s="7">
        <f>grand[[#This Row],[receiving weight]]/grand[[#This Row],[received]]</f>
        <v>449.42307692307691</v>
      </c>
      <c r="R1526" s="7">
        <f>grand[[#This Row],[transportation loss ]]/grand[[#This Row],[received]]</f>
        <v>3.9423076923076925</v>
      </c>
      <c r="S1526" s="7">
        <f>grand[[#This Row],[ carcass weight]]/grand[[#This Row],[received]]</f>
        <v>272.30576923076922</v>
      </c>
      <c r="T1526" s="7">
        <f>grand[[#This Row],[ kidneys fat quantity]]/grand[[#This Row],[received]]</f>
        <v>8.2307692307692299</v>
      </c>
      <c r="U1526">
        <v>24.423076923076923</v>
      </c>
      <c r="V1526">
        <v>0</v>
      </c>
      <c r="W1526">
        <v>48.096153846153847</v>
      </c>
      <c r="X1526">
        <v>10</v>
      </c>
      <c r="Y1526">
        <v>8.5</v>
      </c>
      <c r="Z1526" s="18">
        <f>grand[[#This Row],[av. Transportation loss]]/grand[[#This Row],[av.total weight]]</f>
        <v>8.6956521739130436E-3</v>
      </c>
      <c r="AA1526" s="18">
        <f>AVERAGE((grand[[#This Row],[am]]/25),(grand[[#This Row],[pm]]/50))</f>
        <v>0.96942307692307694</v>
      </c>
      <c r="AB1526" s="3">
        <f>grand[[#This Row],[ carcass weight]]/grand[[#This Row],[total weight]]</f>
        <v>0.60063202545068928</v>
      </c>
      <c r="AC1526" s="18">
        <f>SUM(grand[[#This Row],[am]:[meat transportation]])/100</f>
        <v>0.91019230769230774</v>
      </c>
      <c r="AD1526" s="2" t="s">
        <v>398</v>
      </c>
      <c r="AE1526" s="2"/>
      <c r="AF1526" s="2"/>
      <c r="AG1526" s="2"/>
      <c r="AH1526" s="2"/>
      <c r="AI1526" s="2"/>
      <c r="AJ1526" s="2">
        <v>17</v>
      </c>
    </row>
    <row r="1527" spans="1:36" hidden="1" x14ac:dyDescent="0.2">
      <c r="A1527" s="11">
        <v>45882</v>
      </c>
      <c r="B1527" s="53" t="s">
        <v>2283</v>
      </c>
      <c r="C1527" s="52" t="str">
        <f>IF(MID(B1527,4,2)="09","Ramadan",IF(AND(MID(B1527,4,2)="12",VALUE(LEFT(B1527,2))&lt;=9),"Adha Season","Normal"))</f>
        <v>Normal</v>
      </c>
      <c r="D1527" s="1" t="s">
        <v>45</v>
      </c>
      <c r="E1527" s="1" t="s">
        <v>528</v>
      </c>
      <c r="F1527" s="4" t="s">
        <v>752</v>
      </c>
      <c r="G1527" s="1">
        <v>52</v>
      </c>
      <c r="H1527">
        <v>44</v>
      </c>
      <c r="I1527">
        <f>grand[[#This Row],[number]]-grand[[#This Row],[received]]</f>
        <v>8</v>
      </c>
      <c r="J1527" s="64" t="s">
        <v>3197</v>
      </c>
      <c r="K1527" s="2">
        <f>12864.2*100/63.2</f>
        <v>20354.746835443038</v>
      </c>
      <c r="L1527" s="2">
        <f>12864.2*100/63.2</f>
        <v>20354.746835443038</v>
      </c>
      <c r="M1527" s="2">
        <f>K1527-L1527</f>
        <v>0</v>
      </c>
      <c r="N1527" s="2">
        <v>12864.2</v>
      </c>
      <c r="O1527" s="2">
        <v>0</v>
      </c>
      <c r="P1527" s="7">
        <f>grand[[#This Row],[total weight]]/grand[[#This Row],[received]]</f>
        <v>462.60788262370539</v>
      </c>
      <c r="Q1527" s="7">
        <f>grand[[#This Row],[receiving weight]]/grand[[#This Row],[received]]</f>
        <v>462.60788262370539</v>
      </c>
      <c r="R1527" s="7">
        <f>grand[[#This Row],[transportation loss ]]/grand[[#This Row],[received]]</f>
        <v>0</v>
      </c>
      <c r="S1527" s="7">
        <f>grand[[#This Row],[ carcass weight]]/grand[[#This Row],[received]]</f>
        <v>292.36818181818182</v>
      </c>
      <c r="T1527" s="7">
        <f>grand[[#This Row],[ kidneys fat quantity]]/grand[[#This Row],[received]]</f>
        <v>0</v>
      </c>
      <c r="U1527">
        <v>24.454545454545457</v>
      </c>
      <c r="V1527">
        <v>0</v>
      </c>
      <c r="W1527">
        <v>49.727272727272727</v>
      </c>
      <c r="X1527">
        <v>10</v>
      </c>
      <c r="Y1527">
        <v>8.5</v>
      </c>
      <c r="Z1527" s="18">
        <f>grand[[#This Row],[av. Transportation loss]]/grand[[#This Row],[av.total weight]]</f>
        <v>0</v>
      </c>
      <c r="AA1527" s="18">
        <f>AVERAGE((grand[[#This Row],[am]]/25),(grand[[#This Row],[pm]]/50))</f>
        <v>0.98636363636363633</v>
      </c>
      <c r="AB1527" s="3">
        <f>grand[[#This Row],[ carcass weight]]/grand[[#This Row],[total weight]]</f>
        <v>0.63200000000000001</v>
      </c>
      <c r="AC1527" s="18">
        <f>SUM(grand[[#This Row],[am]:[meat transportation]])/100</f>
        <v>0.92681818181818187</v>
      </c>
      <c r="AD1527" s="2" t="s">
        <v>373</v>
      </c>
      <c r="AE1527" s="2"/>
      <c r="AF1527" s="2"/>
      <c r="AG1527" s="2"/>
      <c r="AH1527" s="2"/>
      <c r="AI1527" s="2"/>
      <c r="AJ1527" s="2">
        <v>12</v>
      </c>
    </row>
    <row r="1528" spans="1:36" hidden="1" x14ac:dyDescent="0.2">
      <c r="A1528" s="11">
        <v>45883</v>
      </c>
      <c r="B1528" s="53" t="s">
        <v>2284</v>
      </c>
      <c r="C1528" s="52" t="str">
        <f>IF(MID(B1528,4,2)="09","Ramadan",IF(AND(MID(B1528,4,2)="12",VALUE(LEFT(B1528,2))&lt;=9),"Adha Season","Normal"))</f>
        <v>Normal</v>
      </c>
      <c r="D1528" s="2" t="s">
        <v>294</v>
      </c>
      <c r="F1528" s="4" t="s">
        <v>656</v>
      </c>
      <c r="G1528" s="1">
        <v>40</v>
      </c>
      <c r="H1528">
        <v>40</v>
      </c>
      <c r="I1528">
        <f>grand[[#This Row],[number]]-grand[[#This Row],[received]]</f>
        <v>0</v>
      </c>
      <c r="J1528" s="30"/>
      <c r="K1528" s="2">
        <v>1843</v>
      </c>
      <c r="L1528" s="2">
        <v>1800</v>
      </c>
      <c r="M1528" s="2">
        <f>K1528-L1528</f>
        <v>43</v>
      </c>
      <c r="N1528" s="2">
        <v>1000.5</v>
      </c>
      <c r="O1528" s="2">
        <v>0</v>
      </c>
      <c r="P1528" s="7">
        <f>grand[[#This Row],[total weight]]/grand[[#This Row],[received]]</f>
        <v>46.075000000000003</v>
      </c>
      <c r="Q1528" s="7">
        <f>grand[[#This Row],[receiving weight]]/grand[[#This Row],[received]]</f>
        <v>45</v>
      </c>
      <c r="R1528" s="7">
        <f>grand[[#This Row],[transportation loss ]]/grand[[#This Row],[received]]</f>
        <v>1.075</v>
      </c>
      <c r="S1528" s="7">
        <f>grand[[#This Row],[ carcass weight]]/grand[[#This Row],[received]]</f>
        <v>25.012499999999999</v>
      </c>
      <c r="T1528" s="7">
        <f>grand[[#This Row],[ kidneys fat quantity]]/grand[[#This Row],[received]]</f>
        <v>0</v>
      </c>
      <c r="U1528">
        <v>25</v>
      </c>
      <c r="V1528">
        <v>0</v>
      </c>
      <c r="W1528">
        <v>46.5</v>
      </c>
      <c r="X1528">
        <v>10</v>
      </c>
      <c r="Y1528">
        <v>8.5</v>
      </c>
      <c r="Z1528" s="18">
        <f>grand[[#This Row],[av. Transportation loss]]/grand[[#This Row],[av.total weight]]</f>
        <v>2.3331524688008681E-2</v>
      </c>
      <c r="AA1528" s="18">
        <f>AVERAGE((grand[[#This Row],[am]]/25),(grand[[#This Row],[pm]]/50))</f>
        <v>0.96500000000000008</v>
      </c>
      <c r="AB1528" s="3">
        <f>grand[[#This Row],[ carcass weight]]/grand[[#This Row],[total weight]]</f>
        <v>0.54286489419424855</v>
      </c>
      <c r="AC1528" s="18">
        <f>SUM(grand[[#This Row],[am]:[meat transportation]])/100</f>
        <v>0.9</v>
      </c>
      <c r="AD1528" s="2" t="s">
        <v>754</v>
      </c>
      <c r="AE1528" s="2"/>
      <c r="AF1528" s="2"/>
      <c r="AG1528" s="2"/>
      <c r="AH1528" s="2"/>
      <c r="AI1528" s="2"/>
      <c r="AJ1528" s="2">
        <v>0</v>
      </c>
    </row>
    <row r="1529" spans="1:36" hidden="1" x14ac:dyDescent="0.2">
      <c r="A1529" s="11">
        <v>45883</v>
      </c>
      <c r="B1529" s="53" t="s">
        <v>2284</v>
      </c>
      <c r="C1529" s="52" t="str">
        <f>IF(MID(B1529,4,2)="09","Ramadan",IF(AND(MID(B1529,4,2)="12",VALUE(LEFT(B1529,2))&lt;=9),"Adha Season","Normal"))</f>
        <v>Normal</v>
      </c>
      <c r="D1529" s="1" t="s">
        <v>45</v>
      </c>
      <c r="E1529" s="1" t="s">
        <v>483</v>
      </c>
      <c r="F1529" s="4" t="s">
        <v>749</v>
      </c>
      <c r="G1529" s="1">
        <v>75</v>
      </c>
      <c r="H1529">
        <v>70</v>
      </c>
      <c r="I1529">
        <f>grand[[#This Row],[number]]-grand[[#This Row],[received]]</f>
        <v>5</v>
      </c>
      <c r="J1529" s="64" t="s">
        <v>724</v>
      </c>
      <c r="K1529" s="2">
        <v>32694</v>
      </c>
      <c r="L1529" s="2">
        <v>32349</v>
      </c>
      <c r="M1529" s="2">
        <f>K1529-L1529</f>
        <v>345</v>
      </c>
      <c r="N1529" s="2">
        <v>19635.2</v>
      </c>
      <c r="O1529" s="2">
        <v>621</v>
      </c>
      <c r="P1529" s="7">
        <f>grand[[#This Row],[total weight]]/grand[[#This Row],[received]]</f>
        <v>467.05714285714288</v>
      </c>
      <c r="Q1529" s="7">
        <f>grand[[#This Row],[receiving weight]]/grand[[#This Row],[received]]</f>
        <v>462.12857142857143</v>
      </c>
      <c r="R1529" s="7">
        <f>grand[[#This Row],[transportation loss ]]/grand[[#This Row],[received]]</f>
        <v>4.9285714285714288</v>
      </c>
      <c r="S1529" s="7">
        <f>grand[[#This Row],[ carcass weight]]/grand[[#This Row],[received]]</f>
        <v>280.50285714285718</v>
      </c>
      <c r="T1529" s="7">
        <f>grand[[#This Row],[ kidneys fat quantity]]/grand[[#This Row],[received]]</f>
        <v>8.8714285714285719</v>
      </c>
      <c r="U1529">
        <v>24.142857142857142</v>
      </c>
      <c r="V1529">
        <v>0</v>
      </c>
      <c r="W1529">
        <v>45.771428571428579</v>
      </c>
      <c r="X1529">
        <v>10</v>
      </c>
      <c r="Y1529">
        <v>8.5</v>
      </c>
      <c r="Z1529" s="18">
        <f>grand[[#This Row],[av. Transportation loss]]/grand[[#This Row],[av.total weight]]</f>
        <v>1.0552394934850431E-2</v>
      </c>
      <c r="AA1529" s="18">
        <f>AVERAGE((grand[[#This Row],[am]]/25),(grand[[#This Row],[pm]]/50))</f>
        <v>0.94057142857142861</v>
      </c>
      <c r="AB1529" s="3">
        <f>grand[[#This Row],[ carcass weight]]/grand[[#This Row],[total weight]]</f>
        <v>0.60057502905731941</v>
      </c>
      <c r="AC1529" s="18">
        <f>SUM(grand[[#This Row],[am]:[meat transportation]])/100</f>
        <v>0.88414285714285723</v>
      </c>
      <c r="AD1529" s="2" t="s">
        <v>753</v>
      </c>
      <c r="AE1529" s="2"/>
      <c r="AF1529" s="2"/>
      <c r="AG1529" s="2"/>
      <c r="AH1529" s="2"/>
      <c r="AI1529" s="2"/>
      <c r="AJ1529" s="2">
        <v>35</v>
      </c>
    </row>
    <row r="1530" spans="1:36" hidden="1" x14ac:dyDescent="0.2">
      <c r="A1530" s="11">
        <v>45885</v>
      </c>
      <c r="B1530" s="53" t="s">
        <v>2285</v>
      </c>
      <c r="C1530" s="52" t="str">
        <f>IF(MID(B1530,4,2)="09","Ramadan",IF(AND(MID(B1530,4,2)="12",VALUE(LEFT(B1530,2))&lt;=9),"Adha Season","Normal"))</f>
        <v>Normal</v>
      </c>
      <c r="D1530" s="1" t="s">
        <v>45</v>
      </c>
      <c r="E1530" s="1" t="s">
        <v>483</v>
      </c>
      <c r="F1530" s="4" t="s">
        <v>746</v>
      </c>
      <c r="G1530" s="1">
        <v>36</v>
      </c>
      <c r="H1530">
        <v>36</v>
      </c>
      <c r="I1530">
        <f>grand[[#This Row],[number]]-grand[[#This Row],[received]]</f>
        <v>0</v>
      </c>
      <c r="J1530" s="30"/>
      <c r="K1530" s="2">
        <v>15556</v>
      </c>
      <c r="L1530" s="2">
        <v>15300</v>
      </c>
      <c r="M1530" s="2">
        <f>K1530-L1530</f>
        <v>256</v>
      </c>
      <c r="N1530" s="2">
        <v>9333.4</v>
      </c>
      <c r="O1530" s="2">
        <v>271</v>
      </c>
      <c r="P1530" s="7">
        <f>grand[[#This Row],[total weight]]/grand[[#This Row],[received]]</f>
        <v>432.11111111111109</v>
      </c>
      <c r="Q1530" s="7">
        <f>grand[[#This Row],[receiving weight]]/grand[[#This Row],[received]]</f>
        <v>425</v>
      </c>
      <c r="R1530" s="7">
        <f>grand[[#This Row],[transportation loss ]]/grand[[#This Row],[received]]</f>
        <v>7.1111111111111107</v>
      </c>
      <c r="S1530" s="7">
        <f>grand[[#This Row],[ carcass weight]]/grand[[#This Row],[received]]</f>
        <v>259.26111111111112</v>
      </c>
      <c r="T1530" s="7">
        <f>grand[[#This Row],[ kidneys fat quantity]]/grand[[#This Row],[received]]</f>
        <v>7.5277777777777777</v>
      </c>
      <c r="U1530">
        <v>25</v>
      </c>
      <c r="V1530">
        <v>0</v>
      </c>
      <c r="W1530">
        <v>49.388888888888886</v>
      </c>
      <c r="X1530">
        <v>10</v>
      </c>
      <c r="Y1530">
        <v>8.5</v>
      </c>
      <c r="Z1530" s="18">
        <f>grand[[#This Row],[av. Transportation loss]]/grand[[#This Row],[av.total weight]]</f>
        <v>1.6456672666495243E-2</v>
      </c>
      <c r="AA1530" s="18">
        <f>AVERAGE((grand[[#This Row],[am]]/25),(grand[[#This Row],[pm]]/50))</f>
        <v>0.99388888888888882</v>
      </c>
      <c r="AB1530" s="3">
        <f>grand[[#This Row],[ carcass weight]]/grand[[#This Row],[total weight]]</f>
        <v>0.59998714322447932</v>
      </c>
      <c r="AC1530" s="18">
        <f>SUM(grand[[#This Row],[am]:[meat transportation]])/100</f>
        <v>0.92888888888888888</v>
      </c>
      <c r="AD1530" s="2"/>
      <c r="AE1530" s="2"/>
      <c r="AF1530" s="2"/>
      <c r="AG1530" s="2"/>
      <c r="AH1530" s="2"/>
      <c r="AI1530" s="2"/>
      <c r="AJ1530" s="2">
        <v>8</v>
      </c>
    </row>
    <row r="1531" spans="1:36" hidden="1" x14ac:dyDescent="0.2">
      <c r="A1531" s="11">
        <v>45886</v>
      </c>
      <c r="B1531" s="53" t="s">
        <v>2286</v>
      </c>
      <c r="C1531" s="52" t="str">
        <f>IF(MID(B1531,4,2)="09","Ramadan",IF(AND(MID(B1531,4,2)="12",VALUE(LEFT(B1531,2))&lt;=9),"Adha Season","Normal"))</f>
        <v>Normal</v>
      </c>
      <c r="D1531" s="2" t="s">
        <v>294</v>
      </c>
      <c r="F1531" s="4" t="s">
        <v>656</v>
      </c>
      <c r="G1531" s="1">
        <v>48</v>
      </c>
      <c r="H1531">
        <v>48</v>
      </c>
      <c r="I1531">
        <f>grand[[#This Row],[number]]-grand[[#This Row],[received]]</f>
        <v>0</v>
      </c>
      <c r="J1531" s="30"/>
      <c r="K1531" s="2">
        <v>2190</v>
      </c>
      <c r="L1531" s="2">
        <v>2165</v>
      </c>
      <c r="M1531" s="2">
        <f>K1531-L1531</f>
        <v>25</v>
      </c>
      <c r="N1531" s="2">
        <v>1221.3</v>
      </c>
      <c r="O1531" s="2">
        <v>0</v>
      </c>
      <c r="P1531" s="7">
        <f>grand[[#This Row],[total weight]]/grand[[#This Row],[received]]</f>
        <v>45.625</v>
      </c>
      <c r="Q1531" s="7">
        <f>grand[[#This Row],[receiving weight]]/grand[[#This Row],[received]]</f>
        <v>45.104166666666664</v>
      </c>
      <c r="R1531" s="7">
        <f>grand[[#This Row],[transportation loss ]]/grand[[#This Row],[received]]</f>
        <v>0.52083333333333337</v>
      </c>
      <c r="S1531" s="7">
        <f>grand[[#This Row],[ carcass weight]]/grand[[#This Row],[received]]</f>
        <v>25.443749999999998</v>
      </c>
      <c r="T1531" s="7">
        <f>grand[[#This Row],[ kidneys fat quantity]]/grand[[#This Row],[received]]</f>
        <v>0</v>
      </c>
      <c r="U1531">
        <v>25</v>
      </c>
      <c r="V1531">
        <v>0</v>
      </c>
      <c r="W1531">
        <v>48.333333333333329</v>
      </c>
      <c r="X1531">
        <v>10</v>
      </c>
      <c r="Y1531">
        <v>8.5</v>
      </c>
      <c r="Z1531" s="18">
        <f>grand[[#This Row],[av. Transportation loss]]/grand[[#This Row],[av.total weight]]</f>
        <v>1.1415525114155252E-2</v>
      </c>
      <c r="AA1531" s="18">
        <f>AVERAGE((grand[[#This Row],[am]]/25),(grand[[#This Row],[pm]]/50))</f>
        <v>0.98333333333333328</v>
      </c>
      <c r="AB1531" s="3">
        <f>grand[[#This Row],[ carcass weight]]/grand[[#This Row],[total weight]]</f>
        <v>0.55767123287671228</v>
      </c>
      <c r="AC1531" s="18">
        <f>SUM(grand[[#This Row],[am]:[meat transportation]])/100</f>
        <v>0.91833333333333333</v>
      </c>
      <c r="AD1531" s="2" t="s">
        <v>755</v>
      </c>
      <c r="AE1531" s="2"/>
      <c r="AF1531" s="2"/>
      <c r="AG1531" s="2"/>
      <c r="AH1531" s="2"/>
      <c r="AI1531" s="2"/>
      <c r="AJ1531" s="2">
        <v>0</v>
      </c>
    </row>
    <row r="1532" spans="1:36" hidden="1" x14ac:dyDescent="0.2">
      <c r="A1532" s="11">
        <v>45886</v>
      </c>
      <c r="B1532" s="53" t="s">
        <v>2286</v>
      </c>
      <c r="C1532" s="52" t="str">
        <f>IF(MID(B1532,4,2)="09","Ramadan",IF(AND(MID(B1532,4,2)="12",VALUE(LEFT(B1532,2))&lt;=9),"Adha Season","Normal"))</f>
        <v>Normal</v>
      </c>
      <c r="D1532" s="1" t="s">
        <v>45</v>
      </c>
      <c r="E1532" s="1" t="s">
        <v>483</v>
      </c>
      <c r="F1532" s="4" t="s">
        <v>576</v>
      </c>
      <c r="G1532" s="1">
        <v>42</v>
      </c>
      <c r="H1532">
        <v>42</v>
      </c>
      <c r="I1532">
        <f>grand[[#This Row],[number]]-grand[[#This Row],[received]]</f>
        <v>0</v>
      </c>
      <c r="J1532" s="30"/>
      <c r="K1532" s="2">
        <v>20920</v>
      </c>
      <c r="L1532" s="2">
        <v>20140</v>
      </c>
      <c r="M1532" s="2">
        <f>K1532-L1532</f>
        <v>780</v>
      </c>
      <c r="N1532" s="2">
        <v>12726.1</v>
      </c>
      <c r="O1532" s="2">
        <v>331</v>
      </c>
      <c r="P1532" s="7">
        <f>grand[[#This Row],[total weight]]/grand[[#This Row],[received]]</f>
        <v>498.09523809523807</v>
      </c>
      <c r="Q1532" s="7">
        <f>grand[[#This Row],[receiving weight]]/grand[[#This Row],[received]]</f>
        <v>479.52380952380952</v>
      </c>
      <c r="R1532" s="7">
        <f>grand[[#This Row],[transportation loss ]]/grand[[#This Row],[received]]</f>
        <v>18.571428571428573</v>
      </c>
      <c r="S1532" s="7">
        <f>grand[[#This Row],[ carcass weight]]/grand[[#This Row],[received]]</f>
        <v>303.00238095238097</v>
      </c>
      <c r="T1532" s="7">
        <f>grand[[#This Row],[ kidneys fat quantity]]/grand[[#This Row],[received]]</f>
        <v>7.8809523809523814</v>
      </c>
      <c r="U1532">
        <v>24.88095238095238</v>
      </c>
      <c r="V1532">
        <v>0</v>
      </c>
      <c r="W1532">
        <v>43.88095238095238</v>
      </c>
      <c r="X1532">
        <v>10</v>
      </c>
      <c r="Y1532">
        <v>8.5</v>
      </c>
      <c r="Z1532" s="18">
        <f>grand[[#This Row],[av. Transportation loss]]/grand[[#This Row],[av.total weight]]</f>
        <v>3.7284894837476101E-2</v>
      </c>
      <c r="AA1532" s="18">
        <f>AVERAGE((grand[[#This Row],[am]]/25),(grand[[#This Row],[pm]]/50))</f>
        <v>0.93642857142857139</v>
      </c>
      <c r="AB1532" s="3">
        <f>grand[[#This Row],[ carcass weight]]/grand[[#This Row],[total weight]]</f>
        <v>0.60832217973231362</v>
      </c>
      <c r="AC1532" s="18">
        <f>SUM(grand[[#This Row],[am]:[meat transportation]])/100</f>
        <v>0.87261904761904763</v>
      </c>
      <c r="AD1532" s="2"/>
      <c r="AE1532" s="2"/>
      <c r="AF1532" s="2"/>
      <c r="AG1532" s="2"/>
      <c r="AH1532" s="2"/>
      <c r="AI1532" s="2"/>
      <c r="AJ1532" s="2">
        <v>8</v>
      </c>
    </row>
    <row r="1533" spans="1:36" hidden="1" x14ac:dyDescent="0.2">
      <c r="A1533" s="11">
        <v>45887</v>
      </c>
      <c r="B1533" s="53" t="s">
        <v>2287</v>
      </c>
      <c r="C1533" s="52" t="str">
        <f>IF(MID(B1533,4,2)="09","Ramadan",IF(AND(MID(B1533,4,2)="12",VALUE(LEFT(B1533,2))&lt;=9),"Adha Season","Normal"))</f>
        <v>Normal</v>
      </c>
      <c r="D1533" s="1" t="s">
        <v>45</v>
      </c>
      <c r="F1533" s="4" t="s">
        <v>752</v>
      </c>
      <c r="G1533" s="1">
        <v>43</v>
      </c>
      <c r="H1533">
        <v>42</v>
      </c>
      <c r="I1533">
        <f>grand[[#This Row],[number]]-grand[[#This Row],[received]]</f>
        <v>1</v>
      </c>
      <c r="J1533" s="64" t="s">
        <v>653</v>
      </c>
      <c r="K1533" s="2">
        <f>13052.3*100/63.2</f>
        <v>20652.373417721519</v>
      </c>
      <c r="L1533" s="2">
        <f>13052.3*100/63.2</f>
        <v>20652.373417721519</v>
      </c>
      <c r="M1533" s="2">
        <f>K1533-L1533</f>
        <v>0</v>
      </c>
      <c r="N1533" s="2">
        <v>13052.3</v>
      </c>
      <c r="O1533" s="2">
        <v>0</v>
      </c>
      <c r="P1533" s="7">
        <f>grand[[#This Row],[total weight]]/grand[[#This Row],[received]]</f>
        <v>491.72317661241715</v>
      </c>
      <c r="Q1533" s="7">
        <f>grand[[#This Row],[receiving weight]]/grand[[#This Row],[received]]</f>
        <v>491.72317661241715</v>
      </c>
      <c r="R1533" s="7">
        <f>grand[[#This Row],[transportation loss ]]/grand[[#This Row],[received]]</f>
        <v>0</v>
      </c>
      <c r="S1533" s="7">
        <f>grand[[#This Row],[ carcass weight]]/grand[[#This Row],[received]]</f>
        <v>310.76904761904763</v>
      </c>
      <c r="T1533" s="7">
        <f>grand[[#This Row],[ kidneys fat quantity]]/grand[[#This Row],[received]]</f>
        <v>0</v>
      </c>
      <c r="U1533">
        <v>25</v>
      </c>
      <c r="V1533">
        <v>0</v>
      </c>
      <c r="W1533">
        <v>49.69047619047619</v>
      </c>
      <c r="X1533">
        <v>10</v>
      </c>
      <c r="Y1533">
        <v>8.5</v>
      </c>
      <c r="Z1533" s="18">
        <f>grand[[#This Row],[av. Transportation loss]]/grand[[#This Row],[av.total weight]]</f>
        <v>0</v>
      </c>
      <c r="AA1533" s="18">
        <f>AVERAGE((grand[[#This Row],[am]]/25),(grand[[#This Row],[pm]]/50))</f>
        <v>0.99690476190476196</v>
      </c>
      <c r="AB1533" s="3">
        <f>grand[[#This Row],[ carcass weight]]/grand[[#This Row],[total weight]]</f>
        <v>0.63200000000000001</v>
      </c>
      <c r="AC1533" s="18">
        <f>SUM(grand[[#This Row],[am]:[meat transportation]])/100</f>
        <v>0.9319047619047619</v>
      </c>
      <c r="AD1533" s="2" t="s">
        <v>756</v>
      </c>
      <c r="AE1533" s="2"/>
      <c r="AF1533" s="2"/>
      <c r="AG1533" s="2"/>
      <c r="AH1533" s="2"/>
      <c r="AI1533" s="2"/>
      <c r="AJ1533" s="2"/>
    </row>
    <row r="1534" spans="1:36" hidden="1" x14ac:dyDescent="0.2">
      <c r="A1534" s="11">
        <v>45888</v>
      </c>
      <c r="B1534" s="53" t="s">
        <v>2288</v>
      </c>
      <c r="C1534" s="52" t="str">
        <f>IF(MID(B1534,4,2)="09","Ramadan",IF(AND(MID(B1534,4,2)="12",VALUE(LEFT(B1534,2))&lt;=9),"Adha Season","Normal"))</f>
        <v>Normal</v>
      </c>
      <c r="D1534" s="2" t="s">
        <v>294</v>
      </c>
      <c r="F1534" s="4" t="s">
        <v>656</v>
      </c>
      <c r="G1534" s="1">
        <v>35</v>
      </c>
      <c r="H1534">
        <v>35</v>
      </c>
      <c r="I1534">
        <f>grand[[#This Row],[number]]-grand[[#This Row],[received]]</f>
        <v>0</v>
      </c>
      <c r="J1534" s="30"/>
      <c r="K1534" s="2">
        <v>1667</v>
      </c>
      <c r="L1534" s="2">
        <v>1667</v>
      </c>
      <c r="M1534" s="2">
        <f>K1534-L1534</f>
        <v>0</v>
      </c>
      <c r="N1534" s="2">
        <v>949.5</v>
      </c>
      <c r="O1534" s="2">
        <v>0</v>
      </c>
      <c r="P1534" s="7">
        <f>grand[[#This Row],[total weight]]/grand[[#This Row],[received]]</f>
        <v>47.628571428571426</v>
      </c>
      <c r="Q1534" s="7">
        <f>grand[[#This Row],[receiving weight]]/grand[[#This Row],[received]]</f>
        <v>47.628571428571426</v>
      </c>
      <c r="R1534" s="7">
        <f>grand[[#This Row],[transportation loss ]]/grand[[#This Row],[received]]</f>
        <v>0</v>
      </c>
      <c r="S1534" s="7">
        <f>grand[[#This Row],[ carcass weight]]/grand[[#This Row],[received]]</f>
        <v>27.12857142857143</v>
      </c>
      <c r="T1534" s="7">
        <f>grand[[#This Row],[ kidneys fat quantity]]/grand[[#This Row],[received]]</f>
        <v>0</v>
      </c>
      <c r="U1534">
        <v>25</v>
      </c>
      <c r="V1534">
        <v>0</v>
      </c>
      <c r="W1534">
        <v>49.485714285714288</v>
      </c>
      <c r="X1534">
        <v>10</v>
      </c>
      <c r="Y1534">
        <v>8.5</v>
      </c>
      <c r="Z1534" s="18">
        <f>grand[[#This Row],[av. Transportation loss]]/grand[[#This Row],[av.total weight]]</f>
        <v>0</v>
      </c>
      <c r="AA1534" s="18">
        <f>AVERAGE((grand[[#This Row],[am]]/25),(grand[[#This Row],[pm]]/50))</f>
        <v>0.99485714285714288</v>
      </c>
      <c r="AB1534" s="3">
        <f>grand[[#This Row],[ carcass weight]]/grand[[#This Row],[total weight]]</f>
        <v>0.56958608278344336</v>
      </c>
      <c r="AC1534" s="18">
        <f>SUM(grand[[#This Row],[am]:[meat transportation]])/100</f>
        <v>0.92985714285714294</v>
      </c>
      <c r="AD1534" s="2" t="s">
        <v>398</v>
      </c>
      <c r="AE1534" s="2"/>
      <c r="AF1534" s="2"/>
      <c r="AG1534" s="2"/>
      <c r="AH1534" s="2"/>
      <c r="AI1534" s="2"/>
      <c r="AJ1534" s="2">
        <v>0</v>
      </c>
    </row>
    <row r="1535" spans="1:36" hidden="1" x14ac:dyDescent="0.2">
      <c r="A1535" s="11">
        <v>45888</v>
      </c>
      <c r="B1535" s="53" t="s">
        <v>2288</v>
      </c>
      <c r="C1535" s="52" t="str">
        <f>IF(MID(B1535,4,2)="09","Ramadan",IF(AND(MID(B1535,4,2)="12",VALUE(LEFT(B1535,2))&lt;=9),"Adha Season","Normal"))</f>
        <v>Normal</v>
      </c>
      <c r="D1535" s="1" t="s">
        <v>45</v>
      </c>
      <c r="E1535" s="1" t="s">
        <v>483</v>
      </c>
      <c r="F1535" s="4" t="s">
        <v>757</v>
      </c>
      <c r="G1535" s="1">
        <v>42</v>
      </c>
      <c r="H1535">
        <v>42</v>
      </c>
      <c r="I1535">
        <f>grand[[#This Row],[number]]-grand[[#This Row],[received]]</f>
        <v>0</v>
      </c>
      <c r="J1535" s="30"/>
      <c r="K1535" s="2">
        <v>17556</v>
      </c>
      <c r="L1535" s="2">
        <v>17556</v>
      </c>
      <c r="M1535" s="2">
        <f>K1535-L1535</f>
        <v>0</v>
      </c>
      <c r="N1535" s="2">
        <v>10493.3</v>
      </c>
      <c r="O1535" s="2">
        <v>202</v>
      </c>
      <c r="P1535" s="7">
        <f>grand[[#This Row],[total weight]]/grand[[#This Row],[received]]</f>
        <v>418</v>
      </c>
      <c r="Q1535" s="7">
        <f>grand[[#This Row],[receiving weight]]/grand[[#This Row],[received]]</f>
        <v>418</v>
      </c>
      <c r="R1535" s="7">
        <f>grand[[#This Row],[transportation loss ]]/grand[[#This Row],[received]]</f>
        <v>0</v>
      </c>
      <c r="S1535" s="7">
        <f>grand[[#This Row],[ carcass weight]]/grand[[#This Row],[received]]</f>
        <v>249.84047619047618</v>
      </c>
      <c r="T1535" s="7">
        <f>grand[[#This Row],[ kidneys fat quantity]]/grand[[#This Row],[received]]</f>
        <v>4.8095238095238093</v>
      </c>
      <c r="U1535">
        <v>25</v>
      </c>
      <c r="V1535">
        <v>0</v>
      </c>
      <c r="W1535">
        <v>49.19047619047619</v>
      </c>
      <c r="X1535">
        <v>10</v>
      </c>
      <c r="Y1535">
        <v>8.5</v>
      </c>
      <c r="Z1535" s="18">
        <f>grand[[#This Row],[av. Transportation loss]]/grand[[#This Row],[av.total weight]]</f>
        <v>0</v>
      </c>
      <c r="AA1535" s="18">
        <f>AVERAGE((grand[[#This Row],[am]]/25),(grand[[#This Row],[pm]]/50))</f>
        <v>0.99190476190476184</v>
      </c>
      <c r="AB1535" s="3">
        <f>grand[[#This Row],[ carcass weight]]/grand[[#This Row],[total weight]]</f>
        <v>0.59770448849396218</v>
      </c>
      <c r="AC1535" s="18">
        <f>SUM(grand[[#This Row],[am]:[meat transportation]])/100</f>
        <v>0.9269047619047619</v>
      </c>
      <c r="AD1535" s="2" t="s">
        <v>758</v>
      </c>
      <c r="AE1535" s="2"/>
      <c r="AF1535" s="2"/>
      <c r="AG1535" s="2"/>
      <c r="AH1535" s="2"/>
      <c r="AI1535" s="2"/>
      <c r="AJ1535" s="2"/>
    </row>
    <row r="1536" spans="1:36" hidden="1" x14ac:dyDescent="0.2">
      <c r="A1536" s="11">
        <v>45889</v>
      </c>
      <c r="B1536" s="53" t="s">
        <v>2289</v>
      </c>
      <c r="C1536" s="52" t="str">
        <f>IF(MID(B1536,4,2)="09","Ramadan",IF(AND(MID(B1536,4,2)="12",VALUE(LEFT(B1536,2))&lt;=9),"Adha Season","Normal"))</f>
        <v>Normal</v>
      </c>
      <c r="D1536" s="1" t="s">
        <v>45</v>
      </c>
      <c r="E1536" s="1" t="s">
        <v>528</v>
      </c>
      <c r="F1536" s="4" t="s">
        <v>752</v>
      </c>
      <c r="G1536" s="1">
        <v>45</v>
      </c>
      <c r="H1536">
        <v>44</v>
      </c>
      <c r="I1536">
        <f>grand[[#This Row],[number]]-grand[[#This Row],[received]]</f>
        <v>1</v>
      </c>
      <c r="J1536" s="64" t="s">
        <v>3169</v>
      </c>
      <c r="K1536" s="2">
        <f>13438.3*100/63.2</f>
        <v>21263.132911392404</v>
      </c>
      <c r="L1536" s="2">
        <f>13438.3*100/63.2</f>
        <v>21263.132911392404</v>
      </c>
      <c r="M1536" s="2">
        <f>K1536-L1536</f>
        <v>0</v>
      </c>
      <c r="N1536" s="2">
        <v>13438.3</v>
      </c>
      <c r="O1536" s="2">
        <v>0</v>
      </c>
      <c r="P1536" s="7">
        <f>grand[[#This Row],[total weight]]/grand[[#This Row],[received]]</f>
        <v>483.25302071346374</v>
      </c>
      <c r="Q1536" s="7">
        <f>grand[[#This Row],[receiving weight]]/grand[[#This Row],[received]]</f>
        <v>483.25302071346374</v>
      </c>
      <c r="R1536" s="7">
        <f>grand[[#This Row],[transportation loss ]]/grand[[#This Row],[received]]</f>
        <v>0</v>
      </c>
      <c r="S1536" s="7">
        <f>grand[[#This Row],[ carcass weight]]/grand[[#This Row],[received]]</f>
        <v>305.41590909090905</v>
      </c>
      <c r="T1536" s="7">
        <f>grand[[#This Row],[ kidneys fat quantity]]/grand[[#This Row],[received]]</f>
        <v>0</v>
      </c>
      <c r="U1536">
        <v>24.772727272727273</v>
      </c>
      <c r="V1536">
        <v>0</v>
      </c>
      <c r="W1536">
        <v>49.86363636363636</v>
      </c>
      <c r="X1536">
        <v>10</v>
      </c>
      <c r="Y1536">
        <v>8.5</v>
      </c>
      <c r="Z1536" s="18">
        <f>grand[[#This Row],[av. Transportation loss]]/grand[[#This Row],[av.total weight]]</f>
        <v>0</v>
      </c>
      <c r="AA1536" s="18">
        <f>AVERAGE((grand[[#This Row],[am]]/25),(grand[[#This Row],[pm]]/50))</f>
        <v>0.99409090909090914</v>
      </c>
      <c r="AB1536" s="3">
        <f>grand[[#This Row],[ carcass weight]]/grand[[#This Row],[total weight]]</f>
        <v>0.63200000000000001</v>
      </c>
      <c r="AC1536" s="18">
        <f>SUM(grand[[#This Row],[am]:[meat transportation]])/100</f>
        <v>0.93136363636363628</v>
      </c>
      <c r="AD1536" s="2" t="s">
        <v>759</v>
      </c>
      <c r="AE1536" s="2"/>
      <c r="AF1536" s="2"/>
      <c r="AG1536" s="2"/>
      <c r="AH1536" s="2"/>
      <c r="AI1536" s="2"/>
      <c r="AJ1536" s="2">
        <v>2</v>
      </c>
    </row>
    <row r="1537" spans="1:36" hidden="1" x14ac:dyDescent="0.2">
      <c r="A1537" s="11">
        <v>45890</v>
      </c>
      <c r="B1537" s="53" t="s">
        <v>2290</v>
      </c>
      <c r="C1537" s="52" t="str">
        <f>IF(MID(B1537,4,2)="09","Ramadan",IF(AND(MID(B1537,4,2)="12",VALUE(LEFT(B1537,2))&lt;=9),"Adha Season","Normal"))</f>
        <v>Normal</v>
      </c>
      <c r="D1537" s="2" t="s">
        <v>294</v>
      </c>
      <c r="F1537" s="4" t="s">
        <v>750</v>
      </c>
      <c r="G1537" s="1">
        <v>36</v>
      </c>
      <c r="H1537">
        <v>36</v>
      </c>
      <c r="I1537">
        <f>grand[[#This Row],[number]]-grand[[#This Row],[received]]</f>
        <v>0</v>
      </c>
      <c r="J1537" s="30"/>
      <c r="K1537" s="2">
        <v>2060</v>
      </c>
      <c r="L1537" s="2">
        <v>1970</v>
      </c>
      <c r="M1537" s="2">
        <f>K1537-L1537</f>
        <v>90</v>
      </c>
      <c r="N1537" s="2">
        <v>1157.5999999999999</v>
      </c>
      <c r="O1537" s="2">
        <v>0</v>
      </c>
      <c r="P1537" s="7">
        <f>grand[[#This Row],[total weight]]/grand[[#This Row],[received]]</f>
        <v>57.222222222222221</v>
      </c>
      <c r="Q1537" s="7">
        <f>grand[[#This Row],[receiving weight]]/grand[[#This Row],[received]]</f>
        <v>54.722222222222221</v>
      </c>
      <c r="R1537" s="7">
        <f>grand[[#This Row],[transportation loss ]]/grand[[#This Row],[received]]</f>
        <v>2.5</v>
      </c>
      <c r="S1537" s="7">
        <f>grand[[#This Row],[ carcass weight]]/grand[[#This Row],[received]]</f>
        <v>32.155555555555551</v>
      </c>
      <c r="T1537" s="7">
        <f>grand[[#This Row],[ kidneys fat quantity]]/grand[[#This Row],[received]]</f>
        <v>0</v>
      </c>
      <c r="U1537">
        <v>25</v>
      </c>
      <c r="V1537">
        <v>0</v>
      </c>
      <c r="W1537">
        <v>49.944444444444443</v>
      </c>
      <c r="X1537">
        <v>10</v>
      </c>
      <c r="Y1537">
        <v>8.5</v>
      </c>
      <c r="Z1537" s="18">
        <f>grand[[#This Row],[av. Transportation loss]]/grand[[#This Row],[av.total weight]]</f>
        <v>4.3689320388349516E-2</v>
      </c>
      <c r="AA1537" s="18">
        <f>AVERAGE((grand[[#This Row],[am]]/25),(grand[[#This Row],[pm]]/50))</f>
        <v>0.99944444444444436</v>
      </c>
      <c r="AB1537" s="3">
        <f>grand[[#This Row],[ carcass weight]]/grand[[#This Row],[total weight]]</f>
        <v>0.56194174757281545</v>
      </c>
      <c r="AC1537" s="18">
        <f>SUM(grand[[#This Row],[am]:[meat transportation]])/100</f>
        <v>0.93444444444444441</v>
      </c>
      <c r="AD1537" s="2"/>
      <c r="AE1537" s="2"/>
      <c r="AF1537" s="2"/>
      <c r="AG1537" s="2"/>
      <c r="AH1537" s="2"/>
      <c r="AI1537" s="2"/>
      <c r="AJ1537" s="2">
        <v>0</v>
      </c>
    </row>
    <row r="1538" spans="1:36" hidden="1" x14ac:dyDescent="0.2">
      <c r="A1538" s="11">
        <v>45890</v>
      </c>
      <c r="B1538" s="53" t="s">
        <v>2290</v>
      </c>
      <c r="C1538" s="52" t="str">
        <f>IF(MID(B1538,4,2)="09","Ramadan",IF(AND(MID(B1538,4,2)="12",VALUE(LEFT(B1538,2))&lt;=9),"Adha Season","Normal"))</f>
        <v>Normal</v>
      </c>
      <c r="D1538" s="2" t="s">
        <v>294</v>
      </c>
      <c r="F1538" s="4" t="s">
        <v>656</v>
      </c>
      <c r="G1538" s="1">
        <v>20</v>
      </c>
      <c r="H1538">
        <v>20</v>
      </c>
      <c r="I1538">
        <f>grand[[#This Row],[number]]-grand[[#This Row],[received]]</f>
        <v>0</v>
      </c>
      <c r="J1538" s="30"/>
      <c r="K1538" s="2">
        <v>951</v>
      </c>
      <c r="L1538" s="2">
        <v>945</v>
      </c>
      <c r="M1538" s="2">
        <f>K1538-L1538</f>
        <v>6</v>
      </c>
      <c r="N1538" s="2">
        <v>541.5</v>
      </c>
      <c r="O1538" s="2">
        <v>0</v>
      </c>
      <c r="P1538" s="7">
        <f>grand[[#This Row],[total weight]]/grand[[#This Row],[received]]</f>
        <v>47.55</v>
      </c>
      <c r="Q1538" s="7">
        <f>grand[[#This Row],[receiving weight]]/grand[[#This Row],[received]]</f>
        <v>47.25</v>
      </c>
      <c r="R1538" s="7">
        <f>grand[[#This Row],[transportation loss ]]/grand[[#This Row],[received]]</f>
        <v>0.3</v>
      </c>
      <c r="S1538" s="7">
        <f>grand[[#This Row],[ carcass weight]]/grand[[#This Row],[received]]</f>
        <v>27.074999999999999</v>
      </c>
      <c r="T1538" s="7">
        <f>grand[[#This Row],[ kidneys fat quantity]]/grand[[#This Row],[received]]</f>
        <v>0</v>
      </c>
      <c r="U1538">
        <v>25</v>
      </c>
      <c r="V1538">
        <v>0</v>
      </c>
      <c r="W1538">
        <v>49.2</v>
      </c>
      <c r="X1538">
        <v>10</v>
      </c>
      <c r="Y1538">
        <v>8.5</v>
      </c>
      <c r="Z1538" s="18">
        <f>grand[[#This Row],[av. Transportation loss]]/grand[[#This Row],[av.total weight]]</f>
        <v>6.3091482649842269E-3</v>
      </c>
      <c r="AA1538" s="18">
        <f>AVERAGE((grand[[#This Row],[am]]/25),(grand[[#This Row],[pm]]/50))</f>
        <v>0.99199999999999999</v>
      </c>
      <c r="AB1538" s="3">
        <f>grand[[#This Row],[ carcass weight]]/grand[[#This Row],[total weight]]</f>
        <v>0.56940063091482651</v>
      </c>
      <c r="AC1538" s="18">
        <f>SUM(grand[[#This Row],[am]:[meat transportation]])/100</f>
        <v>0.92700000000000005</v>
      </c>
      <c r="AD1538" s="2" t="s">
        <v>398</v>
      </c>
      <c r="AE1538" s="2"/>
      <c r="AF1538" s="2"/>
      <c r="AG1538" s="2"/>
      <c r="AH1538" s="2"/>
      <c r="AI1538" s="2"/>
      <c r="AJ1538" s="2">
        <v>0</v>
      </c>
    </row>
    <row r="1539" spans="1:36" hidden="1" x14ac:dyDescent="0.2">
      <c r="A1539" s="11">
        <v>45890</v>
      </c>
      <c r="B1539" s="53" t="s">
        <v>2290</v>
      </c>
      <c r="C1539" s="52" t="str">
        <f>IF(MID(B1539,4,2)="09","Ramadan",IF(AND(MID(B1539,4,2)="12",VALUE(LEFT(B1539,2))&lt;=9),"Adha Season","Normal"))</f>
        <v>Normal</v>
      </c>
      <c r="D1539" s="1" t="s">
        <v>45</v>
      </c>
      <c r="E1539" s="1" t="s">
        <v>483</v>
      </c>
      <c r="F1539" s="4" t="s">
        <v>749</v>
      </c>
      <c r="G1539" s="1">
        <v>60</v>
      </c>
      <c r="H1539">
        <v>60</v>
      </c>
      <c r="I1539">
        <f>grand[[#This Row],[number]]-grand[[#This Row],[received]]</f>
        <v>0</v>
      </c>
      <c r="J1539" s="30"/>
      <c r="K1539" s="2">
        <v>29840</v>
      </c>
      <c r="L1539" s="2">
        <v>28940</v>
      </c>
      <c r="M1539" s="2">
        <f>K1539-L1539</f>
        <v>900</v>
      </c>
      <c r="N1539" s="2">
        <v>17918.7</v>
      </c>
      <c r="O1539" s="2">
        <v>587</v>
      </c>
      <c r="P1539" s="7">
        <f>grand[[#This Row],[total weight]]/grand[[#This Row],[received]]</f>
        <v>497.33333333333331</v>
      </c>
      <c r="Q1539" s="7">
        <f>grand[[#This Row],[receiving weight]]/grand[[#This Row],[received]]</f>
        <v>482.33333333333331</v>
      </c>
      <c r="R1539" s="7">
        <f>grand[[#This Row],[transportation loss ]]/grand[[#This Row],[received]]</f>
        <v>15</v>
      </c>
      <c r="S1539" s="7">
        <f>grand[[#This Row],[ carcass weight]]/grand[[#This Row],[received]]</f>
        <v>298.64500000000004</v>
      </c>
      <c r="T1539" s="7">
        <f>grand[[#This Row],[ kidneys fat quantity]]/grand[[#This Row],[received]]</f>
        <v>9.7833333333333332</v>
      </c>
      <c r="U1539">
        <v>24.5</v>
      </c>
      <c r="V1539">
        <v>0</v>
      </c>
      <c r="W1539">
        <v>49.416666666666671</v>
      </c>
      <c r="X1539">
        <v>10</v>
      </c>
      <c r="Y1539">
        <v>8.5</v>
      </c>
      <c r="Z1539" s="18">
        <f>grand[[#This Row],[av. Transportation loss]]/grand[[#This Row],[av.total weight]]</f>
        <v>3.0160857908847188E-2</v>
      </c>
      <c r="AA1539" s="18">
        <f>AVERAGE((grand[[#This Row],[am]]/25),(grand[[#This Row],[pm]]/50))</f>
        <v>0.98416666666666663</v>
      </c>
      <c r="AB1539" s="3">
        <f>grand[[#This Row],[ carcass weight]]/grand[[#This Row],[total weight]]</f>
        <v>0.60049262734584452</v>
      </c>
      <c r="AC1539" s="18">
        <f>SUM(grand[[#This Row],[am]:[meat transportation]])/100</f>
        <v>0.92416666666666669</v>
      </c>
      <c r="AD1539" s="2" t="s">
        <v>760</v>
      </c>
      <c r="AE1539" s="2"/>
      <c r="AF1539" s="2"/>
      <c r="AG1539" s="2"/>
      <c r="AH1539" s="2"/>
      <c r="AI1539" s="2"/>
      <c r="AJ1539" s="2">
        <v>36</v>
      </c>
    </row>
    <row r="1540" spans="1:36" hidden="1" x14ac:dyDescent="0.2">
      <c r="A1540" s="11">
        <v>45892</v>
      </c>
      <c r="B1540" s="53" t="s">
        <v>2291</v>
      </c>
      <c r="C1540" s="52" t="str">
        <f>IF(MID(B1540,4,2)="09","Ramadan",IF(AND(MID(B1540,4,2)="12",VALUE(LEFT(B1540,2))&lt;=9),"Adha Season","Normal"))</f>
        <v>Normal</v>
      </c>
      <c r="D1540" s="2" t="s">
        <v>294</v>
      </c>
      <c r="F1540" s="4" t="s">
        <v>656</v>
      </c>
      <c r="G1540" s="1">
        <v>25</v>
      </c>
      <c r="H1540">
        <v>25</v>
      </c>
      <c r="I1540">
        <f>grand[[#This Row],[number]]-grand[[#This Row],[received]]</f>
        <v>0</v>
      </c>
      <c r="J1540" s="30"/>
      <c r="K1540" s="2">
        <v>1158</v>
      </c>
      <c r="L1540" s="2">
        <v>1120</v>
      </c>
      <c r="M1540" s="2">
        <f>K1540-L1540</f>
        <v>38</v>
      </c>
      <c r="N1540" s="2">
        <v>654.4</v>
      </c>
      <c r="O1540" s="2">
        <v>0</v>
      </c>
      <c r="P1540" s="7">
        <f>grand[[#This Row],[total weight]]/grand[[#This Row],[received]]</f>
        <v>46.32</v>
      </c>
      <c r="Q1540" s="7">
        <f>grand[[#This Row],[receiving weight]]/grand[[#This Row],[received]]</f>
        <v>44.8</v>
      </c>
      <c r="R1540" s="7">
        <f>grand[[#This Row],[transportation loss ]]/grand[[#This Row],[received]]</f>
        <v>1.52</v>
      </c>
      <c r="S1540" s="7">
        <f>grand[[#This Row],[ carcass weight]]/grand[[#This Row],[received]]</f>
        <v>26.175999999999998</v>
      </c>
      <c r="T1540" s="7">
        <f>grand[[#This Row],[ kidneys fat quantity]]/grand[[#This Row],[received]]</f>
        <v>0</v>
      </c>
      <c r="U1540">
        <v>25</v>
      </c>
      <c r="V1540">
        <v>0</v>
      </c>
      <c r="W1540">
        <v>46.36</v>
      </c>
      <c r="X1540">
        <v>10</v>
      </c>
      <c r="Y1540">
        <v>8.5</v>
      </c>
      <c r="Z1540" s="18">
        <f>grand[[#This Row],[av. Transportation loss]]/grand[[#This Row],[av.total weight]]</f>
        <v>3.281519861830743E-2</v>
      </c>
      <c r="AA1540" s="18">
        <f>AVERAGE((grand[[#This Row],[am]]/25),(grand[[#This Row],[pm]]/50))</f>
        <v>0.96360000000000001</v>
      </c>
      <c r="AB1540" s="3">
        <f>grand[[#This Row],[ carcass weight]]/grand[[#This Row],[total weight]]</f>
        <v>0.56511226252158897</v>
      </c>
      <c r="AC1540" s="18">
        <f>SUM(grand[[#This Row],[am]:[meat transportation]])/100</f>
        <v>0.89859999999999995</v>
      </c>
      <c r="AD1540" s="2" t="s">
        <v>761</v>
      </c>
      <c r="AE1540" s="2"/>
      <c r="AF1540" s="2"/>
      <c r="AG1540" s="2"/>
      <c r="AH1540" s="2"/>
      <c r="AI1540" s="2"/>
      <c r="AJ1540" s="2">
        <v>0</v>
      </c>
    </row>
    <row r="1541" spans="1:36" hidden="1" x14ac:dyDescent="0.2">
      <c r="A1541" s="11">
        <v>45892</v>
      </c>
      <c r="B1541" s="53" t="s">
        <v>2291</v>
      </c>
      <c r="C1541" s="52" t="str">
        <f>IF(MID(B1541,4,2)="09","Ramadan",IF(AND(MID(B1541,4,2)="12",VALUE(LEFT(B1541,2))&lt;=9),"Adha Season","Normal"))</f>
        <v>Normal</v>
      </c>
      <c r="D1541" s="1" t="s">
        <v>45</v>
      </c>
      <c r="E1541" s="1" t="s">
        <v>483</v>
      </c>
      <c r="F1541" s="4" t="s">
        <v>746</v>
      </c>
      <c r="G1541" s="1">
        <v>40</v>
      </c>
      <c r="H1541">
        <v>40</v>
      </c>
      <c r="I1541">
        <f>grand[[#This Row],[number]]-grand[[#This Row],[received]]</f>
        <v>0</v>
      </c>
      <c r="J1541" s="30"/>
      <c r="K1541" s="2">
        <v>20130</v>
      </c>
      <c r="L1541" s="2">
        <v>19560</v>
      </c>
      <c r="M1541" s="2">
        <f>K1541-L1541</f>
        <v>570</v>
      </c>
      <c r="N1541" s="2">
        <v>12077.2</v>
      </c>
      <c r="O1541" s="2">
        <v>408</v>
      </c>
      <c r="P1541" s="7">
        <f>grand[[#This Row],[total weight]]/grand[[#This Row],[received]]</f>
        <v>503.25</v>
      </c>
      <c r="Q1541" s="7">
        <f>grand[[#This Row],[receiving weight]]/grand[[#This Row],[received]]</f>
        <v>489</v>
      </c>
      <c r="R1541" s="7">
        <f>grand[[#This Row],[transportation loss ]]/grand[[#This Row],[received]]</f>
        <v>14.25</v>
      </c>
      <c r="S1541" s="7">
        <f>grand[[#This Row],[ carcass weight]]/grand[[#This Row],[received]]</f>
        <v>301.93</v>
      </c>
      <c r="T1541" s="7">
        <f>grand[[#This Row],[ kidneys fat quantity]]/grand[[#This Row],[received]]</f>
        <v>10.199999999999999</v>
      </c>
      <c r="U1541">
        <v>24.375</v>
      </c>
      <c r="V1541">
        <v>0</v>
      </c>
      <c r="W1541">
        <v>48.674999999999997</v>
      </c>
      <c r="X1541">
        <v>10</v>
      </c>
      <c r="Y1541">
        <v>8.5</v>
      </c>
      <c r="Z1541" s="18">
        <f>grand[[#This Row],[av. Transportation loss]]/grand[[#This Row],[av.total weight]]</f>
        <v>2.8315946348733235E-2</v>
      </c>
      <c r="AA1541" s="18">
        <f>AVERAGE((grand[[#This Row],[am]]/25),(grand[[#This Row],[pm]]/50))</f>
        <v>0.97424999999999995</v>
      </c>
      <c r="AB1541" s="3">
        <f>grand[[#This Row],[ carcass weight]]/grand[[#This Row],[total weight]]</f>
        <v>0.59996025832091404</v>
      </c>
      <c r="AC1541" s="18">
        <f>SUM(grand[[#This Row],[am]:[meat transportation]])/100</f>
        <v>0.91549999999999998</v>
      </c>
      <c r="AD1541" s="2" t="s">
        <v>762</v>
      </c>
      <c r="AE1541" s="2"/>
      <c r="AF1541" s="2"/>
      <c r="AG1541" s="2"/>
      <c r="AH1541" s="2"/>
      <c r="AI1541" s="2"/>
      <c r="AJ1541" s="2">
        <v>10</v>
      </c>
    </row>
    <row r="1542" spans="1:36" hidden="1" x14ac:dyDescent="0.2">
      <c r="A1542" s="11">
        <v>45893</v>
      </c>
      <c r="B1542" s="53" t="s">
        <v>2292</v>
      </c>
      <c r="C1542" s="52" t="str">
        <f>IF(MID(B1542,4,2)="09","Ramadan",IF(AND(MID(B1542,4,2)="12",VALUE(LEFT(B1542,2))&lt;=9),"Adha Season","Normal"))</f>
        <v>Normal</v>
      </c>
      <c r="D1542" s="1" t="s">
        <v>45</v>
      </c>
      <c r="E1542" s="1" t="s">
        <v>528</v>
      </c>
      <c r="F1542" s="4" t="s">
        <v>752</v>
      </c>
      <c r="G1542" s="1">
        <v>49</v>
      </c>
      <c r="H1542">
        <v>47</v>
      </c>
      <c r="I1542">
        <f>grand[[#This Row],[number]]-grand[[#This Row],[received]]</f>
        <v>2</v>
      </c>
      <c r="J1542" s="64" t="s">
        <v>3183</v>
      </c>
      <c r="K1542" s="2">
        <f>13680.7*100/63.2</f>
        <v>21646.677215189873</v>
      </c>
      <c r="L1542" s="2">
        <f>13680.7*100/63.2</f>
        <v>21646.677215189873</v>
      </c>
      <c r="M1542" s="2">
        <f>K1542-L1542</f>
        <v>0</v>
      </c>
      <c r="N1542" s="2">
        <v>13680.7</v>
      </c>
      <c r="O1542" s="2">
        <v>0</v>
      </c>
      <c r="P1542" s="7">
        <f>grand[[#This Row],[total weight]]/grand[[#This Row],[received]]</f>
        <v>460.5676003231888</v>
      </c>
      <c r="Q1542" s="7">
        <f>grand[[#This Row],[receiving weight]]/grand[[#This Row],[received]]</f>
        <v>460.5676003231888</v>
      </c>
      <c r="R1542" s="7">
        <f>grand[[#This Row],[transportation loss ]]/grand[[#This Row],[received]]</f>
        <v>0</v>
      </c>
      <c r="S1542" s="7">
        <f>grand[[#This Row],[ carcass weight]]/grand[[#This Row],[received]]</f>
        <v>291.07872340425536</v>
      </c>
      <c r="T1542" s="7">
        <f>grand[[#This Row],[ kidneys fat quantity]]/grand[[#This Row],[received]]</f>
        <v>0</v>
      </c>
      <c r="U1542">
        <v>25</v>
      </c>
      <c r="V1542">
        <v>0</v>
      </c>
      <c r="W1542">
        <v>49.829787234042563</v>
      </c>
      <c r="X1542">
        <v>10</v>
      </c>
      <c r="Y1542">
        <v>8.5</v>
      </c>
      <c r="Z1542" s="18">
        <f>grand[[#This Row],[av. Transportation loss]]/grand[[#This Row],[av.total weight]]</f>
        <v>0</v>
      </c>
      <c r="AA1542" s="18">
        <f>AVERAGE((grand[[#This Row],[am]]/25),(grand[[#This Row],[pm]]/50))</f>
        <v>0.99829787234042566</v>
      </c>
      <c r="AB1542" s="3">
        <f>grand[[#This Row],[ carcass weight]]/grand[[#This Row],[total weight]]</f>
        <v>0.63200000000000001</v>
      </c>
      <c r="AC1542" s="18">
        <f>SUM(grand[[#This Row],[am]:[meat transportation]])/100</f>
        <v>0.9332978723404256</v>
      </c>
      <c r="AD1542" s="2" t="s">
        <v>763</v>
      </c>
      <c r="AE1542" s="2"/>
      <c r="AF1542" s="2"/>
      <c r="AG1542" s="2"/>
      <c r="AH1542" s="2"/>
      <c r="AI1542" s="2"/>
      <c r="AJ1542" s="2"/>
    </row>
    <row r="1543" spans="1:36" hidden="1" x14ac:dyDescent="0.2">
      <c r="A1543" s="11">
        <v>45894</v>
      </c>
      <c r="B1543" s="53" t="s">
        <v>2293</v>
      </c>
      <c r="C1543" s="52" t="str">
        <f>IF(MID(B1543,4,2)="09","Ramadan",IF(AND(MID(B1543,4,2)="12",VALUE(LEFT(B1543,2))&lt;=9),"Adha Season","Normal"))</f>
        <v>Normal</v>
      </c>
      <c r="D1543" s="2" t="s">
        <v>294</v>
      </c>
      <c r="F1543" s="4" t="s">
        <v>750</v>
      </c>
      <c r="G1543" s="1">
        <v>35</v>
      </c>
      <c r="H1543">
        <v>35</v>
      </c>
      <c r="I1543">
        <f>grand[[#This Row],[number]]-grand[[#This Row],[received]]</f>
        <v>0</v>
      </c>
      <c r="J1543" s="30"/>
      <c r="K1543" s="2">
        <v>1720</v>
      </c>
      <c r="L1543" s="2">
        <v>1635</v>
      </c>
      <c r="M1543" s="2">
        <f>K1543-L1543</f>
        <v>85</v>
      </c>
      <c r="N1543" s="2">
        <v>962.8</v>
      </c>
      <c r="O1543" s="2">
        <v>0</v>
      </c>
      <c r="P1543" s="7">
        <f>grand[[#This Row],[total weight]]/grand[[#This Row],[received]]</f>
        <v>49.142857142857146</v>
      </c>
      <c r="Q1543" s="7">
        <f>grand[[#This Row],[receiving weight]]/grand[[#This Row],[received]]</f>
        <v>46.714285714285715</v>
      </c>
      <c r="R1543" s="7">
        <f>grand[[#This Row],[transportation loss ]]/grand[[#This Row],[received]]</f>
        <v>2.4285714285714284</v>
      </c>
      <c r="S1543" s="7">
        <f>grand[[#This Row],[ carcass weight]]/grand[[#This Row],[received]]</f>
        <v>27.508571428571429</v>
      </c>
      <c r="T1543" s="7">
        <f>grand[[#This Row],[ kidneys fat quantity]]/grand[[#This Row],[received]]</f>
        <v>0</v>
      </c>
      <c r="U1543">
        <v>25</v>
      </c>
      <c r="V1543">
        <v>0</v>
      </c>
      <c r="W1543">
        <v>46.342857142857142</v>
      </c>
      <c r="X1543">
        <v>10</v>
      </c>
      <c r="Y1543">
        <v>8.5</v>
      </c>
      <c r="Z1543" s="18">
        <f>grand[[#This Row],[av. Transportation loss]]/grand[[#This Row],[av.total weight]]</f>
        <v>4.9418604651162781E-2</v>
      </c>
      <c r="AA1543" s="18">
        <f>AVERAGE((grand[[#This Row],[am]]/25),(grand[[#This Row],[pm]]/50))</f>
        <v>0.96342857142857141</v>
      </c>
      <c r="AB1543" s="3">
        <f>grand[[#This Row],[ carcass weight]]/grand[[#This Row],[total weight]]</f>
        <v>0.55976744186046512</v>
      </c>
      <c r="AC1543" s="18">
        <f>SUM(grand[[#This Row],[am]:[meat transportation]])/100</f>
        <v>0.89842857142857147</v>
      </c>
      <c r="AD1543" s="2" t="s">
        <v>764</v>
      </c>
      <c r="AE1543" s="2"/>
      <c r="AF1543" s="2"/>
      <c r="AG1543" s="2"/>
      <c r="AH1543" s="2"/>
      <c r="AI1543" s="2"/>
      <c r="AJ1543" s="2">
        <v>0</v>
      </c>
    </row>
    <row r="1544" spans="1:36" hidden="1" x14ac:dyDescent="0.2">
      <c r="A1544" s="11">
        <v>45894</v>
      </c>
      <c r="B1544" s="53" t="s">
        <v>2293</v>
      </c>
      <c r="C1544" s="52" t="str">
        <f>IF(MID(B1544,4,2)="09","Ramadan",IF(AND(MID(B1544,4,2)="12",VALUE(LEFT(B1544,2))&lt;=9),"Adha Season","Normal"))</f>
        <v>Normal</v>
      </c>
      <c r="D1544" s="1" t="s">
        <v>45</v>
      </c>
      <c r="E1544" s="1" t="s">
        <v>483</v>
      </c>
      <c r="F1544" s="4" t="s">
        <v>746</v>
      </c>
      <c r="G1544" s="1">
        <v>40</v>
      </c>
      <c r="H1544">
        <v>37</v>
      </c>
      <c r="I1544">
        <f>grand[[#This Row],[number]]-grand[[#This Row],[received]]</f>
        <v>3</v>
      </c>
      <c r="J1544" s="64" t="s">
        <v>3198</v>
      </c>
      <c r="K1544" s="2">
        <v>15873</v>
      </c>
      <c r="L1544" s="2">
        <v>15522</v>
      </c>
      <c r="M1544" s="2">
        <f>K1544-L1544</f>
        <v>351</v>
      </c>
      <c r="N1544" s="2">
        <v>9523.5</v>
      </c>
      <c r="O1544" s="2">
        <v>330</v>
      </c>
      <c r="P1544" s="7">
        <f>grand[[#This Row],[total weight]]/grand[[#This Row],[received]]</f>
        <v>429</v>
      </c>
      <c r="Q1544" s="7">
        <f>grand[[#This Row],[receiving weight]]/grand[[#This Row],[received]]</f>
        <v>419.51351351351349</v>
      </c>
      <c r="R1544" s="7">
        <f>grand[[#This Row],[transportation loss ]]/grand[[#This Row],[received]]</f>
        <v>9.486486486486486</v>
      </c>
      <c r="S1544" s="7">
        <f>grand[[#This Row],[ carcass weight]]/grand[[#This Row],[received]]</f>
        <v>257.39189189189187</v>
      </c>
      <c r="T1544" s="7">
        <f>grand[[#This Row],[ kidneys fat quantity]]/grand[[#This Row],[received]]</f>
        <v>8.9189189189189193</v>
      </c>
      <c r="U1544">
        <v>24.864864864864863</v>
      </c>
      <c r="V1544">
        <v>0</v>
      </c>
      <c r="W1544">
        <v>47.621621621621621</v>
      </c>
      <c r="X1544">
        <v>10</v>
      </c>
      <c r="Y1544">
        <v>8.5</v>
      </c>
      <c r="Z1544" s="18">
        <f>grand[[#This Row],[av. Transportation loss]]/grand[[#This Row],[av.total weight]]</f>
        <v>2.2113022113022112E-2</v>
      </c>
      <c r="AA1544" s="18">
        <f>AVERAGE((grand[[#This Row],[am]]/25),(grand[[#This Row],[pm]]/50))</f>
        <v>0.97351351351351356</v>
      </c>
      <c r="AB1544" s="3">
        <f>grand[[#This Row],[ carcass weight]]/grand[[#This Row],[total weight]]</f>
        <v>0.59998109998109994</v>
      </c>
      <c r="AC1544" s="18">
        <f>SUM(grand[[#This Row],[am]:[meat transportation]])/100</f>
        <v>0.90986486486486484</v>
      </c>
      <c r="AD1544" s="2" t="s">
        <v>765</v>
      </c>
      <c r="AE1544" s="2"/>
      <c r="AF1544" s="2"/>
      <c r="AG1544" s="2"/>
      <c r="AH1544" s="2"/>
      <c r="AI1544" s="2"/>
      <c r="AJ1544" s="2">
        <v>14</v>
      </c>
    </row>
    <row r="1545" spans="1:36" hidden="1" x14ac:dyDescent="0.2">
      <c r="A1545" s="11">
        <v>45895</v>
      </c>
      <c r="B1545" s="53" t="s">
        <v>2294</v>
      </c>
      <c r="C1545" s="52" t="str">
        <f>IF(MID(B1545,4,2)="09","Ramadan",IF(AND(MID(B1545,4,2)="12",VALUE(LEFT(B1545,2))&lt;=9),"Adha Season","Normal"))</f>
        <v>Normal</v>
      </c>
      <c r="D1545" s="1" t="s">
        <v>45</v>
      </c>
      <c r="E1545" s="1" t="s">
        <v>528</v>
      </c>
      <c r="F1545" s="4" t="s">
        <v>749</v>
      </c>
      <c r="G1545" s="1">
        <v>16</v>
      </c>
      <c r="H1545">
        <v>16</v>
      </c>
      <c r="I1545">
        <f>grand[[#This Row],[number]]-grand[[#This Row],[received]]</f>
        <v>0</v>
      </c>
      <c r="J1545" s="30"/>
      <c r="K1545" s="2">
        <v>8320</v>
      </c>
      <c r="L1545" s="2">
        <v>8320</v>
      </c>
      <c r="M1545" s="2">
        <f>K1545-L1545</f>
        <v>0</v>
      </c>
      <c r="N1545" s="2">
        <v>5104.5</v>
      </c>
      <c r="O1545" s="2">
        <v>121</v>
      </c>
      <c r="P1545" s="7">
        <f>grand[[#This Row],[total weight]]/grand[[#This Row],[received]]</f>
        <v>520</v>
      </c>
      <c r="Q1545" s="7">
        <f>grand[[#This Row],[receiving weight]]/grand[[#This Row],[received]]</f>
        <v>520</v>
      </c>
      <c r="R1545" s="7">
        <f>grand[[#This Row],[transportation loss ]]/grand[[#This Row],[received]]</f>
        <v>0</v>
      </c>
      <c r="S1545" s="7">
        <f>grand[[#This Row],[ carcass weight]]/grand[[#This Row],[received]]</f>
        <v>319.03125</v>
      </c>
      <c r="T1545" s="7">
        <f>grand[[#This Row],[ kidneys fat quantity]]/grand[[#This Row],[received]]</f>
        <v>7.5625</v>
      </c>
      <c r="U1545">
        <v>25</v>
      </c>
      <c r="V1545">
        <v>0</v>
      </c>
      <c r="W1545">
        <v>42.3125</v>
      </c>
      <c r="X1545">
        <v>10</v>
      </c>
      <c r="Y1545">
        <v>8.5</v>
      </c>
      <c r="Z1545" s="18">
        <f>grand[[#This Row],[av. Transportation loss]]/grand[[#This Row],[av.total weight]]</f>
        <v>0</v>
      </c>
      <c r="AA1545" s="18">
        <f>AVERAGE((grand[[#This Row],[am]]/25),(grand[[#This Row],[pm]]/50))</f>
        <v>0.92312499999999997</v>
      </c>
      <c r="AB1545" s="3">
        <f>grand[[#This Row],[ carcass weight]]/grand[[#This Row],[total weight]]</f>
        <v>0.61352163461538467</v>
      </c>
      <c r="AC1545" s="18">
        <f>SUM(grand[[#This Row],[am]:[meat transportation]])/100</f>
        <v>0.85812500000000003</v>
      </c>
      <c r="AD1545" s="2" t="s">
        <v>766</v>
      </c>
      <c r="AE1545" s="2"/>
      <c r="AF1545" s="2"/>
      <c r="AG1545" s="2"/>
      <c r="AH1545" s="2"/>
      <c r="AI1545" s="2"/>
      <c r="AJ1545" s="2">
        <v>3</v>
      </c>
    </row>
    <row r="1546" spans="1:36" hidden="1" x14ac:dyDescent="0.2">
      <c r="A1546" s="11">
        <v>45895</v>
      </c>
      <c r="B1546" s="53" t="s">
        <v>2294</v>
      </c>
      <c r="C1546" s="52" t="str">
        <f>IF(MID(B1546,4,2)="09","Ramadan",IF(AND(MID(B1546,4,2)="12",VALUE(LEFT(B1546,2))&lt;=9),"Adha Season","Normal"))</f>
        <v>Normal</v>
      </c>
      <c r="D1546" s="1" t="s">
        <v>45</v>
      </c>
      <c r="E1546" s="1" t="s">
        <v>483</v>
      </c>
      <c r="F1546" s="4" t="s">
        <v>749</v>
      </c>
      <c r="G1546" s="1">
        <v>27</v>
      </c>
      <c r="H1546">
        <v>26</v>
      </c>
      <c r="I1546">
        <f>grand[[#This Row],[number]]-grand[[#This Row],[received]]</f>
        <v>1</v>
      </c>
      <c r="J1546" s="64" t="s">
        <v>723</v>
      </c>
      <c r="K1546" s="2">
        <v>13805</v>
      </c>
      <c r="L1546" s="2">
        <v>13805</v>
      </c>
      <c r="M1546" s="2">
        <f>K1546-L1546</f>
        <v>0</v>
      </c>
      <c r="N1546" s="2">
        <v>8315.7000000000007</v>
      </c>
      <c r="O1546" s="2">
        <v>288</v>
      </c>
      <c r="P1546" s="7">
        <f>grand[[#This Row],[total weight]]/grand[[#This Row],[received]]</f>
        <v>530.96153846153845</v>
      </c>
      <c r="Q1546" s="7">
        <f>grand[[#This Row],[receiving weight]]/grand[[#This Row],[received]]</f>
        <v>530.96153846153845</v>
      </c>
      <c r="R1546" s="7">
        <f>grand[[#This Row],[transportation loss ]]/grand[[#This Row],[received]]</f>
        <v>0</v>
      </c>
      <c r="S1546" s="7">
        <f>grand[[#This Row],[ carcass weight]]/grand[[#This Row],[received]]</f>
        <v>319.8346153846154</v>
      </c>
      <c r="T1546" s="7">
        <f>grand[[#This Row],[ kidneys fat quantity]]/grand[[#This Row],[received]]</f>
        <v>11.076923076923077</v>
      </c>
      <c r="U1546">
        <v>23.653846153846153</v>
      </c>
      <c r="V1546">
        <v>0</v>
      </c>
      <c r="W1546">
        <v>46.692307692307701</v>
      </c>
      <c r="X1546">
        <v>10</v>
      </c>
      <c r="Y1546">
        <v>8.5</v>
      </c>
      <c r="Z1546" s="18">
        <f>grand[[#This Row],[av. Transportation loss]]/grand[[#This Row],[av.total weight]]</f>
        <v>0</v>
      </c>
      <c r="AA1546" s="18">
        <f>AVERAGE((grand[[#This Row],[am]]/25),(grand[[#This Row],[pm]]/50))</f>
        <v>0.94000000000000006</v>
      </c>
      <c r="AB1546" s="3">
        <f>grand[[#This Row],[ carcass weight]]/grand[[#This Row],[total weight]]</f>
        <v>0.60236870699022094</v>
      </c>
      <c r="AC1546" s="18">
        <f>SUM(grand[[#This Row],[am]:[meat transportation]])/100</f>
        <v>0.88846153846153852</v>
      </c>
      <c r="AD1546" s="2" t="s">
        <v>766</v>
      </c>
      <c r="AE1546" s="2"/>
      <c r="AF1546" s="2"/>
      <c r="AG1546" s="2"/>
      <c r="AH1546" s="2"/>
      <c r="AI1546" s="2"/>
      <c r="AJ1546" s="2">
        <v>21</v>
      </c>
    </row>
    <row r="1547" spans="1:36" hidden="1" x14ac:dyDescent="0.2">
      <c r="A1547" s="11">
        <v>45896</v>
      </c>
      <c r="B1547" s="53" t="s">
        <v>2295</v>
      </c>
      <c r="C1547" s="52" t="str">
        <f>IF(MID(B1547,4,2)="09","Ramadan",IF(AND(MID(B1547,4,2)="12",VALUE(LEFT(B1547,2))&lt;=9),"Adha Season","Normal"))</f>
        <v>Normal</v>
      </c>
      <c r="D1547" s="2" t="s">
        <v>294</v>
      </c>
      <c r="F1547" s="4" t="s">
        <v>749</v>
      </c>
      <c r="G1547" s="1">
        <v>50</v>
      </c>
      <c r="H1547">
        <v>50</v>
      </c>
      <c r="I1547">
        <f>grand[[#This Row],[number]]-grand[[#This Row],[received]]</f>
        <v>0</v>
      </c>
      <c r="J1547" s="30"/>
      <c r="K1547" s="2">
        <v>2599</v>
      </c>
      <c r="L1547" s="2">
        <v>2599</v>
      </c>
      <c r="M1547" s="2">
        <f>K1547-L1547</f>
        <v>0</v>
      </c>
      <c r="N1547" s="2">
        <v>1494</v>
      </c>
      <c r="O1547" s="2">
        <v>0</v>
      </c>
      <c r="P1547" s="7">
        <f>grand[[#This Row],[total weight]]/grand[[#This Row],[received]]</f>
        <v>51.98</v>
      </c>
      <c r="Q1547" s="7">
        <f>grand[[#This Row],[receiving weight]]/grand[[#This Row],[received]]</f>
        <v>51.98</v>
      </c>
      <c r="R1547" s="7">
        <f>grand[[#This Row],[transportation loss ]]/grand[[#This Row],[received]]</f>
        <v>0</v>
      </c>
      <c r="S1547" s="7">
        <f>grand[[#This Row],[ carcass weight]]/grand[[#This Row],[received]]</f>
        <v>29.88</v>
      </c>
      <c r="T1547" s="7">
        <f>grand[[#This Row],[ kidneys fat quantity]]/grand[[#This Row],[received]]</f>
        <v>0</v>
      </c>
      <c r="U1547">
        <v>25</v>
      </c>
      <c r="V1547">
        <v>0</v>
      </c>
      <c r="W1547">
        <v>44.2</v>
      </c>
      <c r="X1547">
        <v>10</v>
      </c>
      <c r="Y1547">
        <v>8.5</v>
      </c>
      <c r="Z1547" s="18">
        <f>grand[[#This Row],[av. Transportation loss]]/grand[[#This Row],[av.total weight]]</f>
        <v>0</v>
      </c>
      <c r="AA1547" s="18">
        <f>AVERAGE((grand[[#This Row],[am]]/25),(grand[[#This Row],[pm]]/50))</f>
        <v>0.94199999999999995</v>
      </c>
      <c r="AB1547" s="3">
        <f>grand[[#This Row],[ carcass weight]]/grand[[#This Row],[total weight]]</f>
        <v>0.57483647556752593</v>
      </c>
      <c r="AC1547" s="18">
        <f>SUM(grand[[#This Row],[am]:[meat transportation]])/100</f>
        <v>0.877</v>
      </c>
      <c r="AD1547" s="2" t="s">
        <v>71</v>
      </c>
      <c r="AE1547" s="2"/>
      <c r="AF1547" s="2"/>
      <c r="AG1547" s="2"/>
      <c r="AH1547" s="2"/>
      <c r="AI1547" s="2"/>
      <c r="AJ1547" s="2">
        <v>0</v>
      </c>
    </row>
    <row r="1548" spans="1:36" hidden="1" x14ac:dyDescent="0.2">
      <c r="A1548" s="11">
        <v>45896</v>
      </c>
      <c r="B1548" s="53" t="s">
        <v>2295</v>
      </c>
      <c r="C1548" s="52" t="str">
        <f>IF(MID(B1548,4,2)="09","Ramadan",IF(AND(MID(B1548,4,2)="12",VALUE(LEFT(B1548,2))&lt;=9),"Adha Season","Normal"))</f>
        <v>Normal</v>
      </c>
      <c r="D1548" s="1" t="s">
        <v>45</v>
      </c>
      <c r="E1548" s="1" t="s">
        <v>528</v>
      </c>
      <c r="F1548" s="4" t="s">
        <v>757</v>
      </c>
      <c r="G1548" s="1">
        <v>50</v>
      </c>
      <c r="H1548">
        <v>45</v>
      </c>
      <c r="I1548">
        <f>grand[[#This Row],[number]]-grand[[#This Row],[received]]</f>
        <v>5</v>
      </c>
      <c r="J1548" s="64" t="s">
        <v>3189</v>
      </c>
      <c r="K1548" s="2">
        <v>23656</v>
      </c>
      <c r="L1548" s="2">
        <v>23656</v>
      </c>
      <c r="M1548" s="2">
        <f>K1548-L1548</f>
        <v>0</v>
      </c>
      <c r="N1548" s="2">
        <v>14356.5</v>
      </c>
      <c r="O1548" s="2">
        <v>305</v>
      </c>
      <c r="P1548" s="7">
        <f>grand[[#This Row],[total weight]]/grand[[#This Row],[received]]</f>
        <v>525.68888888888887</v>
      </c>
      <c r="Q1548" s="7">
        <f>grand[[#This Row],[receiving weight]]/grand[[#This Row],[received]]</f>
        <v>525.68888888888887</v>
      </c>
      <c r="R1548" s="7">
        <f>grand[[#This Row],[transportation loss ]]/grand[[#This Row],[received]]</f>
        <v>0</v>
      </c>
      <c r="S1548" s="7">
        <f>grand[[#This Row],[ carcass weight]]/grand[[#This Row],[received]]</f>
        <v>319.03333333333336</v>
      </c>
      <c r="T1548" s="7">
        <f>grand[[#This Row],[ kidneys fat quantity]]/grand[[#This Row],[received]]</f>
        <v>6.7777777777777777</v>
      </c>
      <c r="U1548">
        <v>24.888888888888889</v>
      </c>
      <c r="V1548">
        <v>0</v>
      </c>
      <c r="W1548">
        <v>47.955555555555563</v>
      </c>
      <c r="X1548">
        <v>10</v>
      </c>
      <c r="Y1548">
        <v>8.5</v>
      </c>
      <c r="Z1548" s="18">
        <f>grand[[#This Row],[av. Transportation loss]]/grand[[#This Row],[av.total weight]]</f>
        <v>0</v>
      </c>
      <c r="AA1548" s="18">
        <f>AVERAGE((grand[[#This Row],[am]]/25),(grand[[#This Row],[pm]]/50))</f>
        <v>0.97733333333333339</v>
      </c>
      <c r="AB1548" s="3">
        <f>grand[[#This Row],[ carcass weight]]/grand[[#This Row],[total weight]]</f>
        <v>0.60688620223199186</v>
      </c>
      <c r="AC1548" s="18">
        <f>SUM(grand[[#This Row],[am]:[meat transportation]])/100</f>
        <v>0.9134444444444445</v>
      </c>
      <c r="AD1548" s="2" t="s">
        <v>767</v>
      </c>
      <c r="AE1548" s="2"/>
      <c r="AF1548" s="2"/>
      <c r="AG1548" s="2"/>
      <c r="AH1548" s="2"/>
      <c r="AI1548" s="2"/>
      <c r="AJ1548" s="2">
        <v>10</v>
      </c>
    </row>
    <row r="1549" spans="1:36" hidden="1" x14ac:dyDescent="0.2">
      <c r="A1549" s="11">
        <v>45897</v>
      </c>
      <c r="B1549" s="53" t="s">
        <v>2296</v>
      </c>
      <c r="C1549" s="52" t="str">
        <f>IF(MID(B1549,4,2)="09","Ramadan",IF(AND(MID(B1549,4,2)="12",VALUE(LEFT(B1549,2))&lt;=9),"Adha Season","Normal"))</f>
        <v>Normal</v>
      </c>
      <c r="D1549" s="1" t="s">
        <v>45</v>
      </c>
      <c r="E1549" s="1" t="s">
        <v>528</v>
      </c>
      <c r="F1549" s="4" t="s">
        <v>749</v>
      </c>
      <c r="G1549" s="1">
        <v>24</v>
      </c>
      <c r="H1549">
        <v>24</v>
      </c>
      <c r="I1549">
        <f>grand[[#This Row],[number]]-grand[[#This Row],[received]]</f>
        <v>0</v>
      </c>
      <c r="J1549" s="30"/>
      <c r="K1549" s="2">
        <v>12645</v>
      </c>
      <c r="L1549" s="2">
        <v>12645</v>
      </c>
      <c r="M1549" s="2">
        <f>K1549-L1549</f>
        <v>0</v>
      </c>
      <c r="N1549" s="2">
        <v>7704.9</v>
      </c>
      <c r="O1549" s="2">
        <v>178</v>
      </c>
      <c r="P1549" s="7">
        <f>grand[[#This Row],[total weight]]/grand[[#This Row],[received]]</f>
        <v>526.875</v>
      </c>
      <c r="Q1549" s="7">
        <f>grand[[#This Row],[receiving weight]]/grand[[#This Row],[received]]</f>
        <v>526.875</v>
      </c>
      <c r="R1549" s="7">
        <f>grand[[#This Row],[transportation loss ]]/grand[[#This Row],[received]]</f>
        <v>0</v>
      </c>
      <c r="S1549" s="7">
        <f>grand[[#This Row],[ carcass weight]]/grand[[#This Row],[received]]</f>
        <v>321.03749999999997</v>
      </c>
      <c r="T1549" s="7">
        <f>grand[[#This Row],[ kidneys fat quantity]]/grand[[#This Row],[received]]</f>
        <v>7.416666666666667</v>
      </c>
      <c r="U1549">
        <v>25</v>
      </c>
      <c r="V1549">
        <v>0</v>
      </c>
      <c r="W1549">
        <v>45.041666666666664</v>
      </c>
      <c r="X1549">
        <v>10</v>
      </c>
      <c r="Y1549">
        <v>8.5</v>
      </c>
      <c r="Z1549" s="18">
        <f>grand[[#This Row],[av. Transportation loss]]/grand[[#This Row],[av.total weight]]</f>
        <v>0</v>
      </c>
      <c r="AA1549" s="18">
        <f>AVERAGE((grand[[#This Row],[am]]/25),(grand[[#This Row],[pm]]/50))</f>
        <v>0.95041666666666669</v>
      </c>
      <c r="AB1549" s="3">
        <f>grand[[#This Row],[ carcass weight]]/grand[[#This Row],[total weight]]</f>
        <v>0.60932384341637003</v>
      </c>
      <c r="AC1549" s="18">
        <f>SUM(grand[[#This Row],[am]:[meat transportation]])/100</f>
        <v>0.88541666666666652</v>
      </c>
      <c r="AD1549" s="2" t="s">
        <v>768</v>
      </c>
      <c r="AE1549" s="2"/>
      <c r="AF1549" s="2"/>
      <c r="AG1549" s="2"/>
      <c r="AH1549" s="2"/>
      <c r="AI1549" s="2"/>
      <c r="AJ1549" s="2">
        <v>5</v>
      </c>
    </row>
    <row r="1550" spans="1:36" hidden="1" x14ac:dyDescent="0.2">
      <c r="A1550" s="11">
        <v>45897</v>
      </c>
      <c r="B1550" s="53" t="s">
        <v>2296</v>
      </c>
      <c r="C1550" s="52" t="str">
        <f>IF(MID(B1550,4,2)="09","Ramadan",IF(AND(MID(B1550,4,2)="12",VALUE(LEFT(B1550,2))&lt;=9),"Adha Season","Normal"))</f>
        <v>Normal</v>
      </c>
      <c r="D1550" s="1" t="s">
        <v>45</v>
      </c>
      <c r="E1550" s="1" t="s">
        <v>528</v>
      </c>
      <c r="F1550" s="4" t="s">
        <v>770</v>
      </c>
      <c r="G1550" s="1">
        <v>33</v>
      </c>
      <c r="H1550">
        <v>32</v>
      </c>
      <c r="I1550">
        <f>grand[[#This Row],[number]]-grand[[#This Row],[received]]</f>
        <v>1</v>
      </c>
      <c r="J1550" s="64" t="s">
        <v>3169</v>
      </c>
      <c r="K1550" s="2">
        <f>10304.4*100/63.2</f>
        <v>16304.430379746835</v>
      </c>
      <c r="L1550" s="2">
        <f>10304.4*100/63.2</f>
        <v>16304.430379746835</v>
      </c>
      <c r="M1550" s="2">
        <f>K1550-L1550</f>
        <v>0</v>
      </c>
      <c r="N1550" s="2">
        <v>10304.4</v>
      </c>
      <c r="O1550" s="2">
        <v>0</v>
      </c>
      <c r="P1550" s="7">
        <f>grand[[#This Row],[total weight]]/grand[[#This Row],[received]]</f>
        <v>509.51344936708858</v>
      </c>
      <c r="Q1550" s="7">
        <f>grand[[#This Row],[receiving weight]]/grand[[#This Row],[received]]</f>
        <v>509.51344936708858</v>
      </c>
      <c r="R1550" s="7">
        <f>grand[[#This Row],[transportation loss ]]/grand[[#This Row],[received]]</f>
        <v>0</v>
      </c>
      <c r="S1550" s="7">
        <f>grand[[#This Row],[ carcass weight]]/grand[[#This Row],[received]]</f>
        <v>322.01249999999999</v>
      </c>
      <c r="T1550" s="7">
        <f>grand[[#This Row],[ kidneys fat quantity]]/grand[[#This Row],[received]]</f>
        <v>0</v>
      </c>
      <c r="U1550">
        <v>25</v>
      </c>
      <c r="V1550">
        <v>0</v>
      </c>
      <c r="W1550">
        <v>49.78125</v>
      </c>
      <c r="X1550">
        <v>10</v>
      </c>
      <c r="Y1550">
        <v>8.5</v>
      </c>
      <c r="Z1550" s="18">
        <f>grand[[#This Row],[av. Transportation loss]]/grand[[#This Row],[av.total weight]]</f>
        <v>0</v>
      </c>
      <c r="AA1550" s="18">
        <f>AVERAGE((grand[[#This Row],[am]]/25),(grand[[#This Row],[pm]]/50))</f>
        <v>0.99781249999999999</v>
      </c>
      <c r="AB1550" s="3">
        <f>grand[[#This Row],[ carcass weight]]/grand[[#This Row],[total weight]]</f>
        <v>0.63200000000000001</v>
      </c>
      <c r="AC1550" s="18">
        <f>SUM(grand[[#This Row],[am]:[meat transportation]])/100</f>
        <v>0.93281250000000004</v>
      </c>
      <c r="AD1550" s="2" t="s">
        <v>81</v>
      </c>
      <c r="AE1550" s="2"/>
      <c r="AF1550" s="2"/>
      <c r="AG1550" s="2"/>
      <c r="AH1550" s="2"/>
      <c r="AI1550" s="2"/>
      <c r="AJ1550" s="2"/>
    </row>
    <row r="1551" spans="1:36" hidden="1" x14ac:dyDescent="0.2">
      <c r="A1551" s="11">
        <v>45897</v>
      </c>
      <c r="B1551" s="53" t="s">
        <v>2296</v>
      </c>
      <c r="C1551" s="52" t="str">
        <f>IF(MID(B1551,4,2)="09","Ramadan",IF(AND(MID(B1551,4,2)="12",VALUE(LEFT(B1551,2))&lt;=9),"Adha Season","Normal"))</f>
        <v>Normal</v>
      </c>
      <c r="D1551" s="1" t="s">
        <v>45</v>
      </c>
      <c r="E1551" s="1" t="s">
        <v>483</v>
      </c>
      <c r="F1551" s="4" t="s">
        <v>749</v>
      </c>
      <c r="G1551" s="1">
        <v>24</v>
      </c>
      <c r="H1551">
        <v>21</v>
      </c>
      <c r="I1551">
        <f>grand[[#This Row],[number]]-grand[[#This Row],[received]]</f>
        <v>3</v>
      </c>
      <c r="J1551" s="64" t="s">
        <v>3199</v>
      </c>
      <c r="K1551" s="2">
        <v>10345</v>
      </c>
      <c r="L1551" s="2">
        <v>10345</v>
      </c>
      <c r="M1551" s="2">
        <f>K1551-L1551</f>
        <v>0</v>
      </c>
      <c r="N1551" s="2">
        <v>6211.3</v>
      </c>
      <c r="O1551" s="2">
        <v>243</v>
      </c>
      <c r="P1551" s="7">
        <f>grand[[#This Row],[total weight]]/grand[[#This Row],[received]]</f>
        <v>492.61904761904759</v>
      </c>
      <c r="Q1551" s="7">
        <f>grand[[#This Row],[receiving weight]]/grand[[#This Row],[received]]</f>
        <v>492.61904761904759</v>
      </c>
      <c r="R1551" s="7">
        <f>grand[[#This Row],[transportation loss ]]/grand[[#This Row],[received]]</f>
        <v>0</v>
      </c>
      <c r="S1551" s="7">
        <f>grand[[#This Row],[ carcass weight]]/grand[[#This Row],[received]]</f>
        <v>295.77619047619049</v>
      </c>
      <c r="T1551" s="7">
        <f>grand[[#This Row],[ kidneys fat quantity]]/grand[[#This Row],[received]]</f>
        <v>11.571428571428571</v>
      </c>
      <c r="U1551">
        <v>23.333333333333332</v>
      </c>
      <c r="V1551">
        <v>0</v>
      </c>
      <c r="W1551">
        <v>48.61904761904762</v>
      </c>
      <c r="X1551">
        <v>10</v>
      </c>
      <c r="Y1551">
        <v>8.5</v>
      </c>
      <c r="Z1551" s="18">
        <f>grand[[#This Row],[av. Transportation loss]]/grand[[#This Row],[av.total weight]]</f>
        <v>0</v>
      </c>
      <c r="AA1551" s="18">
        <f>AVERAGE((grand[[#This Row],[am]]/25),(grand[[#This Row],[pm]]/50))</f>
        <v>0.95285714285714285</v>
      </c>
      <c r="AB1551" s="3">
        <f>grand[[#This Row],[ carcass weight]]/grand[[#This Row],[total weight]]</f>
        <v>0.60041565973900435</v>
      </c>
      <c r="AC1551" s="18">
        <f>SUM(grand[[#This Row],[am]:[meat transportation]])/100</f>
        <v>0.90452380952380951</v>
      </c>
      <c r="AD1551" s="2" t="s">
        <v>769</v>
      </c>
      <c r="AE1551" s="2"/>
      <c r="AF1551" s="2"/>
      <c r="AG1551" s="2"/>
      <c r="AH1551" s="2"/>
      <c r="AI1551" s="2"/>
      <c r="AJ1551" s="2">
        <v>19</v>
      </c>
    </row>
    <row r="1552" spans="1:36" hidden="1" x14ac:dyDescent="0.2">
      <c r="A1552" s="11">
        <v>45899</v>
      </c>
      <c r="B1552" s="53" t="s">
        <v>2297</v>
      </c>
      <c r="C1552" s="52" t="str">
        <f>IF(MID(B1552,4,2)="09","Ramadan",IF(AND(MID(B1552,4,2)="12",VALUE(LEFT(B1552,2))&lt;=9),"Adha Season","Normal"))</f>
        <v>Normal</v>
      </c>
      <c r="D1552" s="2" t="s">
        <v>294</v>
      </c>
      <c r="F1552" s="4" t="s">
        <v>772</v>
      </c>
      <c r="G1552" s="1">
        <v>48</v>
      </c>
      <c r="H1552">
        <v>48</v>
      </c>
      <c r="I1552">
        <f>grand[[#This Row],[number]]-grand[[#This Row],[received]]</f>
        <v>0</v>
      </c>
      <c r="J1552" s="30"/>
      <c r="K1552" s="2">
        <v>2559</v>
      </c>
      <c r="L1552" s="2">
        <v>2465</v>
      </c>
      <c r="M1552" s="2">
        <f>K1552-L1552</f>
        <v>94</v>
      </c>
      <c r="N1552" s="2">
        <v>1405.6</v>
      </c>
      <c r="O1552" s="2">
        <v>0</v>
      </c>
      <c r="P1552" s="7">
        <f>grand[[#This Row],[total weight]]/grand[[#This Row],[received]]</f>
        <v>53.3125</v>
      </c>
      <c r="Q1552" s="7">
        <f>grand[[#This Row],[receiving weight]]/grand[[#This Row],[received]]</f>
        <v>51.354166666666664</v>
      </c>
      <c r="R1552" s="7">
        <f>grand[[#This Row],[transportation loss ]]/grand[[#This Row],[received]]</f>
        <v>1.9583333333333333</v>
      </c>
      <c r="S1552" s="7">
        <f>grand[[#This Row],[ carcass weight]]/grand[[#This Row],[received]]</f>
        <v>29.283333333333331</v>
      </c>
      <c r="T1552" s="7">
        <f>grand[[#This Row],[ kidneys fat quantity]]/grand[[#This Row],[received]]</f>
        <v>0</v>
      </c>
      <c r="U1552">
        <v>25</v>
      </c>
      <c r="V1552">
        <v>0</v>
      </c>
      <c r="W1552">
        <v>47.458333333333336</v>
      </c>
      <c r="X1552">
        <v>10</v>
      </c>
      <c r="Y1552">
        <v>8.5</v>
      </c>
      <c r="Z1552" s="18">
        <f>grand[[#This Row],[av. Transportation loss]]/grand[[#This Row],[av.total weight]]</f>
        <v>3.673309886674482E-2</v>
      </c>
      <c r="AA1552" s="18">
        <f>AVERAGE((grand[[#This Row],[am]]/25),(grand[[#This Row],[pm]]/50))</f>
        <v>0.97458333333333336</v>
      </c>
      <c r="AB1552" s="3">
        <f>grand[[#This Row],[ carcass weight]]/grand[[#This Row],[total weight]]</f>
        <v>0.54927706135209065</v>
      </c>
      <c r="AC1552" s="18">
        <f>SUM(grand[[#This Row],[am]:[meat transportation]])/100</f>
        <v>0.90958333333333341</v>
      </c>
      <c r="AD1552" s="2" t="s">
        <v>773</v>
      </c>
      <c r="AE1552" s="2"/>
      <c r="AF1552" s="2"/>
      <c r="AG1552" s="2"/>
      <c r="AH1552" s="2"/>
      <c r="AI1552" s="2"/>
      <c r="AJ1552" s="2">
        <v>0</v>
      </c>
    </row>
    <row r="1553" spans="1:38" hidden="1" x14ac:dyDescent="0.2">
      <c r="A1553" s="11">
        <v>45899</v>
      </c>
      <c r="B1553" s="53" t="s">
        <v>2297</v>
      </c>
      <c r="C1553" s="52" t="str">
        <f>IF(MID(B1553,4,2)="09","Ramadan",IF(AND(MID(B1553,4,2)="12",VALUE(LEFT(B1553,2))&lt;=9),"Adha Season","Normal"))</f>
        <v>Normal</v>
      </c>
      <c r="D1553" s="1" t="s">
        <v>45</v>
      </c>
      <c r="E1553" s="1" t="s">
        <v>483</v>
      </c>
      <c r="F1553" s="4" t="s">
        <v>746</v>
      </c>
      <c r="G1553" s="1">
        <v>28</v>
      </c>
      <c r="H1553">
        <v>26</v>
      </c>
      <c r="I1553">
        <f>grand[[#This Row],[number]]-grand[[#This Row],[received]]</f>
        <v>2</v>
      </c>
      <c r="J1553" s="64" t="s">
        <v>3184</v>
      </c>
      <c r="K1553" s="2">
        <v>12130</v>
      </c>
      <c r="L1553" s="2">
        <v>11612</v>
      </c>
      <c r="M1553" s="2">
        <f>K1553-L1553</f>
        <v>518</v>
      </c>
      <c r="N1553" s="2">
        <v>7277.8</v>
      </c>
      <c r="O1553" s="2">
        <v>263</v>
      </c>
      <c r="P1553" s="7">
        <f>grand[[#This Row],[total weight]]/grand[[#This Row],[received]]</f>
        <v>466.53846153846155</v>
      </c>
      <c r="Q1553" s="7">
        <f>grand[[#This Row],[receiving weight]]/grand[[#This Row],[received]]</f>
        <v>446.61538461538464</v>
      </c>
      <c r="R1553" s="7">
        <f>grand[[#This Row],[transportation loss ]]/grand[[#This Row],[received]]</f>
        <v>19.923076923076923</v>
      </c>
      <c r="S1553" s="7">
        <f>grand[[#This Row],[ carcass weight]]/grand[[#This Row],[received]]</f>
        <v>279.9153846153846</v>
      </c>
      <c r="T1553" s="7">
        <f>grand[[#This Row],[ kidneys fat quantity]]/grand[[#This Row],[received]]</f>
        <v>10.115384615384615</v>
      </c>
      <c r="U1553">
        <v>24.423076923076923</v>
      </c>
      <c r="V1553">
        <v>0</v>
      </c>
      <c r="W1553">
        <v>45.884615384615387</v>
      </c>
      <c r="X1553">
        <v>10</v>
      </c>
      <c r="Y1553">
        <v>8.5</v>
      </c>
      <c r="Z1553" s="18">
        <f>grand[[#This Row],[av. Transportation loss]]/grand[[#This Row],[av.total weight]]</f>
        <v>4.2704039571310796E-2</v>
      </c>
      <c r="AA1553" s="18">
        <f>AVERAGE((grand[[#This Row],[am]]/25),(grand[[#This Row],[pm]]/50))</f>
        <v>0.9473076923076923</v>
      </c>
      <c r="AB1553" s="3">
        <f>grand[[#This Row],[ carcass weight]]/grand[[#This Row],[total weight]]</f>
        <v>0.59998351195383348</v>
      </c>
      <c r="AC1553" s="18">
        <f>SUM(grand[[#This Row],[am]:[meat transportation]])/100</f>
        <v>0.8880769230769231</v>
      </c>
      <c r="AD1553" s="2" t="s">
        <v>170</v>
      </c>
      <c r="AE1553" s="2"/>
      <c r="AF1553" s="2"/>
      <c r="AG1553" s="2"/>
      <c r="AH1553" s="2"/>
      <c r="AI1553" s="2"/>
      <c r="AJ1553" s="2">
        <v>15</v>
      </c>
    </row>
    <row r="1554" spans="1:38" hidden="1" x14ac:dyDescent="0.2">
      <c r="A1554" s="11">
        <v>45900</v>
      </c>
      <c r="B1554" s="53" t="s">
        <v>2298</v>
      </c>
      <c r="C1554" s="52" t="str">
        <f>IF(MID(B1554,4,2)="09","Ramadan",IF(AND(MID(B1554,4,2)="12",VALUE(LEFT(B1554,2))&lt;=9),"Adha Season","Normal"))</f>
        <v>Normal</v>
      </c>
      <c r="D1554" s="1" t="s">
        <v>45</v>
      </c>
      <c r="E1554" s="1" t="s">
        <v>528</v>
      </c>
      <c r="F1554" s="4" t="s">
        <v>770</v>
      </c>
      <c r="G1554" s="1">
        <v>26</v>
      </c>
      <c r="H1554">
        <v>26</v>
      </c>
      <c r="I1554">
        <f>grand[[#This Row],[number]]-grand[[#This Row],[received]]</f>
        <v>0</v>
      </c>
      <c r="J1554" s="30"/>
      <c r="K1554" s="2">
        <f>7844.6*100/63.2</f>
        <v>12412.341772151898</v>
      </c>
      <c r="L1554" s="2">
        <f>7844.6*100/63.2</f>
        <v>12412.341772151898</v>
      </c>
      <c r="M1554" s="2">
        <f>K1554-L1554</f>
        <v>0</v>
      </c>
      <c r="N1554" s="2">
        <v>7844.6</v>
      </c>
      <c r="O1554" s="2">
        <v>0</v>
      </c>
      <c r="P1554" s="7">
        <f>grand[[#This Row],[total weight]]/grand[[#This Row],[received]]</f>
        <v>477.39776046738069</v>
      </c>
      <c r="Q1554" s="7">
        <f>grand[[#This Row],[receiving weight]]/grand[[#This Row],[received]]</f>
        <v>477.39776046738069</v>
      </c>
      <c r="R1554" s="7">
        <f>grand[[#This Row],[transportation loss ]]/grand[[#This Row],[received]]</f>
        <v>0</v>
      </c>
      <c r="S1554" s="7">
        <f>grand[[#This Row],[ carcass weight]]/grand[[#This Row],[received]]</f>
        <v>301.71538461538461</v>
      </c>
      <c r="T1554" s="7">
        <f>grand[[#This Row],[ kidneys fat quantity]]/grand[[#This Row],[received]]</f>
        <v>0</v>
      </c>
      <c r="U1554">
        <v>23.846153846153847</v>
      </c>
      <c r="V1554">
        <v>0</v>
      </c>
      <c r="W1554">
        <v>49.615384615384613</v>
      </c>
      <c r="X1554">
        <v>9.8076923076923066</v>
      </c>
      <c r="Y1554">
        <v>8.5</v>
      </c>
      <c r="Z1554" s="18">
        <f>grand[[#This Row],[av. Transportation loss]]/grand[[#This Row],[av.total weight]]</f>
        <v>0</v>
      </c>
      <c r="AA1554" s="18">
        <f>AVERAGE((grand[[#This Row],[am]]/25),(grand[[#This Row],[pm]]/50))</f>
        <v>0.97307692307692306</v>
      </c>
      <c r="AB1554" s="3">
        <f>grand[[#This Row],[ carcass weight]]/grand[[#This Row],[total weight]]</f>
        <v>0.63200000000000001</v>
      </c>
      <c r="AC1554" s="18">
        <f>SUM(grand[[#This Row],[am]:[meat transportation]])/100</f>
        <v>0.91769230769230759</v>
      </c>
      <c r="AD1554" s="2" t="s">
        <v>373</v>
      </c>
      <c r="AE1554" s="2"/>
      <c r="AF1554" s="2"/>
      <c r="AG1554" s="2"/>
      <c r="AH1554" s="2"/>
      <c r="AI1554" s="2"/>
      <c r="AJ1554" s="2">
        <v>18</v>
      </c>
    </row>
    <row r="1555" spans="1:38" hidden="1" x14ac:dyDescent="0.2">
      <c r="A1555" s="11">
        <v>45900</v>
      </c>
      <c r="B1555" s="53" t="s">
        <v>2298</v>
      </c>
      <c r="C1555" s="52" t="str">
        <f>IF(MID(B1555,4,2)="09","Ramadan",IF(AND(MID(B1555,4,2)="12",VALUE(LEFT(B1555,2))&lt;=9),"Adha Season","Normal"))</f>
        <v>Normal</v>
      </c>
      <c r="D1555" s="1" t="s">
        <v>45</v>
      </c>
      <c r="E1555" s="1" t="s">
        <v>528</v>
      </c>
      <c r="F1555" s="4" t="s">
        <v>752</v>
      </c>
      <c r="G1555" s="1">
        <v>26</v>
      </c>
      <c r="H1555">
        <v>26</v>
      </c>
      <c r="I1555">
        <f>grand[[#This Row],[number]]-grand[[#This Row],[received]]</f>
        <v>0</v>
      </c>
      <c r="J1555" s="30"/>
      <c r="K1555" s="2">
        <f>7602*100/63.2</f>
        <v>12028.481012658227</v>
      </c>
      <c r="L1555" s="2">
        <f>7602*100/63.2</f>
        <v>12028.481012658227</v>
      </c>
      <c r="M1555" s="2">
        <f>K1555-L1555</f>
        <v>0</v>
      </c>
      <c r="N1555" s="2">
        <v>7602</v>
      </c>
      <c r="O1555" s="2">
        <v>0</v>
      </c>
      <c r="P1555" s="7">
        <f>grand[[#This Row],[total weight]]/grand[[#This Row],[received]]</f>
        <v>462.6338851022395</v>
      </c>
      <c r="Q1555" s="7">
        <f>grand[[#This Row],[receiving weight]]/grand[[#This Row],[received]]</f>
        <v>462.6338851022395</v>
      </c>
      <c r="R1555" s="7">
        <f>grand[[#This Row],[transportation loss ]]/grand[[#This Row],[received]]</f>
        <v>0</v>
      </c>
      <c r="S1555" s="7">
        <f>grand[[#This Row],[ carcass weight]]/grand[[#This Row],[received]]</f>
        <v>292.38461538461536</v>
      </c>
      <c r="T1555" s="7">
        <f>grand[[#This Row],[ kidneys fat quantity]]/grand[[#This Row],[received]]</f>
        <v>0</v>
      </c>
      <c r="U1555">
        <v>25</v>
      </c>
      <c r="V1555">
        <v>0</v>
      </c>
      <c r="W1555">
        <v>48.65384615384616</v>
      </c>
      <c r="X1555">
        <v>10</v>
      </c>
      <c r="Y1555">
        <v>8.5</v>
      </c>
      <c r="Z1555" s="18">
        <f>grand[[#This Row],[av. Transportation loss]]/grand[[#This Row],[av.total weight]]</f>
        <v>0</v>
      </c>
      <c r="AA1555" s="18">
        <f>AVERAGE((grand[[#This Row],[am]]/25),(grand[[#This Row],[pm]]/50))</f>
        <v>0.98653846153846159</v>
      </c>
      <c r="AB1555" s="3">
        <f>grand[[#This Row],[ carcass weight]]/grand[[#This Row],[total weight]]</f>
        <v>0.63200000000000001</v>
      </c>
      <c r="AC1555" s="18">
        <f>SUM(grand[[#This Row],[am]:[meat transportation]])/100</f>
        <v>0.92153846153846164</v>
      </c>
      <c r="AD1555" s="2" t="s">
        <v>774</v>
      </c>
      <c r="AE1555" s="2"/>
      <c r="AF1555" s="2"/>
      <c r="AG1555" s="2"/>
      <c r="AH1555" s="2"/>
      <c r="AI1555" s="2"/>
      <c r="AJ1555" s="2"/>
    </row>
    <row r="1556" spans="1:38" hidden="1" x14ac:dyDescent="0.2">
      <c r="A1556" s="11">
        <v>46023</v>
      </c>
      <c r="B1556" s="53" t="s">
        <v>2402</v>
      </c>
      <c r="C1556" s="52" t="str">
        <f>IF(MID(B1556,4,2)="09","Ramadan",IF(AND(MID(B1556,4,2)="12",VALUE(LEFT(B1556,2))&lt;=9),"Adha Season","Normal"))</f>
        <v>Normal</v>
      </c>
      <c r="D1556" s="2" t="s">
        <v>294</v>
      </c>
      <c r="F1556" s="4" t="s">
        <v>165</v>
      </c>
      <c r="G1556" s="1">
        <v>35</v>
      </c>
      <c r="H1556">
        <v>35</v>
      </c>
      <c r="I1556">
        <f>grand[[#This Row],[number]]-grand[[#This Row],[received]]</f>
        <v>0</v>
      </c>
      <c r="J1556" s="30"/>
      <c r="K1556" s="2">
        <v>1920</v>
      </c>
      <c r="L1556" s="2">
        <v>1920</v>
      </c>
      <c r="M1556" s="2">
        <f>K1556-L1556</f>
        <v>0</v>
      </c>
      <c r="N1556" s="2">
        <v>1083.5</v>
      </c>
      <c r="O1556" s="2">
        <v>0</v>
      </c>
      <c r="P1556" s="7">
        <f>grand[[#This Row],[total weight]]/grand[[#This Row],[received]]</f>
        <v>54.857142857142854</v>
      </c>
      <c r="Q1556" s="7">
        <f>grand[[#This Row],[receiving weight]]/grand[[#This Row],[received]]</f>
        <v>54.857142857142854</v>
      </c>
      <c r="R1556" s="7">
        <f>grand[[#This Row],[transportation loss ]]/grand[[#This Row],[received]]</f>
        <v>0</v>
      </c>
      <c r="S1556" s="7">
        <f>grand[[#This Row],[ carcass weight]]/grand[[#This Row],[received]]</f>
        <v>30.957142857142856</v>
      </c>
      <c r="T1556" s="7">
        <f>grand[[#This Row],[ kidneys fat quantity]]/grand[[#This Row],[received]]</f>
        <v>0</v>
      </c>
      <c r="U1556">
        <v>25</v>
      </c>
      <c r="V1556">
        <v>0</v>
      </c>
      <c r="W1556">
        <v>45.3</v>
      </c>
      <c r="X1556">
        <v>10</v>
      </c>
      <c r="Y1556">
        <v>8.5</v>
      </c>
      <c r="Z1556" s="18">
        <f>grand[[#This Row],[av. Transportation loss]]/grand[[#This Row],[av.total weight]]</f>
        <v>0</v>
      </c>
      <c r="AA1556" s="18">
        <f>AVERAGE((grand[[#This Row],[am]]/25),(grand[[#This Row],[pm]]/50))</f>
        <v>0.95299999999999996</v>
      </c>
      <c r="AB1556" s="3">
        <f>grand[[#This Row],[ carcass weight]]/grand[[#This Row],[total weight]]</f>
        <v>0.56432291666666667</v>
      </c>
      <c r="AC1556" s="18">
        <f>SUM(grand[[#This Row],[am]:[meat transportation]])/100</f>
        <v>0.88800000000000001</v>
      </c>
      <c r="AD1556" s="2" t="s">
        <v>882</v>
      </c>
      <c r="AE1556" s="2"/>
      <c r="AF1556" s="2"/>
      <c r="AG1556" s="2"/>
      <c r="AH1556" s="2"/>
      <c r="AI1556" s="2"/>
      <c r="AJ1556" s="2">
        <v>0</v>
      </c>
      <c r="AK1556" s="1"/>
      <c r="AL1556" s="1"/>
    </row>
    <row r="1557" spans="1:38" hidden="1" x14ac:dyDescent="0.2">
      <c r="A1557" s="11">
        <v>46023</v>
      </c>
      <c r="B1557" s="53" t="s">
        <v>2402</v>
      </c>
      <c r="C1557" s="52" t="str">
        <f>IF(MID(B1557,4,2)="09","Ramadan",IF(AND(MID(B1557,4,2)="12",VALUE(LEFT(B1557,2))&lt;=9),"Adha Season","Normal"))</f>
        <v>Normal</v>
      </c>
      <c r="D1557" s="1" t="s">
        <v>45</v>
      </c>
      <c r="F1557" s="4" t="s">
        <v>46</v>
      </c>
      <c r="G1557" s="1">
        <v>30</v>
      </c>
      <c r="H1557">
        <v>30</v>
      </c>
      <c r="I1557">
        <f>grand[[#This Row],[number]]-grand[[#This Row],[received]]</f>
        <v>0</v>
      </c>
      <c r="J1557" s="30"/>
      <c r="K1557" s="2">
        <v>17076</v>
      </c>
      <c r="L1557" s="2">
        <v>17076</v>
      </c>
      <c r="M1557" s="2">
        <f>K1557-L1557</f>
        <v>0</v>
      </c>
      <c r="N1557" s="2">
        <v>10245.6</v>
      </c>
      <c r="O1557" s="2">
        <v>382</v>
      </c>
      <c r="P1557" s="7">
        <f>grand[[#This Row],[total weight]]/grand[[#This Row],[received]]</f>
        <v>569.20000000000005</v>
      </c>
      <c r="Q1557" s="7">
        <f>grand[[#This Row],[receiving weight]]/grand[[#This Row],[received]]</f>
        <v>569.20000000000005</v>
      </c>
      <c r="R1557" s="7">
        <f>grand[[#This Row],[transportation loss ]]/grand[[#This Row],[received]]</f>
        <v>0</v>
      </c>
      <c r="S1557" s="7">
        <f>grand[[#This Row],[ carcass weight]]/grand[[#This Row],[received]]</f>
        <v>341.52000000000004</v>
      </c>
      <c r="T1557" s="7">
        <f>grand[[#This Row],[ kidneys fat quantity]]/grand[[#This Row],[received]]</f>
        <v>12.733333333333333</v>
      </c>
      <c r="U1557">
        <v>24.333333333333336</v>
      </c>
      <c r="V1557">
        <v>0</v>
      </c>
      <c r="W1557">
        <v>48.633333333333333</v>
      </c>
      <c r="X1557">
        <v>10</v>
      </c>
      <c r="Y1557">
        <v>8.5</v>
      </c>
      <c r="Z1557" s="18">
        <f>grand[[#This Row],[av. Transportation loss]]/grand[[#This Row],[av.total weight]]</f>
        <v>0</v>
      </c>
      <c r="AA1557" s="18">
        <f>AVERAGE((grand[[#This Row],[am]]/25),(grand[[#This Row],[pm]]/50))</f>
        <v>0.97300000000000009</v>
      </c>
      <c r="AB1557" s="3">
        <f>grand[[#This Row],[ carcass weight]]/grand[[#This Row],[total weight]]</f>
        <v>0.6</v>
      </c>
      <c r="AC1557" s="18">
        <f>SUM(grand[[#This Row],[am]:[meat transportation]])/100</f>
        <v>0.91466666666666674</v>
      </c>
      <c r="AD1557" s="2" t="s">
        <v>883</v>
      </c>
      <c r="AE1557" s="2"/>
      <c r="AF1557" s="2"/>
      <c r="AG1557" s="2"/>
      <c r="AH1557" s="2"/>
      <c r="AI1557" s="2"/>
      <c r="AJ1557" s="2">
        <v>11</v>
      </c>
      <c r="AK1557" s="1"/>
      <c r="AL1557" s="1"/>
    </row>
    <row r="1558" spans="1:38" x14ac:dyDescent="0.2">
      <c r="A1558" s="11">
        <v>46023</v>
      </c>
      <c r="B1558" s="53" t="s">
        <v>2402</v>
      </c>
      <c r="C1558" s="52" t="str">
        <f>IF(MID(B1558,4,2)="09","Ramadan",IF(AND(MID(B1558,4,2)="12",VALUE(LEFT(B1558,2))&lt;=9),"Adha Season","Normal"))</f>
        <v>Normal</v>
      </c>
      <c r="D1558" s="1" t="s">
        <v>45</v>
      </c>
      <c r="F1558" s="4" t="s">
        <v>884</v>
      </c>
      <c r="G1558" s="1">
        <v>51</v>
      </c>
      <c r="H1558">
        <v>50</v>
      </c>
      <c r="I1558">
        <f>grand[[#This Row],[number]]-grand[[#This Row],[received]]</f>
        <v>1</v>
      </c>
      <c r="J1558" s="64" t="s">
        <v>920</v>
      </c>
      <c r="K1558" s="2">
        <v>23255</v>
      </c>
      <c r="L1558" s="2">
        <v>23255</v>
      </c>
      <c r="M1558" s="2">
        <f>K1558-L1558</f>
        <v>0</v>
      </c>
      <c r="N1558" s="2">
        <v>14075.6</v>
      </c>
      <c r="O1558" s="2">
        <v>336</v>
      </c>
      <c r="P1558" s="7">
        <f>grand[[#This Row],[total weight]]/grand[[#This Row],[received]]</f>
        <v>465.1</v>
      </c>
      <c r="Q1558" s="7">
        <f>grand[[#This Row],[receiving weight]]/grand[[#This Row],[received]]</f>
        <v>465.1</v>
      </c>
      <c r="R1558" s="7">
        <f>grand[[#This Row],[transportation loss ]]/grand[[#This Row],[received]]</f>
        <v>0</v>
      </c>
      <c r="S1558" s="7">
        <f>grand[[#This Row],[ carcass weight]]/grand[[#This Row],[received]]</f>
        <v>281.512</v>
      </c>
      <c r="T1558" s="7">
        <f>grand[[#This Row],[ kidneys fat quantity]]/grand[[#This Row],[received]]</f>
        <v>6.72</v>
      </c>
      <c r="U1558">
        <v>25</v>
      </c>
      <c r="V1558">
        <v>0</v>
      </c>
      <c r="W1558">
        <v>48.860000000000007</v>
      </c>
      <c r="X1558">
        <v>10</v>
      </c>
      <c r="Y1558">
        <v>8.5</v>
      </c>
      <c r="Z1558" s="18">
        <f>grand[[#This Row],[av. Transportation loss]]/grand[[#This Row],[av.total weight]]</f>
        <v>0</v>
      </c>
      <c r="AA1558" s="18">
        <f>AVERAGE((grand[[#This Row],[am]]/25),(grand[[#This Row],[pm]]/50))</f>
        <v>0.98860000000000015</v>
      </c>
      <c r="AB1558" s="3">
        <f>grand[[#This Row],[ carcass weight]]/grand[[#This Row],[total weight]]</f>
        <v>0.60527198451945818</v>
      </c>
      <c r="AC1558" s="18">
        <f>SUM(grand[[#This Row],[am]:[meat transportation]])/100</f>
        <v>0.92360000000000009</v>
      </c>
      <c r="AD1558" s="2" t="s">
        <v>885</v>
      </c>
      <c r="AE1558" s="2"/>
      <c r="AF1558" s="2"/>
      <c r="AG1558" s="2"/>
      <c r="AH1558" s="2"/>
      <c r="AI1558" s="2"/>
      <c r="AJ1558" s="2">
        <v>1</v>
      </c>
      <c r="AK1558" s="1"/>
      <c r="AL1558" s="1"/>
    </row>
    <row r="1559" spans="1:38" hidden="1" x14ac:dyDescent="0.2">
      <c r="A1559" s="11">
        <v>46025</v>
      </c>
      <c r="B1559" s="53" t="s">
        <v>2403</v>
      </c>
      <c r="C1559" s="52" t="str">
        <f>IF(MID(B1559,4,2)="09","Ramadan",IF(AND(MID(B1559,4,2)="12",VALUE(LEFT(B1559,2))&lt;=9),"Adha Season","Normal"))</f>
        <v>Normal</v>
      </c>
      <c r="D1559" s="1" t="s">
        <v>45</v>
      </c>
      <c r="F1559" s="4" t="s">
        <v>746</v>
      </c>
      <c r="G1559" s="1">
        <v>54</v>
      </c>
      <c r="H1559">
        <v>54</v>
      </c>
      <c r="I1559">
        <f>grand[[#This Row],[number]]-grand[[#This Row],[received]]</f>
        <v>0</v>
      </c>
      <c r="J1559" s="30"/>
      <c r="K1559" s="2">
        <v>28115</v>
      </c>
      <c r="L1559" s="2">
        <v>28115</v>
      </c>
      <c r="M1559" s="2">
        <f>K1559-L1559</f>
        <v>0</v>
      </c>
      <c r="N1559" s="2">
        <v>16868.5</v>
      </c>
      <c r="O1559" s="2">
        <v>608</v>
      </c>
      <c r="P1559" s="7">
        <f>grand[[#This Row],[total weight]]/grand[[#This Row],[received]]</f>
        <v>520.64814814814815</v>
      </c>
      <c r="Q1559" s="7">
        <f>grand[[#This Row],[receiving weight]]/grand[[#This Row],[received]]</f>
        <v>520.64814814814815</v>
      </c>
      <c r="R1559" s="7">
        <f>grand[[#This Row],[transportation loss ]]/grand[[#This Row],[received]]</f>
        <v>0</v>
      </c>
      <c r="S1559" s="7">
        <f>grand[[#This Row],[ carcass weight]]/grand[[#This Row],[received]]</f>
        <v>312.37962962962962</v>
      </c>
      <c r="T1559" s="7">
        <f>grand[[#This Row],[ kidneys fat quantity]]/grand[[#This Row],[received]]</f>
        <v>11.25925925925926</v>
      </c>
      <c r="U1559">
        <v>24.537037037037042</v>
      </c>
      <c r="V1559">
        <v>0</v>
      </c>
      <c r="W1559">
        <v>49.018518518518512</v>
      </c>
      <c r="X1559">
        <v>10</v>
      </c>
      <c r="Y1559">
        <v>8.5</v>
      </c>
      <c r="Z1559" s="18">
        <f>grand[[#This Row],[av. Transportation loss]]/grand[[#This Row],[av.total weight]]</f>
        <v>0</v>
      </c>
      <c r="AA1559" s="18">
        <f>AVERAGE((grand[[#This Row],[am]]/25),(grand[[#This Row],[pm]]/50))</f>
        <v>0.98092592592592598</v>
      </c>
      <c r="AB1559" s="3">
        <f>grand[[#This Row],[ carcass weight]]/grand[[#This Row],[total weight]]</f>
        <v>0.59998221589898626</v>
      </c>
      <c r="AC1559" s="18">
        <f>SUM(grand[[#This Row],[am]:[meat transportation]])/100</f>
        <v>0.92055555555555557</v>
      </c>
      <c r="AD1559" s="2" t="s">
        <v>170</v>
      </c>
      <c r="AE1559" s="2"/>
      <c r="AF1559" s="2"/>
      <c r="AG1559" s="2"/>
      <c r="AH1559" s="2"/>
      <c r="AI1559" s="2"/>
      <c r="AJ1559" s="2">
        <v>21</v>
      </c>
      <c r="AK1559" s="1"/>
      <c r="AL1559" s="1"/>
    </row>
    <row r="1560" spans="1:38" hidden="1" x14ac:dyDescent="0.2">
      <c r="A1560" s="11">
        <v>46025</v>
      </c>
      <c r="B1560" s="53" t="s">
        <v>2403</v>
      </c>
      <c r="C1560" s="52" t="str">
        <f>IF(MID(B1560,4,2)="09","Ramadan",IF(AND(MID(B1560,4,2)="12",VALUE(LEFT(B1560,2))&lt;=9),"Adha Season","Normal"))</f>
        <v>Normal</v>
      </c>
      <c r="D1560" s="2" t="s">
        <v>294</v>
      </c>
      <c r="F1560" s="4" t="s">
        <v>954</v>
      </c>
      <c r="G1560" s="1">
        <v>38</v>
      </c>
      <c r="H1560">
        <v>36</v>
      </c>
      <c r="I1560">
        <f>grand[[#This Row],[number]]-grand[[#This Row],[received]]</f>
        <v>2</v>
      </c>
      <c r="J1560" s="64" t="s">
        <v>921</v>
      </c>
      <c r="K1560" s="2">
        <v>1884</v>
      </c>
      <c r="L1560" s="2">
        <v>1884</v>
      </c>
      <c r="M1560" s="2">
        <f>K1560-L1560</f>
        <v>0</v>
      </c>
      <c r="N1560" s="2">
        <v>1093.0999999999999</v>
      </c>
      <c r="O1560" s="2">
        <v>0</v>
      </c>
      <c r="P1560" s="7">
        <f>grand[[#This Row],[total weight]]/grand[[#This Row],[received]]</f>
        <v>52.333333333333336</v>
      </c>
      <c r="Q1560" s="7">
        <f>grand[[#This Row],[receiving weight]]/grand[[#This Row],[received]]</f>
        <v>52.333333333333336</v>
      </c>
      <c r="R1560" s="7">
        <f>grand[[#This Row],[transportation loss ]]/grand[[#This Row],[received]]</f>
        <v>0</v>
      </c>
      <c r="S1560" s="7">
        <f>grand[[#This Row],[ carcass weight]]/grand[[#This Row],[received]]</f>
        <v>30.363888888888887</v>
      </c>
      <c r="T1560" s="7">
        <f>grand[[#This Row],[ kidneys fat quantity]]/grand[[#This Row],[received]]</f>
        <v>0</v>
      </c>
      <c r="U1560">
        <v>25</v>
      </c>
      <c r="V1560">
        <v>0</v>
      </c>
      <c r="W1560">
        <v>44.138888888888886</v>
      </c>
      <c r="X1560">
        <v>10</v>
      </c>
      <c r="Y1560">
        <v>8.5</v>
      </c>
      <c r="Z1560" s="18">
        <f>grand[[#This Row],[av. Transportation loss]]/grand[[#This Row],[av.total weight]]</f>
        <v>0</v>
      </c>
      <c r="AA1560" s="18">
        <f>AVERAGE((grand[[#This Row],[am]]/25),(grand[[#This Row],[pm]]/50))</f>
        <v>0.94138888888888883</v>
      </c>
      <c r="AB1560" s="3">
        <f>grand[[#This Row],[ carcass weight]]/grand[[#This Row],[total weight]]</f>
        <v>0.58020169851380032</v>
      </c>
      <c r="AC1560" s="18">
        <f>SUM(grand[[#This Row],[am]:[meat transportation]])/100</f>
        <v>0.87638888888888888</v>
      </c>
      <c r="AD1560" s="2" t="s">
        <v>909</v>
      </c>
      <c r="AE1560" s="2"/>
      <c r="AF1560" s="2"/>
      <c r="AG1560" s="2"/>
      <c r="AH1560" s="2"/>
      <c r="AI1560" s="2"/>
      <c r="AJ1560" s="2">
        <v>0</v>
      </c>
      <c r="AK1560" s="1"/>
      <c r="AL1560" s="1"/>
    </row>
    <row r="1561" spans="1:38" x14ac:dyDescent="0.2">
      <c r="A1561" s="11">
        <v>46026</v>
      </c>
      <c r="B1561" s="53" t="s">
        <v>2404</v>
      </c>
      <c r="C1561" s="52" t="str">
        <f>IF(MID(B1561,4,2)="09","Ramadan",IF(AND(MID(B1561,4,2)="12",VALUE(LEFT(B1561,2))&lt;=9),"Adha Season","Normal"))</f>
        <v>Normal</v>
      </c>
      <c r="D1561" s="1" t="s">
        <v>45</v>
      </c>
      <c r="F1561" s="4" t="s">
        <v>165</v>
      </c>
      <c r="G1561" s="1">
        <v>64</v>
      </c>
      <c r="H1561">
        <v>62</v>
      </c>
      <c r="I1561">
        <f>grand[[#This Row],[number]]-grand[[#This Row],[received]]</f>
        <v>2</v>
      </c>
      <c r="J1561" s="64" t="s">
        <v>922</v>
      </c>
      <c r="K1561" s="2">
        <v>33868</v>
      </c>
      <c r="L1561" s="2">
        <v>33868</v>
      </c>
      <c r="M1561" s="2">
        <f>K1561-L1561</f>
        <v>0</v>
      </c>
      <c r="N1561" s="2">
        <v>20320.7</v>
      </c>
      <c r="O1561" s="2">
        <v>681</v>
      </c>
      <c r="P1561" s="7">
        <f>grand[[#This Row],[total weight]]/grand[[#This Row],[received]]</f>
        <v>546.25806451612902</v>
      </c>
      <c r="Q1561" s="7">
        <f>grand[[#This Row],[receiving weight]]/grand[[#This Row],[received]]</f>
        <v>546.25806451612902</v>
      </c>
      <c r="R1561" s="7">
        <f>grand[[#This Row],[transportation loss ]]/grand[[#This Row],[received]]</f>
        <v>0</v>
      </c>
      <c r="S1561" s="7">
        <f>grand[[#This Row],[ carcass weight]]/grand[[#This Row],[received]]</f>
        <v>327.75322580645161</v>
      </c>
      <c r="T1561" s="7">
        <f>grand[[#This Row],[ kidneys fat quantity]]/grand[[#This Row],[received]]</f>
        <v>10.983870967741936</v>
      </c>
      <c r="U1561">
        <v>23.70967741935484</v>
      </c>
      <c r="V1561">
        <v>0</v>
      </c>
      <c r="W1561">
        <v>47.354838709677416</v>
      </c>
      <c r="X1561">
        <v>10</v>
      </c>
      <c r="Y1561">
        <v>8.5</v>
      </c>
      <c r="Z1561" s="18">
        <f>grand[[#This Row],[av. Transportation loss]]/grand[[#This Row],[av.total weight]]</f>
        <v>0</v>
      </c>
      <c r="AA1561" s="18">
        <f>AVERAGE((grand[[#This Row],[am]]/25),(grand[[#This Row],[pm]]/50))</f>
        <v>0.94774193548387098</v>
      </c>
      <c r="AB1561" s="3">
        <f>grand[[#This Row],[ carcass weight]]/grand[[#This Row],[total weight]]</f>
        <v>0.59999704736034021</v>
      </c>
      <c r="AC1561" s="18">
        <f>SUM(grand[[#This Row],[am]:[meat transportation]])/100</f>
        <v>0.89564516129032257</v>
      </c>
      <c r="AD1561" s="2" t="s">
        <v>910</v>
      </c>
      <c r="AE1561" s="2"/>
      <c r="AF1561" s="2"/>
      <c r="AG1561" s="2"/>
      <c r="AH1561" s="2"/>
      <c r="AI1561" s="2"/>
      <c r="AJ1561" s="2">
        <v>51</v>
      </c>
      <c r="AK1561" s="1"/>
      <c r="AL1561" s="1"/>
    </row>
    <row r="1562" spans="1:38" hidden="1" x14ac:dyDescent="0.2">
      <c r="A1562" s="11">
        <v>46027</v>
      </c>
      <c r="B1562" s="53" t="s">
        <v>2405</v>
      </c>
      <c r="C1562" s="52" t="str">
        <f>IF(MID(B1562,4,2)="09","Ramadan",IF(AND(MID(B1562,4,2)="12",VALUE(LEFT(B1562,2))&lt;=9),"Adha Season","Normal"))</f>
        <v>Normal</v>
      </c>
      <c r="D1562" s="2" t="s">
        <v>294</v>
      </c>
      <c r="F1562" s="4" t="s">
        <v>954</v>
      </c>
      <c r="G1562" s="1">
        <v>46</v>
      </c>
      <c r="H1562">
        <v>46</v>
      </c>
      <c r="I1562">
        <f>grand[[#This Row],[number]]-grand[[#This Row],[received]]</f>
        <v>0</v>
      </c>
      <c r="J1562" s="30"/>
      <c r="K1562" s="2">
        <v>2441</v>
      </c>
      <c r="L1562" s="2">
        <v>2355</v>
      </c>
      <c r="M1562" s="2">
        <f>K1562-L1562</f>
        <v>86</v>
      </c>
      <c r="N1562" s="2">
        <v>1375</v>
      </c>
      <c r="O1562" s="2">
        <v>0</v>
      </c>
      <c r="P1562" s="7">
        <f>grand[[#This Row],[total weight]]/grand[[#This Row],[received]]</f>
        <v>53.065217391304351</v>
      </c>
      <c r="Q1562" s="7">
        <f>grand[[#This Row],[receiving weight]]/grand[[#This Row],[received]]</f>
        <v>51.195652173913047</v>
      </c>
      <c r="R1562" s="7">
        <f>grand[[#This Row],[transportation loss ]]/grand[[#This Row],[received]]</f>
        <v>1.8695652173913044</v>
      </c>
      <c r="S1562" s="7">
        <f>grand[[#This Row],[ carcass weight]]/grand[[#This Row],[received]]</f>
        <v>29.891304347826086</v>
      </c>
      <c r="T1562" s="7">
        <f>grand[[#This Row],[ kidneys fat quantity]]/grand[[#This Row],[received]]</f>
        <v>0</v>
      </c>
      <c r="U1562">
        <v>25</v>
      </c>
      <c r="V1562">
        <v>0</v>
      </c>
      <c r="W1562">
        <v>39.45652173913043</v>
      </c>
      <c r="X1562">
        <v>10</v>
      </c>
      <c r="Y1562">
        <v>8.5</v>
      </c>
      <c r="Z1562" s="18">
        <f>grand[[#This Row],[av. Transportation loss]]/grand[[#This Row],[av.total weight]]</f>
        <v>3.5231462515362556E-2</v>
      </c>
      <c r="AA1562" s="18">
        <f>AVERAGE((grand[[#This Row],[am]]/25),(grand[[#This Row],[pm]]/50))</f>
        <v>0.89456521739130435</v>
      </c>
      <c r="AB1562" s="3">
        <f>grand[[#This Row],[ carcass weight]]/grand[[#This Row],[total weight]]</f>
        <v>0.56329373207701761</v>
      </c>
      <c r="AC1562" s="18">
        <f>SUM(grand[[#This Row],[am]:[meat transportation]])/100</f>
        <v>0.8295652173913044</v>
      </c>
      <c r="AD1562" s="2" t="s">
        <v>911</v>
      </c>
      <c r="AE1562" s="2"/>
      <c r="AF1562" s="2"/>
      <c r="AG1562" s="2"/>
      <c r="AH1562" s="2"/>
      <c r="AI1562" s="2"/>
      <c r="AJ1562" s="2">
        <v>0</v>
      </c>
      <c r="AK1562" s="1"/>
      <c r="AL1562" s="1"/>
    </row>
    <row r="1563" spans="1:38" hidden="1" x14ac:dyDescent="0.2">
      <c r="A1563" s="11">
        <v>46027</v>
      </c>
      <c r="B1563" s="53" t="s">
        <v>2405</v>
      </c>
      <c r="C1563" s="52" t="str">
        <f>IF(MID(B1563,4,2)="09","Ramadan",IF(AND(MID(B1563,4,2)="12",VALUE(LEFT(B1563,2))&lt;=9),"Adha Season","Normal"))</f>
        <v>Normal</v>
      </c>
      <c r="D1563" s="1" t="s">
        <v>45</v>
      </c>
      <c r="E1563" s="1" t="s">
        <v>483</v>
      </c>
      <c r="F1563" s="4" t="s">
        <v>815</v>
      </c>
      <c r="G1563" s="1">
        <v>62</v>
      </c>
      <c r="H1563">
        <v>62</v>
      </c>
      <c r="I1563">
        <f>grand[[#This Row],[number]]-grand[[#This Row],[received]]</f>
        <v>0</v>
      </c>
      <c r="J1563" s="30"/>
      <c r="K1563" s="2">
        <v>31087</v>
      </c>
      <c r="L1563" s="2">
        <v>30260</v>
      </c>
      <c r="M1563" s="2">
        <f>K1563-L1563</f>
        <v>827</v>
      </c>
      <c r="N1563" s="2">
        <v>19500.099999999999</v>
      </c>
      <c r="O1563" s="2">
        <v>599</v>
      </c>
      <c r="P1563" s="7">
        <f>grand[[#This Row],[total weight]]/grand[[#This Row],[received]]</f>
        <v>501.40322580645159</v>
      </c>
      <c r="Q1563" s="7">
        <f>grand[[#This Row],[receiving weight]]/grand[[#This Row],[received]]</f>
        <v>488.06451612903226</v>
      </c>
      <c r="R1563" s="7">
        <f>grand[[#This Row],[transportation loss ]]/grand[[#This Row],[received]]</f>
        <v>13.338709677419354</v>
      </c>
      <c r="S1563" s="7">
        <f>grand[[#This Row],[ carcass weight]]/grand[[#This Row],[received]]</f>
        <v>314.51774193548385</v>
      </c>
      <c r="T1563" s="7">
        <f>grand[[#This Row],[ kidneys fat quantity]]/grand[[#This Row],[received]]</f>
        <v>9.6612903225806459</v>
      </c>
      <c r="U1563">
        <v>24.983870967741936</v>
      </c>
      <c r="V1563">
        <v>0</v>
      </c>
      <c r="W1563">
        <v>48.112903225806456</v>
      </c>
      <c r="X1563">
        <v>10</v>
      </c>
      <c r="Y1563">
        <v>8.5</v>
      </c>
      <c r="Z1563" s="18">
        <f>grand[[#This Row],[av. Transportation loss]]/grand[[#This Row],[av.total weight]]</f>
        <v>2.6602759996139865E-2</v>
      </c>
      <c r="AA1563" s="18">
        <f>AVERAGE((grand[[#This Row],[am]]/25),(grand[[#This Row],[pm]]/50))</f>
        <v>0.98080645161290336</v>
      </c>
      <c r="AB1563" s="3">
        <f>grand[[#This Row],[ carcass weight]]/grand[[#This Row],[total weight]]</f>
        <v>0.62727506674815836</v>
      </c>
      <c r="AC1563" s="18">
        <f>SUM(grand[[#This Row],[am]:[meat transportation]])/100</f>
        <v>0.9159677419354838</v>
      </c>
      <c r="AD1563" s="2" t="s">
        <v>912</v>
      </c>
      <c r="AE1563" s="2"/>
      <c r="AF1563" s="2"/>
      <c r="AG1563" s="2"/>
      <c r="AH1563" s="2"/>
      <c r="AI1563" s="2"/>
      <c r="AJ1563" s="2">
        <v>0</v>
      </c>
      <c r="AK1563" s="1"/>
      <c r="AL1563" s="1"/>
    </row>
    <row r="1564" spans="1:38" x14ac:dyDescent="0.2">
      <c r="A1564" s="11">
        <v>46028</v>
      </c>
      <c r="B1564" s="53" t="s">
        <v>2406</v>
      </c>
      <c r="C1564" s="52" t="str">
        <f>IF(MID(B1564,4,2)="09","Ramadan",IF(AND(MID(B1564,4,2)="12",VALUE(LEFT(B1564,2))&lt;=9),"Adha Season","Normal"))</f>
        <v>Normal</v>
      </c>
      <c r="D1564" s="1" t="s">
        <v>45</v>
      </c>
      <c r="F1564" s="4" t="s">
        <v>746</v>
      </c>
      <c r="G1564" s="1">
        <v>69</v>
      </c>
      <c r="H1564">
        <v>50</v>
      </c>
      <c r="I1564">
        <f>grand[[#This Row],[number]]-grand[[#This Row],[received]]</f>
        <v>19</v>
      </c>
      <c r="J1564" s="64" t="s">
        <v>923</v>
      </c>
      <c r="K1564" s="2">
        <v>24093</v>
      </c>
      <c r="L1564" s="2">
        <v>24093</v>
      </c>
      <c r="M1564" s="2">
        <f>K1564-L1564</f>
        <v>0</v>
      </c>
      <c r="N1564" s="2">
        <v>14455.7</v>
      </c>
      <c r="O1564" s="2">
        <v>481</v>
      </c>
      <c r="P1564" s="7">
        <f>grand[[#This Row],[total weight]]/grand[[#This Row],[received]]</f>
        <v>481.86</v>
      </c>
      <c r="Q1564" s="7">
        <f>grand[[#This Row],[receiving weight]]/grand[[#This Row],[received]]</f>
        <v>481.86</v>
      </c>
      <c r="R1564" s="7">
        <f>grand[[#This Row],[transportation loss ]]/grand[[#This Row],[received]]</f>
        <v>0</v>
      </c>
      <c r="S1564" s="7">
        <f>grand[[#This Row],[ carcass weight]]/grand[[#This Row],[received]]</f>
        <v>289.11400000000003</v>
      </c>
      <c r="T1564" s="7">
        <f>grand[[#This Row],[ kidneys fat quantity]]/grand[[#This Row],[received]]</f>
        <v>9.6199999999999992</v>
      </c>
      <c r="U1564">
        <v>24.3</v>
      </c>
      <c r="V1564">
        <v>0</v>
      </c>
      <c r="W1564">
        <v>43.3</v>
      </c>
      <c r="X1564">
        <v>10</v>
      </c>
      <c r="Y1564">
        <v>8.5</v>
      </c>
      <c r="Z1564" s="18">
        <f>grand[[#This Row],[av. Transportation loss]]/grand[[#This Row],[av.total weight]]</f>
        <v>0</v>
      </c>
      <c r="AA1564" s="18">
        <f>AVERAGE((grand[[#This Row],[am]]/25),(grand[[#This Row],[pm]]/50))</f>
        <v>0.91900000000000004</v>
      </c>
      <c r="AB1564" s="3">
        <f>grand[[#This Row],[ carcass weight]]/grand[[#This Row],[total weight]]</f>
        <v>0.59999584941684314</v>
      </c>
      <c r="AC1564" s="18">
        <f>SUM(grand[[#This Row],[am]:[meat transportation]])/100</f>
        <v>0.86099999999999999</v>
      </c>
      <c r="AD1564" s="2" t="s">
        <v>913</v>
      </c>
      <c r="AE1564" s="2"/>
      <c r="AF1564" s="2"/>
      <c r="AG1564" s="2"/>
      <c r="AH1564" s="2"/>
      <c r="AI1564" s="2"/>
      <c r="AJ1564" s="2">
        <v>22</v>
      </c>
      <c r="AK1564" s="1"/>
      <c r="AL1564" s="1"/>
    </row>
    <row r="1565" spans="1:38" hidden="1" x14ac:dyDescent="0.2">
      <c r="A1565" s="11">
        <v>46029</v>
      </c>
      <c r="B1565" s="53" t="s">
        <v>2407</v>
      </c>
      <c r="C1565" s="52" t="str">
        <f>IF(MID(B1565,4,2)="09","Ramadan",IF(AND(MID(B1565,4,2)="12",VALUE(LEFT(B1565,2))&lt;=9),"Adha Season","Normal"))</f>
        <v>Normal</v>
      </c>
      <c r="D1565" s="2" t="s">
        <v>294</v>
      </c>
      <c r="F1565" s="4" t="s">
        <v>954</v>
      </c>
      <c r="G1565" s="1">
        <v>42</v>
      </c>
      <c r="H1565">
        <v>41</v>
      </c>
      <c r="I1565">
        <f>grand[[#This Row],[number]]-grand[[#This Row],[received]]</f>
        <v>1</v>
      </c>
      <c r="J1565" s="64" t="s">
        <v>925</v>
      </c>
      <c r="K1565" s="2">
        <v>2027</v>
      </c>
      <c r="L1565" s="2">
        <v>2027</v>
      </c>
      <c r="M1565" s="2">
        <f>K1565-L1565</f>
        <v>0</v>
      </c>
      <c r="N1565" s="2">
        <v>1155.5</v>
      </c>
      <c r="O1565" s="2">
        <v>0</v>
      </c>
      <c r="P1565" s="7">
        <f>grand[[#This Row],[total weight]]/grand[[#This Row],[received]]</f>
        <v>49.439024390243901</v>
      </c>
      <c r="Q1565" s="7">
        <f>grand[[#This Row],[receiving weight]]/grand[[#This Row],[received]]</f>
        <v>49.439024390243901</v>
      </c>
      <c r="R1565" s="7">
        <f>grand[[#This Row],[transportation loss ]]/grand[[#This Row],[received]]</f>
        <v>0</v>
      </c>
      <c r="S1565" s="7">
        <f>grand[[#This Row],[ carcass weight]]/grand[[#This Row],[received]]</f>
        <v>28.182926829268293</v>
      </c>
      <c r="T1565" s="7">
        <f>grand[[#This Row],[ kidneys fat quantity]]/grand[[#This Row],[received]]</f>
        <v>0</v>
      </c>
      <c r="U1565">
        <v>25</v>
      </c>
      <c r="V1565">
        <v>0</v>
      </c>
      <c r="W1565">
        <v>42.073170731707322</v>
      </c>
      <c r="X1565">
        <v>10</v>
      </c>
      <c r="Y1565">
        <v>8.5</v>
      </c>
      <c r="Z1565" s="18">
        <f>grand[[#This Row],[av. Transportation loss]]/grand[[#This Row],[av.total weight]]</f>
        <v>0</v>
      </c>
      <c r="AA1565" s="18">
        <f>AVERAGE((grand[[#This Row],[am]]/25),(grand[[#This Row],[pm]]/50))</f>
        <v>0.92073170731707321</v>
      </c>
      <c r="AB1565" s="3">
        <f>grand[[#This Row],[ carcass weight]]/grand[[#This Row],[total weight]]</f>
        <v>0.57005426739023191</v>
      </c>
      <c r="AC1565" s="18">
        <f>SUM(grand[[#This Row],[am]:[meat transportation]])/100</f>
        <v>0.85573170731707326</v>
      </c>
      <c r="AD1565" s="2" t="s">
        <v>915</v>
      </c>
      <c r="AE1565" s="2"/>
      <c r="AF1565" s="2"/>
      <c r="AG1565" s="2"/>
      <c r="AH1565" s="2"/>
      <c r="AI1565" s="2"/>
      <c r="AJ1565" s="2">
        <v>0</v>
      </c>
      <c r="AK1565" s="1"/>
      <c r="AL1565" s="1"/>
    </row>
    <row r="1566" spans="1:38" x14ac:dyDescent="0.2">
      <c r="A1566" s="11">
        <v>46029</v>
      </c>
      <c r="B1566" s="53" t="s">
        <v>2407</v>
      </c>
      <c r="C1566" s="52" t="str">
        <f>IF(MID(B1566,4,2)="09","Ramadan",IF(AND(MID(B1566,4,2)="12",VALUE(LEFT(B1566,2))&lt;=9),"Adha Season","Normal"))</f>
        <v>Normal</v>
      </c>
      <c r="D1566" s="1" t="s">
        <v>45</v>
      </c>
      <c r="F1566" s="4" t="s">
        <v>954</v>
      </c>
      <c r="G1566" s="1">
        <v>64</v>
      </c>
      <c r="H1566">
        <v>63</v>
      </c>
      <c r="I1566">
        <f>grand[[#This Row],[number]]-grand[[#This Row],[received]]</f>
        <v>1</v>
      </c>
      <c r="J1566" s="64" t="s">
        <v>924</v>
      </c>
      <c r="K1566" s="2">
        <v>27877</v>
      </c>
      <c r="L1566" s="2">
        <v>27877</v>
      </c>
      <c r="M1566" s="2">
        <f>K1566-L1566</f>
        <v>0</v>
      </c>
      <c r="N1566" s="2">
        <v>17031.599999999999</v>
      </c>
      <c r="O1566" s="2">
        <v>474</v>
      </c>
      <c r="P1566" s="7">
        <f>grand[[#This Row],[total weight]]/grand[[#This Row],[received]]</f>
        <v>442.49206349206349</v>
      </c>
      <c r="Q1566" s="7">
        <f>grand[[#This Row],[receiving weight]]/grand[[#This Row],[received]]</f>
        <v>442.49206349206349</v>
      </c>
      <c r="R1566" s="7">
        <f>grand[[#This Row],[transportation loss ]]/grand[[#This Row],[received]]</f>
        <v>0</v>
      </c>
      <c r="S1566" s="7">
        <f>grand[[#This Row],[ carcass weight]]/grand[[#This Row],[received]]</f>
        <v>270.3428571428571</v>
      </c>
      <c r="T1566" s="7">
        <f>grand[[#This Row],[ kidneys fat quantity]]/grand[[#This Row],[received]]</f>
        <v>7.5238095238095237</v>
      </c>
      <c r="U1566">
        <v>25</v>
      </c>
      <c r="V1566">
        <v>0</v>
      </c>
      <c r="W1566">
        <v>47.857142857142854</v>
      </c>
      <c r="X1566">
        <v>10</v>
      </c>
      <c r="Y1566">
        <v>8.5</v>
      </c>
      <c r="Z1566" s="18">
        <f>grand[[#This Row],[av. Transportation loss]]/grand[[#This Row],[av.total weight]]</f>
        <v>0</v>
      </c>
      <c r="AA1566" s="18">
        <f>AVERAGE((grand[[#This Row],[am]]/25),(grand[[#This Row],[pm]]/50))</f>
        <v>0.97857142857142854</v>
      </c>
      <c r="AB1566" s="3">
        <f>grand[[#This Row],[ carcass weight]]/grand[[#This Row],[total weight]]</f>
        <v>0.61095526778347742</v>
      </c>
      <c r="AC1566" s="18">
        <f>SUM(grand[[#This Row],[am]:[meat transportation]])/100</f>
        <v>0.91357142857142859</v>
      </c>
      <c r="AD1566" s="2" t="s">
        <v>914</v>
      </c>
      <c r="AE1566" s="2"/>
      <c r="AF1566" s="2"/>
      <c r="AG1566" s="2"/>
      <c r="AH1566" s="2"/>
      <c r="AI1566" s="2"/>
      <c r="AJ1566" s="2">
        <v>0</v>
      </c>
      <c r="AK1566" s="1"/>
      <c r="AL1566" s="1"/>
    </row>
    <row r="1567" spans="1:38" hidden="1" x14ac:dyDescent="0.2">
      <c r="A1567" s="11">
        <v>46030</v>
      </c>
      <c r="B1567" s="53" t="s">
        <v>2408</v>
      </c>
      <c r="C1567" s="52" t="str">
        <f>IF(MID(B1567,4,2)="09","Ramadan",IF(AND(MID(B1567,4,2)="12",VALUE(LEFT(B1567,2))&lt;=9),"Adha Season","Normal"))</f>
        <v>Normal</v>
      </c>
      <c r="D1567" s="1" t="s">
        <v>45</v>
      </c>
      <c r="F1567" s="4" t="s">
        <v>46</v>
      </c>
      <c r="G1567" s="1">
        <v>50</v>
      </c>
      <c r="H1567">
        <v>50</v>
      </c>
      <c r="I1567">
        <f>grand[[#This Row],[number]]-grand[[#This Row],[received]]</f>
        <v>0</v>
      </c>
      <c r="J1567" s="30"/>
      <c r="K1567" s="2">
        <v>25493</v>
      </c>
      <c r="L1567" s="2">
        <v>25493</v>
      </c>
      <c r="M1567" s="2">
        <f>K1567-L1567</f>
        <v>0</v>
      </c>
      <c r="N1567" s="2">
        <v>15295.6</v>
      </c>
      <c r="O1567" s="2">
        <v>496</v>
      </c>
      <c r="P1567" s="7">
        <f>grand[[#This Row],[total weight]]/grand[[#This Row],[received]]</f>
        <v>509.86</v>
      </c>
      <c r="Q1567" s="7">
        <f>grand[[#This Row],[receiving weight]]/grand[[#This Row],[received]]</f>
        <v>509.86</v>
      </c>
      <c r="R1567" s="7">
        <f>grand[[#This Row],[transportation loss ]]/grand[[#This Row],[received]]</f>
        <v>0</v>
      </c>
      <c r="S1567" s="7">
        <f>grand[[#This Row],[ carcass weight]]/grand[[#This Row],[received]]</f>
        <v>305.91200000000003</v>
      </c>
      <c r="T1567" s="7">
        <f>grand[[#This Row],[ kidneys fat quantity]]/grand[[#This Row],[received]]</f>
        <v>9.92</v>
      </c>
      <c r="U1567">
        <v>24.6</v>
      </c>
      <c r="V1567">
        <v>0</v>
      </c>
      <c r="W1567">
        <v>49.6</v>
      </c>
      <c r="X1567">
        <v>10</v>
      </c>
      <c r="Y1567">
        <v>8.5</v>
      </c>
      <c r="Z1567" s="18">
        <f>grand[[#This Row],[av. Transportation loss]]/grand[[#This Row],[av.total weight]]</f>
        <v>0</v>
      </c>
      <c r="AA1567" s="18">
        <f>AVERAGE((grand[[#This Row],[am]]/25),(grand[[#This Row],[pm]]/50))</f>
        <v>0.98799999999999999</v>
      </c>
      <c r="AB1567" s="3">
        <f>grand[[#This Row],[ carcass weight]]/grand[[#This Row],[total weight]]</f>
        <v>0.59999215470913581</v>
      </c>
      <c r="AC1567" s="18">
        <f>SUM(grand[[#This Row],[am]:[meat transportation]])/100</f>
        <v>0.92700000000000005</v>
      </c>
      <c r="AD1567" s="2" t="s">
        <v>97</v>
      </c>
      <c r="AE1567" s="2"/>
      <c r="AF1567" s="2"/>
      <c r="AG1567" s="2"/>
      <c r="AH1567" s="2"/>
      <c r="AI1567" s="2"/>
      <c r="AJ1567" s="2">
        <v>17</v>
      </c>
      <c r="AK1567" s="1"/>
      <c r="AL1567" s="1"/>
    </row>
    <row r="1568" spans="1:38" hidden="1" x14ac:dyDescent="0.2">
      <c r="A1568" s="11">
        <v>46030</v>
      </c>
      <c r="B1568" s="53" t="s">
        <v>2408</v>
      </c>
      <c r="C1568" s="52" t="str">
        <f>IF(MID(B1568,4,2)="09","Ramadan",IF(AND(MID(B1568,4,2)="12",VALUE(LEFT(B1568,2))&lt;=9),"Adha Season","Normal"))</f>
        <v>Normal</v>
      </c>
      <c r="D1568" s="2" t="s">
        <v>294</v>
      </c>
      <c r="F1568" s="4" t="s">
        <v>165</v>
      </c>
      <c r="G1568" s="1">
        <v>38</v>
      </c>
      <c r="H1568">
        <v>37</v>
      </c>
      <c r="I1568">
        <f>grand[[#This Row],[number]]-grand[[#This Row],[received]]</f>
        <v>1</v>
      </c>
      <c r="J1568" s="64" t="s">
        <v>926</v>
      </c>
      <c r="K1568" s="2">
        <v>2035</v>
      </c>
      <c r="L1568" s="2">
        <v>2035</v>
      </c>
      <c r="M1568" s="2">
        <f>K1568-L1568</f>
        <v>0</v>
      </c>
      <c r="N1568" s="2">
        <v>1157.7</v>
      </c>
      <c r="O1568" s="2">
        <v>0</v>
      </c>
      <c r="P1568" s="7">
        <f>grand[[#This Row],[total weight]]/grand[[#This Row],[received]]</f>
        <v>55</v>
      </c>
      <c r="Q1568" s="7">
        <f>grand[[#This Row],[receiving weight]]/grand[[#This Row],[received]]</f>
        <v>55</v>
      </c>
      <c r="R1568" s="7">
        <f>grand[[#This Row],[transportation loss ]]/grand[[#This Row],[received]]</f>
        <v>0</v>
      </c>
      <c r="S1568" s="7">
        <f>grand[[#This Row],[ carcass weight]]/grand[[#This Row],[received]]</f>
        <v>31.289189189189191</v>
      </c>
      <c r="T1568" s="7">
        <f>grand[[#This Row],[ kidneys fat quantity]]/grand[[#This Row],[received]]</f>
        <v>0</v>
      </c>
      <c r="U1568">
        <v>25</v>
      </c>
      <c r="V1568">
        <v>0</v>
      </c>
      <c r="W1568">
        <v>49.648648648648646</v>
      </c>
      <c r="X1568">
        <v>10</v>
      </c>
      <c r="Y1568">
        <v>8.5</v>
      </c>
      <c r="Z1568" s="18">
        <f>grand[[#This Row],[av. Transportation loss]]/grand[[#This Row],[av.total weight]]</f>
        <v>0</v>
      </c>
      <c r="AA1568" s="18">
        <f>AVERAGE((grand[[#This Row],[am]]/25),(grand[[#This Row],[pm]]/50))</f>
        <v>0.99648648648648641</v>
      </c>
      <c r="AB1568" s="3">
        <f>grand[[#This Row],[ carcass weight]]/grand[[#This Row],[total weight]]</f>
        <v>0.56889434889434887</v>
      </c>
      <c r="AC1568" s="18">
        <f>SUM(grand[[#This Row],[am]:[meat transportation]])/100</f>
        <v>0.93148648648648646</v>
      </c>
      <c r="AD1568" s="2" t="s">
        <v>97</v>
      </c>
      <c r="AE1568" s="2"/>
      <c r="AF1568" s="2"/>
      <c r="AG1568" s="2"/>
      <c r="AH1568" s="2"/>
      <c r="AI1568" s="2"/>
      <c r="AJ1568" s="2">
        <v>0</v>
      </c>
      <c r="AK1568" s="1"/>
      <c r="AL1568" s="1"/>
    </row>
    <row r="1569" spans="1:38" x14ac:dyDescent="0.2">
      <c r="A1569" s="11">
        <v>46030</v>
      </c>
      <c r="B1569" s="53" t="s">
        <v>2408</v>
      </c>
      <c r="C1569" s="52" t="str">
        <f>IF(MID(B1569,4,2)="09","Ramadan",IF(AND(MID(B1569,4,2)="12",VALUE(LEFT(B1569,2))&lt;=9),"Adha Season","Normal"))</f>
        <v>Normal</v>
      </c>
      <c r="D1569" s="1" t="s">
        <v>45</v>
      </c>
      <c r="F1569" s="4" t="s">
        <v>916</v>
      </c>
      <c r="G1569" s="1">
        <v>32</v>
      </c>
      <c r="H1569">
        <v>30</v>
      </c>
      <c r="I1569">
        <f>grand[[#This Row],[number]]-grand[[#This Row],[received]]</f>
        <v>2</v>
      </c>
      <c r="J1569" s="64" t="s">
        <v>927</v>
      </c>
      <c r="K1569" s="2">
        <v>15125.949367088608</v>
      </c>
      <c r="L1569" s="2">
        <v>15125.949367088608</v>
      </c>
      <c r="M1569" s="2">
        <f>K1569-L1569</f>
        <v>0</v>
      </c>
      <c r="N1569" s="2">
        <v>9559.6</v>
      </c>
      <c r="O1569" s="2">
        <v>0</v>
      </c>
      <c r="P1569" s="7">
        <f>grand[[#This Row],[total weight]]/grand[[#This Row],[received]]</f>
        <v>504.19831223628694</v>
      </c>
      <c r="Q1569" s="7">
        <f>grand[[#This Row],[receiving weight]]/grand[[#This Row],[received]]</f>
        <v>504.19831223628694</v>
      </c>
      <c r="R1569" s="7">
        <f>grand[[#This Row],[transportation loss ]]/grand[[#This Row],[received]]</f>
        <v>0</v>
      </c>
      <c r="S1569" s="7">
        <f>grand[[#This Row],[ carcass weight]]/grand[[#This Row],[received]]</f>
        <v>318.65333333333336</v>
      </c>
      <c r="T1569" s="7">
        <f>grand[[#This Row],[ kidneys fat quantity]]/grand[[#This Row],[received]]</f>
        <v>0</v>
      </c>
      <c r="U1569">
        <v>24.333333333333336</v>
      </c>
      <c r="V1569">
        <v>4</v>
      </c>
      <c r="W1569">
        <v>45.333333333333336</v>
      </c>
      <c r="X1569">
        <v>10</v>
      </c>
      <c r="Y1569">
        <v>8.5</v>
      </c>
      <c r="Z1569" s="18">
        <f>grand[[#This Row],[av. Transportation loss]]/grand[[#This Row],[av.total weight]]</f>
        <v>0</v>
      </c>
      <c r="AA1569" s="18">
        <f>AVERAGE((grand[[#This Row],[am]]/25),(grand[[#This Row],[pm]]/50))</f>
        <v>0.94000000000000006</v>
      </c>
      <c r="AB1569" s="3">
        <f>grand[[#This Row],[ carcass weight]]/grand[[#This Row],[total weight]]</f>
        <v>0.63200000000000001</v>
      </c>
      <c r="AC1569" s="18">
        <f>SUM(grand[[#This Row],[am]:[meat transportation]])/100</f>
        <v>0.92166666666666675</v>
      </c>
      <c r="AD1569" s="2" t="s">
        <v>917</v>
      </c>
      <c r="AE1569" s="2"/>
      <c r="AF1569" s="2"/>
      <c r="AG1569" s="2"/>
      <c r="AH1569" s="2"/>
      <c r="AI1569" s="2"/>
      <c r="AJ1569" s="2">
        <v>16</v>
      </c>
      <c r="AK1569" s="1"/>
      <c r="AL1569" s="1"/>
    </row>
    <row r="1570" spans="1:38" hidden="1" x14ac:dyDescent="0.2">
      <c r="A1570" s="11">
        <v>46032</v>
      </c>
      <c r="B1570" s="53" t="s">
        <v>2409</v>
      </c>
      <c r="C1570" s="52" t="str">
        <f>IF(MID(B1570,4,2)="09","Ramadan",IF(AND(MID(B1570,4,2)="12",VALUE(LEFT(B1570,2))&lt;=9),"Adha Season","Normal"))</f>
        <v>Normal</v>
      </c>
      <c r="D1570" s="2" t="s">
        <v>294</v>
      </c>
      <c r="F1570" s="4" t="s">
        <v>165</v>
      </c>
      <c r="G1570" s="1">
        <v>38</v>
      </c>
      <c r="H1570">
        <v>38</v>
      </c>
      <c r="I1570">
        <f>grand[[#This Row],[number]]-grand[[#This Row],[received]]</f>
        <v>0</v>
      </c>
      <c r="J1570" s="30"/>
      <c r="K1570" s="2">
        <v>2075</v>
      </c>
      <c r="L1570" s="2">
        <v>2075</v>
      </c>
      <c r="M1570" s="2">
        <f>K1570-L1570</f>
        <v>0</v>
      </c>
      <c r="N1570" s="2">
        <v>1193.5999999999999</v>
      </c>
      <c r="O1570" s="2">
        <v>0</v>
      </c>
      <c r="P1570" s="7">
        <f>grand[[#This Row],[total weight]]/grand[[#This Row],[received]]</f>
        <v>54.60526315789474</v>
      </c>
      <c r="Q1570" s="7">
        <f>grand[[#This Row],[receiving weight]]/grand[[#This Row],[received]]</f>
        <v>54.60526315789474</v>
      </c>
      <c r="R1570" s="7">
        <f>grand[[#This Row],[transportation loss ]]/grand[[#This Row],[received]]</f>
        <v>0</v>
      </c>
      <c r="S1570" s="7">
        <f>grand[[#This Row],[ carcass weight]]/grand[[#This Row],[received]]</f>
        <v>31.410526315789472</v>
      </c>
      <c r="T1570" s="7">
        <f>grand[[#This Row],[ kidneys fat quantity]]/grand[[#This Row],[received]]</f>
        <v>0</v>
      </c>
      <c r="U1570">
        <v>25</v>
      </c>
      <c r="V1570">
        <v>0</v>
      </c>
      <c r="W1570">
        <v>49.026315789473685</v>
      </c>
      <c r="X1570">
        <v>10</v>
      </c>
      <c r="Y1570">
        <v>8.5</v>
      </c>
      <c r="Z1570" s="18">
        <f>grand[[#This Row],[av. Transportation loss]]/grand[[#This Row],[av.total weight]]</f>
        <v>0</v>
      </c>
      <c r="AA1570" s="18">
        <f>AVERAGE((grand[[#This Row],[am]]/25),(grand[[#This Row],[pm]]/50))</f>
        <v>0.99026315789473685</v>
      </c>
      <c r="AB1570" s="3">
        <f>grand[[#This Row],[ carcass weight]]/grand[[#This Row],[total weight]]</f>
        <v>0.57522891566265055</v>
      </c>
      <c r="AC1570" s="18">
        <f>SUM(grand[[#This Row],[am]:[meat transportation]])/100</f>
        <v>0.9252631578947369</v>
      </c>
      <c r="AD1570" s="2" t="s">
        <v>81</v>
      </c>
      <c r="AE1570" s="2"/>
      <c r="AF1570" s="2"/>
      <c r="AG1570" s="2"/>
      <c r="AH1570" s="2"/>
      <c r="AI1570" s="2"/>
      <c r="AJ1570" s="2">
        <v>0</v>
      </c>
      <c r="AK1570" s="1"/>
      <c r="AL1570" s="1"/>
    </row>
    <row r="1571" spans="1:38" x14ac:dyDescent="0.2">
      <c r="A1571" s="11">
        <v>46032</v>
      </c>
      <c r="B1571" s="53" t="s">
        <v>2409</v>
      </c>
      <c r="C1571" s="52" t="str">
        <f>IF(MID(B1571,4,2)="09","Ramadan",IF(AND(MID(B1571,4,2)="12",VALUE(LEFT(B1571,2))&lt;=9),"Adha Season","Normal"))</f>
        <v>Normal</v>
      </c>
      <c r="D1571" s="1" t="s">
        <v>45</v>
      </c>
      <c r="F1571" s="4" t="s">
        <v>165</v>
      </c>
      <c r="G1571" s="1">
        <v>36</v>
      </c>
      <c r="H1571">
        <v>35</v>
      </c>
      <c r="I1571">
        <f>grand[[#This Row],[number]]-grand[[#This Row],[received]]</f>
        <v>1</v>
      </c>
      <c r="J1571" s="64" t="s">
        <v>928</v>
      </c>
      <c r="K1571" s="2">
        <v>17927</v>
      </c>
      <c r="L1571" s="2">
        <v>17927</v>
      </c>
      <c r="M1571" s="2">
        <f>K1571-L1571</f>
        <v>0</v>
      </c>
      <c r="N1571" s="2">
        <v>10756</v>
      </c>
      <c r="O1571" s="2">
        <v>341</v>
      </c>
      <c r="P1571" s="7">
        <f>grand[[#This Row],[total weight]]/grand[[#This Row],[received]]</f>
        <v>512.20000000000005</v>
      </c>
      <c r="Q1571" s="7">
        <f>grand[[#This Row],[receiving weight]]/grand[[#This Row],[received]]</f>
        <v>512.20000000000005</v>
      </c>
      <c r="R1571" s="7">
        <f>grand[[#This Row],[transportation loss ]]/grand[[#This Row],[received]]</f>
        <v>0</v>
      </c>
      <c r="S1571" s="7">
        <f>grand[[#This Row],[ carcass weight]]/grand[[#This Row],[received]]</f>
        <v>307.31428571428569</v>
      </c>
      <c r="T1571" s="7">
        <f>grand[[#This Row],[ kidneys fat quantity]]/grand[[#This Row],[received]]</f>
        <v>9.742857142857142</v>
      </c>
      <c r="U1571">
        <v>24.428571428571431</v>
      </c>
      <c r="V1571">
        <v>0</v>
      </c>
      <c r="W1571">
        <v>46.057142857142857</v>
      </c>
      <c r="X1571">
        <v>10</v>
      </c>
      <c r="Y1571">
        <v>8.5</v>
      </c>
      <c r="Z1571" s="18">
        <f>grand[[#This Row],[av. Transportation loss]]/grand[[#This Row],[av.total weight]]</f>
        <v>0</v>
      </c>
      <c r="AA1571" s="18">
        <f>AVERAGE((grand[[#This Row],[am]]/25),(grand[[#This Row],[pm]]/50))</f>
        <v>0.94914285714285718</v>
      </c>
      <c r="AB1571" s="3">
        <f>grand[[#This Row],[ carcass weight]]/grand[[#This Row],[total weight]]</f>
        <v>0.599988843643666</v>
      </c>
      <c r="AC1571" s="18">
        <f>SUM(grand[[#This Row],[am]:[meat transportation]])/100</f>
        <v>0.8898571428571429</v>
      </c>
      <c r="AD1571" s="2" t="s">
        <v>886</v>
      </c>
      <c r="AE1571" s="2"/>
      <c r="AF1571" s="2"/>
      <c r="AG1571" s="2"/>
      <c r="AH1571" s="2"/>
      <c r="AI1571" s="2"/>
      <c r="AJ1571" s="2">
        <v>17</v>
      </c>
      <c r="AK1571" s="1"/>
      <c r="AL1571" s="1"/>
    </row>
    <row r="1572" spans="1:38" x14ac:dyDescent="0.2">
      <c r="A1572" s="11">
        <v>46033</v>
      </c>
      <c r="B1572" s="53" t="s">
        <v>2410</v>
      </c>
      <c r="C1572" s="52" t="str">
        <f>IF(MID(B1572,4,2)="09","Ramadan",IF(AND(MID(B1572,4,2)="12",VALUE(LEFT(B1572,2))&lt;=9),"Adha Season","Normal"))</f>
        <v>Normal</v>
      </c>
      <c r="D1572" s="1" t="s">
        <v>45</v>
      </c>
      <c r="F1572" s="4" t="s">
        <v>954</v>
      </c>
      <c r="G1572" s="1">
        <v>56</v>
      </c>
      <c r="H1572">
        <v>55</v>
      </c>
      <c r="I1572">
        <f>grand[[#This Row],[number]]-grand[[#This Row],[received]]</f>
        <v>1</v>
      </c>
      <c r="J1572" s="64" t="s">
        <v>924</v>
      </c>
      <c r="K1572" s="2">
        <v>23743</v>
      </c>
      <c r="L1572" s="2">
        <v>23743</v>
      </c>
      <c r="M1572" s="2">
        <f>K1572-L1572</f>
        <v>0</v>
      </c>
      <c r="N1572" s="2">
        <v>14603.9</v>
      </c>
      <c r="O1572" s="2">
        <v>406</v>
      </c>
      <c r="P1572" s="7">
        <f>grand[[#This Row],[total weight]]/grand[[#This Row],[received]]</f>
        <v>431.69090909090909</v>
      </c>
      <c r="Q1572" s="7">
        <f>grand[[#This Row],[receiving weight]]/grand[[#This Row],[received]]</f>
        <v>431.69090909090909</v>
      </c>
      <c r="R1572" s="7">
        <f>grand[[#This Row],[transportation loss ]]/grand[[#This Row],[received]]</f>
        <v>0</v>
      </c>
      <c r="S1572" s="7">
        <f>grand[[#This Row],[ carcass weight]]/grand[[#This Row],[received]]</f>
        <v>265.52545454545452</v>
      </c>
      <c r="T1572" s="7">
        <f>grand[[#This Row],[ kidneys fat quantity]]/grand[[#This Row],[received]]</f>
        <v>7.3818181818181818</v>
      </c>
      <c r="U1572">
        <v>25</v>
      </c>
      <c r="V1572">
        <v>0</v>
      </c>
      <c r="W1572">
        <v>48.63636363636364</v>
      </c>
      <c r="X1572">
        <v>10</v>
      </c>
      <c r="Y1572">
        <v>8.5</v>
      </c>
      <c r="Z1572" s="18">
        <f>grand[[#This Row],[av. Transportation loss]]/grand[[#This Row],[av.total weight]]</f>
        <v>0</v>
      </c>
      <c r="AA1572" s="18">
        <f>AVERAGE((grand[[#This Row],[am]]/25),(grand[[#This Row],[pm]]/50))</f>
        <v>0.98636363636363633</v>
      </c>
      <c r="AB1572" s="3">
        <f>grand[[#This Row],[ carcass weight]]/grand[[#This Row],[total weight]]</f>
        <v>0.61508234005812235</v>
      </c>
      <c r="AC1572" s="18">
        <f>SUM(grand[[#This Row],[am]:[meat transportation]])/100</f>
        <v>0.92136363636363638</v>
      </c>
      <c r="AD1572" s="2" t="s">
        <v>887</v>
      </c>
      <c r="AE1572" s="2"/>
      <c r="AF1572" s="2"/>
      <c r="AG1572" s="2"/>
      <c r="AH1572" s="2"/>
      <c r="AI1572" s="2"/>
      <c r="AJ1572" s="2">
        <v>0</v>
      </c>
      <c r="AK1572" s="1"/>
      <c r="AL1572" s="1"/>
    </row>
    <row r="1573" spans="1:38" hidden="1" x14ac:dyDescent="0.2">
      <c r="A1573" s="11">
        <v>46034</v>
      </c>
      <c r="B1573" s="53" t="s">
        <v>2411</v>
      </c>
      <c r="C1573" s="52" t="str">
        <f>IF(MID(B1573,4,2)="09","Ramadan",IF(AND(MID(B1573,4,2)="12",VALUE(LEFT(B1573,2))&lt;=9),"Adha Season","Normal"))</f>
        <v>Normal</v>
      </c>
      <c r="D1573" s="1" t="s">
        <v>45</v>
      </c>
      <c r="F1573" s="4" t="s">
        <v>165</v>
      </c>
      <c r="G1573" s="1">
        <v>56</v>
      </c>
      <c r="H1573">
        <v>56</v>
      </c>
      <c r="I1573">
        <f>grand[[#This Row],[number]]-grand[[#This Row],[received]]</f>
        <v>0</v>
      </c>
      <c r="J1573" s="30"/>
      <c r="K1573" s="2">
        <v>27900</v>
      </c>
      <c r="L1573" s="2">
        <v>27900</v>
      </c>
      <c r="M1573" s="2">
        <f>K1573-L1573</f>
        <v>0</v>
      </c>
      <c r="N1573" s="2">
        <v>16740.099999999999</v>
      </c>
      <c r="O1573" s="2">
        <v>493</v>
      </c>
      <c r="P1573" s="7">
        <f>grand[[#This Row],[total weight]]/grand[[#This Row],[received]]</f>
        <v>498.21428571428572</v>
      </c>
      <c r="Q1573" s="7">
        <f>grand[[#This Row],[receiving weight]]/grand[[#This Row],[received]]</f>
        <v>498.21428571428572</v>
      </c>
      <c r="R1573" s="7">
        <f>grand[[#This Row],[transportation loss ]]/grand[[#This Row],[received]]</f>
        <v>0</v>
      </c>
      <c r="S1573" s="7">
        <f>grand[[#This Row],[ carcass weight]]/grand[[#This Row],[received]]</f>
        <v>298.93035714285713</v>
      </c>
      <c r="T1573" s="7">
        <f>grand[[#This Row],[ kidneys fat quantity]]/grand[[#This Row],[received]]</f>
        <v>8.8035714285714288</v>
      </c>
      <c r="U1573">
        <v>24.267857142857142</v>
      </c>
      <c r="V1573">
        <v>0</v>
      </c>
      <c r="W1573">
        <v>48.553571428571431</v>
      </c>
      <c r="X1573">
        <v>10</v>
      </c>
      <c r="Y1573">
        <v>8.5</v>
      </c>
      <c r="Z1573" s="18">
        <f>grand[[#This Row],[av. Transportation loss]]/grand[[#This Row],[av.total weight]]</f>
        <v>0</v>
      </c>
      <c r="AA1573" s="18">
        <f>AVERAGE((grand[[#This Row],[am]]/25),(grand[[#This Row],[pm]]/50))</f>
        <v>0.97089285714285711</v>
      </c>
      <c r="AB1573" s="3">
        <f>grand[[#This Row],[ carcass weight]]/grand[[#This Row],[total weight]]</f>
        <v>0.6000035842293906</v>
      </c>
      <c r="AC1573" s="18">
        <f>SUM(grand[[#This Row],[am]:[meat transportation]])/100</f>
        <v>0.91321428571428565</v>
      </c>
      <c r="AD1573" s="2" t="s">
        <v>888</v>
      </c>
      <c r="AE1573" s="2"/>
      <c r="AF1573" s="2"/>
      <c r="AG1573" s="2"/>
      <c r="AH1573" s="2"/>
      <c r="AI1573" s="2"/>
      <c r="AJ1573" s="2">
        <v>33</v>
      </c>
      <c r="AK1573" s="1"/>
      <c r="AL1573" s="1"/>
    </row>
    <row r="1574" spans="1:38" hidden="1" x14ac:dyDescent="0.2">
      <c r="A1574" s="11">
        <v>46034</v>
      </c>
      <c r="B1574" s="53" t="s">
        <v>2411</v>
      </c>
      <c r="C1574" s="52" t="str">
        <f>IF(MID(B1574,4,2)="09","Ramadan",IF(AND(MID(B1574,4,2)="12",VALUE(LEFT(B1574,2))&lt;=9),"Adha Season","Normal"))</f>
        <v>Normal</v>
      </c>
      <c r="D1574" s="2" t="s">
        <v>294</v>
      </c>
      <c r="F1574" s="4" t="s">
        <v>165</v>
      </c>
      <c r="G1574" s="1">
        <v>36</v>
      </c>
      <c r="H1574">
        <v>36</v>
      </c>
      <c r="I1574">
        <f>grand[[#This Row],[number]]-grand[[#This Row],[received]]</f>
        <v>0</v>
      </c>
      <c r="J1574" s="30"/>
      <c r="K1574" s="2">
        <v>1920</v>
      </c>
      <c r="L1574" s="2">
        <v>1920</v>
      </c>
      <c r="M1574" s="2">
        <f>K1574-L1574</f>
        <v>0</v>
      </c>
      <c r="N1574" s="2">
        <v>1075.8</v>
      </c>
      <c r="O1574" s="2">
        <v>0</v>
      </c>
      <c r="P1574" s="7">
        <f>grand[[#This Row],[total weight]]/grand[[#This Row],[received]]</f>
        <v>53.333333333333336</v>
      </c>
      <c r="Q1574" s="7">
        <f>grand[[#This Row],[receiving weight]]/grand[[#This Row],[received]]</f>
        <v>53.333333333333336</v>
      </c>
      <c r="R1574" s="7">
        <f>grand[[#This Row],[transportation loss ]]/grand[[#This Row],[received]]</f>
        <v>0</v>
      </c>
      <c r="S1574" s="7">
        <f>grand[[#This Row],[ carcass weight]]/grand[[#This Row],[received]]</f>
        <v>29.883333333333333</v>
      </c>
      <c r="T1574" s="7">
        <f>grand[[#This Row],[ kidneys fat quantity]]/grand[[#This Row],[received]]</f>
        <v>0</v>
      </c>
      <c r="U1574">
        <v>25</v>
      </c>
      <c r="V1574">
        <v>0</v>
      </c>
      <c r="W1574">
        <v>47.944444444444443</v>
      </c>
      <c r="X1574">
        <v>10</v>
      </c>
      <c r="Y1574">
        <v>8.5</v>
      </c>
      <c r="Z1574" s="18">
        <f>grand[[#This Row],[av. Transportation loss]]/grand[[#This Row],[av.total weight]]</f>
        <v>0</v>
      </c>
      <c r="AA1574" s="18">
        <f>AVERAGE((grand[[#This Row],[am]]/25),(grand[[#This Row],[pm]]/50))</f>
        <v>0.97944444444444445</v>
      </c>
      <c r="AB1574" s="3">
        <f>grand[[#This Row],[ carcass weight]]/grand[[#This Row],[total weight]]</f>
        <v>0.56031249999999999</v>
      </c>
      <c r="AC1574" s="18">
        <f>SUM(grand[[#This Row],[am]:[meat transportation]])/100</f>
        <v>0.91444444444444439</v>
      </c>
      <c r="AD1574" s="2" t="s">
        <v>457</v>
      </c>
      <c r="AE1574" s="2"/>
      <c r="AF1574" s="2"/>
      <c r="AG1574" s="2"/>
      <c r="AH1574" s="2"/>
      <c r="AI1574" s="2"/>
      <c r="AJ1574" s="2">
        <v>0</v>
      </c>
      <c r="AK1574" s="1"/>
      <c r="AL1574" s="1"/>
    </row>
    <row r="1575" spans="1:38" hidden="1" x14ac:dyDescent="0.2">
      <c r="A1575" s="11">
        <v>46035</v>
      </c>
      <c r="B1575" s="53" t="s">
        <v>2412</v>
      </c>
      <c r="C1575" s="52" t="str">
        <f>IF(MID(B1575,4,2)="09","Ramadan",IF(AND(MID(B1575,4,2)="12",VALUE(LEFT(B1575,2))&lt;=9),"Adha Season","Normal"))</f>
        <v>Normal</v>
      </c>
      <c r="D1575" s="1" t="s">
        <v>45</v>
      </c>
      <c r="F1575" s="4" t="s">
        <v>770</v>
      </c>
      <c r="G1575" s="1">
        <v>23</v>
      </c>
      <c r="H1575">
        <v>23</v>
      </c>
      <c r="I1575">
        <f>grand[[#This Row],[number]]-grand[[#This Row],[received]]</f>
        <v>0</v>
      </c>
      <c r="J1575" s="30"/>
      <c r="K1575" s="2">
        <v>12401.26582278481</v>
      </c>
      <c r="L1575" s="2">
        <v>12401.26582278481</v>
      </c>
      <c r="M1575" s="2">
        <f>K1575-L1575</f>
        <v>0</v>
      </c>
      <c r="N1575" s="2">
        <v>7837.6</v>
      </c>
      <c r="O1575" s="2">
        <v>0</v>
      </c>
      <c r="P1575" s="7">
        <f>grand[[#This Row],[total weight]]/grand[[#This Row],[received]]</f>
        <v>539.18547055586134</v>
      </c>
      <c r="Q1575" s="7">
        <f>grand[[#This Row],[receiving weight]]/grand[[#This Row],[received]]</f>
        <v>539.18547055586134</v>
      </c>
      <c r="R1575" s="7">
        <f>grand[[#This Row],[transportation loss ]]/grand[[#This Row],[received]]</f>
        <v>0</v>
      </c>
      <c r="S1575" s="7">
        <f>grand[[#This Row],[ carcass weight]]/grand[[#This Row],[received]]</f>
        <v>340.76521739130436</v>
      </c>
      <c r="T1575" s="7">
        <f>grand[[#This Row],[ kidneys fat quantity]]/grand[[#This Row],[received]]</f>
        <v>0</v>
      </c>
      <c r="U1575">
        <v>25</v>
      </c>
      <c r="V1575">
        <v>4</v>
      </c>
      <c r="W1575">
        <v>45.652173913043477</v>
      </c>
      <c r="X1575">
        <v>10</v>
      </c>
      <c r="Y1575">
        <v>8.5</v>
      </c>
      <c r="Z1575" s="18">
        <f>grand[[#This Row],[av. Transportation loss]]/grand[[#This Row],[av.total weight]]</f>
        <v>0</v>
      </c>
      <c r="AA1575" s="18">
        <f>AVERAGE((grand[[#This Row],[am]]/25),(grand[[#This Row],[pm]]/50))</f>
        <v>0.95652173913043481</v>
      </c>
      <c r="AB1575" s="3">
        <f>grand[[#This Row],[ carcass weight]]/grand[[#This Row],[total weight]]</f>
        <v>0.63200000000000001</v>
      </c>
      <c r="AC1575" s="18">
        <f>SUM(grand[[#This Row],[am]:[meat transportation]])/100</f>
        <v>0.93152173913043468</v>
      </c>
      <c r="AD1575" s="2" t="s">
        <v>890</v>
      </c>
      <c r="AE1575" s="2"/>
      <c r="AF1575" s="2"/>
      <c r="AG1575" s="2"/>
      <c r="AH1575" s="2"/>
      <c r="AI1575" s="2"/>
      <c r="AJ1575" s="2">
        <v>13</v>
      </c>
      <c r="AK1575" s="1"/>
      <c r="AL1575" s="1"/>
    </row>
    <row r="1576" spans="1:38" x14ac:dyDescent="0.2">
      <c r="A1576" s="11">
        <v>46035</v>
      </c>
      <c r="B1576" s="53" t="s">
        <v>2412</v>
      </c>
      <c r="C1576" s="52" t="str">
        <f>IF(MID(B1576,4,2)="09","Ramadan",IF(AND(MID(B1576,4,2)="12",VALUE(LEFT(B1576,2))&lt;=9),"Adha Season","Normal"))</f>
        <v>Normal</v>
      </c>
      <c r="D1576" s="1" t="s">
        <v>45</v>
      </c>
      <c r="F1576" s="4" t="s">
        <v>46</v>
      </c>
      <c r="G1576" s="1">
        <v>30</v>
      </c>
      <c r="H1576">
        <v>29</v>
      </c>
      <c r="I1576">
        <f>grand[[#This Row],[number]]-grand[[#This Row],[received]]</f>
        <v>1</v>
      </c>
      <c r="J1576" s="64" t="s">
        <v>924</v>
      </c>
      <c r="K1576" s="2">
        <v>14312</v>
      </c>
      <c r="L1576" s="2">
        <v>14312</v>
      </c>
      <c r="M1576" s="2">
        <f>K1576-L1576</f>
        <v>0</v>
      </c>
      <c r="N1576" s="2">
        <v>8587.4</v>
      </c>
      <c r="O1576" s="2">
        <v>298</v>
      </c>
      <c r="P1576" s="7">
        <f>grand[[#This Row],[total weight]]/grand[[#This Row],[received]]</f>
        <v>493.51724137931035</v>
      </c>
      <c r="Q1576" s="7">
        <f>grand[[#This Row],[receiving weight]]/grand[[#This Row],[received]]</f>
        <v>493.51724137931035</v>
      </c>
      <c r="R1576" s="7">
        <f>grand[[#This Row],[transportation loss ]]/grand[[#This Row],[received]]</f>
        <v>0</v>
      </c>
      <c r="S1576" s="7">
        <f>grand[[#This Row],[ carcass weight]]/grand[[#This Row],[received]]</f>
        <v>296.11724137931031</v>
      </c>
      <c r="T1576" s="7">
        <f>grand[[#This Row],[ kidneys fat quantity]]/grand[[#This Row],[received]]</f>
        <v>10.275862068965518</v>
      </c>
      <c r="U1576">
        <v>24.827586206896552</v>
      </c>
      <c r="V1576">
        <v>0</v>
      </c>
      <c r="W1576">
        <v>46.827586206896555</v>
      </c>
      <c r="X1576">
        <v>10</v>
      </c>
      <c r="Y1576">
        <v>8.5</v>
      </c>
      <c r="Z1576" s="18">
        <f>grand[[#This Row],[av. Transportation loss]]/grand[[#This Row],[av.total weight]]</f>
        <v>0</v>
      </c>
      <c r="AA1576" s="18">
        <f>AVERAGE((grand[[#This Row],[am]]/25),(grand[[#This Row],[pm]]/50))</f>
        <v>0.96482758620689657</v>
      </c>
      <c r="AB1576" s="3">
        <f>grand[[#This Row],[ carcass weight]]/grand[[#This Row],[total weight]]</f>
        <v>0.60001397428731129</v>
      </c>
      <c r="AC1576" s="18">
        <f>SUM(grand[[#This Row],[am]:[meat transportation]])/100</f>
        <v>0.90155172413793105</v>
      </c>
      <c r="AD1576" s="2" t="s">
        <v>889</v>
      </c>
      <c r="AE1576" s="2"/>
      <c r="AF1576" s="2"/>
      <c r="AG1576" s="2"/>
      <c r="AH1576" s="2"/>
      <c r="AI1576" s="2"/>
      <c r="AJ1576" s="2">
        <v>4</v>
      </c>
      <c r="AK1576" s="1"/>
      <c r="AL1576" s="1"/>
    </row>
    <row r="1577" spans="1:38" hidden="1" x14ac:dyDescent="0.2">
      <c r="A1577" s="11">
        <v>46036</v>
      </c>
      <c r="B1577" s="53" t="s">
        <v>2413</v>
      </c>
      <c r="C1577" s="52" t="str">
        <f>IF(MID(B1577,4,2)="09","Ramadan",IF(AND(MID(B1577,4,2)="12",VALUE(LEFT(B1577,2))&lt;=9),"Adha Season","Normal"))</f>
        <v>Normal</v>
      </c>
      <c r="D1577" s="2" t="s">
        <v>294</v>
      </c>
      <c r="F1577" s="4" t="s">
        <v>954</v>
      </c>
      <c r="G1577" s="1">
        <v>28</v>
      </c>
      <c r="H1577">
        <v>28</v>
      </c>
      <c r="I1577">
        <f>grand[[#This Row],[number]]-grand[[#This Row],[received]]</f>
        <v>0</v>
      </c>
      <c r="J1577" s="30"/>
      <c r="K1577" s="2">
        <v>1378</v>
      </c>
      <c r="L1577" s="2">
        <v>1378</v>
      </c>
      <c r="M1577" s="2">
        <f>K1577-L1577</f>
        <v>0</v>
      </c>
      <c r="N1577" s="2">
        <v>796.1</v>
      </c>
      <c r="O1577" s="2">
        <v>0</v>
      </c>
      <c r="P1577" s="7">
        <f>grand[[#This Row],[total weight]]/grand[[#This Row],[received]]</f>
        <v>49.214285714285715</v>
      </c>
      <c r="Q1577" s="7">
        <f>grand[[#This Row],[receiving weight]]/grand[[#This Row],[received]]</f>
        <v>49.214285714285715</v>
      </c>
      <c r="R1577" s="7">
        <f>grand[[#This Row],[transportation loss ]]/grand[[#This Row],[received]]</f>
        <v>0</v>
      </c>
      <c r="S1577" s="7">
        <f>grand[[#This Row],[ carcass weight]]/grand[[#This Row],[received]]</f>
        <v>28.432142857142857</v>
      </c>
      <c r="T1577" s="7">
        <f>grand[[#This Row],[ kidneys fat quantity]]/grand[[#This Row],[received]]</f>
        <v>0</v>
      </c>
      <c r="U1577">
        <v>25</v>
      </c>
      <c r="V1577">
        <v>0</v>
      </c>
      <c r="W1577">
        <v>42.75</v>
      </c>
      <c r="X1577">
        <v>10</v>
      </c>
      <c r="Y1577">
        <v>8.5</v>
      </c>
      <c r="Z1577" s="18">
        <f>grand[[#This Row],[av. Transportation loss]]/grand[[#This Row],[av.total weight]]</f>
        <v>0</v>
      </c>
      <c r="AA1577" s="18">
        <f>AVERAGE((grand[[#This Row],[am]]/25),(grand[[#This Row],[pm]]/50))</f>
        <v>0.92749999999999999</v>
      </c>
      <c r="AB1577" s="3">
        <f>grand[[#This Row],[ carcass weight]]/grand[[#This Row],[total weight]]</f>
        <v>0.57772133526850511</v>
      </c>
      <c r="AC1577" s="18">
        <f>SUM(grand[[#This Row],[am]:[meat transportation]])/100</f>
        <v>0.86250000000000004</v>
      </c>
      <c r="AD1577" s="2" t="s">
        <v>891</v>
      </c>
      <c r="AE1577" s="2"/>
      <c r="AF1577" s="2"/>
      <c r="AG1577" s="2"/>
      <c r="AH1577" s="2"/>
      <c r="AI1577" s="2"/>
      <c r="AJ1577" s="2">
        <v>0</v>
      </c>
      <c r="AK1577" s="1"/>
      <c r="AL1577" s="1"/>
    </row>
    <row r="1578" spans="1:38" hidden="1" x14ac:dyDescent="0.2">
      <c r="A1578" s="11">
        <v>46036</v>
      </c>
      <c r="B1578" s="53" t="s">
        <v>2413</v>
      </c>
      <c r="C1578" s="52" t="str">
        <f>IF(MID(B1578,4,2)="09","Ramadan",IF(AND(MID(B1578,4,2)="12",VALUE(LEFT(B1578,2))&lt;=9),"Adha Season","Normal"))</f>
        <v>Normal</v>
      </c>
      <c r="D1578" s="1" t="s">
        <v>45</v>
      </c>
      <c r="F1578" s="4" t="s">
        <v>954</v>
      </c>
      <c r="G1578" s="1">
        <v>52</v>
      </c>
      <c r="H1578">
        <v>52</v>
      </c>
      <c r="I1578">
        <f>grand[[#This Row],[number]]-grand[[#This Row],[received]]</f>
        <v>0</v>
      </c>
      <c r="J1578" s="30"/>
      <c r="K1578" s="2">
        <v>22566</v>
      </c>
      <c r="L1578" s="2">
        <v>22566</v>
      </c>
      <c r="M1578" s="2">
        <f>K1578-L1578</f>
        <v>0</v>
      </c>
      <c r="N1578" s="2">
        <v>13697.1</v>
      </c>
      <c r="O1578" s="2">
        <v>398</v>
      </c>
      <c r="P1578" s="7">
        <f>grand[[#This Row],[total weight]]/grand[[#This Row],[received]]</f>
        <v>433.96153846153845</v>
      </c>
      <c r="Q1578" s="7">
        <f>grand[[#This Row],[receiving weight]]/grand[[#This Row],[received]]</f>
        <v>433.96153846153845</v>
      </c>
      <c r="R1578" s="7">
        <f>grand[[#This Row],[transportation loss ]]/grand[[#This Row],[received]]</f>
        <v>0</v>
      </c>
      <c r="S1578" s="7">
        <f>grand[[#This Row],[ carcass weight]]/grand[[#This Row],[received]]</f>
        <v>263.40576923076924</v>
      </c>
      <c r="T1578" s="7">
        <f>grand[[#This Row],[ kidneys fat quantity]]/grand[[#This Row],[received]]</f>
        <v>7.6538461538461542</v>
      </c>
      <c r="U1578">
        <v>25</v>
      </c>
      <c r="V1578">
        <v>0</v>
      </c>
      <c r="W1578">
        <v>48.653846153846146</v>
      </c>
      <c r="X1578">
        <v>10</v>
      </c>
      <c r="Y1578">
        <v>8.5</v>
      </c>
      <c r="Z1578" s="18">
        <f>grand[[#This Row],[av. Transportation loss]]/grand[[#This Row],[av.total weight]]</f>
        <v>0</v>
      </c>
      <c r="AA1578" s="18">
        <f>AVERAGE((grand[[#This Row],[am]]/25),(grand[[#This Row],[pm]]/50))</f>
        <v>0.98653846153846148</v>
      </c>
      <c r="AB1578" s="3">
        <f>grand[[#This Row],[ carcass weight]]/grand[[#This Row],[total weight]]</f>
        <v>0.60697952672161659</v>
      </c>
      <c r="AC1578" s="18">
        <f>SUM(grand[[#This Row],[am]:[meat transportation]])/100</f>
        <v>0.92153846153846142</v>
      </c>
      <c r="AD1578" s="2" t="s">
        <v>822</v>
      </c>
      <c r="AE1578" s="2"/>
      <c r="AF1578" s="2"/>
      <c r="AG1578" s="2"/>
      <c r="AH1578" s="2"/>
      <c r="AI1578" s="2"/>
      <c r="AJ1578" s="2">
        <v>0</v>
      </c>
      <c r="AK1578" s="1"/>
      <c r="AL1578" s="1"/>
    </row>
    <row r="1579" spans="1:38" hidden="1" x14ac:dyDescent="0.2">
      <c r="A1579" s="11">
        <v>46037</v>
      </c>
      <c r="B1579" s="53" t="s">
        <v>2414</v>
      </c>
      <c r="C1579" s="52" t="str">
        <f>IF(MID(B1579,4,2)="09","Ramadan",IF(AND(MID(B1579,4,2)="12",VALUE(LEFT(B1579,2))&lt;=9),"Adha Season","Normal"))</f>
        <v>Normal</v>
      </c>
      <c r="D1579" s="2" t="s">
        <v>294</v>
      </c>
      <c r="F1579" s="4" t="s">
        <v>954</v>
      </c>
      <c r="G1579" s="1">
        <v>40</v>
      </c>
      <c r="H1579">
        <v>39</v>
      </c>
      <c r="I1579">
        <f>grand[[#This Row],[number]]-grand[[#This Row],[received]]</f>
        <v>1</v>
      </c>
      <c r="J1579" s="64" t="s">
        <v>929</v>
      </c>
      <c r="K1579" s="2">
        <v>1855</v>
      </c>
      <c r="L1579" s="2">
        <v>1855</v>
      </c>
      <c r="M1579" s="2">
        <f>K1579-L1579</f>
        <v>0</v>
      </c>
      <c r="N1579" s="2">
        <v>1057.4000000000001</v>
      </c>
      <c r="O1579" s="2">
        <v>0</v>
      </c>
      <c r="P1579" s="7">
        <f>grand[[#This Row],[total weight]]/grand[[#This Row],[received]]</f>
        <v>47.564102564102562</v>
      </c>
      <c r="Q1579" s="7">
        <f>grand[[#This Row],[receiving weight]]/grand[[#This Row],[received]]</f>
        <v>47.564102564102562</v>
      </c>
      <c r="R1579" s="7">
        <f>grand[[#This Row],[transportation loss ]]/grand[[#This Row],[received]]</f>
        <v>0</v>
      </c>
      <c r="S1579" s="7">
        <f>grand[[#This Row],[ carcass weight]]/grand[[#This Row],[received]]</f>
        <v>27.112820512820516</v>
      </c>
      <c r="T1579" s="7">
        <f>grand[[#This Row],[ kidneys fat quantity]]/grand[[#This Row],[received]]</f>
        <v>0</v>
      </c>
      <c r="U1579">
        <v>25</v>
      </c>
      <c r="V1579">
        <v>0</v>
      </c>
      <c r="W1579">
        <v>43.243589743589745</v>
      </c>
      <c r="X1579">
        <v>10</v>
      </c>
      <c r="Y1579">
        <v>8.5</v>
      </c>
      <c r="Z1579" s="18">
        <f>grand[[#This Row],[av. Transportation loss]]/grand[[#This Row],[av.total weight]]</f>
        <v>0</v>
      </c>
      <c r="AA1579" s="18">
        <f>AVERAGE((grand[[#This Row],[am]]/25),(grand[[#This Row],[pm]]/50))</f>
        <v>0.9324358974358975</v>
      </c>
      <c r="AB1579" s="3">
        <f>grand[[#This Row],[ carcass weight]]/grand[[#This Row],[total weight]]</f>
        <v>0.57002695417789762</v>
      </c>
      <c r="AC1579" s="18">
        <f>SUM(grand[[#This Row],[am]:[meat transportation]])/100</f>
        <v>0.86743589743589755</v>
      </c>
      <c r="AD1579" s="2" t="s">
        <v>892</v>
      </c>
      <c r="AE1579" s="2"/>
      <c r="AF1579" s="2"/>
      <c r="AG1579" s="2"/>
      <c r="AH1579" s="2"/>
      <c r="AI1579" s="2"/>
      <c r="AJ1579" s="2">
        <v>0</v>
      </c>
      <c r="AK1579" s="1"/>
      <c r="AL1579" s="1"/>
    </row>
    <row r="1580" spans="1:38" x14ac:dyDescent="0.2">
      <c r="A1580" s="11">
        <v>46037</v>
      </c>
      <c r="B1580" s="53" t="s">
        <v>2414</v>
      </c>
      <c r="C1580" s="52" t="str">
        <f>IF(MID(B1580,4,2)="09","Ramadan",IF(AND(MID(B1580,4,2)="12",VALUE(LEFT(B1580,2))&lt;=9),"Adha Season","Normal"))</f>
        <v>Normal</v>
      </c>
      <c r="D1580" s="1" t="s">
        <v>45</v>
      </c>
      <c r="F1580" s="4" t="s">
        <v>757</v>
      </c>
      <c r="G1580" s="1">
        <v>77</v>
      </c>
      <c r="H1580">
        <v>74</v>
      </c>
      <c r="I1580">
        <f>grand[[#This Row],[number]]-grand[[#This Row],[received]]</f>
        <v>3</v>
      </c>
      <c r="J1580" s="64" t="s">
        <v>942</v>
      </c>
      <c r="K1580" s="2">
        <v>44000</v>
      </c>
      <c r="L1580" s="2">
        <v>44000</v>
      </c>
      <c r="M1580" s="2">
        <f>K1580-L1580</f>
        <v>0</v>
      </c>
      <c r="N1580" s="2">
        <v>26462.7</v>
      </c>
      <c r="O1580" s="2">
        <v>729</v>
      </c>
      <c r="P1580" s="7">
        <f>grand[[#This Row],[total weight]]/grand[[#This Row],[received]]</f>
        <v>594.59459459459458</v>
      </c>
      <c r="Q1580" s="7">
        <f>grand[[#This Row],[receiving weight]]/grand[[#This Row],[received]]</f>
        <v>594.59459459459458</v>
      </c>
      <c r="R1580" s="7">
        <f>grand[[#This Row],[transportation loss ]]/grand[[#This Row],[received]]</f>
        <v>0</v>
      </c>
      <c r="S1580" s="7">
        <f>grand[[#This Row],[ carcass weight]]/grand[[#This Row],[received]]</f>
        <v>357.60405405405407</v>
      </c>
      <c r="T1580" s="7">
        <f>grand[[#This Row],[ kidneys fat quantity]]/grand[[#This Row],[received]]</f>
        <v>9.8513513513513509</v>
      </c>
      <c r="U1580">
        <v>24.932432432432432</v>
      </c>
      <c r="V1580">
        <v>0</v>
      </c>
      <c r="W1580">
        <v>46.756756756756751</v>
      </c>
      <c r="X1580">
        <v>10</v>
      </c>
      <c r="Y1580">
        <v>8.5</v>
      </c>
      <c r="Z1580" s="18">
        <f>grand[[#This Row],[av. Transportation loss]]/grand[[#This Row],[av.total weight]]</f>
        <v>0</v>
      </c>
      <c r="AA1580" s="18">
        <f>AVERAGE((grand[[#This Row],[am]]/25),(grand[[#This Row],[pm]]/50))</f>
        <v>0.96621621621621612</v>
      </c>
      <c r="AB1580" s="3">
        <f>grand[[#This Row],[ carcass weight]]/grand[[#This Row],[total weight]]</f>
        <v>0.60142499999999999</v>
      </c>
      <c r="AC1580" s="18">
        <f>SUM(grand[[#This Row],[am]:[meat transportation]])/100</f>
        <v>0.90189189189189178</v>
      </c>
      <c r="AD1580" s="2" t="s">
        <v>893</v>
      </c>
      <c r="AE1580" s="2"/>
      <c r="AF1580" s="2"/>
      <c r="AG1580" s="2"/>
      <c r="AH1580" s="2"/>
      <c r="AI1580" s="2"/>
      <c r="AJ1580" s="2">
        <v>31</v>
      </c>
      <c r="AK1580" s="1"/>
      <c r="AL1580" s="1"/>
    </row>
    <row r="1581" spans="1:38" x14ac:dyDescent="0.2">
      <c r="A1581" s="11">
        <v>46039</v>
      </c>
      <c r="B1581" s="53" t="s">
        <v>2415</v>
      </c>
      <c r="C1581" s="52" t="str">
        <f>IF(MID(B1581,4,2)="09","Ramadan",IF(AND(MID(B1581,4,2)="12",VALUE(LEFT(B1581,2))&lt;=9),"Adha Season","Normal"))</f>
        <v>Normal</v>
      </c>
      <c r="D1581" s="1" t="s">
        <v>45</v>
      </c>
      <c r="F1581" s="4" t="s">
        <v>954</v>
      </c>
      <c r="G1581" s="1">
        <v>30</v>
      </c>
      <c r="H1581">
        <v>29</v>
      </c>
      <c r="I1581">
        <f>grand[[#This Row],[number]]-grand[[#This Row],[received]]</f>
        <v>1</v>
      </c>
      <c r="J1581" s="64" t="s">
        <v>930</v>
      </c>
      <c r="K1581" s="2">
        <v>12474</v>
      </c>
      <c r="L1581" s="2">
        <v>12474</v>
      </c>
      <c r="M1581" s="2">
        <f>K1581-L1581</f>
        <v>0</v>
      </c>
      <c r="N1581" s="2">
        <v>7639</v>
      </c>
      <c r="O1581" s="2">
        <v>235</v>
      </c>
      <c r="P1581" s="7">
        <f>grand[[#This Row],[total weight]]/grand[[#This Row],[received]]</f>
        <v>430.13793103448273</v>
      </c>
      <c r="Q1581" s="7">
        <f>grand[[#This Row],[receiving weight]]/grand[[#This Row],[received]]</f>
        <v>430.13793103448273</v>
      </c>
      <c r="R1581" s="7">
        <f>grand[[#This Row],[transportation loss ]]/grand[[#This Row],[received]]</f>
        <v>0</v>
      </c>
      <c r="S1581" s="7">
        <f>grand[[#This Row],[ carcass weight]]/grand[[#This Row],[received]]</f>
        <v>263.41379310344826</v>
      </c>
      <c r="T1581" s="7">
        <f>grand[[#This Row],[ kidneys fat quantity]]/grand[[#This Row],[received]]</f>
        <v>8.1034482758620694</v>
      </c>
      <c r="U1581">
        <v>24.96551724137931</v>
      </c>
      <c r="V1581">
        <v>0</v>
      </c>
      <c r="W1581">
        <v>47.96551724137931</v>
      </c>
      <c r="X1581">
        <v>10</v>
      </c>
      <c r="Y1581">
        <v>8.5</v>
      </c>
      <c r="Z1581" s="18">
        <f>grand[[#This Row],[av. Transportation loss]]/grand[[#This Row],[av.total weight]]</f>
        <v>0</v>
      </c>
      <c r="AA1581" s="18">
        <f>AVERAGE((grand[[#This Row],[am]]/25),(grand[[#This Row],[pm]]/50))</f>
        <v>0.97896551724137926</v>
      </c>
      <c r="AB1581" s="3">
        <f>grand[[#This Row],[ carcass weight]]/grand[[#This Row],[total weight]]</f>
        <v>0.61239377906044568</v>
      </c>
      <c r="AC1581" s="18">
        <f>SUM(grand[[#This Row],[am]:[meat transportation]])/100</f>
        <v>0.91431034482758622</v>
      </c>
      <c r="AD1581" s="2" t="s">
        <v>894</v>
      </c>
      <c r="AE1581" s="2"/>
      <c r="AF1581" s="2"/>
      <c r="AG1581" s="2"/>
      <c r="AH1581" s="2"/>
      <c r="AI1581" s="2"/>
      <c r="AJ1581" s="2">
        <v>0</v>
      </c>
      <c r="AK1581" s="1"/>
      <c r="AL1581" s="1"/>
    </row>
    <row r="1582" spans="1:38" hidden="1" x14ac:dyDescent="0.2">
      <c r="A1582" s="11">
        <v>46040</v>
      </c>
      <c r="B1582" s="53" t="s">
        <v>2416</v>
      </c>
      <c r="C1582" s="52" t="str">
        <f>IF(MID(B1582,4,2)="09","Ramadan",IF(AND(MID(B1582,4,2)="12",VALUE(LEFT(B1582,2))&lt;=9),"Adha Season","Normal"))</f>
        <v>Normal</v>
      </c>
      <c r="D1582" s="1" t="s">
        <v>45</v>
      </c>
      <c r="F1582" s="4" t="s">
        <v>165</v>
      </c>
      <c r="G1582" s="1">
        <v>48</v>
      </c>
      <c r="H1582">
        <v>48</v>
      </c>
      <c r="I1582">
        <f>grand[[#This Row],[number]]-grand[[#This Row],[received]]</f>
        <v>0</v>
      </c>
      <c r="J1582" s="30"/>
      <c r="K1582" s="2">
        <v>25174</v>
      </c>
      <c r="L1582" s="2">
        <v>25174</v>
      </c>
      <c r="M1582" s="2">
        <f>K1582-L1582</f>
        <v>0</v>
      </c>
      <c r="N1582" s="2">
        <v>15104.4</v>
      </c>
      <c r="O1582" s="2">
        <v>506</v>
      </c>
      <c r="P1582" s="7">
        <f>grand[[#This Row],[total weight]]/grand[[#This Row],[received]]</f>
        <v>524.45833333333337</v>
      </c>
      <c r="Q1582" s="7">
        <f>grand[[#This Row],[receiving weight]]/grand[[#This Row],[received]]</f>
        <v>524.45833333333337</v>
      </c>
      <c r="R1582" s="7">
        <f>grand[[#This Row],[transportation loss ]]/grand[[#This Row],[received]]</f>
        <v>0</v>
      </c>
      <c r="S1582" s="7">
        <f>grand[[#This Row],[ carcass weight]]/grand[[#This Row],[received]]</f>
        <v>314.67500000000001</v>
      </c>
      <c r="T1582" s="7">
        <f>grand[[#This Row],[ kidneys fat quantity]]/grand[[#This Row],[received]]</f>
        <v>10.541666666666666</v>
      </c>
      <c r="U1582">
        <v>24.791666666666668</v>
      </c>
      <c r="V1582">
        <v>0</v>
      </c>
      <c r="W1582">
        <v>46.020833333333329</v>
      </c>
      <c r="X1582">
        <v>10</v>
      </c>
      <c r="Y1582">
        <v>8.5</v>
      </c>
      <c r="Z1582" s="18">
        <f>grand[[#This Row],[av. Transportation loss]]/grand[[#This Row],[av.total weight]]</f>
        <v>0</v>
      </c>
      <c r="AA1582" s="18">
        <f>AVERAGE((grand[[#This Row],[am]]/25),(grand[[#This Row],[pm]]/50))</f>
        <v>0.95604166666666668</v>
      </c>
      <c r="AB1582" s="3">
        <f>grand[[#This Row],[ carcass weight]]/grand[[#This Row],[total weight]]</f>
        <v>0.6</v>
      </c>
      <c r="AC1582" s="18">
        <f>SUM(grand[[#This Row],[am]:[meat transportation]])/100</f>
        <v>0.89312499999999995</v>
      </c>
      <c r="AD1582" s="2" t="s">
        <v>895</v>
      </c>
      <c r="AE1582" s="2"/>
      <c r="AF1582" s="2"/>
      <c r="AG1582" s="2"/>
      <c r="AH1582" s="2"/>
      <c r="AI1582" s="2"/>
      <c r="AJ1582" s="2">
        <v>22</v>
      </c>
      <c r="AK1582" s="1"/>
      <c r="AL1582" s="1"/>
    </row>
    <row r="1583" spans="1:38" hidden="1" x14ac:dyDescent="0.2">
      <c r="A1583" s="11">
        <v>46040</v>
      </c>
      <c r="B1583" s="53" t="s">
        <v>2416</v>
      </c>
      <c r="C1583" s="52" t="str">
        <f>IF(MID(B1583,4,2)="09","Ramadan",IF(AND(MID(B1583,4,2)="12",VALUE(LEFT(B1583,2))&lt;=9),"Adha Season","Normal"))</f>
        <v>Normal</v>
      </c>
      <c r="D1583" s="2" t="s">
        <v>294</v>
      </c>
      <c r="F1583" s="4" t="s">
        <v>165</v>
      </c>
      <c r="G1583" s="1">
        <v>50</v>
      </c>
      <c r="H1583">
        <v>50</v>
      </c>
      <c r="I1583">
        <f>grand[[#This Row],[number]]-grand[[#This Row],[received]]</f>
        <v>0</v>
      </c>
      <c r="J1583" s="30"/>
      <c r="K1583" s="2">
        <v>2690</v>
      </c>
      <c r="L1583" s="2">
        <v>2690</v>
      </c>
      <c r="M1583" s="2">
        <f>K1583-L1583</f>
        <v>0</v>
      </c>
      <c r="N1583" s="2">
        <v>1516</v>
      </c>
      <c r="O1583" s="2">
        <v>0</v>
      </c>
      <c r="P1583" s="7">
        <f>grand[[#This Row],[total weight]]/grand[[#This Row],[received]]</f>
        <v>53.8</v>
      </c>
      <c r="Q1583" s="7">
        <f>grand[[#This Row],[receiving weight]]/grand[[#This Row],[received]]</f>
        <v>53.8</v>
      </c>
      <c r="R1583" s="7">
        <f>grand[[#This Row],[transportation loss ]]/grand[[#This Row],[received]]</f>
        <v>0</v>
      </c>
      <c r="S1583" s="7">
        <f>grand[[#This Row],[ carcass weight]]/grand[[#This Row],[received]]</f>
        <v>30.32</v>
      </c>
      <c r="T1583" s="7">
        <f>grand[[#This Row],[ kidneys fat quantity]]/grand[[#This Row],[received]]</f>
        <v>0</v>
      </c>
      <c r="U1583">
        <v>25</v>
      </c>
      <c r="V1583">
        <v>0</v>
      </c>
      <c r="W1583">
        <v>47.32</v>
      </c>
      <c r="X1583">
        <v>10</v>
      </c>
      <c r="Y1583">
        <v>8.5</v>
      </c>
      <c r="Z1583" s="18">
        <f>grand[[#This Row],[av. Transportation loss]]/grand[[#This Row],[av.total weight]]</f>
        <v>0</v>
      </c>
      <c r="AA1583" s="18">
        <f>AVERAGE((grand[[#This Row],[am]]/25),(grand[[#This Row],[pm]]/50))</f>
        <v>0.97320000000000007</v>
      </c>
      <c r="AB1583" s="3">
        <f>grand[[#This Row],[ carcass weight]]/grand[[#This Row],[total weight]]</f>
        <v>0.56356877323420074</v>
      </c>
      <c r="AC1583" s="18">
        <f>SUM(grand[[#This Row],[am]:[meat transportation]])/100</f>
        <v>0.9081999999999999</v>
      </c>
      <c r="AD1583" s="2" t="s">
        <v>89</v>
      </c>
      <c r="AE1583" s="2"/>
      <c r="AF1583" s="2"/>
      <c r="AG1583" s="2"/>
      <c r="AH1583" s="2"/>
      <c r="AI1583" s="2"/>
      <c r="AJ1583" s="2">
        <v>0</v>
      </c>
      <c r="AK1583" s="1"/>
      <c r="AL1583" s="1"/>
    </row>
    <row r="1584" spans="1:38" hidden="1" x14ac:dyDescent="0.2">
      <c r="A1584" s="11">
        <v>46041</v>
      </c>
      <c r="B1584" s="53" t="s">
        <v>2417</v>
      </c>
      <c r="C1584" s="52" t="str">
        <f>IF(MID(B1584,4,2)="09","Ramadan",IF(AND(MID(B1584,4,2)="12",VALUE(LEFT(B1584,2))&lt;=9),"Adha Season","Normal"))</f>
        <v>Normal</v>
      </c>
      <c r="D1584" s="1" t="s">
        <v>45</v>
      </c>
      <c r="E1584" s="1" t="s">
        <v>483</v>
      </c>
      <c r="F1584" s="4" t="s">
        <v>815</v>
      </c>
      <c r="G1584" s="1">
        <v>47</v>
      </c>
      <c r="H1584">
        <v>47</v>
      </c>
      <c r="I1584">
        <f>grand[[#This Row],[number]]-grand[[#This Row],[received]]</f>
        <v>0</v>
      </c>
      <c r="J1584" s="30"/>
      <c r="K1584" s="2">
        <v>22255</v>
      </c>
      <c r="L1584" s="2">
        <v>22255</v>
      </c>
      <c r="M1584" s="2">
        <f>K1584-L1584</f>
        <v>0</v>
      </c>
      <c r="N1584" s="2">
        <v>13895.6</v>
      </c>
      <c r="O1584" s="2">
        <v>419</v>
      </c>
      <c r="P1584" s="7">
        <f>grand[[#This Row],[total weight]]/grand[[#This Row],[received]]</f>
        <v>473.51063829787233</v>
      </c>
      <c r="Q1584" s="7">
        <f>grand[[#This Row],[receiving weight]]/grand[[#This Row],[received]]</f>
        <v>473.51063829787233</v>
      </c>
      <c r="R1584" s="7">
        <f>grand[[#This Row],[transportation loss ]]/grand[[#This Row],[received]]</f>
        <v>0</v>
      </c>
      <c r="S1584" s="7">
        <f>grand[[#This Row],[ carcass weight]]/grand[[#This Row],[received]]</f>
        <v>295.65106382978723</v>
      </c>
      <c r="T1584" s="7">
        <f>grand[[#This Row],[ kidneys fat quantity]]/grand[[#This Row],[received]]</f>
        <v>8.914893617021276</v>
      </c>
      <c r="U1584">
        <v>25</v>
      </c>
      <c r="V1584">
        <v>0</v>
      </c>
      <c r="W1584">
        <v>48.159574468085104</v>
      </c>
      <c r="X1584">
        <v>10</v>
      </c>
      <c r="Y1584">
        <v>8.5</v>
      </c>
      <c r="Z1584" s="18">
        <f>grand[[#This Row],[av. Transportation loss]]/grand[[#This Row],[av.total weight]]</f>
        <v>0</v>
      </c>
      <c r="AA1584" s="18">
        <f>AVERAGE((grand[[#This Row],[am]]/25),(grand[[#This Row],[pm]]/50))</f>
        <v>0.98159574468085098</v>
      </c>
      <c r="AB1584" s="3">
        <f>grand[[#This Row],[ carcass weight]]/grand[[#This Row],[total weight]]</f>
        <v>0.6243810379689958</v>
      </c>
      <c r="AC1584" s="18">
        <f>SUM(grand[[#This Row],[am]:[meat transportation]])/100</f>
        <v>0.91659574468085114</v>
      </c>
      <c r="AD1584" s="2" t="s">
        <v>896</v>
      </c>
      <c r="AE1584" s="2"/>
      <c r="AF1584" s="2"/>
      <c r="AG1584" s="2"/>
      <c r="AH1584" s="2"/>
      <c r="AI1584" s="2"/>
      <c r="AJ1584" s="2">
        <v>0</v>
      </c>
      <c r="AK1584" s="1"/>
      <c r="AL1584" s="1"/>
    </row>
    <row r="1585" spans="1:38" hidden="1" x14ac:dyDescent="0.2">
      <c r="A1585" s="11">
        <v>46042</v>
      </c>
      <c r="B1585" s="53" t="s">
        <v>2418</v>
      </c>
      <c r="C1585" s="52" t="str">
        <f>IF(MID(B1585,4,2)="09","Ramadan",IF(AND(MID(B1585,4,2)="12",VALUE(LEFT(B1585,2))&lt;=9),"Adha Season","Normal"))</f>
        <v>Normal</v>
      </c>
      <c r="D1585" s="2" t="s">
        <v>294</v>
      </c>
      <c r="F1585" s="4" t="s">
        <v>772</v>
      </c>
      <c r="G1585" s="1">
        <v>35</v>
      </c>
      <c r="H1585">
        <v>32</v>
      </c>
      <c r="I1585">
        <f>grand[[#This Row],[number]]-grand[[#This Row],[received]]</f>
        <v>3</v>
      </c>
      <c r="J1585" s="64" t="s">
        <v>931</v>
      </c>
      <c r="K1585" s="2">
        <v>1653</v>
      </c>
      <c r="L1585" s="2">
        <v>1653</v>
      </c>
      <c r="M1585" s="2">
        <f>K1585-L1585</f>
        <v>0</v>
      </c>
      <c r="N1585" s="2">
        <v>896.8</v>
      </c>
      <c r="O1585" s="2">
        <v>0</v>
      </c>
      <c r="P1585" s="7">
        <f>grand[[#This Row],[total weight]]/grand[[#This Row],[received]]</f>
        <v>51.65625</v>
      </c>
      <c r="Q1585" s="7">
        <f>grand[[#This Row],[receiving weight]]/grand[[#This Row],[received]]</f>
        <v>51.65625</v>
      </c>
      <c r="R1585" s="7">
        <f>grand[[#This Row],[transportation loss ]]/grand[[#This Row],[received]]</f>
        <v>0</v>
      </c>
      <c r="S1585" s="7">
        <f>grand[[#This Row],[ carcass weight]]/grand[[#This Row],[received]]</f>
        <v>28.024999999999999</v>
      </c>
      <c r="T1585" s="7">
        <f>grand[[#This Row],[ kidneys fat quantity]]/grand[[#This Row],[received]]</f>
        <v>0</v>
      </c>
      <c r="U1585">
        <v>25</v>
      </c>
      <c r="V1585">
        <v>0</v>
      </c>
      <c r="W1585">
        <v>44.625</v>
      </c>
      <c r="X1585">
        <v>10</v>
      </c>
      <c r="Y1585">
        <v>8.5</v>
      </c>
      <c r="Z1585" s="18">
        <f>grand[[#This Row],[av. Transportation loss]]/grand[[#This Row],[av.total weight]]</f>
        <v>0</v>
      </c>
      <c r="AA1585" s="18">
        <f>AVERAGE((grand[[#This Row],[am]]/25),(grand[[#This Row],[pm]]/50))</f>
        <v>0.94625000000000004</v>
      </c>
      <c r="AB1585" s="3">
        <f>grand[[#This Row],[ carcass weight]]/grand[[#This Row],[total weight]]</f>
        <v>0.54252873563218385</v>
      </c>
      <c r="AC1585" s="18">
        <f>SUM(grand[[#This Row],[am]:[meat transportation]])/100</f>
        <v>0.88124999999999998</v>
      </c>
      <c r="AD1585" s="2" t="s">
        <v>897</v>
      </c>
      <c r="AE1585" s="2"/>
      <c r="AF1585" s="2"/>
      <c r="AG1585" s="2"/>
      <c r="AH1585" s="2"/>
      <c r="AI1585" s="2"/>
      <c r="AJ1585" s="2">
        <v>0</v>
      </c>
      <c r="AK1585" s="1"/>
      <c r="AL1585" s="1"/>
    </row>
    <row r="1586" spans="1:38" x14ac:dyDescent="0.2">
      <c r="A1586" s="11">
        <v>46042</v>
      </c>
      <c r="B1586" s="53" t="s">
        <v>2418</v>
      </c>
      <c r="C1586" s="52" t="str">
        <f>IF(MID(B1586,4,2)="09","Ramadan",IF(AND(MID(B1586,4,2)="12",VALUE(LEFT(B1586,2))&lt;=9),"Adha Season","Normal"))</f>
        <v>Normal</v>
      </c>
      <c r="D1586" s="1" t="s">
        <v>45</v>
      </c>
      <c r="F1586" s="4" t="s">
        <v>46</v>
      </c>
      <c r="G1586" s="1">
        <v>44</v>
      </c>
      <c r="H1586">
        <v>40</v>
      </c>
      <c r="I1586">
        <f>grand[[#This Row],[number]]-grand[[#This Row],[received]]</f>
        <v>4</v>
      </c>
      <c r="J1586" s="64" t="s">
        <v>932</v>
      </c>
      <c r="K1586" s="2">
        <v>20784</v>
      </c>
      <c r="L1586" s="2">
        <v>20784</v>
      </c>
      <c r="M1586" s="2">
        <f>K1586-L1586</f>
        <v>0</v>
      </c>
      <c r="N1586" s="2">
        <v>12470.1</v>
      </c>
      <c r="O1586" s="2">
        <v>525</v>
      </c>
      <c r="P1586" s="7">
        <f>grand[[#This Row],[total weight]]/grand[[#This Row],[received]]</f>
        <v>519.6</v>
      </c>
      <c r="Q1586" s="7">
        <f>grand[[#This Row],[receiving weight]]/grand[[#This Row],[received]]</f>
        <v>519.6</v>
      </c>
      <c r="R1586" s="7">
        <f>grand[[#This Row],[transportation loss ]]/grand[[#This Row],[received]]</f>
        <v>0</v>
      </c>
      <c r="S1586" s="7">
        <f>grand[[#This Row],[ carcass weight]]/grand[[#This Row],[received]]</f>
        <v>311.7525</v>
      </c>
      <c r="T1586" s="7">
        <f>grand[[#This Row],[ kidneys fat quantity]]/grand[[#This Row],[received]]</f>
        <v>13.125</v>
      </c>
      <c r="U1586">
        <v>25</v>
      </c>
      <c r="V1586">
        <v>0</v>
      </c>
      <c r="W1586">
        <v>46.325000000000003</v>
      </c>
      <c r="X1586">
        <v>10</v>
      </c>
      <c r="Y1586">
        <v>8.5</v>
      </c>
      <c r="Z1586" s="18">
        <f>grand[[#This Row],[av. Transportation loss]]/grand[[#This Row],[av.total weight]]</f>
        <v>0</v>
      </c>
      <c r="AA1586" s="18">
        <f>AVERAGE((grand[[#This Row],[am]]/25),(grand[[#This Row],[pm]]/50))</f>
        <v>0.96325000000000005</v>
      </c>
      <c r="AB1586" s="3">
        <f>grand[[#This Row],[ carcass weight]]/grand[[#This Row],[total weight]]</f>
        <v>0.5999855658198614</v>
      </c>
      <c r="AC1586" s="18">
        <f>SUM(grand[[#This Row],[am]:[meat transportation]])/100</f>
        <v>0.89824999999999999</v>
      </c>
      <c r="AD1586" s="2" t="s">
        <v>898</v>
      </c>
      <c r="AE1586" s="2"/>
      <c r="AF1586" s="2"/>
      <c r="AG1586" s="2"/>
      <c r="AH1586" s="2"/>
      <c r="AI1586" s="2"/>
      <c r="AJ1586" s="2">
        <v>6</v>
      </c>
      <c r="AK1586" s="1"/>
      <c r="AL1586" s="1"/>
    </row>
    <row r="1587" spans="1:38" hidden="1" x14ac:dyDescent="0.2">
      <c r="A1587" s="11">
        <v>46043</v>
      </c>
      <c r="B1587" s="53" t="s">
        <v>2419</v>
      </c>
      <c r="C1587" s="52" t="str">
        <f>IF(MID(B1587,4,2)="09","Ramadan",IF(AND(MID(B1587,4,2)="12",VALUE(LEFT(B1587,2))&lt;=9),"Adha Season","Normal"))</f>
        <v>Normal</v>
      </c>
      <c r="D1587" s="1" t="s">
        <v>45</v>
      </c>
      <c r="F1587" s="4" t="s">
        <v>954</v>
      </c>
      <c r="G1587" s="1">
        <v>48</v>
      </c>
      <c r="H1587">
        <v>48</v>
      </c>
      <c r="I1587">
        <f>grand[[#This Row],[number]]-grand[[#This Row],[received]]</f>
        <v>0</v>
      </c>
      <c r="J1587" s="30"/>
      <c r="K1587" s="2">
        <v>20514</v>
      </c>
      <c r="L1587" s="2">
        <v>20514</v>
      </c>
      <c r="M1587" s="2">
        <f>K1587-L1587</f>
        <v>0</v>
      </c>
      <c r="N1587" s="2">
        <v>12510</v>
      </c>
      <c r="O1587" s="2">
        <v>293</v>
      </c>
      <c r="P1587" s="7">
        <f>grand[[#This Row],[total weight]]/grand[[#This Row],[received]]</f>
        <v>427.375</v>
      </c>
      <c r="Q1587" s="7">
        <f>grand[[#This Row],[receiving weight]]/grand[[#This Row],[received]]</f>
        <v>427.375</v>
      </c>
      <c r="R1587" s="7">
        <f>grand[[#This Row],[transportation loss ]]/grand[[#This Row],[received]]</f>
        <v>0</v>
      </c>
      <c r="S1587" s="7">
        <f>grand[[#This Row],[ carcass weight]]/grand[[#This Row],[received]]</f>
        <v>260.625</v>
      </c>
      <c r="T1587" s="7">
        <f>grand[[#This Row],[ kidneys fat quantity]]/grand[[#This Row],[received]]</f>
        <v>6.104166666666667</v>
      </c>
      <c r="U1587">
        <v>25</v>
      </c>
      <c r="V1587">
        <v>0</v>
      </c>
      <c r="W1587">
        <v>49.343750000000007</v>
      </c>
      <c r="X1587">
        <v>10</v>
      </c>
      <c r="Y1587">
        <v>8.5</v>
      </c>
      <c r="Z1587" s="18">
        <f>grand[[#This Row],[av. Transportation loss]]/grand[[#This Row],[av.total weight]]</f>
        <v>0</v>
      </c>
      <c r="AA1587" s="18">
        <f>AVERAGE((grand[[#This Row],[am]]/25),(grand[[#This Row],[pm]]/50))</f>
        <v>0.99343750000000008</v>
      </c>
      <c r="AB1587" s="3">
        <f>grand[[#This Row],[ carcass weight]]/grand[[#This Row],[total weight]]</f>
        <v>0.60982743492249192</v>
      </c>
      <c r="AC1587" s="18">
        <f>SUM(grand[[#This Row],[am]:[meat transportation]])/100</f>
        <v>0.92843750000000003</v>
      </c>
      <c r="AD1587" s="2" t="s">
        <v>899</v>
      </c>
      <c r="AE1587" s="2"/>
      <c r="AF1587" s="2"/>
      <c r="AG1587" s="2"/>
      <c r="AH1587" s="2"/>
      <c r="AI1587" s="2"/>
      <c r="AJ1587" s="2">
        <v>0</v>
      </c>
      <c r="AK1587" s="1"/>
      <c r="AL1587" s="1"/>
    </row>
    <row r="1588" spans="1:38" hidden="1" x14ac:dyDescent="0.2">
      <c r="A1588" s="11">
        <v>46044</v>
      </c>
      <c r="B1588" s="53" t="s">
        <v>2420</v>
      </c>
      <c r="C1588" s="52" t="str">
        <f>IF(MID(B1588,4,2)="09","Ramadan",IF(AND(MID(B1588,4,2)="12",VALUE(LEFT(B1588,2))&lt;=9),"Adha Season","Normal"))</f>
        <v>Normal</v>
      </c>
      <c r="D1588" s="1" t="s">
        <v>45</v>
      </c>
      <c r="F1588" s="4" t="s">
        <v>954</v>
      </c>
      <c r="G1588" s="1">
        <v>82</v>
      </c>
      <c r="H1588">
        <v>82</v>
      </c>
      <c r="I1588">
        <f>grand[[#This Row],[number]]-grand[[#This Row],[received]]</f>
        <v>0</v>
      </c>
      <c r="J1588" s="30"/>
      <c r="K1588" s="2">
        <v>33802</v>
      </c>
      <c r="L1588" s="2">
        <v>33802</v>
      </c>
      <c r="M1588" s="2">
        <f>K1588-L1588</f>
        <v>0</v>
      </c>
      <c r="N1588" s="2">
        <v>20740.5</v>
      </c>
      <c r="O1588" s="2">
        <v>515</v>
      </c>
      <c r="P1588" s="7">
        <f>grand[[#This Row],[total weight]]/grand[[#This Row],[received]]</f>
        <v>412.21951219512198</v>
      </c>
      <c r="Q1588" s="7">
        <f>grand[[#This Row],[receiving weight]]/grand[[#This Row],[received]]</f>
        <v>412.21951219512198</v>
      </c>
      <c r="R1588" s="7">
        <f>grand[[#This Row],[transportation loss ]]/grand[[#This Row],[received]]</f>
        <v>0</v>
      </c>
      <c r="S1588" s="7">
        <f>grand[[#This Row],[ carcass weight]]/grand[[#This Row],[received]]</f>
        <v>252.9329268292683</v>
      </c>
      <c r="T1588" s="7">
        <f>grand[[#This Row],[ kidneys fat quantity]]/grand[[#This Row],[received]]</f>
        <v>6.2804878048780486</v>
      </c>
      <c r="U1588">
        <v>24.963414634146343</v>
      </c>
      <c r="V1588">
        <v>0</v>
      </c>
      <c r="W1588">
        <v>48.256097560975611</v>
      </c>
      <c r="X1588">
        <v>10</v>
      </c>
      <c r="Y1588">
        <v>8.5</v>
      </c>
      <c r="Z1588" s="18">
        <f>grand[[#This Row],[av. Transportation loss]]/grand[[#This Row],[av.total weight]]</f>
        <v>0</v>
      </c>
      <c r="AA1588" s="18">
        <f>AVERAGE((grand[[#This Row],[am]]/25),(grand[[#This Row],[pm]]/50))</f>
        <v>0.98182926829268302</v>
      </c>
      <c r="AB1588" s="3">
        <f>grand[[#This Row],[ carcass weight]]/grand[[#This Row],[total weight]]</f>
        <v>0.61358795337553995</v>
      </c>
      <c r="AC1588" s="18">
        <f>SUM(grand[[#This Row],[am]:[meat transportation]])/100</f>
        <v>0.91719512195121955</v>
      </c>
      <c r="AD1588" s="2" t="s">
        <v>901</v>
      </c>
      <c r="AE1588" s="2"/>
      <c r="AF1588" s="2"/>
      <c r="AG1588" s="2"/>
      <c r="AH1588" s="2"/>
      <c r="AI1588" s="2"/>
      <c r="AJ1588" s="2">
        <v>0</v>
      </c>
      <c r="AK1588" s="1"/>
      <c r="AL1588" s="1"/>
    </row>
    <row r="1589" spans="1:38" hidden="1" x14ac:dyDescent="0.2">
      <c r="A1589" s="11">
        <v>46044</v>
      </c>
      <c r="B1589" s="53" t="s">
        <v>2420</v>
      </c>
      <c r="C1589" s="52" t="str">
        <f>IF(MID(B1589,4,2)="09","Ramadan",IF(AND(MID(B1589,4,2)="12",VALUE(LEFT(B1589,2))&lt;=9),"Adha Season","Normal"))</f>
        <v>Normal</v>
      </c>
      <c r="D1589" s="2" t="s">
        <v>294</v>
      </c>
      <c r="F1589" s="4" t="s">
        <v>954</v>
      </c>
      <c r="G1589" s="1">
        <v>58</v>
      </c>
      <c r="H1589">
        <v>56</v>
      </c>
      <c r="I1589">
        <f>grand[[#This Row],[number]]-grand[[#This Row],[received]]</f>
        <v>2</v>
      </c>
      <c r="J1589" s="64" t="s">
        <v>933</v>
      </c>
      <c r="K1589" s="2">
        <v>2330</v>
      </c>
      <c r="L1589" s="2">
        <v>2330</v>
      </c>
      <c r="M1589" s="2">
        <f>K1589-L1589</f>
        <v>0</v>
      </c>
      <c r="N1589" s="2">
        <v>1305</v>
      </c>
      <c r="O1589" s="2">
        <v>0</v>
      </c>
      <c r="P1589" s="7">
        <f>grand[[#This Row],[total weight]]/grand[[#This Row],[received]]</f>
        <v>41.607142857142854</v>
      </c>
      <c r="Q1589" s="7">
        <f>grand[[#This Row],[receiving weight]]/grand[[#This Row],[received]]</f>
        <v>41.607142857142854</v>
      </c>
      <c r="R1589" s="7">
        <f>grand[[#This Row],[transportation loss ]]/grand[[#This Row],[received]]</f>
        <v>0</v>
      </c>
      <c r="S1589" s="7">
        <f>grand[[#This Row],[ carcass weight]]/grand[[#This Row],[received]]</f>
        <v>23.303571428571427</v>
      </c>
      <c r="T1589" s="7">
        <f>grand[[#This Row],[ kidneys fat quantity]]/grand[[#This Row],[received]]</f>
        <v>0</v>
      </c>
      <c r="U1589">
        <v>25</v>
      </c>
      <c r="V1589">
        <v>0</v>
      </c>
      <c r="W1589">
        <v>41.392857142857139</v>
      </c>
      <c r="X1589">
        <v>10</v>
      </c>
      <c r="Y1589">
        <v>8.5</v>
      </c>
      <c r="Z1589" s="18">
        <f>grand[[#This Row],[av. Transportation loss]]/grand[[#This Row],[av.total weight]]</f>
        <v>0</v>
      </c>
      <c r="AA1589" s="18">
        <f>AVERAGE((grand[[#This Row],[am]]/25),(grand[[#This Row],[pm]]/50))</f>
        <v>0.91392857142857142</v>
      </c>
      <c r="AB1589" s="3">
        <f>grand[[#This Row],[ carcass weight]]/grand[[#This Row],[total weight]]</f>
        <v>0.56008583690987124</v>
      </c>
      <c r="AC1589" s="18">
        <f>SUM(grand[[#This Row],[am]:[meat transportation]])/100</f>
        <v>0.84892857142857137</v>
      </c>
      <c r="AD1589" s="2" t="s">
        <v>900</v>
      </c>
      <c r="AE1589" s="2"/>
      <c r="AF1589" s="2"/>
      <c r="AG1589" s="2"/>
      <c r="AH1589" s="2"/>
      <c r="AI1589" s="2"/>
      <c r="AJ1589" s="2">
        <v>0</v>
      </c>
      <c r="AK1589" s="1"/>
      <c r="AL1589" s="1"/>
    </row>
    <row r="1590" spans="1:38" hidden="1" x14ac:dyDescent="0.2">
      <c r="A1590" s="11">
        <v>46046</v>
      </c>
      <c r="B1590" s="53" t="s">
        <v>2421</v>
      </c>
      <c r="C1590" s="52" t="str">
        <f>IF(MID(B1590,4,2)="09","Ramadan",IF(AND(MID(B1590,4,2)="12",VALUE(LEFT(B1590,2))&lt;=9),"Adha Season","Normal"))</f>
        <v>Normal</v>
      </c>
      <c r="D1590" s="2" t="s">
        <v>294</v>
      </c>
      <c r="F1590" s="4" t="s">
        <v>165</v>
      </c>
      <c r="G1590" s="1">
        <v>40</v>
      </c>
      <c r="H1590">
        <v>40</v>
      </c>
      <c r="I1590">
        <f>grand[[#This Row],[number]]-grand[[#This Row],[received]]</f>
        <v>0</v>
      </c>
      <c r="J1590" s="30"/>
      <c r="K1590" s="2">
        <v>2041</v>
      </c>
      <c r="L1590" s="2">
        <v>2041</v>
      </c>
      <c r="M1590" s="2">
        <f>K1590-L1590</f>
        <v>0</v>
      </c>
      <c r="N1590" s="2">
        <v>1242.2</v>
      </c>
      <c r="O1590" s="2">
        <v>0</v>
      </c>
      <c r="P1590" s="7">
        <f>grand[[#This Row],[total weight]]/grand[[#This Row],[received]]</f>
        <v>51.024999999999999</v>
      </c>
      <c r="Q1590" s="7">
        <f>grand[[#This Row],[receiving weight]]/grand[[#This Row],[received]]</f>
        <v>51.024999999999999</v>
      </c>
      <c r="R1590" s="7">
        <f>grand[[#This Row],[transportation loss ]]/grand[[#This Row],[received]]</f>
        <v>0</v>
      </c>
      <c r="S1590" s="7">
        <f>grand[[#This Row],[ carcass weight]]/grand[[#This Row],[received]]</f>
        <v>31.055</v>
      </c>
      <c r="T1590" s="7">
        <f>grand[[#This Row],[ kidneys fat quantity]]/grand[[#This Row],[received]]</f>
        <v>0</v>
      </c>
      <c r="U1590">
        <v>25</v>
      </c>
      <c r="V1590">
        <v>0</v>
      </c>
      <c r="W1590">
        <v>49.65</v>
      </c>
      <c r="X1590">
        <v>10</v>
      </c>
      <c r="Y1590">
        <v>8.5</v>
      </c>
      <c r="Z1590" s="18">
        <f>grand[[#This Row],[av. Transportation loss]]/grand[[#This Row],[av.total weight]]</f>
        <v>0</v>
      </c>
      <c r="AA1590" s="18">
        <f>AVERAGE((grand[[#This Row],[am]]/25),(grand[[#This Row],[pm]]/50))</f>
        <v>0.99649999999999994</v>
      </c>
      <c r="AB1590" s="3">
        <f>grand[[#This Row],[ carcass weight]]/grand[[#This Row],[total weight]]</f>
        <v>0.60862322390984813</v>
      </c>
      <c r="AC1590" s="18">
        <f>SUM(grand[[#This Row],[am]:[meat transportation]])/100</f>
        <v>0.93150000000000011</v>
      </c>
      <c r="AD1590" s="2" t="s">
        <v>81</v>
      </c>
      <c r="AE1590" s="2"/>
      <c r="AF1590" s="2"/>
      <c r="AG1590" s="2"/>
      <c r="AH1590" s="2"/>
      <c r="AI1590" s="2"/>
      <c r="AJ1590" s="2">
        <v>0</v>
      </c>
      <c r="AK1590" s="1"/>
      <c r="AL1590" s="1"/>
    </row>
    <row r="1591" spans="1:38" x14ac:dyDescent="0.2">
      <c r="A1591" s="11">
        <v>46046</v>
      </c>
      <c r="B1591" s="53" t="s">
        <v>2421</v>
      </c>
      <c r="C1591" s="52" t="str">
        <f>IF(MID(B1591,4,2)="09","Ramadan",IF(AND(MID(B1591,4,2)="12",VALUE(LEFT(B1591,2))&lt;=9),"Adha Season","Normal"))</f>
        <v>Normal</v>
      </c>
      <c r="D1591" s="1" t="s">
        <v>45</v>
      </c>
      <c r="F1591" s="4" t="s">
        <v>165</v>
      </c>
      <c r="G1591" s="1">
        <v>44</v>
      </c>
      <c r="H1591">
        <v>43</v>
      </c>
      <c r="I1591">
        <f>grand[[#This Row],[number]]-grand[[#This Row],[received]]</f>
        <v>1</v>
      </c>
      <c r="J1591" s="64" t="s">
        <v>934</v>
      </c>
      <c r="K1591" s="2">
        <v>21266</v>
      </c>
      <c r="L1591" s="2">
        <v>21266</v>
      </c>
      <c r="M1591" s="2">
        <f>K1591-L1591</f>
        <v>0</v>
      </c>
      <c r="N1591" s="2">
        <v>12759.3</v>
      </c>
      <c r="O1591" s="2">
        <v>428</v>
      </c>
      <c r="P1591" s="7">
        <f>grand[[#This Row],[total weight]]/grand[[#This Row],[received]]</f>
        <v>494.55813953488371</v>
      </c>
      <c r="Q1591" s="7">
        <f>grand[[#This Row],[receiving weight]]/grand[[#This Row],[received]]</f>
        <v>494.55813953488371</v>
      </c>
      <c r="R1591" s="7">
        <f>grand[[#This Row],[transportation loss ]]/grand[[#This Row],[received]]</f>
        <v>0</v>
      </c>
      <c r="S1591" s="7">
        <f>grand[[#This Row],[ carcass weight]]/grand[[#This Row],[received]]</f>
        <v>296.72790697674418</v>
      </c>
      <c r="T1591" s="7">
        <f>grand[[#This Row],[ kidneys fat quantity]]/grand[[#This Row],[received]]</f>
        <v>9.9534883720930232</v>
      </c>
      <c r="U1591">
        <v>24.069767441860463</v>
      </c>
      <c r="V1591">
        <v>0</v>
      </c>
      <c r="W1591">
        <v>48.558139534883715</v>
      </c>
      <c r="X1591">
        <v>10</v>
      </c>
      <c r="Y1591">
        <v>8.5</v>
      </c>
      <c r="Z1591" s="18">
        <f>grand[[#This Row],[av. Transportation loss]]/grand[[#This Row],[av.total weight]]</f>
        <v>0</v>
      </c>
      <c r="AA1591" s="18">
        <f>AVERAGE((grand[[#This Row],[am]]/25),(grand[[#This Row],[pm]]/50))</f>
        <v>0.9669767441860464</v>
      </c>
      <c r="AB1591" s="3">
        <f>grand[[#This Row],[ carcass weight]]/grand[[#This Row],[total weight]]</f>
        <v>0.5999858929747014</v>
      </c>
      <c r="AC1591" s="18">
        <f>SUM(grand[[#This Row],[am]:[meat transportation]])/100</f>
        <v>0.91127906976744188</v>
      </c>
      <c r="AD1591" s="2" t="s">
        <v>766</v>
      </c>
      <c r="AE1591" s="2"/>
      <c r="AF1591" s="2"/>
      <c r="AG1591" s="2"/>
      <c r="AH1591" s="2"/>
      <c r="AI1591" s="2"/>
      <c r="AJ1591" s="2">
        <v>20</v>
      </c>
      <c r="AK1591" s="1"/>
      <c r="AL1591" s="1"/>
    </row>
    <row r="1592" spans="1:38" hidden="1" x14ac:dyDescent="0.2">
      <c r="A1592" s="11">
        <v>46047</v>
      </c>
      <c r="B1592" s="53" t="s">
        <v>2422</v>
      </c>
      <c r="C1592" s="52" t="str">
        <f>IF(MID(B1592,4,2)="09","Ramadan",IF(AND(MID(B1592,4,2)="12",VALUE(LEFT(B1592,2))&lt;=9),"Adha Season","Normal"))</f>
        <v>Normal</v>
      </c>
      <c r="D1592" s="1" t="s">
        <v>45</v>
      </c>
      <c r="E1592" s="1" t="s">
        <v>483</v>
      </c>
      <c r="F1592" s="4" t="s">
        <v>576</v>
      </c>
      <c r="G1592" s="1">
        <v>64</v>
      </c>
      <c r="H1592">
        <v>64</v>
      </c>
      <c r="I1592">
        <f>grand[[#This Row],[number]]-grand[[#This Row],[received]]</f>
        <v>0</v>
      </c>
      <c r="J1592" s="30"/>
      <c r="K1592" s="2">
        <v>36125</v>
      </c>
      <c r="L1592" s="2">
        <v>36125</v>
      </c>
      <c r="M1592" s="2">
        <f>K1592-L1592</f>
        <v>0</v>
      </c>
      <c r="N1592" s="2">
        <v>22607.200000000001</v>
      </c>
      <c r="O1592" s="2">
        <v>693</v>
      </c>
      <c r="P1592" s="7">
        <f>grand[[#This Row],[total weight]]/grand[[#This Row],[received]]</f>
        <v>564.453125</v>
      </c>
      <c r="Q1592" s="7">
        <f>grand[[#This Row],[receiving weight]]/grand[[#This Row],[received]]</f>
        <v>564.453125</v>
      </c>
      <c r="R1592" s="7">
        <f>grand[[#This Row],[transportation loss ]]/grand[[#This Row],[received]]</f>
        <v>0</v>
      </c>
      <c r="S1592" s="7">
        <f>grand[[#This Row],[ carcass weight]]/grand[[#This Row],[received]]</f>
        <v>353.23750000000001</v>
      </c>
      <c r="T1592" s="7">
        <f>grand[[#This Row],[ kidneys fat quantity]]/grand[[#This Row],[received]]</f>
        <v>10.828125</v>
      </c>
      <c r="U1592">
        <v>25</v>
      </c>
      <c r="V1592">
        <v>0</v>
      </c>
      <c r="W1592">
        <v>44.5625</v>
      </c>
      <c r="X1592">
        <v>10</v>
      </c>
      <c r="Y1592">
        <v>8.5</v>
      </c>
      <c r="Z1592" s="18">
        <f>grand[[#This Row],[av. Transportation loss]]/grand[[#This Row],[av.total weight]]</f>
        <v>0</v>
      </c>
      <c r="AA1592" s="18">
        <f>AVERAGE((grand[[#This Row],[am]]/25),(grand[[#This Row],[pm]]/50))</f>
        <v>0.94562499999999994</v>
      </c>
      <c r="AB1592" s="3">
        <f>grand[[#This Row],[ carcass weight]]/grand[[#This Row],[total weight]]</f>
        <v>0.62580484429065741</v>
      </c>
      <c r="AC1592" s="18">
        <f>SUM(grand[[#This Row],[am]:[meat transportation]])/100</f>
        <v>0.88062499999999999</v>
      </c>
      <c r="AD1592" s="2" t="s">
        <v>801</v>
      </c>
      <c r="AE1592" s="2"/>
      <c r="AF1592" s="2"/>
      <c r="AG1592" s="2"/>
      <c r="AH1592" s="2"/>
      <c r="AI1592" s="2"/>
      <c r="AJ1592" s="2">
        <v>14</v>
      </c>
      <c r="AK1592" s="1"/>
      <c r="AL1592" s="1"/>
    </row>
    <row r="1593" spans="1:38" hidden="1" x14ac:dyDescent="0.2">
      <c r="A1593" s="11">
        <v>46048</v>
      </c>
      <c r="B1593" s="53" t="s">
        <v>2423</v>
      </c>
      <c r="C1593" s="52" t="str">
        <f>IF(MID(B1593,4,2)="09","Ramadan",IF(AND(MID(B1593,4,2)="12",VALUE(LEFT(B1593,2))&lt;=9),"Adha Season","Normal"))</f>
        <v>Normal</v>
      </c>
      <c r="D1593" s="2" t="s">
        <v>294</v>
      </c>
      <c r="F1593" s="4" t="s">
        <v>165</v>
      </c>
      <c r="G1593" s="1">
        <v>60</v>
      </c>
      <c r="H1593">
        <v>60</v>
      </c>
      <c r="I1593">
        <f>grand[[#This Row],[number]]-grand[[#This Row],[received]]</f>
        <v>0</v>
      </c>
      <c r="J1593" s="30"/>
      <c r="K1593" s="2">
        <v>3281</v>
      </c>
      <c r="L1593" s="2">
        <v>3281</v>
      </c>
      <c r="M1593" s="2">
        <f>K1593-L1593</f>
        <v>0</v>
      </c>
      <c r="N1593" s="2">
        <v>1953.7</v>
      </c>
      <c r="O1593" s="2">
        <v>0</v>
      </c>
      <c r="P1593" s="7">
        <f>grand[[#This Row],[total weight]]/grand[[#This Row],[received]]</f>
        <v>54.68333333333333</v>
      </c>
      <c r="Q1593" s="7">
        <f>grand[[#This Row],[receiving weight]]/grand[[#This Row],[received]]</f>
        <v>54.68333333333333</v>
      </c>
      <c r="R1593" s="7">
        <f>grand[[#This Row],[transportation loss ]]/grand[[#This Row],[received]]</f>
        <v>0</v>
      </c>
      <c r="S1593" s="7">
        <f>grand[[#This Row],[ carcass weight]]/grand[[#This Row],[received]]</f>
        <v>32.561666666666667</v>
      </c>
      <c r="T1593" s="7">
        <f>grand[[#This Row],[ kidneys fat quantity]]/grand[[#This Row],[received]]</f>
        <v>0</v>
      </c>
      <c r="U1593">
        <v>25</v>
      </c>
      <c r="V1593">
        <v>0</v>
      </c>
      <c r="W1593">
        <v>48.366666666666674</v>
      </c>
      <c r="X1593">
        <v>10</v>
      </c>
      <c r="Y1593">
        <v>8.5</v>
      </c>
      <c r="Z1593" s="18">
        <f>grand[[#This Row],[av. Transportation loss]]/grand[[#This Row],[av.total weight]]</f>
        <v>0</v>
      </c>
      <c r="AA1593" s="18">
        <f>AVERAGE((grand[[#This Row],[am]]/25),(grand[[#This Row],[pm]]/50))</f>
        <v>0.98366666666666669</v>
      </c>
      <c r="AB1593" s="3">
        <f>grand[[#This Row],[ carcass weight]]/grand[[#This Row],[total weight]]</f>
        <v>0.59545870161536119</v>
      </c>
      <c r="AC1593" s="18">
        <f>SUM(grand[[#This Row],[am]:[meat transportation]])/100</f>
        <v>0.91866666666666674</v>
      </c>
      <c r="AD1593" s="2" t="s">
        <v>903</v>
      </c>
      <c r="AE1593" s="2"/>
      <c r="AF1593" s="2"/>
      <c r="AG1593" s="2"/>
      <c r="AH1593" s="2"/>
      <c r="AI1593" s="2"/>
      <c r="AJ1593" s="2">
        <v>0</v>
      </c>
      <c r="AK1593" s="1"/>
      <c r="AL1593" s="1"/>
    </row>
    <row r="1594" spans="1:38" x14ac:dyDescent="0.2">
      <c r="A1594" s="11">
        <v>46048</v>
      </c>
      <c r="B1594" s="53" t="s">
        <v>2423</v>
      </c>
      <c r="C1594" s="52" t="str">
        <f>IF(MID(B1594,4,2)="09","Ramadan",IF(AND(MID(B1594,4,2)="12",VALUE(LEFT(B1594,2))&lt;=9),"Adha Season","Normal"))</f>
        <v>Normal</v>
      </c>
      <c r="D1594" s="1" t="s">
        <v>45</v>
      </c>
      <c r="F1594" s="4" t="s">
        <v>165</v>
      </c>
      <c r="G1594" s="1">
        <v>20</v>
      </c>
      <c r="H1594">
        <v>19</v>
      </c>
      <c r="I1594">
        <f>grand[[#This Row],[number]]-grand[[#This Row],[received]]</f>
        <v>1</v>
      </c>
      <c r="J1594" s="64" t="s">
        <v>928</v>
      </c>
      <c r="K1594" s="2">
        <v>10476</v>
      </c>
      <c r="L1594" s="2">
        <v>10476</v>
      </c>
      <c r="M1594" s="2">
        <f>K1594-L1594</f>
        <v>0</v>
      </c>
      <c r="N1594" s="2">
        <v>6285.6</v>
      </c>
      <c r="O1594" s="2">
        <v>230</v>
      </c>
      <c r="P1594" s="7">
        <f>grand[[#This Row],[total weight]]/grand[[#This Row],[received]]</f>
        <v>551.36842105263156</v>
      </c>
      <c r="Q1594" s="7">
        <f>grand[[#This Row],[receiving weight]]/grand[[#This Row],[received]]</f>
        <v>551.36842105263156</v>
      </c>
      <c r="R1594" s="7">
        <f>grand[[#This Row],[transportation loss ]]/grand[[#This Row],[received]]</f>
        <v>0</v>
      </c>
      <c r="S1594" s="7">
        <f>grand[[#This Row],[ carcass weight]]/grand[[#This Row],[received]]</f>
        <v>330.82105263157899</v>
      </c>
      <c r="T1594" s="7">
        <f>grand[[#This Row],[ kidneys fat quantity]]/grand[[#This Row],[received]]</f>
        <v>12.105263157894736</v>
      </c>
      <c r="U1594">
        <v>23.105263157894736</v>
      </c>
      <c r="V1594">
        <v>0</v>
      </c>
      <c r="W1594">
        <v>45.052631578947363</v>
      </c>
      <c r="X1594">
        <v>10</v>
      </c>
      <c r="Y1594">
        <v>8.5</v>
      </c>
      <c r="Z1594" s="18">
        <f>grand[[#This Row],[av. Transportation loss]]/grand[[#This Row],[av.total weight]]</f>
        <v>0</v>
      </c>
      <c r="AA1594" s="18">
        <f>AVERAGE((grand[[#This Row],[am]]/25),(grand[[#This Row],[pm]]/50))</f>
        <v>0.91263157894736835</v>
      </c>
      <c r="AB1594" s="3">
        <f>grand[[#This Row],[ carcass weight]]/grand[[#This Row],[total weight]]</f>
        <v>0.60000000000000009</v>
      </c>
      <c r="AC1594" s="18">
        <f>SUM(grand[[#This Row],[am]:[meat transportation]])/100</f>
        <v>0.866578947368421</v>
      </c>
      <c r="AD1594" s="2" t="s">
        <v>902</v>
      </c>
      <c r="AE1594" s="2"/>
      <c r="AF1594" s="2"/>
      <c r="AG1594" s="2"/>
      <c r="AH1594" s="2"/>
      <c r="AI1594" s="2"/>
      <c r="AJ1594" s="2">
        <v>14</v>
      </c>
      <c r="AK1594" s="1"/>
      <c r="AL1594" s="1"/>
    </row>
    <row r="1595" spans="1:38" x14ac:dyDescent="0.2">
      <c r="A1595" s="11">
        <v>46048</v>
      </c>
      <c r="B1595" s="53" t="s">
        <v>2423</v>
      </c>
      <c r="C1595" s="52" t="str">
        <f>IF(MID(B1595,4,2)="09","Ramadan",IF(AND(MID(B1595,4,2)="12",VALUE(LEFT(B1595,2))&lt;=9),"Adha Season","Normal"))</f>
        <v>Normal</v>
      </c>
      <c r="D1595" s="1" t="s">
        <v>45</v>
      </c>
      <c r="F1595" s="4" t="s">
        <v>884</v>
      </c>
      <c r="G1595" s="1">
        <v>46</v>
      </c>
      <c r="H1595">
        <v>45</v>
      </c>
      <c r="I1595">
        <f>grand[[#This Row],[number]]-grand[[#This Row],[received]]</f>
        <v>1</v>
      </c>
      <c r="J1595" s="64" t="s">
        <v>935</v>
      </c>
      <c r="K1595" s="2">
        <v>19918</v>
      </c>
      <c r="L1595" s="2">
        <v>19918</v>
      </c>
      <c r="M1595" s="2">
        <f>K1595-L1595</f>
        <v>0</v>
      </c>
      <c r="N1595" s="2">
        <v>12038.3</v>
      </c>
      <c r="O1595" s="2">
        <v>324</v>
      </c>
      <c r="P1595" s="7">
        <f>grand[[#This Row],[total weight]]/grand[[#This Row],[received]]</f>
        <v>442.62222222222221</v>
      </c>
      <c r="Q1595" s="7">
        <f>grand[[#This Row],[receiving weight]]/grand[[#This Row],[received]]</f>
        <v>442.62222222222221</v>
      </c>
      <c r="R1595" s="7">
        <f>grand[[#This Row],[transportation loss ]]/grand[[#This Row],[received]]</f>
        <v>0</v>
      </c>
      <c r="S1595" s="7">
        <f>grand[[#This Row],[ carcass weight]]/grand[[#This Row],[received]]</f>
        <v>267.51777777777778</v>
      </c>
      <c r="T1595" s="7">
        <f>grand[[#This Row],[ kidneys fat quantity]]/grand[[#This Row],[received]]</f>
        <v>7.2</v>
      </c>
      <c r="U1595">
        <v>25</v>
      </c>
      <c r="V1595">
        <v>0</v>
      </c>
      <c r="W1595">
        <v>48.355555555555554</v>
      </c>
      <c r="X1595">
        <v>10</v>
      </c>
      <c r="Y1595">
        <v>8.5</v>
      </c>
      <c r="Z1595" s="18">
        <f>grand[[#This Row],[av. Transportation loss]]/grand[[#This Row],[av.total weight]]</f>
        <v>0</v>
      </c>
      <c r="AA1595" s="18">
        <f>AVERAGE((grand[[#This Row],[am]]/25),(grand[[#This Row],[pm]]/50))</f>
        <v>0.98355555555555552</v>
      </c>
      <c r="AB1595" s="3">
        <f>grand[[#This Row],[ carcass weight]]/grand[[#This Row],[total weight]]</f>
        <v>0.60439301134652068</v>
      </c>
      <c r="AC1595" s="18">
        <f>SUM(grand[[#This Row],[am]:[meat transportation]])/100</f>
        <v>0.91855555555555557</v>
      </c>
      <c r="AD1595" s="2" t="s">
        <v>904</v>
      </c>
      <c r="AE1595" s="2"/>
      <c r="AF1595" s="2"/>
      <c r="AG1595" s="2"/>
      <c r="AH1595" s="2"/>
      <c r="AI1595" s="2"/>
      <c r="AJ1595" s="2">
        <v>1</v>
      </c>
      <c r="AK1595" s="1"/>
      <c r="AL1595" s="1"/>
    </row>
    <row r="1596" spans="1:38" x14ac:dyDescent="0.2">
      <c r="A1596" s="11">
        <v>46049</v>
      </c>
      <c r="B1596" s="53" t="s">
        <v>2424</v>
      </c>
      <c r="C1596" s="52" t="str">
        <f>IF(MID(B1596,4,2)="09","Ramadan",IF(AND(MID(B1596,4,2)="12",VALUE(LEFT(B1596,2))&lt;=9),"Adha Season","Normal"))</f>
        <v>Normal</v>
      </c>
      <c r="D1596" s="1" t="s">
        <v>45</v>
      </c>
      <c r="F1596" s="4" t="s">
        <v>46</v>
      </c>
      <c r="G1596" s="1">
        <v>44</v>
      </c>
      <c r="H1596">
        <v>43</v>
      </c>
      <c r="I1596">
        <f>grand[[#This Row],[number]]-grand[[#This Row],[received]]</f>
        <v>1</v>
      </c>
      <c r="J1596" s="64" t="s">
        <v>934</v>
      </c>
      <c r="K1596" s="2">
        <v>21470</v>
      </c>
      <c r="L1596" s="2">
        <v>21470</v>
      </c>
      <c r="M1596" s="2">
        <f>K1596-L1596</f>
        <v>0</v>
      </c>
      <c r="N1596" s="2">
        <v>12882.7</v>
      </c>
      <c r="O1596" s="2">
        <v>475</v>
      </c>
      <c r="P1596" s="7">
        <f>grand[[#This Row],[total weight]]/grand[[#This Row],[received]]</f>
        <v>499.30232558139534</v>
      </c>
      <c r="Q1596" s="7">
        <f>grand[[#This Row],[receiving weight]]/grand[[#This Row],[received]]</f>
        <v>499.30232558139534</v>
      </c>
      <c r="R1596" s="7">
        <f>grand[[#This Row],[transportation loss ]]/grand[[#This Row],[received]]</f>
        <v>0</v>
      </c>
      <c r="S1596" s="7">
        <f>grand[[#This Row],[ carcass weight]]/grand[[#This Row],[received]]</f>
        <v>299.59767441860464</v>
      </c>
      <c r="T1596" s="7">
        <f>grand[[#This Row],[ kidneys fat quantity]]/grand[[#This Row],[received]]</f>
        <v>11.046511627906977</v>
      </c>
      <c r="U1596">
        <v>24.418604651162791</v>
      </c>
      <c r="V1596">
        <v>0</v>
      </c>
      <c r="W1596">
        <v>48.953488372093027</v>
      </c>
      <c r="X1596">
        <v>10</v>
      </c>
      <c r="Y1596">
        <v>8.5</v>
      </c>
      <c r="Z1596" s="18">
        <f>grand[[#This Row],[av. Transportation loss]]/grand[[#This Row],[av.total weight]]</f>
        <v>0</v>
      </c>
      <c r="AA1596" s="18">
        <f>AVERAGE((grand[[#This Row],[am]]/25),(grand[[#This Row],[pm]]/50))</f>
        <v>0.97790697674418614</v>
      </c>
      <c r="AB1596" s="3">
        <f>grand[[#This Row],[ carcass weight]]/grand[[#This Row],[total weight]]</f>
        <v>0.60003260363297628</v>
      </c>
      <c r="AC1596" s="18">
        <f>SUM(grand[[#This Row],[am]:[meat transportation]])/100</f>
        <v>0.91872093023255819</v>
      </c>
      <c r="AD1596" s="2" t="s">
        <v>905</v>
      </c>
      <c r="AE1596" s="2"/>
      <c r="AF1596" s="2"/>
      <c r="AG1596" s="2"/>
      <c r="AH1596" s="2"/>
      <c r="AI1596" s="2"/>
      <c r="AJ1596" s="2">
        <v>18</v>
      </c>
      <c r="AK1596" s="1"/>
      <c r="AL1596" s="1"/>
    </row>
    <row r="1597" spans="1:38" hidden="1" x14ac:dyDescent="0.2">
      <c r="A1597" s="11">
        <v>46050</v>
      </c>
      <c r="B1597" s="53" t="s">
        <v>2425</v>
      </c>
      <c r="C1597" s="52" t="str">
        <f>IF(MID(B1597,4,2)="09","Ramadan",IF(AND(MID(B1597,4,2)="12",VALUE(LEFT(B1597,2))&lt;=9),"Adha Season","Normal"))</f>
        <v>Normal</v>
      </c>
      <c r="D1597" s="1" t="s">
        <v>45</v>
      </c>
      <c r="F1597" s="4" t="s">
        <v>954</v>
      </c>
      <c r="G1597" s="1">
        <v>45</v>
      </c>
      <c r="H1597">
        <v>45</v>
      </c>
      <c r="I1597">
        <f>grand[[#This Row],[number]]-grand[[#This Row],[received]]</f>
        <v>0</v>
      </c>
      <c r="J1597" s="30"/>
      <c r="K1597" s="2">
        <v>18986</v>
      </c>
      <c r="L1597" s="2">
        <v>18986</v>
      </c>
      <c r="M1597" s="2">
        <f>K1597-L1597</f>
        <v>0</v>
      </c>
      <c r="N1597" s="2">
        <v>11457.4</v>
      </c>
      <c r="O1597" s="2">
        <v>342</v>
      </c>
      <c r="P1597" s="7">
        <f>grand[[#This Row],[total weight]]/grand[[#This Row],[received]]</f>
        <v>421.9111111111111</v>
      </c>
      <c r="Q1597" s="7">
        <f>grand[[#This Row],[receiving weight]]/grand[[#This Row],[received]]</f>
        <v>421.9111111111111</v>
      </c>
      <c r="R1597" s="7">
        <f>grand[[#This Row],[transportation loss ]]/grand[[#This Row],[received]]</f>
        <v>0</v>
      </c>
      <c r="S1597" s="7">
        <f>grand[[#This Row],[ carcass weight]]/grand[[#This Row],[received]]</f>
        <v>254.60888888888888</v>
      </c>
      <c r="T1597" s="7">
        <f>grand[[#This Row],[ kidneys fat quantity]]/grand[[#This Row],[received]]</f>
        <v>7.6</v>
      </c>
      <c r="U1597">
        <v>24.911111111111111</v>
      </c>
      <c r="V1597">
        <v>0</v>
      </c>
      <c r="W1597">
        <v>47.955555555555549</v>
      </c>
      <c r="X1597">
        <v>10</v>
      </c>
      <c r="Y1597">
        <v>8.5</v>
      </c>
      <c r="Z1597" s="18">
        <f>grand[[#This Row],[av. Transportation loss]]/grand[[#This Row],[av.total weight]]</f>
        <v>0</v>
      </c>
      <c r="AA1597" s="18">
        <f>AVERAGE((grand[[#This Row],[am]]/25),(grand[[#This Row],[pm]]/50))</f>
        <v>0.97777777777777775</v>
      </c>
      <c r="AB1597" s="3">
        <f>grand[[#This Row],[ carcass weight]]/grand[[#This Row],[total weight]]</f>
        <v>0.60346571157695139</v>
      </c>
      <c r="AC1597" s="18">
        <f>SUM(grand[[#This Row],[am]:[meat transportation]])/100</f>
        <v>0.91366666666666663</v>
      </c>
      <c r="AD1597" s="2" t="s">
        <v>906</v>
      </c>
      <c r="AE1597" s="2"/>
      <c r="AF1597" s="2"/>
      <c r="AG1597" s="2"/>
      <c r="AH1597" s="2"/>
      <c r="AI1597" s="2"/>
      <c r="AJ1597" s="2">
        <v>0</v>
      </c>
      <c r="AK1597" s="1"/>
      <c r="AL1597" s="1"/>
    </row>
    <row r="1598" spans="1:38" hidden="1" x14ac:dyDescent="0.2">
      <c r="A1598" s="11">
        <v>46050</v>
      </c>
      <c r="B1598" s="53" t="s">
        <v>2425</v>
      </c>
      <c r="C1598" s="52" t="str">
        <f>IF(MID(B1598,4,2)="09","Ramadan",IF(AND(MID(B1598,4,2)="12",VALUE(LEFT(B1598,2))&lt;=9),"Adha Season","Normal"))</f>
        <v>Normal</v>
      </c>
      <c r="D1598" s="2" t="s">
        <v>294</v>
      </c>
      <c r="F1598" s="4" t="s">
        <v>165</v>
      </c>
      <c r="G1598" s="1">
        <v>28</v>
      </c>
      <c r="H1598">
        <v>28</v>
      </c>
      <c r="I1598">
        <f>grand[[#This Row],[number]]-grand[[#This Row],[received]]</f>
        <v>0</v>
      </c>
      <c r="J1598" s="30"/>
      <c r="K1598" s="2">
        <v>1480</v>
      </c>
      <c r="L1598" s="2">
        <v>1480</v>
      </c>
      <c r="M1598" s="2">
        <f>K1598-L1598</f>
        <v>0</v>
      </c>
      <c r="N1598" s="2">
        <v>850.1</v>
      </c>
      <c r="O1598" s="2">
        <v>0</v>
      </c>
      <c r="P1598" s="7">
        <f>grand[[#This Row],[total weight]]/grand[[#This Row],[received]]</f>
        <v>52.857142857142854</v>
      </c>
      <c r="Q1598" s="7">
        <f>grand[[#This Row],[receiving weight]]/grand[[#This Row],[received]]</f>
        <v>52.857142857142854</v>
      </c>
      <c r="R1598" s="7">
        <f>grand[[#This Row],[transportation loss ]]/grand[[#This Row],[received]]</f>
        <v>0</v>
      </c>
      <c r="S1598" s="7">
        <f>grand[[#This Row],[ carcass weight]]/grand[[#This Row],[received]]</f>
        <v>30.360714285714288</v>
      </c>
      <c r="T1598" s="7">
        <f>grand[[#This Row],[ kidneys fat quantity]]/grand[[#This Row],[received]]</f>
        <v>0</v>
      </c>
      <c r="U1598">
        <v>25</v>
      </c>
      <c r="V1598">
        <v>0</v>
      </c>
      <c r="W1598">
        <v>49.428571428571431</v>
      </c>
      <c r="X1598">
        <v>10</v>
      </c>
      <c r="Y1598">
        <v>8.5</v>
      </c>
      <c r="Z1598" s="18">
        <f>grand[[#This Row],[av. Transportation loss]]/grand[[#This Row],[av.total weight]]</f>
        <v>0</v>
      </c>
      <c r="AA1598" s="18">
        <f>AVERAGE((grand[[#This Row],[am]]/25),(grand[[#This Row],[pm]]/50))</f>
        <v>0.99428571428571433</v>
      </c>
      <c r="AB1598" s="3">
        <f>grand[[#This Row],[ carcass weight]]/grand[[#This Row],[total weight]]</f>
        <v>0.57439189189189188</v>
      </c>
      <c r="AC1598" s="18">
        <f>SUM(grand[[#This Row],[am]:[meat transportation]])/100</f>
        <v>0.92928571428571427</v>
      </c>
      <c r="AD1598" s="2" t="s">
        <v>907</v>
      </c>
      <c r="AE1598" s="2"/>
      <c r="AF1598" s="2"/>
      <c r="AG1598" s="2"/>
      <c r="AH1598" s="2"/>
      <c r="AI1598" s="2"/>
      <c r="AJ1598" s="2">
        <v>0</v>
      </c>
      <c r="AK1598" s="1"/>
      <c r="AL1598" s="1"/>
    </row>
    <row r="1599" spans="1:38" hidden="1" x14ac:dyDescent="0.2">
      <c r="A1599" s="11">
        <v>46051</v>
      </c>
      <c r="B1599" s="53" t="s">
        <v>2426</v>
      </c>
      <c r="C1599" s="52" t="str">
        <f>IF(MID(B1599,4,2)="09","Ramadan",IF(AND(MID(B1599,4,2)="12",VALUE(LEFT(B1599,2))&lt;=9),"Adha Season","Normal"))</f>
        <v>Normal</v>
      </c>
      <c r="D1599" s="1" t="s">
        <v>45</v>
      </c>
      <c r="F1599" s="4" t="s">
        <v>954</v>
      </c>
      <c r="G1599" s="1">
        <v>84</v>
      </c>
      <c r="H1599">
        <v>84</v>
      </c>
      <c r="I1599">
        <f>grand[[#This Row],[number]]-grand[[#This Row],[received]]</f>
        <v>0</v>
      </c>
      <c r="J1599" s="30"/>
      <c r="K1599" s="2">
        <v>37014</v>
      </c>
      <c r="L1599" s="2">
        <v>37014</v>
      </c>
      <c r="M1599" s="2">
        <f>K1599-L1599</f>
        <v>0</v>
      </c>
      <c r="N1599" s="2">
        <v>22445.200000000001</v>
      </c>
      <c r="O1599" s="2">
        <v>627</v>
      </c>
      <c r="P1599" s="7">
        <f>grand[[#This Row],[total weight]]/grand[[#This Row],[received]]</f>
        <v>440.64285714285717</v>
      </c>
      <c r="Q1599" s="7">
        <f>grand[[#This Row],[receiving weight]]/grand[[#This Row],[received]]</f>
        <v>440.64285714285717</v>
      </c>
      <c r="R1599" s="7">
        <f>grand[[#This Row],[transportation loss ]]/grand[[#This Row],[received]]</f>
        <v>0</v>
      </c>
      <c r="S1599" s="7">
        <f>grand[[#This Row],[ carcass weight]]/grand[[#This Row],[received]]</f>
        <v>267.20476190476194</v>
      </c>
      <c r="T1599" s="7">
        <f>grand[[#This Row],[ kidneys fat quantity]]/grand[[#This Row],[received]]</f>
        <v>7.4642857142857144</v>
      </c>
      <c r="U1599">
        <v>24.988095238095237</v>
      </c>
      <c r="V1599">
        <v>0</v>
      </c>
      <c r="W1599">
        <v>48.339285714285715</v>
      </c>
      <c r="X1599">
        <v>10</v>
      </c>
      <c r="Y1599">
        <v>8.5</v>
      </c>
      <c r="Z1599" s="18">
        <f>grand[[#This Row],[av. Transportation loss]]/grand[[#This Row],[av.total weight]]</f>
        <v>0</v>
      </c>
      <c r="AA1599" s="18">
        <f>AVERAGE((grand[[#This Row],[am]]/25),(grand[[#This Row],[pm]]/50))</f>
        <v>0.98315476190476192</v>
      </c>
      <c r="AB1599" s="3">
        <f>grand[[#This Row],[ carcass weight]]/grand[[#This Row],[total weight]]</f>
        <v>0.60639757929432103</v>
      </c>
      <c r="AC1599" s="18">
        <f>SUM(grand[[#This Row],[am]:[meat transportation]])/100</f>
        <v>0.91827380952380944</v>
      </c>
      <c r="AD1599" s="2" t="s">
        <v>908</v>
      </c>
      <c r="AE1599" s="2"/>
      <c r="AF1599" s="2"/>
      <c r="AG1599" s="2"/>
      <c r="AH1599" s="2"/>
      <c r="AI1599" s="2"/>
      <c r="AJ1599" s="2">
        <v>0</v>
      </c>
      <c r="AK1599" s="1"/>
      <c r="AL1599" s="1"/>
    </row>
    <row r="1600" spans="1:38" hidden="1" x14ac:dyDescent="0.2">
      <c r="A1600" s="11">
        <v>46051</v>
      </c>
      <c r="B1600" s="53" t="s">
        <v>2426</v>
      </c>
      <c r="C1600" s="52" t="str">
        <f>IF(MID(B1600,4,2)="09","Ramadan",IF(AND(MID(B1600,4,2)="12",VALUE(LEFT(B1600,2))&lt;=9),"Adha Season","Normal"))</f>
        <v>Normal</v>
      </c>
      <c r="D1600" s="2" t="s">
        <v>294</v>
      </c>
      <c r="F1600" s="4" t="s">
        <v>165</v>
      </c>
      <c r="G1600" s="1">
        <v>38</v>
      </c>
      <c r="H1600">
        <v>38</v>
      </c>
      <c r="I1600">
        <f>grand[[#This Row],[number]]-grand[[#This Row],[received]]</f>
        <v>0</v>
      </c>
      <c r="J1600" s="30"/>
      <c r="K1600" s="2">
        <v>2007</v>
      </c>
      <c r="L1600" s="2">
        <v>2007</v>
      </c>
      <c r="M1600" s="2">
        <f>K1600-L1600</f>
        <v>0</v>
      </c>
      <c r="N1600" s="2">
        <v>1139.4000000000001</v>
      </c>
      <c r="O1600" s="2">
        <v>0</v>
      </c>
      <c r="P1600" s="7">
        <f>grand[[#This Row],[total weight]]/grand[[#This Row],[received]]</f>
        <v>52.815789473684212</v>
      </c>
      <c r="Q1600" s="7">
        <f>grand[[#This Row],[receiving weight]]/grand[[#This Row],[received]]</f>
        <v>52.815789473684212</v>
      </c>
      <c r="R1600" s="7">
        <f>grand[[#This Row],[transportation loss ]]/grand[[#This Row],[received]]</f>
        <v>0</v>
      </c>
      <c r="S1600" s="7">
        <f>grand[[#This Row],[ carcass weight]]/grand[[#This Row],[received]]</f>
        <v>29.984210526315792</v>
      </c>
      <c r="T1600" s="7">
        <f>grand[[#This Row],[ kidneys fat quantity]]/grand[[#This Row],[received]]</f>
        <v>0</v>
      </c>
      <c r="U1600">
        <v>25</v>
      </c>
      <c r="V1600">
        <v>0</v>
      </c>
      <c r="W1600">
        <v>49.526315789473685</v>
      </c>
      <c r="X1600">
        <v>10</v>
      </c>
      <c r="Y1600">
        <v>8.5</v>
      </c>
      <c r="Z1600" s="18">
        <f>grand[[#This Row],[av. Transportation loss]]/grand[[#This Row],[av.total weight]]</f>
        <v>0</v>
      </c>
      <c r="AA1600" s="18">
        <f>AVERAGE((grand[[#This Row],[am]]/25),(grand[[#This Row],[pm]]/50))</f>
        <v>0.99526315789473685</v>
      </c>
      <c r="AB1600" s="3">
        <f>grand[[#This Row],[ carcass weight]]/grand[[#This Row],[total weight]]</f>
        <v>0.56771300448430495</v>
      </c>
      <c r="AC1600" s="18">
        <f>SUM(grand[[#This Row],[am]:[meat transportation]])/100</f>
        <v>0.9302631578947369</v>
      </c>
      <c r="AD1600" s="2" t="s">
        <v>113</v>
      </c>
      <c r="AE1600" s="2"/>
      <c r="AF1600" s="2"/>
      <c r="AG1600" s="2"/>
      <c r="AH1600" s="2"/>
      <c r="AI1600" s="2"/>
      <c r="AJ1600" s="2">
        <v>0</v>
      </c>
      <c r="AK1600" s="1"/>
      <c r="AL1600" s="1"/>
    </row>
    <row r="1601" spans="1:38" hidden="1" x14ac:dyDescent="0.2">
      <c r="A1601" s="11">
        <v>46053</v>
      </c>
      <c r="B1601" s="53" t="s">
        <v>2427</v>
      </c>
      <c r="C1601" s="52" t="str">
        <f>IF(MID(B1601,4,2)="09","Ramadan",IF(AND(MID(B1601,4,2)="12",VALUE(LEFT(B1601,2))&lt;=9),"Adha Season","Normal"))</f>
        <v>Normal</v>
      </c>
      <c r="D1601" s="1" t="s">
        <v>45</v>
      </c>
      <c r="F1601" s="4" t="s">
        <v>954</v>
      </c>
      <c r="G1601" s="1">
        <v>60</v>
      </c>
      <c r="H1601">
        <v>60</v>
      </c>
      <c r="I1601">
        <f>grand[[#This Row],[number]]-grand[[#This Row],[received]]</f>
        <v>0</v>
      </c>
      <c r="J1601" s="30"/>
      <c r="K1601" s="2">
        <v>26699</v>
      </c>
      <c r="L1601" s="2">
        <v>26699</v>
      </c>
      <c r="M1601" s="2">
        <f>K1601-L1601</f>
        <v>0</v>
      </c>
      <c r="N1601" s="2">
        <v>16502.3</v>
      </c>
      <c r="O1601" s="2">
        <v>540</v>
      </c>
      <c r="P1601" s="7">
        <f>grand[[#This Row],[total weight]]/grand[[#This Row],[received]]</f>
        <v>444.98333333333335</v>
      </c>
      <c r="Q1601" s="7">
        <f>grand[[#This Row],[receiving weight]]/grand[[#This Row],[received]]</f>
        <v>444.98333333333335</v>
      </c>
      <c r="R1601" s="7">
        <f>grand[[#This Row],[transportation loss ]]/grand[[#This Row],[received]]</f>
        <v>0</v>
      </c>
      <c r="S1601" s="7">
        <f>grand[[#This Row],[ carcass weight]]/grand[[#This Row],[received]]</f>
        <v>275.0383333333333</v>
      </c>
      <c r="T1601" s="7">
        <f>grand[[#This Row],[ kidneys fat quantity]]/grand[[#This Row],[received]]</f>
        <v>9</v>
      </c>
      <c r="U1601">
        <v>25</v>
      </c>
      <c r="V1601">
        <v>0</v>
      </c>
      <c r="W1601">
        <v>49.45</v>
      </c>
      <c r="X1601">
        <v>10</v>
      </c>
      <c r="Y1601">
        <v>8.5</v>
      </c>
      <c r="Z1601" s="18">
        <f>grand[[#This Row],[av. Transportation loss]]/grand[[#This Row],[av.total weight]]</f>
        <v>0</v>
      </c>
      <c r="AA1601" s="18">
        <f>AVERAGE((grand[[#This Row],[am]]/25),(grand[[#This Row],[pm]]/50))</f>
        <v>0.99450000000000005</v>
      </c>
      <c r="AB1601" s="3">
        <f>grand[[#This Row],[ carcass weight]]/grand[[#This Row],[total weight]]</f>
        <v>0.61808681973107604</v>
      </c>
      <c r="AC1601" s="18">
        <f>SUM(grand[[#This Row],[am]:[meat transportation]])/100</f>
        <v>0.92949999999999999</v>
      </c>
      <c r="AD1601" s="2" t="s">
        <v>736</v>
      </c>
      <c r="AE1601" s="2"/>
      <c r="AF1601" s="2"/>
      <c r="AG1601" s="2"/>
      <c r="AH1601" s="2"/>
      <c r="AI1601" s="2"/>
      <c r="AJ1601" s="2">
        <v>0</v>
      </c>
      <c r="AK1601" s="1"/>
      <c r="AL1601" s="1"/>
    </row>
    <row r="1602" spans="1:38" hidden="1" x14ac:dyDescent="0.2">
      <c r="A1602" s="11">
        <v>46053</v>
      </c>
      <c r="B1602" s="53" t="s">
        <v>2427</v>
      </c>
      <c r="C1602" s="52" t="str">
        <f>IF(MID(B1602,4,2)="09","Ramadan",IF(AND(MID(B1602,4,2)="12",VALUE(LEFT(B1602,2))&lt;=9),"Adha Season","Normal"))</f>
        <v>Normal</v>
      </c>
      <c r="D1602" s="2" t="s">
        <v>294</v>
      </c>
      <c r="F1602" s="4" t="s">
        <v>165</v>
      </c>
      <c r="G1602" s="1">
        <v>38</v>
      </c>
      <c r="H1602">
        <v>37</v>
      </c>
      <c r="I1602">
        <f>grand[[#This Row],[number]]-grand[[#This Row],[received]]</f>
        <v>1</v>
      </c>
      <c r="J1602" s="64" t="s">
        <v>929</v>
      </c>
      <c r="K1602" s="2">
        <v>1968</v>
      </c>
      <c r="L1602" s="2">
        <v>1968</v>
      </c>
      <c r="M1602" s="2">
        <f>K1602-L1602</f>
        <v>0</v>
      </c>
      <c r="N1602" s="2">
        <v>1135</v>
      </c>
      <c r="O1602" s="2">
        <v>0</v>
      </c>
      <c r="P1602" s="7">
        <f>grand[[#This Row],[total weight]]/grand[[#This Row],[received]]</f>
        <v>53.189189189189186</v>
      </c>
      <c r="Q1602" s="7">
        <f>grand[[#This Row],[receiving weight]]/grand[[#This Row],[received]]</f>
        <v>53.189189189189186</v>
      </c>
      <c r="R1602" s="7">
        <f>grand[[#This Row],[transportation loss ]]/grand[[#This Row],[received]]</f>
        <v>0</v>
      </c>
      <c r="S1602" s="7">
        <f>grand[[#This Row],[ carcass weight]]/grand[[#This Row],[received]]</f>
        <v>30.675675675675677</v>
      </c>
      <c r="T1602" s="7">
        <f>grand[[#This Row],[ kidneys fat quantity]]/grand[[#This Row],[received]]</f>
        <v>0</v>
      </c>
      <c r="U1602">
        <v>25</v>
      </c>
      <c r="V1602">
        <v>0</v>
      </c>
      <c r="W1602">
        <v>49.108108108108112</v>
      </c>
      <c r="X1602">
        <v>10</v>
      </c>
      <c r="Y1602">
        <v>8.5</v>
      </c>
      <c r="Z1602" s="18">
        <f>grand[[#This Row],[av. Transportation loss]]/grand[[#This Row],[av.total weight]]</f>
        <v>0</v>
      </c>
      <c r="AA1602" s="18">
        <f>AVERAGE((grand[[#This Row],[am]]/25),(grand[[#This Row],[pm]]/50))</f>
        <v>0.99108108108108106</v>
      </c>
      <c r="AB1602" s="3">
        <f>grand[[#This Row],[ carcass weight]]/grand[[#This Row],[total weight]]</f>
        <v>0.57672764227642281</v>
      </c>
      <c r="AC1602" s="18">
        <f>SUM(grand[[#This Row],[am]:[meat transportation]])/100</f>
        <v>0.92608108108108111</v>
      </c>
      <c r="AD1602" s="2" t="s">
        <v>907</v>
      </c>
      <c r="AE1602" s="2"/>
      <c r="AF1602" s="2"/>
      <c r="AG1602" s="2"/>
      <c r="AH1602" s="2"/>
      <c r="AI1602" s="2"/>
      <c r="AJ1602" s="2">
        <v>0</v>
      </c>
      <c r="AK1602" s="1"/>
      <c r="AL1602" s="1"/>
    </row>
    <row r="1603" spans="1:38" x14ac:dyDescent="0.2">
      <c r="A1603" s="11">
        <v>46054</v>
      </c>
      <c r="B1603" s="53" t="s">
        <v>2428</v>
      </c>
      <c r="C1603" s="52" t="str">
        <f>IF(MID(B1603,4,2)="09","Ramadan",IF(AND(MID(B1603,4,2)="12",VALUE(LEFT(B1603,2))&lt;=9),"Adha Season","Normal"))</f>
        <v>Normal</v>
      </c>
      <c r="D1603" s="1" t="s">
        <v>45</v>
      </c>
      <c r="F1603" s="4" t="s">
        <v>165</v>
      </c>
      <c r="G1603" s="1">
        <v>77</v>
      </c>
      <c r="H1603">
        <v>75</v>
      </c>
      <c r="I1603">
        <f>grand[[#This Row],[number]]-grand[[#This Row],[received]]</f>
        <v>2</v>
      </c>
      <c r="J1603" s="64" t="s">
        <v>1006</v>
      </c>
      <c r="K1603" s="2">
        <v>38178</v>
      </c>
      <c r="L1603" s="2">
        <v>38178</v>
      </c>
      <c r="M1603" s="2">
        <f>K1603-L1603</f>
        <v>0</v>
      </c>
      <c r="N1603" s="2">
        <v>22906.799999999999</v>
      </c>
      <c r="O1603" s="2">
        <v>798</v>
      </c>
      <c r="P1603" s="7">
        <f>grand[[#This Row],[total weight]]/grand[[#This Row],[received]]</f>
        <v>509.04</v>
      </c>
      <c r="Q1603" s="7">
        <f>grand[[#This Row],[receiving weight]]/grand[[#This Row],[received]]</f>
        <v>509.04</v>
      </c>
      <c r="R1603" s="7">
        <f>grand[[#This Row],[transportation loss ]]/grand[[#This Row],[received]]</f>
        <v>0</v>
      </c>
      <c r="S1603" s="7">
        <f>grand[[#This Row],[ carcass weight]]/grand[[#This Row],[received]]</f>
        <v>305.42399999999998</v>
      </c>
      <c r="T1603" s="7">
        <f>grand[[#This Row],[ kidneys fat quantity]]/grand[[#This Row],[received]]</f>
        <v>10.64</v>
      </c>
      <c r="U1603">
        <v>24.8</v>
      </c>
      <c r="V1603">
        <v>0</v>
      </c>
      <c r="W1603">
        <v>48.720000000000006</v>
      </c>
      <c r="X1603">
        <v>10</v>
      </c>
      <c r="Y1603">
        <v>8.5</v>
      </c>
      <c r="Z1603" s="18">
        <f>grand[[#This Row],[av. Transportation loss]]/grand[[#This Row],[av.total weight]]</f>
        <v>0</v>
      </c>
      <c r="AA1603" s="18">
        <f>AVERAGE((grand[[#This Row],[am]]/25),(grand[[#This Row],[pm]]/50))</f>
        <v>0.98320000000000007</v>
      </c>
      <c r="AB1603" s="3">
        <f>grand[[#This Row],[ carcass weight]]/grand[[#This Row],[total weight]]</f>
        <v>0.6</v>
      </c>
      <c r="AC1603" s="18">
        <f>SUM(grand[[#This Row],[am]:[meat transportation]])/100</f>
        <v>0.92020000000000013</v>
      </c>
      <c r="AD1603" s="2" t="s">
        <v>958</v>
      </c>
      <c r="AE1603" s="2"/>
      <c r="AF1603" s="2"/>
      <c r="AG1603" s="2"/>
      <c r="AH1603" s="2"/>
      <c r="AI1603" s="2"/>
      <c r="AJ1603" s="2">
        <v>10</v>
      </c>
    </row>
    <row r="1604" spans="1:38" hidden="1" x14ac:dyDescent="0.2">
      <c r="A1604" s="11">
        <v>46055</v>
      </c>
      <c r="B1604" s="53" t="s">
        <v>2429</v>
      </c>
      <c r="C1604" s="52" t="str">
        <f>IF(MID(B1604,4,2)="09","Ramadan",IF(AND(MID(B1604,4,2)="12",VALUE(LEFT(B1604,2))&lt;=9),"Adha Season","Normal"))</f>
        <v>Normal</v>
      </c>
      <c r="D1604" s="2" t="s">
        <v>294</v>
      </c>
      <c r="F1604" s="4" t="s">
        <v>165</v>
      </c>
      <c r="G1604" s="1">
        <v>36</v>
      </c>
      <c r="H1604">
        <v>36</v>
      </c>
      <c r="I1604">
        <f>grand[[#This Row],[number]]-grand[[#This Row],[received]]</f>
        <v>0</v>
      </c>
      <c r="J1604" s="30"/>
      <c r="K1604" s="2">
        <v>1943</v>
      </c>
      <c r="L1604" s="2">
        <v>1943</v>
      </c>
      <c r="M1604" s="2">
        <f>K1604-L1604</f>
        <v>0</v>
      </c>
      <c r="N1604" s="2">
        <v>1166.4000000000001</v>
      </c>
      <c r="O1604" s="2">
        <v>0</v>
      </c>
      <c r="P1604" s="7">
        <f>grand[[#This Row],[total weight]]/grand[[#This Row],[received]]</f>
        <v>53.972222222222221</v>
      </c>
      <c r="Q1604" s="7">
        <f>grand[[#This Row],[receiving weight]]/grand[[#This Row],[received]]</f>
        <v>53.972222222222221</v>
      </c>
      <c r="R1604" s="7">
        <f>grand[[#This Row],[transportation loss ]]/grand[[#This Row],[received]]</f>
        <v>0</v>
      </c>
      <c r="S1604" s="7">
        <f>grand[[#This Row],[ carcass weight]]/grand[[#This Row],[received]]</f>
        <v>32.400000000000006</v>
      </c>
      <c r="T1604" s="7">
        <f>grand[[#This Row],[ kidneys fat quantity]]/grand[[#This Row],[received]]</f>
        <v>0</v>
      </c>
      <c r="U1604">
        <v>25</v>
      </c>
      <c r="V1604">
        <v>0</v>
      </c>
      <c r="W1604">
        <v>48.249999999999993</v>
      </c>
      <c r="X1604">
        <v>10</v>
      </c>
      <c r="Y1604">
        <v>8.5</v>
      </c>
      <c r="Z1604" s="18">
        <f>grand[[#This Row],[av. Transportation loss]]/grand[[#This Row],[av.total weight]]</f>
        <v>0</v>
      </c>
      <c r="AA1604" s="18">
        <f>AVERAGE((grand[[#This Row],[am]]/25),(grand[[#This Row],[pm]]/50))</f>
        <v>0.98249999999999993</v>
      </c>
      <c r="AB1604" s="3">
        <f>grand[[#This Row],[ carcass weight]]/grand[[#This Row],[total weight]]</f>
        <v>0.60030880082346894</v>
      </c>
      <c r="AC1604" s="18">
        <f>SUM(grand[[#This Row],[am]:[meat transportation]])/100</f>
        <v>0.91749999999999998</v>
      </c>
      <c r="AD1604" s="2" t="s">
        <v>980</v>
      </c>
      <c r="AE1604" s="2"/>
      <c r="AF1604" s="2"/>
      <c r="AG1604" s="2"/>
      <c r="AH1604" s="2"/>
      <c r="AI1604" s="2"/>
      <c r="AJ1604" s="2">
        <v>0</v>
      </c>
    </row>
    <row r="1605" spans="1:38" x14ac:dyDescent="0.2">
      <c r="A1605" s="11">
        <v>46055</v>
      </c>
      <c r="B1605" s="53" t="s">
        <v>2429</v>
      </c>
      <c r="C1605" s="52" t="str">
        <f>IF(MID(B1605,4,2)="09","Ramadan",IF(AND(MID(B1605,4,2)="12",VALUE(LEFT(B1605,2))&lt;=9),"Adha Season","Normal"))</f>
        <v>Normal</v>
      </c>
      <c r="D1605" s="1" t="s">
        <v>45</v>
      </c>
      <c r="E1605" s="1" t="s">
        <v>483</v>
      </c>
      <c r="F1605" s="4" t="s">
        <v>815</v>
      </c>
      <c r="G1605" s="1">
        <v>65</v>
      </c>
      <c r="H1605">
        <v>64</v>
      </c>
      <c r="I1605">
        <f>grand[[#This Row],[number]]-grand[[#This Row],[received]]</f>
        <v>1</v>
      </c>
      <c r="J1605" s="64" t="s">
        <v>1007</v>
      </c>
      <c r="K1605" s="2">
        <v>29567</v>
      </c>
      <c r="L1605" s="2">
        <v>29567</v>
      </c>
      <c r="M1605" s="2">
        <f>K1605-L1605</f>
        <v>0</v>
      </c>
      <c r="N1605" s="2">
        <v>18438.3</v>
      </c>
      <c r="O1605" s="2">
        <v>455</v>
      </c>
      <c r="P1605" s="7">
        <f>grand[[#This Row],[total weight]]/grand[[#This Row],[received]]</f>
        <v>461.984375</v>
      </c>
      <c r="Q1605" s="7">
        <f>grand[[#This Row],[receiving weight]]/grand[[#This Row],[received]]</f>
        <v>461.984375</v>
      </c>
      <c r="R1605" s="7">
        <f>grand[[#This Row],[transportation loss ]]/grand[[#This Row],[received]]</f>
        <v>0</v>
      </c>
      <c r="S1605" s="7">
        <f>grand[[#This Row],[ carcass weight]]/grand[[#This Row],[received]]</f>
        <v>288.09843749999999</v>
      </c>
      <c r="T1605" s="7">
        <f>grand[[#This Row],[ kidneys fat quantity]]/grand[[#This Row],[received]]</f>
        <v>7.109375</v>
      </c>
      <c r="U1605">
        <v>25</v>
      </c>
      <c r="V1605">
        <v>0</v>
      </c>
      <c r="W1605">
        <v>47.875</v>
      </c>
      <c r="X1605">
        <v>10</v>
      </c>
      <c r="Y1605">
        <v>8.5</v>
      </c>
      <c r="Z1605" s="18">
        <f>grand[[#This Row],[av. Transportation loss]]/grand[[#This Row],[av.total weight]]</f>
        <v>0</v>
      </c>
      <c r="AA1605" s="18">
        <f>AVERAGE((grand[[#This Row],[am]]/25),(grand[[#This Row],[pm]]/50))</f>
        <v>0.97875000000000001</v>
      </c>
      <c r="AB1605" s="3">
        <f>grand[[#This Row],[ carcass weight]]/grand[[#This Row],[total weight]]</f>
        <v>0.6236107822910677</v>
      </c>
      <c r="AC1605" s="18">
        <f>SUM(grand[[#This Row],[am]:[meat transportation]])/100</f>
        <v>0.91374999999999995</v>
      </c>
      <c r="AD1605" s="2" t="s">
        <v>979</v>
      </c>
      <c r="AE1605" s="2"/>
      <c r="AF1605" s="2"/>
      <c r="AG1605" s="2"/>
      <c r="AH1605" s="2"/>
      <c r="AI1605" s="2"/>
      <c r="AJ1605" s="2">
        <v>0</v>
      </c>
    </row>
    <row r="1606" spans="1:38" hidden="1" x14ac:dyDescent="0.2">
      <c r="A1606" s="11">
        <v>46056</v>
      </c>
      <c r="B1606" s="53" t="s">
        <v>2430</v>
      </c>
      <c r="C1606" s="52" t="str">
        <f>IF(MID(B1606,4,2)="09","Ramadan",IF(AND(MID(B1606,4,2)="12",VALUE(LEFT(B1606,2))&lt;=9),"Adha Season","Normal"))</f>
        <v>Normal</v>
      </c>
      <c r="D1606" s="1" t="s">
        <v>45</v>
      </c>
      <c r="F1606" s="4" t="s">
        <v>954</v>
      </c>
      <c r="G1606" s="1">
        <v>75</v>
      </c>
      <c r="H1606">
        <v>75</v>
      </c>
      <c r="I1606">
        <f>grand[[#This Row],[number]]-grand[[#This Row],[received]]</f>
        <v>0</v>
      </c>
      <c r="J1606" s="30"/>
      <c r="K1606" s="2">
        <v>33294</v>
      </c>
      <c r="L1606" s="2">
        <v>33294</v>
      </c>
      <c r="M1606" s="2">
        <f>K1606-L1606</f>
        <v>0</v>
      </c>
      <c r="N1606" s="2">
        <v>20232.599999999999</v>
      </c>
      <c r="O1606" s="2">
        <v>577</v>
      </c>
      <c r="P1606" s="7">
        <f>grand[[#This Row],[total weight]]/grand[[#This Row],[received]]</f>
        <v>443.92</v>
      </c>
      <c r="Q1606" s="7">
        <f>grand[[#This Row],[receiving weight]]/grand[[#This Row],[received]]</f>
        <v>443.92</v>
      </c>
      <c r="R1606" s="7">
        <f>grand[[#This Row],[transportation loss ]]/grand[[#This Row],[received]]</f>
        <v>0</v>
      </c>
      <c r="S1606" s="7">
        <f>grand[[#This Row],[ carcass weight]]/grand[[#This Row],[received]]</f>
        <v>269.76799999999997</v>
      </c>
      <c r="T1606" s="7">
        <f>grand[[#This Row],[ kidneys fat quantity]]/grand[[#This Row],[received]]</f>
        <v>7.6933333333333334</v>
      </c>
      <c r="U1606">
        <v>24.986666666666668</v>
      </c>
      <c r="V1606">
        <v>0</v>
      </c>
      <c r="W1606">
        <v>48.62</v>
      </c>
      <c r="X1606">
        <v>10</v>
      </c>
      <c r="Y1606">
        <v>8.5</v>
      </c>
      <c r="Z1606" s="18">
        <f>grand[[#This Row],[av. Transportation loss]]/grand[[#This Row],[av.total weight]]</f>
        <v>0</v>
      </c>
      <c r="AA1606" s="18">
        <f>AVERAGE((grand[[#This Row],[am]]/25),(grand[[#This Row],[pm]]/50))</f>
        <v>0.98593333333333333</v>
      </c>
      <c r="AB1606" s="3">
        <f>grand[[#This Row],[ carcass weight]]/grand[[#This Row],[total weight]]</f>
        <v>0.60769508019462959</v>
      </c>
      <c r="AC1606" s="18">
        <f>SUM(grand[[#This Row],[am]:[meat transportation]])/100</f>
        <v>0.9210666666666667</v>
      </c>
      <c r="AD1606" s="2" t="s">
        <v>995</v>
      </c>
      <c r="AE1606" s="2"/>
      <c r="AF1606" s="2"/>
      <c r="AG1606" s="2"/>
      <c r="AH1606" s="2"/>
      <c r="AI1606" s="2"/>
      <c r="AJ1606" s="2">
        <v>0</v>
      </c>
    </row>
    <row r="1607" spans="1:38" hidden="1" x14ac:dyDescent="0.2">
      <c r="A1607" s="11">
        <v>46057</v>
      </c>
      <c r="B1607" s="53" t="s">
        <v>2431</v>
      </c>
      <c r="C1607" s="52" t="str">
        <f>IF(MID(B1607,4,2)="09","Ramadan",IF(AND(MID(B1607,4,2)="12",VALUE(LEFT(B1607,2))&lt;=9),"Adha Season","Normal"))</f>
        <v>Normal</v>
      </c>
      <c r="D1607" s="1" t="s">
        <v>45</v>
      </c>
      <c r="F1607" s="4" t="s">
        <v>954</v>
      </c>
      <c r="G1607" s="1">
        <v>70</v>
      </c>
      <c r="H1607">
        <v>70</v>
      </c>
      <c r="I1607">
        <f>grand[[#This Row],[number]]-grand[[#This Row],[received]]</f>
        <v>0</v>
      </c>
      <c r="J1607" s="30"/>
      <c r="K1607" s="2">
        <v>31059</v>
      </c>
      <c r="L1607" s="2">
        <v>31059</v>
      </c>
      <c r="M1607" s="2">
        <f>K1607-L1607</f>
        <v>0</v>
      </c>
      <c r="N1607" s="2">
        <v>19077.3</v>
      </c>
      <c r="O1607" s="2">
        <v>546</v>
      </c>
      <c r="P1607" s="7">
        <f>grand[[#This Row],[total weight]]/grand[[#This Row],[received]]</f>
        <v>443.7</v>
      </c>
      <c r="Q1607" s="7">
        <f>grand[[#This Row],[receiving weight]]/grand[[#This Row],[received]]</f>
        <v>443.7</v>
      </c>
      <c r="R1607" s="7">
        <f>grand[[#This Row],[transportation loss ]]/grand[[#This Row],[received]]</f>
        <v>0</v>
      </c>
      <c r="S1607" s="7">
        <f>grand[[#This Row],[ carcass weight]]/grand[[#This Row],[received]]</f>
        <v>272.53285714285715</v>
      </c>
      <c r="T1607" s="7">
        <f>grand[[#This Row],[ kidneys fat quantity]]/grand[[#This Row],[received]]</f>
        <v>7.8</v>
      </c>
      <c r="U1607">
        <v>25</v>
      </c>
      <c r="V1607">
        <v>0</v>
      </c>
      <c r="W1607">
        <v>48.714285714285715</v>
      </c>
      <c r="X1607">
        <v>10</v>
      </c>
      <c r="Y1607">
        <v>8.5</v>
      </c>
      <c r="Z1607" s="18">
        <f>grand[[#This Row],[av. Transportation loss]]/grand[[#This Row],[av.total weight]]</f>
        <v>0</v>
      </c>
      <c r="AA1607" s="18">
        <f>AVERAGE((grand[[#This Row],[am]]/25),(grand[[#This Row],[pm]]/50))</f>
        <v>0.9871428571428571</v>
      </c>
      <c r="AB1607" s="3">
        <f>grand[[#This Row],[ carcass weight]]/grand[[#This Row],[total weight]]</f>
        <v>0.61422776006954505</v>
      </c>
      <c r="AC1607" s="18">
        <f>SUM(grand[[#This Row],[am]:[meat transportation]])/100</f>
        <v>0.92214285714285726</v>
      </c>
      <c r="AD1607" s="2" t="s">
        <v>997</v>
      </c>
      <c r="AE1607" s="2"/>
      <c r="AF1607" s="2"/>
      <c r="AG1607" s="2"/>
      <c r="AH1607" s="2"/>
      <c r="AI1607" s="2"/>
      <c r="AJ1607" s="2">
        <v>0</v>
      </c>
    </row>
    <row r="1608" spans="1:38" hidden="1" x14ac:dyDescent="0.2">
      <c r="A1608" s="11">
        <v>46057</v>
      </c>
      <c r="B1608" s="53" t="s">
        <v>2431</v>
      </c>
      <c r="C1608" s="52" t="str">
        <f>IF(MID(B1608,4,2)="09","Ramadan",IF(AND(MID(B1608,4,2)="12",VALUE(LEFT(B1608,2))&lt;=9),"Adha Season","Normal"))</f>
        <v>Normal</v>
      </c>
      <c r="D1608" s="2" t="s">
        <v>294</v>
      </c>
      <c r="F1608" s="4" t="s">
        <v>165</v>
      </c>
      <c r="G1608" s="1">
        <v>36</v>
      </c>
      <c r="H1608">
        <v>36</v>
      </c>
      <c r="I1608">
        <f>grand[[#This Row],[number]]-grand[[#This Row],[received]]</f>
        <v>0</v>
      </c>
      <c r="J1608" s="30"/>
      <c r="K1608" s="2">
        <v>2014</v>
      </c>
      <c r="L1608" s="2">
        <v>2014</v>
      </c>
      <c r="M1608" s="2">
        <f>K1608-L1608</f>
        <v>0</v>
      </c>
      <c r="N1608" s="2">
        <v>1215.3</v>
      </c>
      <c r="O1608" s="2">
        <v>0</v>
      </c>
      <c r="P1608" s="7">
        <f>grand[[#This Row],[total weight]]/grand[[#This Row],[received]]</f>
        <v>55.944444444444443</v>
      </c>
      <c r="Q1608" s="7">
        <f>grand[[#This Row],[receiving weight]]/grand[[#This Row],[received]]</f>
        <v>55.944444444444443</v>
      </c>
      <c r="R1608" s="7">
        <f>grand[[#This Row],[transportation loss ]]/grand[[#This Row],[received]]</f>
        <v>0</v>
      </c>
      <c r="S1608" s="7">
        <f>grand[[#This Row],[ carcass weight]]/grand[[#This Row],[received]]</f>
        <v>33.758333333333333</v>
      </c>
      <c r="T1608" s="7">
        <f>grand[[#This Row],[ kidneys fat quantity]]/grand[[#This Row],[received]]</f>
        <v>0</v>
      </c>
      <c r="U1608">
        <v>25</v>
      </c>
      <c r="V1608">
        <v>0</v>
      </c>
      <c r="W1608">
        <v>47.983333333333334</v>
      </c>
      <c r="X1608">
        <v>10</v>
      </c>
      <c r="Y1608">
        <v>8.5</v>
      </c>
      <c r="Z1608" s="18">
        <f>grand[[#This Row],[av. Transportation loss]]/grand[[#This Row],[av.total weight]]</f>
        <v>0</v>
      </c>
      <c r="AA1608" s="18">
        <f>AVERAGE((grand[[#This Row],[am]]/25),(grand[[#This Row],[pm]]/50))</f>
        <v>0.97983333333333333</v>
      </c>
      <c r="AB1608" s="3">
        <f>grand[[#This Row],[ carcass weight]]/grand[[#This Row],[total weight]]</f>
        <v>0.60342601787487582</v>
      </c>
      <c r="AC1608" s="18">
        <f>SUM(grand[[#This Row],[am]:[meat transportation]])/100</f>
        <v>0.91483333333333339</v>
      </c>
      <c r="AD1608" s="2" t="s">
        <v>996</v>
      </c>
      <c r="AE1608" s="2"/>
      <c r="AF1608" s="2"/>
      <c r="AG1608" s="2"/>
      <c r="AH1608" s="2"/>
      <c r="AI1608" s="2"/>
      <c r="AJ1608" s="2">
        <v>0</v>
      </c>
    </row>
    <row r="1609" spans="1:38" hidden="1" x14ac:dyDescent="0.2">
      <c r="A1609" s="11">
        <v>46058</v>
      </c>
      <c r="B1609" s="53" t="s">
        <v>2432</v>
      </c>
      <c r="C1609" s="52" t="str">
        <f>IF(MID(B1609,4,2)="09","Ramadan",IF(AND(MID(B1609,4,2)="12",VALUE(LEFT(B1609,2))&lt;=9),"Adha Season","Normal"))</f>
        <v>Normal</v>
      </c>
      <c r="D1609" s="2" t="s">
        <v>294</v>
      </c>
      <c r="F1609" s="4" t="s">
        <v>165</v>
      </c>
      <c r="G1609" s="1">
        <v>50</v>
      </c>
      <c r="H1609">
        <v>49</v>
      </c>
      <c r="I1609">
        <f>grand[[#This Row],[number]]-grand[[#This Row],[received]]</f>
        <v>1</v>
      </c>
      <c r="J1609" s="64" t="s">
        <v>1008</v>
      </c>
      <c r="K1609" s="2">
        <v>2575</v>
      </c>
      <c r="L1609" s="2">
        <v>2575</v>
      </c>
      <c r="M1609" s="2">
        <f>K1609-L1609</f>
        <v>0</v>
      </c>
      <c r="N1609" s="2">
        <v>1427</v>
      </c>
      <c r="O1609" s="2">
        <v>0</v>
      </c>
      <c r="P1609" s="7">
        <f>grand[[#This Row],[total weight]]/grand[[#This Row],[received]]</f>
        <v>52.551020408163268</v>
      </c>
      <c r="Q1609" s="7">
        <f>grand[[#This Row],[receiving weight]]/grand[[#This Row],[received]]</f>
        <v>52.551020408163268</v>
      </c>
      <c r="R1609" s="7">
        <f>grand[[#This Row],[transportation loss ]]/grand[[#This Row],[received]]</f>
        <v>0</v>
      </c>
      <c r="S1609" s="7">
        <f>grand[[#This Row],[ carcass weight]]/grand[[#This Row],[received]]</f>
        <v>29.122448979591837</v>
      </c>
      <c r="T1609" s="7">
        <f>grand[[#This Row],[ kidneys fat quantity]]/grand[[#This Row],[received]]</f>
        <v>0</v>
      </c>
      <c r="U1609">
        <v>25</v>
      </c>
      <c r="V1609">
        <v>0</v>
      </c>
      <c r="W1609">
        <v>45.204081632653057</v>
      </c>
      <c r="X1609">
        <v>10</v>
      </c>
      <c r="Y1609">
        <v>8.5</v>
      </c>
      <c r="Z1609" s="18">
        <f>grand[[#This Row],[av. Transportation loss]]/grand[[#This Row],[av.total weight]]</f>
        <v>0</v>
      </c>
      <c r="AA1609" s="18">
        <f>AVERAGE((grand[[#This Row],[am]]/25),(grand[[#This Row],[pm]]/50))</f>
        <v>0.95204081632653059</v>
      </c>
      <c r="AB1609" s="3">
        <f>grand[[#This Row],[ carcass weight]]/grand[[#This Row],[total weight]]</f>
        <v>0.55417475728155341</v>
      </c>
      <c r="AC1609" s="18">
        <f>SUM(grand[[#This Row],[am]:[meat transportation]])/100</f>
        <v>0.88704081632653053</v>
      </c>
      <c r="AD1609" s="2" t="s">
        <v>998</v>
      </c>
      <c r="AE1609" s="2"/>
      <c r="AF1609" s="2"/>
      <c r="AG1609" s="2"/>
      <c r="AH1609" s="2"/>
      <c r="AI1609" s="2"/>
      <c r="AJ1609" s="2">
        <v>0</v>
      </c>
    </row>
    <row r="1610" spans="1:38" x14ac:dyDescent="0.2">
      <c r="A1610" s="11">
        <v>46058</v>
      </c>
      <c r="B1610" s="53" t="s">
        <v>2432</v>
      </c>
      <c r="C1610" s="52" t="str">
        <f>IF(MID(B1610,4,2)="09","Ramadan",IF(AND(MID(B1610,4,2)="12",VALUE(LEFT(B1610,2))&lt;=9),"Adha Season","Normal"))</f>
        <v>Normal</v>
      </c>
      <c r="D1610" s="1" t="s">
        <v>45</v>
      </c>
      <c r="F1610" s="4" t="s">
        <v>757</v>
      </c>
      <c r="G1610" s="1">
        <v>45</v>
      </c>
      <c r="H1610">
        <v>41</v>
      </c>
      <c r="I1610">
        <f>grand[[#This Row],[number]]-grand[[#This Row],[received]]</f>
        <v>4</v>
      </c>
      <c r="J1610" s="64" t="s">
        <v>1149</v>
      </c>
      <c r="K1610" s="2">
        <v>25800</v>
      </c>
      <c r="L1610" s="2">
        <v>25800</v>
      </c>
      <c r="M1610" s="2">
        <f>K1610-L1610</f>
        <v>0</v>
      </c>
      <c r="N1610" s="2">
        <v>15493.6</v>
      </c>
      <c r="O1610" s="2">
        <v>441</v>
      </c>
      <c r="P1610" s="7">
        <f>grand[[#This Row],[total weight]]/grand[[#This Row],[received]]</f>
        <v>629.26829268292681</v>
      </c>
      <c r="Q1610" s="7">
        <f>grand[[#This Row],[receiving weight]]/grand[[#This Row],[received]]</f>
        <v>629.26829268292681</v>
      </c>
      <c r="R1610" s="7">
        <f>grand[[#This Row],[transportation loss ]]/grand[[#This Row],[received]]</f>
        <v>0</v>
      </c>
      <c r="S1610" s="7">
        <f>grand[[#This Row],[ carcass weight]]/grand[[#This Row],[received]]</f>
        <v>377.89268292682925</v>
      </c>
      <c r="T1610" s="7">
        <f>grand[[#This Row],[ kidneys fat quantity]]/grand[[#This Row],[received]]</f>
        <v>10.75609756097561</v>
      </c>
      <c r="U1610">
        <v>24.756097560975611</v>
      </c>
      <c r="V1610">
        <v>0</v>
      </c>
      <c r="W1610">
        <v>46.219512195121958</v>
      </c>
      <c r="X1610">
        <v>10</v>
      </c>
      <c r="Y1610">
        <v>8.5</v>
      </c>
      <c r="Z1610" s="18">
        <f>grand[[#This Row],[av. Transportation loss]]/grand[[#This Row],[av.total weight]]</f>
        <v>0</v>
      </c>
      <c r="AA1610" s="18">
        <f>AVERAGE((grand[[#This Row],[am]]/25),(grand[[#This Row],[pm]]/50))</f>
        <v>0.95731707317073189</v>
      </c>
      <c r="AB1610" s="3">
        <f>grand[[#This Row],[ carcass weight]]/grand[[#This Row],[total weight]]</f>
        <v>0.6005271317829457</v>
      </c>
      <c r="AC1610" s="18">
        <f>SUM(grand[[#This Row],[am]:[meat transportation]])/100</f>
        <v>0.89475609756097574</v>
      </c>
      <c r="AD1610" s="2" t="s">
        <v>999</v>
      </c>
      <c r="AE1610" s="2"/>
      <c r="AF1610" s="2"/>
      <c r="AG1610" s="2"/>
      <c r="AH1610" s="2"/>
      <c r="AI1610" s="2"/>
      <c r="AJ1610" s="2">
        <v>8</v>
      </c>
    </row>
    <row r="1611" spans="1:38" x14ac:dyDescent="0.2">
      <c r="A1611" s="11">
        <v>46058</v>
      </c>
      <c r="B1611" s="53" t="s">
        <v>2432</v>
      </c>
      <c r="C1611" s="52" t="str">
        <f>IF(MID(B1611,4,2)="09","Ramadan",IF(AND(MID(B1611,4,2)="12",VALUE(LEFT(B1611,2))&lt;=9),"Adha Season","Normal"))</f>
        <v>Normal</v>
      </c>
      <c r="D1611" s="1" t="s">
        <v>45</v>
      </c>
      <c r="F1611" s="4" t="s">
        <v>46</v>
      </c>
      <c r="G1611" s="1">
        <v>64</v>
      </c>
      <c r="H1611">
        <v>60</v>
      </c>
      <c r="I1611">
        <f>grand[[#This Row],[number]]-grand[[#This Row],[received]]</f>
        <v>4</v>
      </c>
      <c r="J1611" s="64" t="s">
        <v>1009</v>
      </c>
      <c r="K1611" s="2">
        <v>31888</v>
      </c>
      <c r="L1611" s="2">
        <v>31888</v>
      </c>
      <c r="M1611" s="2">
        <f>K1611-L1611</f>
        <v>0</v>
      </c>
      <c r="N1611" s="2">
        <v>19132.7</v>
      </c>
      <c r="O1611" s="2">
        <v>698</v>
      </c>
      <c r="P1611" s="7">
        <f>grand[[#This Row],[total weight]]/grand[[#This Row],[received]]</f>
        <v>531.4666666666667</v>
      </c>
      <c r="Q1611" s="7">
        <f>grand[[#This Row],[receiving weight]]/grand[[#This Row],[received]]</f>
        <v>531.4666666666667</v>
      </c>
      <c r="R1611" s="7">
        <f>grand[[#This Row],[transportation loss ]]/grand[[#This Row],[received]]</f>
        <v>0</v>
      </c>
      <c r="S1611" s="7">
        <f>grand[[#This Row],[ carcass weight]]/grand[[#This Row],[received]]</f>
        <v>318.87833333333333</v>
      </c>
      <c r="T1611" s="7">
        <f>grand[[#This Row],[ kidneys fat quantity]]/grand[[#This Row],[received]]</f>
        <v>11.633333333333333</v>
      </c>
      <c r="U1611">
        <v>24.583333333333332</v>
      </c>
      <c r="V1611">
        <v>0</v>
      </c>
      <c r="W1611">
        <v>47.2</v>
      </c>
      <c r="X1611">
        <v>10</v>
      </c>
      <c r="Y1611">
        <v>8.5</v>
      </c>
      <c r="Z1611" s="18">
        <f>grand[[#This Row],[av. Transportation loss]]/grand[[#This Row],[av.total weight]]</f>
        <v>0</v>
      </c>
      <c r="AA1611" s="18">
        <f>AVERAGE((grand[[#This Row],[am]]/25),(grand[[#This Row],[pm]]/50))</f>
        <v>0.96366666666666667</v>
      </c>
      <c r="AB1611" s="3">
        <f>grand[[#This Row],[ carcass weight]]/grand[[#This Row],[total weight]]</f>
        <v>0.59999686402408436</v>
      </c>
      <c r="AC1611" s="18">
        <f>SUM(grand[[#This Row],[am]:[meat transportation]])/100</f>
        <v>0.90283333333333327</v>
      </c>
      <c r="AD1611" s="2" t="s">
        <v>1000</v>
      </c>
      <c r="AE1611" s="2"/>
      <c r="AF1611" s="2"/>
      <c r="AG1611" s="2"/>
      <c r="AH1611" s="2"/>
      <c r="AI1611" s="2"/>
      <c r="AJ1611" s="2">
        <v>19</v>
      </c>
    </row>
    <row r="1612" spans="1:38" hidden="1" x14ac:dyDescent="0.2">
      <c r="A1612" s="11">
        <v>46060</v>
      </c>
      <c r="B1612" s="53" t="s">
        <v>2433</v>
      </c>
      <c r="C1612" s="52" t="str">
        <f>IF(MID(B1612,4,2)="09","Ramadan",IF(AND(MID(B1612,4,2)="12",VALUE(LEFT(B1612,2))&lt;=9),"Adha Season","Normal"))</f>
        <v>Normal</v>
      </c>
      <c r="D1612" s="1" t="s">
        <v>45</v>
      </c>
      <c r="F1612" s="4" t="s">
        <v>746</v>
      </c>
      <c r="G1612" s="1">
        <v>62</v>
      </c>
      <c r="H1612">
        <v>62</v>
      </c>
      <c r="I1612">
        <f>grand[[#This Row],[number]]-grand[[#This Row],[received]]</f>
        <v>0</v>
      </c>
      <c r="J1612" s="30"/>
      <c r="K1612" s="2">
        <v>34600</v>
      </c>
      <c r="L1612" s="2">
        <v>34600</v>
      </c>
      <c r="M1612" s="2">
        <f>K1612-L1612</f>
        <v>0</v>
      </c>
      <c r="N1612" s="2">
        <v>20758.400000000001</v>
      </c>
      <c r="O1612" s="2">
        <v>752</v>
      </c>
      <c r="P1612" s="7">
        <f>grand[[#This Row],[total weight]]/grand[[#This Row],[received]]</f>
        <v>558.06451612903231</v>
      </c>
      <c r="Q1612" s="7">
        <f>grand[[#This Row],[receiving weight]]/grand[[#This Row],[received]]</f>
        <v>558.06451612903231</v>
      </c>
      <c r="R1612" s="7">
        <f>grand[[#This Row],[transportation loss ]]/grand[[#This Row],[received]]</f>
        <v>0</v>
      </c>
      <c r="S1612" s="7">
        <f>grand[[#This Row],[ carcass weight]]/grand[[#This Row],[received]]</f>
        <v>334.81290322580645</v>
      </c>
      <c r="T1612" s="7">
        <f>grand[[#This Row],[ kidneys fat quantity]]/grand[[#This Row],[received]]</f>
        <v>12.129032258064516</v>
      </c>
      <c r="U1612">
        <v>24.193548387096776</v>
      </c>
      <c r="V1612">
        <v>0</v>
      </c>
      <c r="W1612">
        <v>47.806451612903231</v>
      </c>
      <c r="X1612">
        <v>10</v>
      </c>
      <c r="Y1612">
        <v>8.5</v>
      </c>
      <c r="Z1612" s="18">
        <f>grand[[#This Row],[av. Transportation loss]]/grand[[#This Row],[av.total weight]]</f>
        <v>0</v>
      </c>
      <c r="AA1612" s="18">
        <f>AVERAGE((grand[[#This Row],[am]]/25),(grand[[#This Row],[pm]]/50))</f>
        <v>0.96193548387096783</v>
      </c>
      <c r="AB1612" s="3">
        <f>grand[[#This Row],[ carcass weight]]/grand[[#This Row],[total weight]]</f>
        <v>0.59995375722543354</v>
      </c>
      <c r="AC1612" s="18">
        <f>SUM(grand[[#This Row],[am]:[meat transportation]])/100</f>
        <v>0.90500000000000003</v>
      </c>
      <c r="AD1612" s="2" t="s">
        <v>1002</v>
      </c>
      <c r="AE1612" s="2"/>
      <c r="AF1612" s="2"/>
      <c r="AG1612" s="2"/>
      <c r="AH1612" s="2"/>
      <c r="AI1612" s="2"/>
      <c r="AJ1612" s="2">
        <v>60</v>
      </c>
    </row>
    <row r="1613" spans="1:38" hidden="1" x14ac:dyDescent="0.2">
      <c r="A1613" s="11">
        <v>46060</v>
      </c>
      <c r="B1613" s="53" t="s">
        <v>2433</v>
      </c>
      <c r="C1613" s="52" t="str">
        <f>IF(MID(B1613,4,2)="09","Ramadan",IF(AND(MID(B1613,4,2)="12",VALUE(LEFT(B1613,2))&lt;=9),"Adha Season","Normal"))</f>
        <v>Normal</v>
      </c>
      <c r="D1613" s="2" t="s">
        <v>294</v>
      </c>
      <c r="F1613" s="4" t="s">
        <v>165</v>
      </c>
      <c r="G1613" s="1">
        <v>50</v>
      </c>
      <c r="H1613">
        <v>50</v>
      </c>
      <c r="I1613">
        <f>grand[[#This Row],[number]]-grand[[#This Row],[received]]</f>
        <v>0</v>
      </c>
      <c r="J1613" s="30"/>
      <c r="K1613" s="2">
        <v>2696</v>
      </c>
      <c r="L1613" s="2">
        <v>2696</v>
      </c>
      <c r="M1613" s="2">
        <f>K1613-L1613</f>
        <v>0</v>
      </c>
      <c r="N1613" s="2">
        <v>1489</v>
      </c>
      <c r="O1613" s="2">
        <v>0</v>
      </c>
      <c r="P1613" s="7">
        <f>grand[[#This Row],[total weight]]/grand[[#This Row],[received]]</f>
        <v>53.92</v>
      </c>
      <c r="Q1613" s="7">
        <f>grand[[#This Row],[receiving weight]]/grand[[#This Row],[received]]</f>
        <v>53.92</v>
      </c>
      <c r="R1613" s="7">
        <f>grand[[#This Row],[transportation loss ]]/grand[[#This Row],[received]]</f>
        <v>0</v>
      </c>
      <c r="S1613" s="7">
        <f>grand[[#This Row],[ carcass weight]]/grand[[#This Row],[received]]</f>
        <v>29.78</v>
      </c>
      <c r="T1613" s="7">
        <f>grand[[#This Row],[ kidneys fat quantity]]/grand[[#This Row],[received]]</f>
        <v>0</v>
      </c>
      <c r="U1613">
        <v>25</v>
      </c>
      <c r="V1613">
        <v>0</v>
      </c>
      <c r="W1613">
        <v>45.440000000000005</v>
      </c>
      <c r="X1613">
        <v>10</v>
      </c>
      <c r="Y1613">
        <v>8.5</v>
      </c>
      <c r="Z1613" s="18">
        <f>grand[[#This Row],[av. Transportation loss]]/grand[[#This Row],[av.total weight]]</f>
        <v>0</v>
      </c>
      <c r="AA1613" s="18">
        <f>AVERAGE((grand[[#This Row],[am]]/25),(grand[[#This Row],[pm]]/50))</f>
        <v>0.95440000000000003</v>
      </c>
      <c r="AB1613" s="3">
        <f>grand[[#This Row],[ carcass weight]]/grand[[#This Row],[total weight]]</f>
        <v>0.55229970326409494</v>
      </c>
      <c r="AC1613" s="18">
        <f>SUM(grand[[#This Row],[am]:[meat transportation]])/100</f>
        <v>0.88939999999999997</v>
      </c>
      <c r="AD1613" s="2" t="s">
        <v>1001</v>
      </c>
      <c r="AE1613" s="2"/>
      <c r="AF1613" s="2"/>
      <c r="AG1613" s="2"/>
      <c r="AH1613" s="2"/>
      <c r="AI1613" s="2"/>
      <c r="AJ1613" s="2">
        <v>0</v>
      </c>
    </row>
    <row r="1614" spans="1:38" x14ac:dyDescent="0.2">
      <c r="A1614" s="11">
        <v>46061</v>
      </c>
      <c r="B1614" s="53" t="s">
        <v>2434</v>
      </c>
      <c r="C1614" s="52" t="str">
        <f>IF(MID(B1614,4,2)="09","Ramadan",IF(AND(MID(B1614,4,2)="12",VALUE(LEFT(B1614,2))&lt;=9),"Adha Season","Normal"))</f>
        <v>Normal</v>
      </c>
      <c r="D1614" s="1" t="s">
        <v>45</v>
      </c>
      <c r="F1614" s="4" t="s">
        <v>165</v>
      </c>
      <c r="G1614" s="1">
        <v>69</v>
      </c>
      <c r="H1614">
        <v>67</v>
      </c>
      <c r="I1614">
        <f>grand[[#This Row],[number]]-grand[[#This Row],[received]]</f>
        <v>2</v>
      </c>
      <c r="J1614" s="64" t="s">
        <v>1010</v>
      </c>
      <c r="K1614" s="2">
        <v>33973</v>
      </c>
      <c r="L1614" s="2">
        <v>33973</v>
      </c>
      <c r="M1614" s="2">
        <f>K1614-L1614</f>
        <v>0</v>
      </c>
      <c r="N1614" s="2">
        <v>20383.5</v>
      </c>
      <c r="O1614" s="2">
        <v>600</v>
      </c>
      <c r="P1614" s="7">
        <f>grand[[#This Row],[total weight]]/grand[[#This Row],[received]]</f>
        <v>507.05970149253733</v>
      </c>
      <c r="Q1614" s="7">
        <f>grand[[#This Row],[receiving weight]]/grand[[#This Row],[received]]</f>
        <v>507.05970149253733</v>
      </c>
      <c r="R1614" s="7">
        <f>grand[[#This Row],[transportation loss ]]/grand[[#This Row],[received]]</f>
        <v>0</v>
      </c>
      <c r="S1614" s="7">
        <f>grand[[#This Row],[ carcass weight]]/grand[[#This Row],[received]]</f>
        <v>304.23134328358208</v>
      </c>
      <c r="T1614" s="7">
        <f>grand[[#This Row],[ kidneys fat quantity]]/grand[[#This Row],[received]]</f>
        <v>8.9552238805970141</v>
      </c>
      <c r="U1614">
        <v>24.104477611940297</v>
      </c>
      <c r="V1614">
        <v>0</v>
      </c>
      <c r="W1614">
        <v>48.611940298507456</v>
      </c>
      <c r="X1614">
        <v>10</v>
      </c>
      <c r="Y1614">
        <v>8.5</v>
      </c>
      <c r="Z1614" s="18">
        <f>grand[[#This Row],[av. Transportation loss]]/grand[[#This Row],[av.total weight]]</f>
        <v>0</v>
      </c>
      <c r="AA1614" s="18">
        <f>AVERAGE((grand[[#This Row],[am]]/25),(grand[[#This Row],[pm]]/50))</f>
        <v>0.96820895522388051</v>
      </c>
      <c r="AB1614" s="3">
        <f>grand[[#This Row],[ carcass weight]]/grand[[#This Row],[total weight]]</f>
        <v>0.59999116945809905</v>
      </c>
      <c r="AC1614" s="18">
        <f>SUM(grand[[#This Row],[am]:[meat transportation]])/100</f>
        <v>0.91216417910447745</v>
      </c>
      <c r="AD1614" s="2" t="s">
        <v>1003</v>
      </c>
      <c r="AE1614" s="2"/>
      <c r="AF1614" s="2"/>
      <c r="AG1614" s="2"/>
      <c r="AH1614" s="2"/>
      <c r="AI1614" s="2"/>
      <c r="AJ1614" s="2">
        <v>44</v>
      </c>
    </row>
    <row r="1615" spans="1:38" hidden="1" x14ac:dyDescent="0.2">
      <c r="A1615" s="11">
        <v>46062</v>
      </c>
      <c r="B1615" s="53" t="s">
        <v>2435</v>
      </c>
      <c r="C1615" s="52" t="str">
        <f>IF(MID(B1615,4,2)="09","Ramadan",IF(AND(MID(B1615,4,2)="12",VALUE(LEFT(B1615,2))&lt;=9),"Adha Season","Normal"))</f>
        <v>Normal</v>
      </c>
      <c r="D1615" s="2" t="s">
        <v>294</v>
      </c>
      <c r="F1615" s="4" t="s">
        <v>165</v>
      </c>
      <c r="G1615" s="1">
        <v>50</v>
      </c>
      <c r="H1615">
        <v>49</v>
      </c>
      <c r="I1615">
        <f>grand[[#This Row],[number]]-grand[[#This Row],[received]]</f>
        <v>1</v>
      </c>
      <c r="J1615" s="64" t="s">
        <v>1011</v>
      </c>
      <c r="K1615" s="2">
        <v>2778</v>
      </c>
      <c r="L1615" s="2">
        <v>2778</v>
      </c>
      <c r="M1615" s="2">
        <f>K1615-L1615</f>
        <v>0</v>
      </c>
      <c r="N1615" s="2">
        <v>1716.8</v>
      </c>
      <c r="O1615" s="2">
        <v>0</v>
      </c>
      <c r="P1615" s="7">
        <f>grand[[#This Row],[total weight]]/grand[[#This Row],[received]]</f>
        <v>56.693877551020407</v>
      </c>
      <c r="Q1615" s="7">
        <f>grand[[#This Row],[receiving weight]]/grand[[#This Row],[received]]</f>
        <v>56.693877551020407</v>
      </c>
      <c r="R1615" s="7">
        <f>grand[[#This Row],[transportation loss ]]/grand[[#This Row],[received]]</f>
        <v>0</v>
      </c>
      <c r="S1615" s="7">
        <f>grand[[#This Row],[ carcass weight]]/grand[[#This Row],[received]]</f>
        <v>35.036734693877548</v>
      </c>
      <c r="T1615" s="7">
        <f>grand[[#This Row],[ kidneys fat quantity]]/grand[[#This Row],[received]]</f>
        <v>0</v>
      </c>
      <c r="U1615">
        <v>25</v>
      </c>
      <c r="V1615">
        <v>0</v>
      </c>
      <c r="W1615">
        <v>43.908163265306122</v>
      </c>
      <c r="X1615">
        <v>10</v>
      </c>
      <c r="Y1615">
        <v>8.5</v>
      </c>
      <c r="Z1615" s="18">
        <f>grand[[#This Row],[av. Transportation loss]]/grand[[#This Row],[av.total weight]]</f>
        <v>0</v>
      </c>
      <c r="AA1615" s="18">
        <f>AVERAGE((grand[[#This Row],[am]]/25),(grand[[#This Row],[pm]]/50))</f>
        <v>0.93908163265306122</v>
      </c>
      <c r="AB1615" s="3">
        <f>grand[[#This Row],[ carcass weight]]/grand[[#This Row],[total weight]]</f>
        <v>0.61799856011519072</v>
      </c>
      <c r="AC1615" s="18">
        <f>SUM(grand[[#This Row],[am]:[meat transportation]])/100</f>
        <v>0.87408163265306116</v>
      </c>
      <c r="AD1615" s="2" t="s">
        <v>1004</v>
      </c>
      <c r="AE1615" s="2"/>
      <c r="AF1615" s="2"/>
      <c r="AG1615" s="2"/>
      <c r="AH1615" s="2"/>
      <c r="AI1615" s="2"/>
      <c r="AJ1615" s="2">
        <v>60</v>
      </c>
    </row>
    <row r="1616" spans="1:38" x14ac:dyDescent="0.2">
      <c r="A1616" s="11">
        <v>46062</v>
      </c>
      <c r="B1616" s="53" t="s">
        <v>2435</v>
      </c>
      <c r="C1616" s="52" t="str">
        <f>IF(MID(B1616,4,2)="09","Ramadan",IF(AND(MID(B1616,4,2)="12",VALUE(LEFT(B1616,2))&lt;=9),"Adha Season","Normal"))</f>
        <v>Normal</v>
      </c>
      <c r="D1616" s="1" t="s">
        <v>45</v>
      </c>
      <c r="F1616" s="4" t="s">
        <v>954</v>
      </c>
      <c r="G1616" s="1">
        <v>75</v>
      </c>
      <c r="H1616">
        <v>73</v>
      </c>
      <c r="I1616">
        <f>grand[[#This Row],[number]]-grand[[#This Row],[received]]</f>
        <v>2</v>
      </c>
      <c r="J1616" s="64" t="s">
        <v>1012</v>
      </c>
      <c r="K1616" s="2">
        <v>32440</v>
      </c>
      <c r="L1616" s="2">
        <v>32440</v>
      </c>
      <c r="M1616" s="2">
        <f>K1616-L1616</f>
        <v>0</v>
      </c>
      <c r="N1616" s="2">
        <v>19540.8</v>
      </c>
      <c r="O1616" s="2">
        <v>539</v>
      </c>
      <c r="P1616" s="7">
        <f>grand[[#This Row],[total weight]]/grand[[#This Row],[received]]</f>
        <v>444.38356164383561</v>
      </c>
      <c r="Q1616" s="7">
        <f>grand[[#This Row],[receiving weight]]/grand[[#This Row],[received]]</f>
        <v>444.38356164383561</v>
      </c>
      <c r="R1616" s="7">
        <f>grand[[#This Row],[transportation loss ]]/grand[[#This Row],[received]]</f>
        <v>0</v>
      </c>
      <c r="S1616" s="7">
        <f>grand[[#This Row],[ carcass weight]]/grand[[#This Row],[received]]</f>
        <v>267.68219178082188</v>
      </c>
      <c r="T1616" s="7">
        <f>grand[[#This Row],[ kidneys fat quantity]]/grand[[#This Row],[received]]</f>
        <v>7.3835616438356162</v>
      </c>
      <c r="U1616">
        <v>25</v>
      </c>
      <c r="V1616">
        <v>0</v>
      </c>
      <c r="W1616">
        <v>48.31506849315069</v>
      </c>
      <c r="X1616">
        <v>10</v>
      </c>
      <c r="Y1616">
        <v>8.5</v>
      </c>
      <c r="Z1616" s="18">
        <f>grand[[#This Row],[av. Transportation loss]]/grand[[#This Row],[av.total weight]]</f>
        <v>0</v>
      </c>
      <c r="AA1616" s="18">
        <f>AVERAGE((grand[[#This Row],[am]]/25),(grand[[#This Row],[pm]]/50))</f>
        <v>0.98315068493150692</v>
      </c>
      <c r="AB1616" s="3">
        <f>grand[[#This Row],[ carcass weight]]/grand[[#This Row],[total weight]]</f>
        <v>0.60236744759556105</v>
      </c>
      <c r="AC1616" s="18">
        <f>SUM(grand[[#This Row],[am]:[meat transportation]])/100</f>
        <v>0.91815068493150687</v>
      </c>
      <c r="AD1616" s="2" t="s">
        <v>1005</v>
      </c>
      <c r="AE1616" s="2"/>
      <c r="AF1616" s="2"/>
      <c r="AG1616" s="2"/>
      <c r="AH1616" s="2"/>
      <c r="AI1616" s="2"/>
      <c r="AJ1616" s="2">
        <v>0</v>
      </c>
    </row>
    <row r="1617" spans="1:36" hidden="1" x14ac:dyDescent="0.2">
      <c r="A1617" s="11">
        <v>46063</v>
      </c>
      <c r="B1617" s="53" t="s">
        <v>2436</v>
      </c>
      <c r="C1617" s="52" t="str">
        <f>IF(MID(B1617,4,2)="09","Ramadan",IF(AND(MID(B1617,4,2)="12",VALUE(LEFT(B1617,2))&lt;=9),"Adha Season","Normal"))</f>
        <v>Normal</v>
      </c>
      <c r="D1617" s="1" t="s">
        <v>45</v>
      </c>
      <c r="F1617" s="4" t="s">
        <v>954</v>
      </c>
      <c r="G1617" s="1">
        <v>72</v>
      </c>
      <c r="H1617">
        <v>72</v>
      </c>
      <c r="I1617">
        <f>grand[[#This Row],[number]]-grand[[#This Row],[received]]</f>
        <v>0</v>
      </c>
      <c r="J1617" s="30"/>
      <c r="K1617" s="2">
        <v>31690</v>
      </c>
      <c r="L1617" s="2">
        <v>31690</v>
      </c>
      <c r="M1617" s="2">
        <f>K1617-L1617</f>
        <v>0</v>
      </c>
      <c r="N1617" s="2">
        <v>19079.099999999999</v>
      </c>
      <c r="O1617" s="2">
        <v>508</v>
      </c>
      <c r="P1617" s="7">
        <f>grand[[#This Row],[total weight]]/grand[[#This Row],[received]]</f>
        <v>440.13888888888891</v>
      </c>
      <c r="Q1617" s="7">
        <f>grand[[#This Row],[receiving weight]]/grand[[#This Row],[received]]</f>
        <v>440.13888888888891</v>
      </c>
      <c r="R1617" s="7">
        <f>grand[[#This Row],[transportation loss ]]/grand[[#This Row],[received]]</f>
        <v>0</v>
      </c>
      <c r="S1617" s="7">
        <f>grand[[#This Row],[ carcass weight]]/grand[[#This Row],[received]]</f>
        <v>264.98749999999995</v>
      </c>
      <c r="T1617" s="7">
        <f>grand[[#This Row],[ kidneys fat quantity]]/grand[[#This Row],[received]]</f>
        <v>7.0555555555555554</v>
      </c>
      <c r="U1617">
        <v>25</v>
      </c>
      <c r="V1617">
        <v>0</v>
      </c>
      <c r="W1617">
        <v>48.319444444444443</v>
      </c>
      <c r="X1617">
        <v>10</v>
      </c>
      <c r="Y1617">
        <v>8.5</v>
      </c>
      <c r="Z1617" s="18">
        <f>grand[[#This Row],[av. Transportation loss]]/grand[[#This Row],[av.total weight]]</f>
        <v>0</v>
      </c>
      <c r="AA1617" s="18">
        <f>AVERAGE((grand[[#This Row],[am]]/25),(grand[[#This Row],[pm]]/50))</f>
        <v>0.98319444444444448</v>
      </c>
      <c r="AB1617" s="3">
        <f>grand[[#This Row],[ carcass weight]]/grand[[#This Row],[total weight]]</f>
        <v>0.60205427579678128</v>
      </c>
      <c r="AC1617" s="18">
        <f>SUM(grand[[#This Row],[am]:[meat transportation]])/100</f>
        <v>0.91819444444444442</v>
      </c>
      <c r="AD1617" s="2" t="s">
        <v>960</v>
      </c>
      <c r="AE1617" s="2"/>
      <c r="AF1617" s="2"/>
      <c r="AG1617" s="2"/>
      <c r="AH1617" s="2"/>
      <c r="AI1617" s="2"/>
      <c r="AJ1617" s="2">
        <v>0</v>
      </c>
    </row>
    <row r="1618" spans="1:36" hidden="1" x14ac:dyDescent="0.2">
      <c r="A1618" s="11">
        <v>46064</v>
      </c>
      <c r="B1618" s="53" t="s">
        <v>2437</v>
      </c>
      <c r="C1618" s="52" t="str">
        <f>IF(MID(B1618,4,2)="09","Ramadan",IF(AND(MID(B1618,4,2)="12",VALUE(LEFT(B1618,2))&lt;=9),"Adha Season","Normal"))</f>
        <v>Normal</v>
      </c>
      <c r="D1618" s="1" t="s">
        <v>45</v>
      </c>
      <c r="F1618" s="4" t="s">
        <v>954</v>
      </c>
      <c r="G1618" s="1">
        <v>70</v>
      </c>
      <c r="H1618">
        <v>70</v>
      </c>
      <c r="I1618">
        <f>grand[[#This Row],[number]]-grand[[#This Row],[received]]</f>
        <v>0</v>
      </c>
      <c r="J1618" s="30"/>
      <c r="K1618" s="2">
        <v>31446</v>
      </c>
      <c r="L1618" s="2">
        <v>31446</v>
      </c>
      <c r="M1618" s="2">
        <f>K1618-L1618</f>
        <v>0</v>
      </c>
      <c r="N1618" s="2">
        <v>19032.900000000001</v>
      </c>
      <c r="O1618" s="2">
        <v>0</v>
      </c>
      <c r="P1618" s="7">
        <f>grand[[#This Row],[total weight]]/grand[[#This Row],[received]]</f>
        <v>449.22857142857146</v>
      </c>
      <c r="Q1618" s="7">
        <f>grand[[#This Row],[receiving weight]]/grand[[#This Row],[received]]</f>
        <v>449.22857142857146</v>
      </c>
      <c r="R1618" s="7">
        <f>grand[[#This Row],[transportation loss ]]/grand[[#This Row],[received]]</f>
        <v>0</v>
      </c>
      <c r="S1618" s="7">
        <f>grand[[#This Row],[ carcass weight]]/grand[[#This Row],[received]]</f>
        <v>271.89857142857147</v>
      </c>
      <c r="T1618" s="7">
        <f>grand[[#This Row],[ kidneys fat quantity]]/grand[[#This Row],[received]]</f>
        <v>0</v>
      </c>
      <c r="U1618">
        <v>25</v>
      </c>
      <c r="V1618">
        <v>0</v>
      </c>
      <c r="W1618">
        <v>48.792857142857144</v>
      </c>
      <c r="X1618">
        <v>10</v>
      </c>
      <c r="Y1618">
        <v>8.5</v>
      </c>
      <c r="Z1618" s="18">
        <f>grand[[#This Row],[av. Transportation loss]]/grand[[#This Row],[av.total weight]]</f>
        <v>0</v>
      </c>
      <c r="AA1618" s="18">
        <f>AVERAGE((grand[[#This Row],[am]]/25),(grand[[#This Row],[pm]]/50))</f>
        <v>0.98792857142857149</v>
      </c>
      <c r="AB1618" s="3">
        <f>grand[[#This Row],[ carcass weight]]/grand[[#This Row],[total weight]]</f>
        <v>0.60525663041404321</v>
      </c>
      <c r="AC1618" s="18">
        <f>SUM(grand[[#This Row],[am]:[meat transportation]])/100</f>
        <v>0.92292857142857143</v>
      </c>
      <c r="AD1618" s="2" t="s">
        <v>962</v>
      </c>
      <c r="AE1618" s="2"/>
      <c r="AF1618" s="2"/>
      <c r="AG1618" s="2"/>
      <c r="AH1618" s="2"/>
      <c r="AI1618" s="2"/>
      <c r="AJ1618" s="2">
        <v>0</v>
      </c>
    </row>
    <row r="1619" spans="1:36" hidden="1" x14ac:dyDescent="0.2">
      <c r="A1619" s="11">
        <v>46064</v>
      </c>
      <c r="B1619" s="53" t="s">
        <v>2437</v>
      </c>
      <c r="C1619" s="52" t="str">
        <f>IF(MID(B1619,4,2)="09","Ramadan",IF(AND(MID(B1619,4,2)="12",VALUE(LEFT(B1619,2))&lt;=9),"Adha Season","Normal"))</f>
        <v>Normal</v>
      </c>
      <c r="D1619" s="2" t="s">
        <v>294</v>
      </c>
      <c r="F1619" s="4" t="s">
        <v>165</v>
      </c>
      <c r="G1619" s="1">
        <v>50</v>
      </c>
      <c r="H1619">
        <v>50</v>
      </c>
      <c r="I1619">
        <f>grand[[#This Row],[number]]-grand[[#This Row],[received]]</f>
        <v>0</v>
      </c>
      <c r="J1619" s="30"/>
      <c r="K1619" s="2">
        <v>2673</v>
      </c>
      <c r="L1619" s="2">
        <v>2673</v>
      </c>
      <c r="M1619" s="2">
        <f>K1619-L1619</f>
        <v>0</v>
      </c>
      <c r="N1619" s="2">
        <v>1543.5</v>
      </c>
      <c r="O1619" s="2">
        <v>0</v>
      </c>
      <c r="P1619" s="7">
        <f>grand[[#This Row],[total weight]]/grand[[#This Row],[received]]</f>
        <v>53.46</v>
      </c>
      <c r="Q1619" s="7">
        <f>grand[[#This Row],[receiving weight]]/grand[[#This Row],[received]]</f>
        <v>53.46</v>
      </c>
      <c r="R1619" s="7">
        <f>grand[[#This Row],[transportation loss ]]/grand[[#This Row],[received]]</f>
        <v>0</v>
      </c>
      <c r="S1619" s="7">
        <f>grand[[#This Row],[ carcass weight]]/grand[[#This Row],[received]]</f>
        <v>30.87</v>
      </c>
      <c r="T1619" s="7">
        <f>grand[[#This Row],[ kidneys fat quantity]]/grand[[#This Row],[received]]</f>
        <v>0</v>
      </c>
      <c r="U1619">
        <v>25</v>
      </c>
      <c r="V1619">
        <v>0</v>
      </c>
      <c r="W1619">
        <v>43.9</v>
      </c>
      <c r="X1619">
        <v>10</v>
      </c>
      <c r="Y1619">
        <v>8.5</v>
      </c>
      <c r="Z1619" s="18">
        <f>grand[[#This Row],[av. Transportation loss]]/grand[[#This Row],[av.total weight]]</f>
        <v>0</v>
      </c>
      <c r="AA1619" s="18">
        <f>AVERAGE((grand[[#This Row],[am]]/25),(grand[[#This Row],[pm]]/50))</f>
        <v>0.93900000000000006</v>
      </c>
      <c r="AB1619" s="3">
        <f>grand[[#This Row],[ carcass weight]]/grand[[#This Row],[total weight]]</f>
        <v>0.57744107744107742</v>
      </c>
      <c r="AC1619" s="18">
        <f>SUM(grand[[#This Row],[am]:[meat transportation]])/100</f>
        <v>0.87400000000000011</v>
      </c>
      <c r="AD1619" s="2" t="s">
        <v>961</v>
      </c>
      <c r="AE1619" s="2"/>
      <c r="AF1619" s="2"/>
      <c r="AG1619" s="2"/>
      <c r="AH1619" s="2"/>
      <c r="AI1619" s="2"/>
      <c r="AJ1619" s="2">
        <v>0</v>
      </c>
    </row>
    <row r="1620" spans="1:36" hidden="1" x14ac:dyDescent="0.2">
      <c r="A1620" s="11">
        <v>46065</v>
      </c>
      <c r="B1620" s="53" t="s">
        <v>2438</v>
      </c>
      <c r="C1620" s="52" t="str">
        <f>IF(MID(B1620,4,2)="09","Ramadan",IF(AND(MID(B1620,4,2)="12",VALUE(LEFT(B1620,2))&lt;=9),"Adha Season","Normal"))</f>
        <v>Normal</v>
      </c>
      <c r="D1620" s="1" t="s">
        <v>45</v>
      </c>
      <c r="F1620" s="4" t="s">
        <v>746</v>
      </c>
      <c r="G1620" s="1">
        <v>60</v>
      </c>
      <c r="H1620">
        <v>60</v>
      </c>
      <c r="I1620">
        <f>grand[[#This Row],[number]]-grand[[#This Row],[received]]</f>
        <v>0</v>
      </c>
      <c r="J1620" s="30"/>
      <c r="K1620" s="2">
        <v>32643</v>
      </c>
      <c r="L1620" s="2">
        <v>32643</v>
      </c>
      <c r="M1620" s="2">
        <f>K1620-L1620</f>
        <v>0</v>
      </c>
      <c r="N1620" s="2">
        <v>19586</v>
      </c>
      <c r="O1620" s="2">
        <v>615</v>
      </c>
      <c r="P1620" s="7">
        <f>grand[[#This Row],[total weight]]/grand[[#This Row],[received]]</f>
        <v>544.04999999999995</v>
      </c>
      <c r="Q1620" s="7">
        <f>grand[[#This Row],[receiving weight]]/grand[[#This Row],[received]]</f>
        <v>544.04999999999995</v>
      </c>
      <c r="R1620" s="7">
        <f>grand[[#This Row],[transportation loss ]]/grand[[#This Row],[received]]</f>
        <v>0</v>
      </c>
      <c r="S1620" s="7">
        <f>grand[[#This Row],[ carcass weight]]/grand[[#This Row],[received]]</f>
        <v>326.43333333333334</v>
      </c>
      <c r="T1620" s="7">
        <f>grand[[#This Row],[ kidneys fat quantity]]/grand[[#This Row],[received]]</f>
        <v>10.25</v>
      </c>
      <c r="U1620">
        <v>24.75</v>
      </c>
      <c r="V1620">
        <v>0</v>
      </c>
      <c r="W1620">
        <v>46.966666666666661</v>
      </c>
      <c r="X1620">
        <v>10</v>
      </c>
      <c r="Y1620">
        <v>8.5</v>
      </c>
      <c r="Z1620" s="18">
        <f>grand[[#This Row],[av. Transportation loss]]/grand[[#This Row],[av.total weight]]</f>
        <v>0</v>
      </c>
      <c r="AA1620" s="18">
        <f>AVERAGE((grand[[#This Row],[am]]/25),(grand[[#This Row],[pm]]/50))</f>
        <v>0.96466666666666656</v>
      </c>
      <c r="AB1620" s="3">
        <f>grand[[#This Row],[ carcass weight]]/grand[[#This Row],[total weight]]</f>
        <v>0.60000612688784727</v>
      </c>
      <c r="AC1620" s="18">
        <f>SUM(grand[[#This Row],[am]:[meat transportation]])/100</f>
        <v>0.90216666666666667</v>
      </c>
      <c r="AD1620" s="2" t="s">
        <v>965</v>
      </c>
      <c r="AE1620" s="2"/>
      <c r="AF1620" s="2"/>
      <c r="AG1620" s="2"/>
      <c r="AH1620" s="2"/>
      <c r="AI1620" s="2"/>
      <c r="AJ1620" s="2">
        <v>30</v>
      </c>
    </row>
    <row r="1621" spans="1:36" hidden="1" x14ac:dyDescent="0.2">
      <c r="A1621" s="11">
        <v>46065</v>
      </c>
      <c r="B1621" s="53" t="s">
        <v>2438</v>
      </c>
      <c r="C1621" s="52" t="str">
        <f>IF(MID(B1621,4,2)="09","Ramadan",IF(AND(MID(B1621,4,2)="12",VALUE(LEFT(B1621,2))&lt;=9),"Adha Season","Normal"))</f>
        <v>Normal</v>
      </c>
      <c r="D1621" s="2" t="s">
        <v>294</v>
      </c>
      <c r="F1621" s="4" t="s">
        <v>165</v>
      </c>
      <c r="G1621" s="1">
        <v>72</v>
      </c>
      <c r="H1621">
        <v>72</v>
      </c>
      <c r="I1621">
        <f>grand[[#This Row],[number]]-grand[[#This Row],[received]]</f>
        <v>0</v>
      </c>
      <c r="J1621" s="30"/>
      <c r="K1621" s="2">
        <v>4030</v>
      </c>
      <c r="L1621" s="2">
        <v>4030</v>
      </c>
      <c r="M1621" s="2">
        <f>K1621-L1621</f>
        <v>0</v>
      </c>
      <c r="N1621" s="2">
        <v>2240.8000000000002</v>
      </c>
      <c r="O1621" s="2">
        <v>0</v>
      </c>
      <c r="P1621" s="7">
        <f>grand[[#This Row],[total weight]]/grand[[#This Row],[received]]</f>
        <v>55.972222222222221</v>
      </c>
      <c r="Q1621" s="7">
        <f>grand[[#This Row],[receiving weight]]/grand[[#This Row],[received]]</f>
        <v>55.972222222222221</v>
      </c>
      <c r="R1621" s="7">
        <f>grand[[#This Row],[transportation loss ]]/grand[[#This Row],[received]]</f>
        <v>0</v>
      </c>
      <c r="S1621" s="7">
        <f>grand[[#This Row],[ carcass weight]]/grand[[#This Row],[received]]</f>
        <v>31.122222222222224</v>
      </c>
      <c r="T1621" s="7">
        <f>grand[[#This Row],[ kidneys fat quantity]]/grand[[#This Row],[received]]</f>
        <v>0</v>
      </c>
      <c r="U1621">
        <v>25</v>
      </c>
      <c r="V1621">
        <v>0</v>
      </c>
      <c r="W1621">
        <v>44.513888888888886</v>
      </c>
      <c r="X1621">
        <v>10</v>
      </c>
      <c r="Y1621">
        <v>8.5</v>
      </c>
      <c r="Z1621" s="18">
        <f>grand[[#This Row],[av. Transportation loss]]/grand[[#This Row],[av.total weight]]</f>
        <v>0</v>
      </c>
      <c r="AA1621" s="18">
        <f>AVERAGE((grand[[#This Row],[am]]/25),(grand[[#This Row],[pm]]/50))</f>
        <v>0.94513888888888886</v>
      </c>
      <c r="AB1621" s="3">
        <f>grand[[#This Row],[ carcass weight]]/grand[[#This Row],[total weight]]</f>
        <v>0.55602977667493803</v>
      </c>
      <c r="AC1621" s="18">
        <f>SUM(grand[[#This Row],[am]:[meat transportation]])/100</f>
        <v>0.8801388888888888</v>
      </c>
      <c r="AD1621" s="2" t="s">
        <v>963</v>
      </c>
      <c r="AE1621" s="2"/>
      <c r="AF1621" s="2"/>
      <c r="AG1621" s="2"/>
      <c r="AH1621" s="2"/>
      <c r="AI1621" s="2"/>
      <c r="AJ1621" s="2">
        <v>0</v>
      </c>
    </row>
    <row r="1622" spans="1:36" hidden="1" x14ac:dyDescent="0.2">
      <c r="A1622" s="11">
        <v>46065</v>
      </c>
      <c r="B1622" s="53" t="s">
        <v>2438</v>
      </c>
      <c r="C1622" s="52" t="str">
        <f>IF(MID(B1622,4,2)="09","Ramadan",IF(AND(MID(B1622,4,2)="12",VALUE(LEFT(B1622,2))&lt;=9),"Adha Season","Normal"))</f>
        <v>Normal</v>
      </c>
      <c r="D1622" s="1" t="s">
        <v>45</v>
      </c>
      <c r="F1622" s="4" t="s">
        <v>46</v>
      </c>
      <c r="G1622" s="1">
        <v>60</v>
      </c>
      <c r="H1622">
        <v>60</v>
      </c>
      <c r="I1622">
        <f>grand[[#This Row],[number]]-grand[[#This Row],[received]]</f>
        <v>0</v>
      </c>
      <c r="J1622" s="30"/>
      <c r="K1622" s="2">
        <v>33785</v>
      </c>
      <c r="L1622" s="2">
        <v>33785</v>
      </c>
      <c r="M1622" s="2">
        <f>K1622-L1622</f>
        <v>0</v>
      </c>
      <c r="N1622" s="2">
        <v>20269.8</v>
      </c>
      <c r="O1622" s="2">
        <v>689</v>
      </c>
      <c r="P1622" s="7">
        <f>grand[[#This Row],[total weight]]/grand[[#This Row],[received]]</f>
        <v>563.08333333333337</v>
      </c>
      <c r="Q1622" s="7">
        <f>grand[[#This Row],[receiving weight]]/grand[[#This Row],[received]]</f>
        <v>563.08333333333337</v>
      </c>
      <c r="R1622" s="7">
        <f>grand[[#This Row],[transportation loss ]]/grand[[#This Row],[received]]</f>
        <v>0</v>
      </c>
      <c r="S1622" s="7">
        <f>grand[[#This Row],[ carcass weight]]/grand[[#This Row],[received]]</f>
        <v>337.83</v>
      </c>
      <c r="T1622" s="7">
        <f>grand[[#This Row],[ kidneys fat quantity]]/grand[[#This Row],[received]]</f>
        <v>11.483333333333333</v>
      </c>
      <c r="U1622">
        <v>24.416666666666664</v>
      </c>
      <c r="V1622">
        <v>0</v>
      </c>
      <c r="W1622">
        <v>46.400000000000006</v>
      </c>
      <c r="X1622">
        <v>10</v>
      </c>
      <c r="Y1622">
        <v>8.5</v>
      </c>
      <c r="Z1622" s="18">
        <f>grand[[#This Row],[av. Transportation loss]]/grand[[#This Row],[av.total weight]]</f>
        <v>0</v>
      </c>
      <c r="AA1622" s="18">
        <f>AVERAGE((grand[[#This Row],[am]]/25),(grand[[#This Row],[pm]]/50))</f>
        <v>0.95233333333333337</v>
      </c>
      <c r="AB1622" s="3">
        <f>grand[[#This Row],[ carcass weight]]/grand[[#This Row],[total weight]]</f>
        <v>0.59996448127867397</v>
      </c>
      <c r="AC1622" s="18">
        <f>SUM(grand[[#This Row],[am]:[meat transportation]])/100</f>
        <v>0.89316666666666666</v>
      </c>
      <c r="AD1622" s="2" t="s">
        <v>964</v>
      </c>
      <c r="AE1622" s="2"/>
      <c r="AF1622" s="2"/>
      <c r="AG1622" s="2"/>
      <c r="AH1622" s="2"/>
      <c r="AI1622" s="2"/>
      <c r="AJ1622" s="2">
        <v>23</v>
      </c>
    </row>
    <row r="1623" spans="1:36" hidden="1" x14ac:dyDescent="0.2">
      <c r="A1623" s="11">
        <v>46067</v>
      </c>
      <c r="B1623" s="53" t="s">
        <v>2439</v>
      </c>
      <c r="C1623" s="52" t="str">
        <f>IF(MID(B1623,4,2)="09","Ramadan",IF(AND(MID(B1623,4,2)="12",VALUE(LEFT(B1623,2))&lt;=9),"Adha Season","Normal"))</f>
        <v>Normal</v>
      </c>
      <c r="D1623" s="2" t="s">
        <v>294</v>
      </c>
      <c r="F1623" s="4" t="s">
        <v>165</v>
      </c>
      <c r="G1623" s="1">
        <v>48</v>
      </c>
      <c r="H1623">
        <v>48</v>
      </c>
      <c r="I1623">
        <f>grand[[#This Row],[number]]-grand[[#This Row],[received]]</f>
        <v>0</v>
      </c>
      <c r="J1623" s="30"/>
      <c r="K1623" s="2">
        <v>2545</v>
      </c>
      <c r="L1623" s="2">
        <v>2545</v>
      </c>
      <c r="M1623" s="2">
        <f>K1623-L1623</f>
        <v>0</v>
      </c>
      <c r="N1623" s="2">
        <v>1443.2</v>
      </c>
      <c r="O1623" s="2">
        <v>0</v>
      </c>
      <c r="P1623" s="7">
        <f>grand[[#This Row],[total weight]]/grand[[#This Row],[received]]</f>
        <v>53.020833333333336</v>
      </c>
      <c r="Q1623" s="7">
        <f>grand[[#This Row],[receiving weight]]/grand[[#This Row],[received]]</f>
        <v>53.020833333333336</v>
      </c>
      <c r="R1623" s="7">
        <f>grand[[#This Row],[transportation loss ]]/grand[[#This Row],[received]]</f>
        <v>0</v>
      </c>
      <c r="S1623" s="7">
        <f>grand[[#This Row],[ carcass weight]]/grand[[#This Row],[received]]</f>
        <v>30.066666666666666</v>
      </c>
      <c r="T1623" s="7">
        <f>grand[[#This Row],[ kidneys fat quantity]]/grand[[#This Row],[received]]</f>
        <v>0</v>
      </c>
      <c r="U1623">
        <v>25</v>
      </c>
      <c r="V1623">
        <v>0</v>
      </c>
      <c r="W1623">
        <v>48.520833333333336</v>
      </c>
      <c r="X1623">
        <v>10</v>
      </c>
      <c r="Y1623">
        <v>8.5</v>
      </c>
      <c r="Z1623" s="18">
        <f>grand[[#This Row],[av. Transportation loss]]/grand[[#This Row],[av.total weight]]</f>
        <v>0</v>
      </c>
      <c r="AA1623" s="18">
        <f>AVERAGE((grand[[#This Row],[am]]/25),(grand[[#This Row],[pm]]/50))</f>
        <v>0.98520833333333335</v>
      </c>
      <c r="AB1623" s="3">
        <f>grand[[#This Row],[ carcass weight]]/grand[[#This Row],[total weight]]</f>
        <v>0.56707269155206286</v>
      </c>
      <c r="AC1623" s="18">
        <f>SUM(grand[[#This Row],[am]:[meat transportation]])/100</f>
        <v>0.92020833333333341</v>
      </c>
      <c r="AD1623" s="2" t="s">
        <v>967</v>
      </c>
      <c r="AE1623" s="2"/>
      <c r="AF1623" s="2"/>
      <c r="AG1623" s="2"/>
      <c r="AH1623" s="2"/>
      <c r="AI1623" s="2"/>
      <c r="AJ1623" s="2">
        <v>0</v>
      </c>
    </row>
    <row r="1624" spans="1:36" x14ac:dyDescent="0.2">
      <c r="A1624" s="11">
        <v>46067</v>
      </c>
      <c r="B1624" s="53" t="s">
        <v>2439</v>
      </c>
      <c r="C1624" s="52" t="str">
        <f>IF(MID(B1624,4,2)="09","Ramadan",IF(AND(MID(B1624,4,2)="12",VALUE(LEFT(B1624,2))&lt;=9),"Adha Season","Normal"))</f>
        <v>Normal</v>
      </c>
      <c r="D1624" s="1" t="s">
        <v>45</v>
      </c>
      <c r="F1624" s="4" t="s">
        <v>954</v>
      </c>
      <c r="G1624" s="1">
        <v>82</v>
      </c>
      <c r="H1624">
        <v>81</v>
      </c>
      <c r="I1624">
        <f>grand[[#This Row],[number]]-grand[[#This Row],[received]]</f>
        <v>1</v>
      </c>
      <c r="J1624" s="64" t="s">
        <v>924</v>
      </c>
      <c r="K1624" s="2">
        <v>35415</v>
      </c>
      <c r="L1624" s="2">
        <v>35415</v>
      </c>
      <c r="M1624" s="2">
        <f>K1624-L1624</f>
        <v>0</v>
      </c>
      <c r="N1624" s="2">
        <v>21542.6</v>
      </c>
      <c r="O1624" s="2">
        <v>579</v>
      </c>
      <c r="P1624" s="7">
        <f>grand[[#This Row],[total weight]]/grand[[#This Row],[received]]</f>
        <v>437.22222222222223</v>
      </c>
      <c r="Q1624" s="7">
        <f>grand[[#This Row],[receiving weight]]/grand[[#This Row],[received]]</f>
        <v>437.22222222222223</v>
      </c>
      <c r="R1624" s="7">
        <f>grand[[#This Row],[transportation loss ]]/grand[[#This Row],[received]]</f>
        <v>0</v>
      </c>
      <c r="S1624" s="7">
        <f>grand[[#This Row],[ carcass weight]]/grand[[#This Row],[received]]</f>
        <v>265.95802469135799</v>
      </c>
      <c r="T1624" s="7">
        <f>grand[[#This Row],[ kidneys fat quantity]]/grand[[#This Row],[received]]</f>
        <v>7.1481481481481479</v>
      </c>
      <c r="U1624">
        <v>25</v>
      </c>
      <c r="V1624">
        <v>0</v>
      </c>
      <c r="W1624">
        <v>46.765432098765437</v>
      </c>
      <c r="X1624">
        <v>10</v>
      </c>
      <c r="Y1624">
        <v>8.5</v>
      </c>
      <c r="Z1624" s="18">
        <f>grand[[#This Row],[av. Transportation loss]]/grand[[#This Row],[av.total weight]]</f>
        <v>0</v>
      </c>
      <c r="AA1624" s="18">
        <f>AVERAGE((grand[[#This Row],[am]]/25),(grand[[#This Row],[pm]]/50))</f>
        <v>0.96765432098765436</v>
      </c>
      <c r="AB1624" s="3">
        <f>grand[[#This Row],[ carcass weight]]/grand[[#This Row],[total weight]]</f>
        <v>0.60829027248341094</v>
      </c>
      <c r="AC1624" s="18">
        <f>SUM(grand[[#This Row],[am]:[meat transportation]])/100</f>
        <v>0.90265432098765441</v>
      </c>
      <c r="AD1624" s="2" t="s">
        <v>966</v>
      </c>
      <c r="AE1624" s="2"/>
      <c r="AF1624" s="2"/>
      <c r="AG1624" s="2"/>
      <c r="AH1624" s="2"/>
      <c r="AI1624" s="2"/>
      <c r="AJ1624" s="2">
        <v>0</v>
      </c>
    </row>
    <row r="1625" spans="1:36" hidden="1" x14ac:dyDescent="0.2">
      <c r="A1625" s="11">
        <v>46068</v>
      </c>
      <c r="B1625" s="53" t="s">
        <v>2440</v>
      </c>
      <c r="C1625" s="52" t="str">
        <f>IF(MID(B1625,4,2)="09","Ramadan",IF(AND(MID(B1625,4,2)="12",VALUE(LEFT(B1625,2))&lt;=9),"Adha Season","Normal"))</f>
        <v>Normal</v>
      </c>
      <c r="D1625" s="1" t="s">
        <v>45</v>
      </c>
      <c r="F1625" s="4" t="s">
        <v>954</v>
      </c>
      <c r="G1625" s="1">
        <v>48</v>
      </c>
      <c r="H1625">
        <v>48</v>
      </c>
      <c r="I1625">
        <f>grand[[#This Row],[number]]-grand[[#This Row],[received]]</f>
        <v>0</v>
      </c>
      <c r="J1625" s="30"/>
      <c r="K1625" s="2">
        <v>19960</v>
      </c>
      <c r="L1625" s="2">
        <v>19960</v>
      </c>
      <c r="M1625" s="2">
        <f>K1625-L1625</f>
        <v>0</v>
      </c>
      <c r="N1625" s="2">
        <v>11992.6</v>
      </c>
      <c r="O1625" s="2">
        <v>313</v>
      </c>
      <c r="P1625" s="7">
        <f>grand[[#This Row],[total weight]]/grand[[#This Row],[received]]</f>
        <v>415.83333333333331</v>
      </c>
      <c r="Q1625" s="7">
        <f>grand[[#This Row],[receiving weight]]/grand[[#This Row],[received]]</f>
        <v>415.83333333333331</v>
      </c>
      <c r="R1625" s="7">
        <f>grand[[#This Row],[transportation loss ]]/grand[[#This Row],[received]]</f>
        <v>0</v>
      </c>
      <c r="S1625" s="7">
        <f>grand[[#This Row],[ carcass weight]]/grand[[#This Row],[received]]</f>
        <v>249.84583333333333</v>
      </c>
      <c r="T1625" s="7">
        <f>grand[[#This Row],[ kidneys fat quantity]]/grand[[#This Row],[received]]</f>
        <v>6.520833333333333</v>
      </c>
      <c r="U1625">
        <v>25</v>
      </c>
      <c r="V1625">
        <v>0</v>
      </c>
      <c r="W1625">
        <v>48.270833333333329</v>
      </c>
      <c r="X1625">
        <v>10</v>
      </c>
      <c r="Y1625">
        <v>8.5</v>
      </c>
      <c r="Z1625" s="18">
        <f>grand[[#This Row],[av. Transportation loss]]/grand[[#This Row],[av.total weight]]</f>
        <v>0</v>
      </c>
      <c r="AA1625" s="18">
        <f>AVERAGE((grand[[#This Row],[am]]/25),(grand[[#This Row],[pm]]/50))</f>
        <v>0.98270833333333329</v>
      </c>
      <c r="AB1625" s="3">
        <f>grand[[#This Row],[ carcass weight]]/grand[[#This Row],[total weight]]</f>
        <v>0.60083166332665328</v>
      </c>
      <c r="AC1625" s="18">
        <f>SUM(grand[[#This Row],[am]:[meat transportation]])/100</f>
        <v>0.91770833333333324</v>
      </c>
      <c r="AD1625" s="2" t="s">
        <v>970</v>
      </c>
      <c r="AE1625" s="2"/>
      <c r="AF1625" s="2"/>
      <c r="AG1625" s="2"/>
      <c r="AH1625" s="2"/>
      <c r="AI1625" s="2"/>
      <c r="AJ1625" s="2">
        <v>0</v>
      </c>
    </row>
    <row r="1626" spans="1:36" hidden="1" x14ac:dyDescent="0.2">
      <c r="A1626" s="11">
        <v>46068</v>
      </c>
      <c r="B1626" s="53" t="s">
        <v>2440</v>
      </c>
      <c r="C1626" s="52" t="str">
        <f>IF(MID(B1626,4,2)="09","Ramadan",IF(AND(MID(B1626,4,2)="12",VALUE(LEFT(B1626,2))&lt;=9),"Adha Season","Normal"))</f>
        <v>Normal</v>
      </c>
      <c r="D1626" s="2" t="s">
        <v>294</v>
      </c>
      <c r="F1626" s="4" t="s">
        <v>165</v>
      </c>
      <c r="G1626" s="1">
        <v>55</v>
      </c>
      <c r="H1626">
        <v>55</v>
      </c>
      <c r="I1626">
        <f>grand[[#This Row],[number]]-grand[[#This Row],[received]]</f>
        <v>0</v>
      </c>
      <c r="J1626" s="30"/>
      <c r="K1626" s="2">
        <v>2861</v>
      </c>
      <c r="L1626" s="2">
        <v>2861</v>
      </c>
      <c r="M1626" s="2">
        <f>K1626-L1626</f>
        <v>0</v>
      </c>
      <c r="N1626" s="2">
        <v>1679.2</v>
      </c>
      <c r="O1626" s="2">
        <v>0</v>
      </c>
      <c r="P1626" s="7">
        <f>grand[[#This Row],[total weight]]/grand[[#This Row],[received]]</f>
        <v>52.018181818181816</v>
      </c>
      <c r="Q1626" s="7">
        <f>grand[[#This Row],[receiving weight]]/grand[[#This Row],[received]]</f>
        <v>52.018181818181816</v>
      </c>
      <c r="R1626" s="7">
        <f>grand[[#This Row],[transportation loss ]]/grand[[#This Row],[received]]</f>
        <v>0</v>
      </c>
      <c r="S1626" s="7">
        <f>grand[[#This Row],[ carcass weight]]/grand[[#This Row],[received]]</f>
        <v>30.530909090909091</v>
      </c>
      <c r="T1626" s="7">
        <f>grand[[#This Row],[ kidneys fat quantity]]/grand[[#This Row],[received]]</f>
        <v>0</v>
      </c>
      <c r="U1626">
        <v>25</v>
      </c>
      <c r="V1626">
        <v>0</v>
      </c>
      <c r="W1626">
        <v>46.527272727272731</v>
      </c>
      <c r="X1626">
        <v>10</v>
      </c>
      <c r="Y1626">
        <v>8.5</v>
      </c>
      <c r="Z1626" s="18">
        <f>grand[[#This Row],[av. Transportation loss]]/grand[[#This Row],[av.total weight]]</f>
        <v>0</v>
      </c>
      <c r="AA1626" s="18">
        <f>AVERAGE((grand[[#This Row],[am]]/25),(grand[[#This Row],[pm]]/50))</f>
        <v>0.96527272727272728</v>
      </c>
      <c r="AB1626" s="3">
        <f>grand[[#This Row],[ carcass weight]]/grand[[#This Row],[total weight]]</f>
        <v>0.58692764767563788</v>
      </c>
      <c r="AC1626" s="18">
        <f>SUM(grand[[#This Row],[am]:[meat transportation]])/100</f>
        <v>0.90027272727272734</v>
      </c>
      <c r="AD1626" s="2" t="s">
        <v>969</v>
      </c>
      <c r="AE1626" s="2"/>
      <c r="AF1626" s="2"/>
      <c r="AG1626" s="2"/>
      <c r="AH1626" s="2"/>
      <c r="AI1626" s="2"/>
      <c r="AJ1626" s="2">
        <v>0</v>
      </c>
    </row>
    <row r="1627" spans="1:36" x14ac:dyDescent="0.2">
      <c r="A1627" s="11">
        <v>46068</v>
      </c>
      <c r="B1627" s="53" t="s">
        <v>2440</v>
      </c>
      <c r="C1627" s="52" t="str">
        <f>IF(MID(B1627,4,2)="09","Ramadan",IF(AND(MID(B1627,4,2)="12",VALUE(LEFT(B1627,2))&lt;=9),"Adha Season","Normal"))</f>
        <v>Normal</v>
      </c>
      <c r="D1627" s="1" t="s">
        <v>45</v>
      </c>
      <c r="F1627" s="4" t="s">
        <v>576</v>
      </c>
      <c r="G1627" s="1">
        <v>54</v>
      </c>
      <c r="H1627">
        <v>53</v>
      </c>
      <c r="I1627">
        <f>grand[[#This Row],[number]]-grand[[#This Row],[received]]</f>
        <v>1</v>
      </c>
      <c r="J1627" s="64" t="s">
        <v>1013</v>
      </c>
      <c r="K1627" s="2">
        <v>29240</v>
      </c>
      <c r="L1627" s="2">
        <v>29240</v>
      </c>
      <c r="M1627" s="2">
        <f>K1627-L1627</f>
        <v>0</v>
      </c>
      <c r="N1627" s="2">
        <v>18250.5</v>
      </c>
      <c r="O1627" s="2">
        <v>534</v>
      </c>
      <c r="P1627" s="7">
        <f>grand[[#This Row],[total weight]]/grand[[#This Row],[received]]</f>
        <v>551.69811320754718</v>
      </c>
      <c r="Q1627" s="7">
        <f>grand[[#This Row],[receiving weight]]/grand[[#This Row],[received]]</f>
        <v>551.69811320754718</v>
      </c>
      <c r="R1627" s="7">
        <f>grand[[#This Row],[transportation loss ]]/grand[[#This Row],[received]]</f>
        <v>0</v>
      </c>
      <c r="S1627" s="7">
        <f>grand[[#This Row],[ carcass weight]]/grand[[#This Row],[received]]</f>
        <v>344.34905660377359</v>
      </c>
      <c r="T1627" s="7">
        <f>grand[[#This Row],[ kidneys fat quantity]]/grand[[#This Row],[received]]</f>
        <v>10.075471698113208</v>
      </c>
      <c r="U1627">
        <v>24.90566037735849</v>
      </c>
      <c r="V1627">
        <v>0</v>
      </c>
      <c r="W1627">
        <v>45.301886792452834</v>
      </c>
      <c r="X1627">
        <v>10</v>
      </c>
      <c r="Y1627">
        <v>8.5</v>
      </c>
      <c r="Z1627" s="18">
        <f>grand[[#This Row],[av. Transportation loss]]/grand[[#This Row],[av.total weight]]</f>
        <v>0</v>
      </c>
      <c r="AA1627" s="18">
        <f>AVERAGE((grand[[#This Row],[am]]/25),(grand[[#This Row],[pm]]/50))</f>
        <v>0.95113207547169809</v>
      </c>
      <c r="AB1627" s="3">
        <f>grand[[#This Row],[ carcass weight]]/grand[[#This Row],[total weight]]</f>
        <v>0.62416210670314642</v>
      </c>
      <c r="AC1627" s="18">
        <f>SUM(grand[[#This Row],[am]:[meat transportation]])/100</f>
        <v>0.88707547169811318</v>
      </c>
      <c r="AD1627" s="2" t="s">
        <v>968</v>
      </c>
      <c r="AE1627" s="2"/>
      <c r="AF1627" s="2"/>
      <c r="AG1627" s="2"/>
      <c r="AH1627" s="2"/>
      <c r="AI1627" s="2"/>
      <c r="AJ1627" s="2">
        <v>25</v>
      </c>
    </row>
    <row r="1628" spans="1:36" hidden="1" x14ac:dyDescent="0.2">
      <c r="A1628" s="11">
        <v>46069</v>
      </c>
      <c r="B1628" s="53" t="s">
        <v>2441</v>
      </c>
      <c r="C1628" s="52" t="str">
        <f>IF(MID(B1628,4,2)="09","Ramadan",IF(AND(MID(B1628,4,2)="12",VALUE(LEFT(B1628,2))&lt;=9),"Adha Season","Normal"))</f>
        <v>Normal</v>
      </c>
      <c r="D1628" s="2" t="s">
        <v>294</v>
      </c>
      <c r="F1628" s="4" t="s">
        <v>165</v>
      </c>
      <c r="G1628" s="1">
        <v>34</v>
      </c>
      <c r="H1628">
        <v>34</v>
      </c>
      <c r="I1628">
        <f>grand[[#This Row],[number]]-grand[[#This Row],[received]]</f>
        <v>0</v>
      </c>
      <c r="J1628" s="30"/>
      <c r="K1628" s="2">
        <v>1899</v>
      </c>
      <c r="L1628" s="2">
        <v>1899</v>
      </c>
      <c r="M1628" s="2">
        <f>K1628-L1628</f>
        <v>0</v>
      </c>
      <c r="N1628" s="2">
        <v>1083.3</v>
      </c>
      <c r="O1628" s="2">
        <v>0</v>
      </c>
      <c r="P1628" s="7">
        <f>grand[[#This Row],[total weight]]/grand[[#This Row],[received]]</f>
        <v>55.852941176470587</v>
      </c>
      <c r="Q1628" s="7">
        <f>grand[[#This Row],[receiving weight]]/grand[[#This Row],[received]]</f>
        <v>55.852941176470587</v>
      </c>
      <c r="R1628" s="7">
        <f>grand[[#This Row],[transportation loss ]]/grand[[#This Row],[received]]</f>
        <v>0</v>
      </c>
      <c r="S1628" s="7">
        <f>grand[[#This Row],[ carcass weight]]/grand[[#This Row],[received]]</f>
        <v>31.861764705882351</v>
      </c>
      <c r="T1628" s="7">
        <f>grand[[#This Row],[ kidneys fat quantity]]/grand[[#This Row],[received]]</f>
        <v>0</v>
      </c>
      <c r="U1628">
        <v>25</v>
      </c>
      <c r="V1628">
        <v>0</v>
      </c>
      <c r="W1628">
        <v>45.617647058823529</v>
      </c>
      <c r="X1628">
        <v>10</v>
      </c>
      <c r="Y1628">
        <v>8.5</v>
      </c>
      <c r="Z1628" s="18">
        <f>grand[[#This Row],[av. Transportation loss]]/grand[[#This Row],[av.total weight]]</f>
        <v>0</v>
      </c>
      <c r="AA1628" s="18">
        <f>AVERAGE((grand[[#This Row],[am]]/25),(grand[[#This Row],[pm]]/50))</f>
        <v>0.95617647058823529</v>
      </c>
      <c r="AB1628" s="3">
        <f>grand[[#This Row],[ carcass weight]]/grand[[#This Row],[total weight]]</f>
        <v>0.57045813586097949</v>
      </c>
      <c r="AC1628" s="18">
        <f>SUM(grand[[#This Row],[am]:[meat transportation]])/100</f>
        <v>0.89117647058823535</v>
      </c>
      <c r="AD1628" s="2" t="s">
        <v>398</v>
      </c>
      <c r="AE1628" s="2"/>
      <c r="AF1628" s="2"/>
      <c r="AG1628" s="2"/>
      <c r="AH1628" s="2"/>
      <c r="AI1628" s="2"/>
      <c r="AJ1628" s="2">
        <v>0</v>
      </c>
    </row>
    <row r="1629" spans="1:36" x14ac:dyDescent="0.2">
      <c r="A1629" s="11">
        <v>46069</v>
      </c>
      <c r="B1629" s="53" t="s">
        <v>2441</v>
      </c>
      <c r="C1629" s="52" t="str">
        <f>IF(MID(B1629,4,2)="09","Ramadan",IF(AND(MID(B1629,4,2)="12",VALUE(LEFT(B1629,2))&lt;=9),"Adha Season","Normal"))</f>
        <v>Normal</v>
      </c>
      <c r="D1629" s="1" t="s">
        <v>45</v>
      </c>
      <c r="F1629" s="4" t="s">
        <v>1023</v>
      </c>
      <c r="G1629" s="1">
        <v>48</v>
      </c>
      <c r="H1629">
        <v>47</v>
      </c>
      <c r="I1629">
        <f>grand[[#This Row],[number]]-grand[[#This Row],[received]]</f>
        <v>1</v>
      </c>
      <c r="J1629" s="64" t="s">
        <v>1015</v>
      </c>
      <c r="K1629" s="2">
        <v>22954</v>
      </c>
      <c r="L1629" s="2">
        <v>22954</v>
      </c>
      <c r="M1629" s="2">
        <f>K1629-L1629</f>
        <v>0</v>
      </c>
      <c r="N1629" s="2">
        <v>13982.1</v>
      </c>
      <c r="O1629" s="2">
        <v>319</v>
      </c>
      <c r="P1629" s="7">
        <f>grand[[#This Row],[total weight]]/grand[[#This Row],[received]]</f>
        <v>488.38297872340428</v>
      </c>
      <c r="Q1629" s="7">
        <f>grand[[#This Row],[receiving weight]]/grand[[#This Row],[received]]</f>
        <v>488.38297872340428</v>
      </c>
      <c r="R1629" s="7">
        <f>grand[[#This Row],[transportation loss ]]/grand[[#This Row],[received]]</f>
        <v>0</v>
      </c>
      <c r="S1629" s="7">
        <f>grand[[#This Row],[ carcass weight]]/grand[[#This Row],[received]]</f>
        <v>297.49148936170212</v>
      </c>
      <c r="T1629" s="7">
        <f>grand[[#This Row],[ kidneys fat quantity]]/grand[[#This Row],[received]]</f>
        <v>6.7872340425531918</v>
      </c>
      <c r="U1629">
        <v>25</v>
      </c>
      <c r="V1629">
        <v>0</v>
      </c>
      <c r="W1629">
        <v>43.872340425531917</v>
      </c>
      <c r="X1629">
        <v>10</v>
      </c>
      <c r="Y1629">
        <v>8.5</v>
      </c>
      <c r="Z1629" s="18">
        <f>grand[[#This Row],[av. Transportation loss]]/grand[[#This Row],[av.total weight]]</f>
        <v>0</v>
      </c>
      <c r="AA1629" s="18">
        <f>AVERAGE((grand[[#This Row],[am]]/25),(grand[[#This Row],[pm]]/50))</f>
        <v>0.93872340425531919</v>
      </c>
      <c r="AB1629" s="3">
        <f>grand[[#This Row],[ carcass weight]]/grand[[#This Row],[total weight]]</f>
        <v>0.60913566262960706</v>
      </c>
      <c r="AC1629" s="18">
        <f>SUM(grand[[#This Row],[am]:[meat transportation]])/100</f>
        <v>0.87372340425531914</v>
      </c>
      <c r="AD1629" s="2" t="s">
        <v>972</v>
      </c>
      <c r="AE1629" s="2"/>
      <c r="AF1629" s="2"/>
      <c r="AG1629" s="2"/>
      <c r="AH1629" s="2"/>
      <c r="AI1629" s="2"/>
      <c r="AJ1629" s="2">
        <v>9</v>
      </c>
    </row>
    <row r="1630" spans="1:36" x14ac:dyDescent="0.2">
      <c r="A1630" s="11">
        <v>46069</v>
      </c>
      <c r="B1630" s="53" t="s">
        <v>2441</v>
      </c>
      <c r="C1630" s="52" t="str">
        <f>IF(MID(B1630,4,2)="09","Ramadan",IF(AND(MID(B1630,4,2)="12",VALUE(LEFT(B1630,2))&lt;=9),"Adha Season","Normal"))</f>
        <v>Normal</v>
      </c>
      <c r="D1630" s="1" t="s">
        <v>45</v>
      </c>
      <c r="F1630" s="4" t="s">
        <v>746</v>
      </c>
      <c r="G1630" s="1">
        <v>80</v>
      </c>
      <c r="H1630">
        <v>79</v>
      </c>
      <c r="I1630">
        <f>grand[[#This Row],[number]]-grand[[#This Row],[received]]</f>
        <v>1</v>
      </c>
      <c r="J1630" s="64" t="s">
        <v>1014</v>
      </c>
      <c r="K1630" s="2">
        <v>45250</v>
      </c>
      <c r="L1630" s="2">
        <v>45250</v>
      </c>
      <c r="M1630" s="2">
        <f>K1630-L1630</f>
        <v>0</v>
      </c>
      <c r="N1630" s="2">
        <v>27148</v>
      </c>
      <c r="O1630" s="2">
        <v>804</v>
      </c>
      <c r="P1630" s="7">
        <f>grand[[#This Row],[total weight]]/grand[[#This Row],[received]]</f>
        <v>572.78481012658233</v>
      </c>
      <c r="Q1630" s="7">
        <f>grand[[#This Row],[receiving weight]]/grand[[#This Row],[received]]</f>
        <v>572.78481012658233</v>
      </c>
      <c r="R1630" s="7">
        <f>grand[[#This Row],[transportation loss ]]/grand[[#This Row],[received]]</f>
        <v>0</v>
      </c>
      <c r="S1630" s="7">
        <f>grand[[#This Row],[ carcass weight]]/grand[[#This Row],[received]]</f>
        <v>343.64556962025318</v>
      </c>
      <c r="T1630" s="7">
        <f>grand[[#This Row],[ kidneys fat quantity]]/grand[[#This Row],[received]]</f>
        <v>10.177215189873417</v>
      </c>
      <c r="U1630">
        <v>23.73417721518987</v>
      </c>
      <c r="V1630">
        <v>0</v>
      </c>
      <c r="W1630">
        <v>48.0126582278481</v>
      </c>
      <c r="X1630">
        <v>10</v>
      </c>
      <c r="Y1630">
        <v>8.5</v>
      </c>
      <c r="Z1630" s="18">
        <f>grand[[#This Row],[av. Transportation loss]]/grand[[#This Row],[av.total weight]]</f>
        <v>0</v>
      </c>
      <c r="AA1630" s="18">
        <f>AVERAGE((grand[[#This Row],[am]]/25),(grand[[#This Row],[pm]]/50))</f>
        <v>0.95481012658227837</v>
      </c>
      <c r="AB1630" s="3">
        <f>grand[[#This Row],[ carcass weight]]/grand[[#This Row],[total weight]]</f>
        <v>0.59995580110497237</v>
      </c>
      <c r="AC1630" s="18">
        <f>SUM(grand[[#This Row],[am]:[meat transportation]])/100</f>
        <v>0.90246835443037965</v>
      </c>
      <c r="AD1630" s="2" t="s">
        <v>971</v>
      </c>
      <c r="AE1630" s="2"/>
      <c r="AF1630" s="2"/>
      <c r="AG1630" s="2"/>
      <c r="AH1630" s="2"/>
      <c r="AI1630" s="2"/>
      <c r="AJ1630" s="2">
        <v>60</v>
      </c>
    </row>
    <row r="1631" spans="1:36" hidden="1" x14ac:dyDescent="0.2">
      <c r="A1631" s="11">
        <v>46070</v>
      </c>
      <c r="B1631" s="53" t="s">
        <v>2506</v>
      </c>
      <c r="C1631" s="52" t="str">
        <f>IF(MID(B1631,4,2)="09","Ramadan",IF(AND(MID(B1631,4,2)="12",VALUE(LEFT(B1631,2))&lt;=9),"Adha Season","Normal"))</f>
        <v>Normal</v>
      </c>
      <c r="D1631" s="2" t="s">
        <v>294</v>
      </c>
      <c r="F1631" s="4" t="s">
        <v>165</v>
      </c>
      <c r="G1631" s="1">
        <v>70</v>
      </c>
      <c r="H1631">
        <v>70</v>
      </c>
      <c r="I1631">
        <f>grand[[#This Row],[number]]-grand[[#This Row],[received]]</f>
        <v>0</v>
      </c>
      <c r="J1631" s="30"/>
      <c r="K1631" s="2">
        <v>3920</v>
      </c>
      <c r="L1631" s="2">
        <v>3920</v>
      </c>
      <c r="M1631" s="2">
        <f>K1631-L1631</f>
        <v>0</v>
      </c>
      <c r="N1631" s="2">
        <v>2230.8000000000002</v>
      </c>
      <c r="O1631" s="2">
        <v>0</v>
      </c>
      <c r="P1631" s="7">
        <f>grand[[#This Row],[total weight]]/grand[[#This Row],[received]]</f>
        <v>56</v>
      </c>
      <c r="Q1631" s="7">
        <f>grand[[#This Row],[receiving weight]]/grand[[#This Row],[received]]</f>
        <v>56</v>
      </c>
      <c r="R1631" s="7">
        <f>grand[[#This Row],[transportation loss ]]/grand[[#This Row],[received]]</f>
        <v>0</v>
      </c>
      <c r="S1631" s="7">
        <f>grand[[#This Row],[ carcass weight]]/grand[[#This Row],[received]]</f>
        <v>31.868571428571432</v>
      </c>
      <c r="T1631" s="7">
        <f>grand[[#This Row],[ kidneys fat quantity]]/grand[[#This Row],[received]]</f>
        <v>0</v>
      </c>
      <c r="U1631">
        <v>25</v>
      </c>
      <c r="V1631">
        <v>0</v>
      </c>
      <c r="W1631">
        <v>47.942857142857143</v>
      </c>
      <c r="X1631">
        <v>10</v>
      </c>
      <c r="Y1631">
        <v>8.5</v>
      </c>
      <c r="Z1631" s="18">
        <f>grand[[#This Row],[av. Transportation loss]]/grand[[#This Row],[av.total weight]]</f>
        <v>0</v>
      </c>
      <c r="AA1631" s="18">
        <f>AVERAGE((grand[[#This Row],[am]]/25),(grand[[#This Row],[pm]]/50))</f>
        <v>0.97942857142857143</v>
      </c>
      <c r="AB1631" s="3">
        <f>grand[[#This Row],[ carcass weight]]/grand[[#This Row],[total weight]]</f>
        <v>0.56908163265306122</v>
      </c>
      <c r="AC1631" s="18">
        <f>SUM(grand[[#This Row],[am]:[meat transportation]])/100</f>
        <v>0.91442857142857148</v>
      </c>
      <c r="AD1631" s="2" t="s">
        <v>736</v>
      </c>
      <c r="AE1631" s="2"/>
      <c r="AF1631" s="2"/>
      <c r="AG1631" s="2"/>
      <c r="AH1631" s="2"/>
      <c r="AI1631" s="2"/>
      <c r="AJ1631" s="2">
        <v>0</v>
      </c>
    </row>
    <row r="1632" spans="1:36" x14ac:dyDescent="0.2">
      <c r="A1632" s="11">
        <v>46070</v>
      </c>
      <c r="B1632" s="53" t="s">
        <v>2506</v>
      </c>
      <c r="C1632" s="52" t="str">
        <f>IF(MID(B1632,4,2)="09","Ramadan",IF(AND(MID(B1632,4,2)="12",VALUE(LEFT(B1632,2))&lt;=9),"Adha Season","Normal"))</f>
        <v>Normal</v>
      </c>
      <c r="D1632" s="1" t="s">
        <v>45</v>
      </c>
      <c r="F1632" s="4" t="s">
        <v>165</v>
      </c>
      <c r="G1632" s="1">
        <v>76</v>
      </c>
      <c r="H1632">
        <v>75</v>
      </c>
      <c r="I1632">
        <f>grand[[#This Row],[number]]-grand[[#This Row],[received]]</f>
        <v>1</v>
      </c>
      <c r="J1632" s="64" t="s">
        <v>1017</v>
      </c>
      <c r="K1632" s="2">
        <v>41795</v>
      </c>
      <c r="L1632" s="2">
        <v>41795</v>
      </c>
      <c r="M1632" s="2">
        <f>K1632-L1632</f>
        <v>0</v>
      </c>
      <c r="N1632" s="2">
        <v>25077.8</v>
      </c>
      <c r="O1632" s="2">
        <v>748</v>
      </c>
      <c r="P1632" s="7">
        <f>grand[[#This Row],[total weight]]/grand[[#This Row],[received]]</f>
        <v>557.26666666666665</v>
      </c>
      <c r="Q1632" s="7">
        <f>grand[[#This Row],[receiving weight]]/grand[[#This Row],[received]]</f>
        <v>557.26666666666665</v>
      </c>
      <c r="R1632" s="7">
        <f>grand[[#This Row],[transportation loss ]]/grand[[#This Row],[received]]</f>
        <v>0</v>
      </c>
      <c r="S1632" s="7">
        <f>grand[[#This Row],[ carcass weight]]/grand[[#This Row],[received]]</f>
        <v>334.37066666666664</v>
      </c>
      <c r="T1632" s="7">
        <f>grand[[#This Row],[ kidneys fat quantity]]/grand[[#This Row],[received]]</f>
        <v>9.9733333333333327</v>
      </c>
      <c r="U1632">
        <v>22.933333333333337</v>
      </c>
      <c r="V1632">
        <v>0</v>
      </c>
      <c r="W1632">
        <v>47.706666666666678</v>
      </c>
      <c r="X1632">
        <v>10</v>
      </c>
      <c r="Y1632">
        <v>8.5</v>
      </c>
      <c r="Z1632" s="18">
        <f>grand[[#This Row],[av. Transportation loss]]/grand[[#This Row],[av.total weight]]</f>
        <v>0</v>
      </c>
      <c r="AA1632" s="18">
        <f>AVERAGE((grand[[#This Row],[am]]/25),(grand[[#This Row],[pm]]/50))</f>
        <v>0.93573333333333353</v>
      </c>
      <c r="AB1632" s="3">
        <f>grand[[#This Row],[ carcass weight]]/grand[[#This Row],[total weight]]</f>
        <v>0.60001914104557963</v>
      </c>
      <c r="AC1632" s="18">
        <f>SUM(grand[[#This Row],[am]:[meat transportation]])/100</f>
        <v>0.89140000000000019</v>
      </c>
      <c r="AD1632" s="2" t="s">
        <v>973</v>
      </c>
      <c r="AE1632" s="2"/>
      <c r="AF1632" s="2"/>
      <c r="AG1632" s="2"/>
      <c r="AH1632" s="2"/>
      <c r="AI1632" s="2"/>
      <c r="AJ1632" s="2">
        <v>55</v>
      </c>
    </row>
    <row r="1633" spans="1:36" x14ac:dyDescent="0.2">
      <c r="A1633" s="11">
        <v>46070</v>
      </c>
      <c r="B1633" s="53" t="s">
        <v>2506</v>
      </c>
      <c r="C1633" s="52" t="str">
        <f>IF(MID(B1633,4,2)="09","Ramadan",IF(AND(MID(B1633,4,2)="12",VALUE(LEFT(B1633,2))&lt;=9),"Adha Season","Normal"))</f>
        <v>Normal</v>
      </c>
      <c r="D1633" s="1" t="s">
        <v>45</v>
      </c>
      <c r="F1633" s="4" t="s">
        <v>746</v>
      </c>
      <c r="G1633" s="1">
        <v>65</v>
      </c>
      <c r="H1633">
        <v>62</v>
      </c>
      <c r="I1633">
        <f>grand[[#This Row],[number]]-grand[[#This Row],[received]]</f>
        <v>3</v>
      </c>
      <c r="J1633" s="64" t="s">
        <v>1016</v>
      </c>
      <c r="K1633" s="2">
        <v>32990</v>
      </c>
      <c r="L1633" s="2">
        <v>32990</v>
      </c>
      <c r="M1633" s="2">
        <f>K1633-L1633</f>
        <v>0</v>
      </c>
      <c r="N1633" s="2">
        <v>19794</v>
      </c>
      <c r="O1633" s="2">
        <v>432</v>
      </c>
      <c r="P1633" s="7">
        <f>grand[[#This Row],[total weight]]/grand[[#This Row],[received]]</f>
        <v>532.09677419354841</v>
      </c>
      <c r="Q1633" s="7">
        <f>grand[[#This Row],[receiving weight]]/grand[[#This Row],[received]]</f>
        <v>532.09677419354841</v>
      </c>
      <c r="R1633" s="7">
        <f>grand[[#This Row],[transportation loss ]]/grand[[#This Row],[received]]</f>
        <v>0</v>
      </c>
      <c r="S1633" s="7">
        <f>grand[[#This Row],[ carcass weight]]/grand[[#This Row],[received]]</f>
        <v>319.25806451612902</v>
      </c>
      <c r="T1633" s="7">
        <f>grand[[#This Row],[ kidneys fat quantity]]/grand[[#This Row],[received]]</f>
        <v>6.967741935483871</v>
      </c>
      <c r="U1633">
        <v>24.741935483870968</v>
      </c>
      <c r="V1633">
        <v>0</v>
      </c>
      <c r="W1633">
        <v>47.241935483870968</v>
      </c>
      <c r="X1633">
        <v>10</v>
      </c>
      <c r="Y1633">
        <v>8.5</v>
      </c>
      <c r="Z1633" s="18">
        <f>grand[[#This Row],[av. Transportation loss]]/grand[[#This Row],[av.total weight]]</f>
        <v>0</v>
      </c>
      <c r="AA1633" s="18">
        <f>AVERAGE((grand[[#This Row],[am]]/25),(grand[[#This Row],[pm]]/50))</f>
        <v>0.96725806451612906</v>
      </c>
      <c r="AB1633" s="3">
        <f>grand[[#This Row],[ carcass weight]]/grand[[#This Row],[total weight]]</f>
        <v>0.6</v>
      </c>
      <c r="AC1633" s="18">
        <f>SUM(grand[[#This Row],[am]:[meat transportation]])/100</f>
        <v>0.90483870967741931</v>
      </c>
      <c r="AD1633" s="2" t="s">
        <v>974</v>
      </c>
      <c r="AE1633" s="2"/>
      <c r="AF1633" s="2"/>
      <c r="AG1633" s="2"/>
      <c r="AH1633" s="2"/>
      <c r="AI1633" s="2"/>
      <c r="AJ1633" s="2">
        <v>29</v>
      </c>
    </row>
    <row r="1634" spans="1:36" hidden="1" x14ac:dyDescent="0.2">
      <c r="A1634" s="11">
        <v>46071</v>
      </c>
      <c r="B1634" s="53" t="s">
        <v>2507</v>
      </c>
      <c r="C1634" s="52" t="str">
        <f>IF(MID(B1634,4,2)="09","Ramadan",IF(AND(MID(B1634,4,2)="12",VALUE(LEFT(B1634,2))&lt;=9),"Adha Season","Normal"))</f>
        <v>Normal</v>
      </c>
      <c r="D1634" s="1" t="s">
        <v>45</v>
      </c>
      <c r="F1634" s="4" t="s">
        <v>954</v>
      </c>
      <c r="G1634" s="1">
        <v>73</v>
      </c>
      <c r="H1634">
        <v>73</v>
      </c>
      <c r="I1634">
        <f>grand[[#This Row],[number]]-grand[[#This Row],[received]]</f>
        <v>0</v>
      </c>
      <c r="J1634" s="30"/>
      <c r="K1634" s="2">
        <v>32108</v>
      </c>
      <c r="L1634" s="2">
        <v>32108</v>
      </c>
      <c r="M1634" s="2">
        <f>K1634-L1634</f>
        <v>0</v>
      </c>
      <c r="N1634" s="2">
        <v>19459.400000000001</v>
      </c>
      <c r="O1634" s="2">
        <v>461</v>
      </c>
      <c r="P1634" s="7">
        <f>grand[[#This Row],[total weight]]/grand[[#This Row],[received]]</f>
        <v>439.83561643835617</v>
      </c>
      <c r="Q1634" s="7">
        <f>grand[[#This Row],[receiving weight]]/grand[[#This Row],[received]]</f>
        <v>439.83561643835617</v>
      </c>
      <c r="R1634" s="7">
        <f>grand[[#This Row],[transportation loss ]]/grand[[#This Row],[received]]</f>
        <v>0</v>
      </c>
      <c r="S1634" s="7">
        <f>grand[[#This Row],[ carcass weight]]/grand[[#This Row],[received]]</f>
        <v>266.56712328767128</v>
      </c>
      <c r="T1634" s="7">
        <f>grand[[#This Row],[ kidneys fat quantity]]/grand[[#This Row],[received]]</f>
        <v>6.3150684931506849</v>
      </c>
      <c r="U1634">
        <v>24.986301369863018</v>
      </c>
      <c r="V1634">
        <v>0</v>
      </c>
      <c r="W1634">
        <v>48.191780821917817</v>
      </c>
      <c r="X1634">
        <v>10</v>
      </c>
      <c r="Y1634">
        <v>8.5</v>
      </c>
      <c r="Z1634" s="18">
        <f>grand[[#This Row],[av. Transportation loss]]/grand[[#This Row],[av.total weight]]</f>
        <v>0</v>
      </c>
      <c r="AA1634" s="18">
        <f>AVERAGE((grand[[#This Row],[am]]/25),(grand[[#This Row],[pm]]/50))</f>
        <v>0.98164383561643853</v>
      </c>
      <c r="AB1634" s="3">
        <f>grand[[#This Row],[ carcass weight]]/grand[[#This Row],[total weight]]</f>
        <v>0.60606079481749098</v>
      </c>
      <c r="AC1634" s="18">
        <f>SUM(grand[[#This Row],[am]:[meat transportation]])/100</f>
        <v>0.9167808219178083</v>
      </c>
      <c r="AD1634" s="2" t="s">
        <v>976</v>
      </c>
      <c r="AE1634" s="2"/>
      <c r="AF1634" s="2"/>
      <c r="AG1634" s="2"/>
      <c r="AH1634" s="2"/>
      <c r="AI1634" s="2"/>
      <c r="AJ1634" s="2">
        <v>0</v>
      </c>
    </row>
    <row r="1635" spans="1:36" hidden="1" x14ac:dyDescent="0.2">
      <c r="A1635" s="11">
        <v>46071</v>
      </c>
      <c r="B1635" s="53" t="s">
        <v>2507</v>
      </c>
      <c r="C1635" s="52" t="str">
        <f>IF(MID(B1635,4,2)="09","Ramadan",IF(AND(MID(B1635,4,2)="12",VALUE(LEFT(B1635,2))&lt;=9),"Adha Season","Normal"))</f>
        <v>Normal</v>
      </c>
      <c r="D1635" s="2" t="s">
        <v>294</v>
      </c>
      <c r="F1635" s="4" t="s">
        <v>165</v>
      </c>
      <c r="G1635" s="1">
        <v>38</v>
      </c>
      <c r="H1635">
        <v>38</v>
      </c>
      <c r="I1635">
        <f>grand[[#This Row],[number]]-grand[[#This Row],[received]]</f>
        <v>0</v>
      </c>
      <c r="J1635" s="30"/>
      <c r="K1635" s="2">
        <v>2029</v>
      </c>
      <c r="L1635" s="2">
        <v>2029</v>
      </c>
      <c r="M1635" s="2">
        <f>K1635-L1635</f>
        <v>0</v>
      </c>
      <c r="N1635" s="2">
        <v>1198.3</v>
      </c>
      <c r="O1635" s="2">
        <v>0</v>
      </c>
      <c r="P1635" s="7">
        <f>grand[[#This Row],[total weight]]/grand[[#This Row],[received]]</f>
        <v>53.39473684210526</v>
      </c>
      <c r="Q1635" s="7">
        <f>grand[[#This Row],[receiving weight]]/grand[[#This Row],[received]]</f>
        <v>53.39473684210526</v>
      </c>
      <c r="R1635" s="7">
        <f>grand[[#This Row],[transportation loss ]]/grand[[#This Row],[received]]</f>
        <v>0</v>
      </c>
      <c r="S1635" s="7">
        <f>grand[[#This Row],[ carcass weight]]/grand[[#This Row],[received]]</f>
        <v>31.534210526315789</v>
      </c>
      <c r="T1635" s="7">
        <f>grand[[#This Row],[ kidneys fat quantity]]/grand[[#This Row],[received]]</f>
        <v>0</v>
      </c>
      <c r="U1635">
        <v>25</v>
      </c>
      <c r="V1635">
        <v>0</v>
      </c>
      <c r="W1635">
        <v>47.394736842105267</v>
      </c>
      <c r="X1635">
        <v>10</v>
      </c>
      <c r="Y1635">
        <v>8.5</v>
      </c>
      <c r="Z1635" s="18">
        <f>grand[[#This Row],[av. Transportation loss]]/grand[[#This Row],[av.total weight]]</f>
        <v>0</v>
      </c>
      <c r="AA1635" s="18">
        <f>AVERAGE((grand[[#This Row],[am]]/25),(grand[[#This Row],[pm]]/50))</f>
        <v>0.97394736842105267</v>
      </c>
      <c r="AB1635" s="3">
        <f>grand[[#This Row],[ carcass weight]]/grand[[#This Row],[total weight]]</f>
        <v>0.59058649581074418</v>
      </c>
      <c r="AC1635" s="18">
        <f>SUM(grand[[#This Row],[am]:[meat transportation]])/100</f>
        <v>0.90894736842105261</v>
      </c>
      <c r="AD1635" s="2" t="s">
        <v>975</v>
      </c>
      <c r="AE1635" s="2"/>
      <c r="AF1635" s="2"/>
      <c r="AG1635" s="2"/>
      <c r="AH1635" s="2"/>
      <c r="AI1635" s="2"/>
      <c r="AJ1635" s="2">
        <v>0</v>
      </c>
    </row>
    <row r="1636" spans="1:36" hidden="1" x14ac:dyDescent="0.2">
      <c r="A1636" s="11">
        <v>46072</v>
      </c>
      <c r="B1636" s="53" t="s">
        <v>2442</v>
      </c>
      <c r="C1636" s="52" t="str">
        <f>IF(MID(B1636,4,2)="09","Ramadan",IF(AND(MID(B1636,4,2)="12",VALUE(LEFT(B1636,2))&lt;=9),"Adha Season","Normal"))</f>
        <v>Ramadan</v>
      </c>
      <c r="D1636" s="1" t="s">
        <v>45</v>
      </c>
      <c r="F1636" s="4" t="s">
        <v>954</v>
      </c>
      <c r="G1636" s="1">
        <v>53</v>
      </c>
      <c r="H1636">
        <v>53</v>
      </c>
      <c r="I1636">
        <f>grand[[#This Row],[number]]-grand[[#This Row],[received]]</f>
        <v>0</v>
      </c>
      <c r="J1636" s="30"/>
      <c r="K1636" s="2">
        <v>21858</v>
      </c>
      <c r="L1636" s="2">
        <v>21858</v>
      </c>
      <c r="M1636" s="2">
        <f>K1636-L1636</f>
        <v>0</v>
      </c>
      <c r="N1636" s="2">
        <v>13186.5</v>
      </c>
      <c r="O1636" s="2">
        <v>311</v>
      </c>
      <c r="P1636" s="7">
        <f>grand[[#This Row],[total weight]]/grand[[#This Row],[received]]</f>
        <v>412.41509433962267</v>
      </c>
      <c r="Q1636" s="7">
        <f>grand[[#This Row],[receiving weight]]/grand[[#This Row],[received]]</f>
        <v>412.41509433962267</v>
      </c>
      <c r="R1636" s="7">
        <f>grand[[#This Row],[transportation loss ]]/grand[[#This Row],[received]]</f>
        <v>0</v>
      </c>
      <c r="S1636" s="7">
        <f>grand[[#This Row],[ carcass weight]]/grand[[#This Row],[received]]</f>
        <v>248.80188679245282</v>
      </c>
      <c r="T1636" s="7">
        <f>grand[[#This Row],[ kidneys fat quantity]]/grand[[#This Row],[received]]</f>
        <v>5.867924528301887</v>
      </c>
      <c r="U1636">
        <v>25</v>
      </c>
      <c r="V1636">
        <v>0</v>
      </c>
      <c r="W1636">
        <v>47.7</v>
      </c>
      <c r="X1636">
        <v>10</v>
      </c>
      <c r="Y1636">
        <v>8.5</v>
      </c>
      <c r="Z1636" s="18">
        <f>grand[[#This Row],[av. Transportation loss]]/grand[[#This Row],[av.total weight]]</f>
        <v>0</v>
      </c>
      <c r="AA1636" s="18">
        <f>AVERAGE((grand[[#This Row],[am]]/25),(grand[[#This Row],[pm]]/50))</f>
        <v>0.97700000000000009</v>
      </c>
      <c r="AB1636" s="3">
        <f>grand[[#This Row],[ carcass weight]]/grand[[#This Row],[total weight]]</f>
        <v>0.60328026351907771</v>
      </c>
      <c r="AC1636" s="18">
        <f>SUM(grand[[#This Row],[am]:[meat transportation]])/100</f>
        <v>0.91200000000000003</v>
      </c>
      <c r="AD1636" s="2" t="s">
        <v>977</v>
      </c>
      <c r="AE1636" s="2"/>
      <c r="AF1636" s="2"/>
      <c r="AG1636" s="2"/>
      <c r="AH1636" s="2"/>
      <c r="AI1636" s="2"/>
      <c r="AJ1636" s="2">
        <v>0</v>
      </c>
    </row>
    <row r="1637" spans="1:36" hidden="1" x14ac:dyDescent="0.2">
      <c r="A1637" s="11">
        <v>46072</v>
      </c>
      <c r="B1637" s="53" t="s">
        <v>2442</v>
      </c>
      <c r="C1637" s="52" t="str">
        <f>IF(MID(B1637,4,2)="09","Ramadan",IF(AND(MID(B1637,4,2)="12",VALUE(LEFT(B1637,2))&lt;=9),"Adha Season","Normal"))</f>
        <v>Ramadan</v>
      </c>
      <c r="D1637" s="2" t="s">
        <v>294</v>
      </c>
      <c r="F1637" s="4" t="s">
        <v>165</v>
      </c>
      <c r="G1637" s="1">
        <v>27</v>
      </c>
      <c r="H1637">
        <v>27</v>
      </c>
      <c r="I1637">
        <f>grand[[#This Row],[number]]-grand[[#This Row],[received]]</f>
        <v>0</v>
      </c>
      <c r="J1637" s="30"/>
      <c r="K1637" s="2">
        <v>1442</v>
      </c>
      <c r="L1637" s="2">
        <v>1442</v>
      </c>
      <c r="M1637" s="2">
        <f>K1637-L1637</f>
        <v>0</v>
      </c>
      <c r="N1637" s="2">
        <v>827.1</v>
      </c>
      <c r="O1637" s="2">
        <v>0</v>
      </c>
      <c r="P1637" s="7">
        <f>grand[[#This Row],[total weight]]/grand[[#This Row],[received]]</f>
        <v>53.407407407407405</v>
      </c>
      <c r="Q1637" s="7">
        <f>grand[[#This Row],[receiving weight]]/grand[[#This Row],[received]]</f>
        <v>53.407407407407405</v>
      </c>
      <c r="R1637" s="7">
        <f>grand[[#This Row],[transportation loss ]]/grand[[#This Row],[received]]</f>
        <v>0</v>
      </c>
      <c r="S1637" s="7">
        <f>grand[[#This Row],[ carcass weight]]/grand[[#This Row],[received]]</f>
        <v>30.633333333333333</v>
      </c>
      <c r="T1637" s="7">
        <f>grand[[#This Row],[ kidneys fat quantity]]/grand[[#This Row],[received]]</f>
        <v>0</v>
      </c>
      <c r="U1637">
        <v>25</v>
      </c>
      <c r="V1637">
        <v>0</v>
      </c>
      <c r="W1637">
        <v>48.074074074074083</v>
      </c>
      <c r="X1637">
        <v>10</v>
      </c>
      <c r="Y1637">
        <v>8.5</v>
      </c>
      <c r="Z1637" s="18">
        <f>grand[[#This Row],[av. Transportation loss]]/grand[[#This Row],[av.total weight]]</f>
        <v>0</v>
      </c>
      <c r="AA1637" s="18">
        <f>AVERAGE((grand[[#This Row],[am]]/25),(grand[[#This Row],[pm]]/50))</f>
        <v>0.98074074074074091</v>
      </c>
      <c r="AB1637" s="3">
        <f>grand[[#This Row],[ carcass weight]]/grand[[#This Row],[total weight]]</f>
        <v>0.57357836338418866</v>
      </c>
      <c r="AC1637" s="18">
        <f>SUM(grand[[#This Row],[am]:[meat transportation]])/100</f>
        <v>0.91574074074074074</v>
      </c>
      <c r="AD1637" s="2" t="s">
        <v>978</v>
      </c>
      <c r="AE1637" s="2"/>
      <c r="AF1637" s="2"/>
      <c r="AG1637" s="2"/>
      <c r="AH1637" s="2"/>
      <c r="AI1637" s="2"/>
      <c r="AJ1637" s="2">
        <v>0</v>
      </c>
    </row>
    <row r="1638" spans="1:36" hidden="1" x14ac:dyDescent="0.2">
      <c r="A1638" s="11">
        <v>46074</v>
      </c>
      <c r="B1638" s="53" t="s">
        <v>2443</v>
      </c>
      <c r="C1638" s="52" t="str">
        <f>IF(MID(B1638,4,2)="09","Ramadan",IF(AND(MID(B1638,4,2)="12",VALUE(LEFT(B1638,2))&lt;=9),"Adha Season","Normal"))</f>
        <v>Ramadan</v>
      </c>
      <c r="D1638" s="1" t="s">
        <v>45</v>
      </c>
      <c r="F1638" s="4" t="s">
        <v>954</v>
      </c>
      <c r="G1638" s="1">
        <v>18</v>
      </c>
      <c r="H1638">
        <v>18</v>
      </c>
      <c r="I1638">
        <f>grand[[#This Row],[number]]-grand[[#This Row],[received]]</f>
        <v>0</v>
      </c>
      <c r="J1638" s="30"/>
      <c r="K1638" s="2">
        <v>8131</v>
      </c>
      <c r="L1638" s="2">
        <v>8131</v>
      </c>
      <c r="M1638" s="2">
        <f>K1638-L1638</f>
        <v>0</v>
      </c>
      <c r="N1638" s="2">
        <v>4935.3999999999996</v>
      </c>
      <c r="O1638" s="2">
        <v>155</v>
      </c>
      <c r="P1638" s="7">
        <f>grand[[#This Row],[total weight]]/grand[[#This Row],[received]]</f>
        <v>451.72222222222223</v>
      </c>
      <c r="Q1638" s="7">
        <f>grand[[#This Row],[receiving weight]]/grand[[#This Row],[received]]</f>
        <v>451.72222222222223</v>
      </c>
      <c r="R1638" s="7">
        <f>grand[[#This Row],[transportation loss ]]/grand[[#This Row],[received]]</f>
        <v>0</v>
      </c>
      <c r="S1638" s="7">
        <f>grand[[#This Row],[ carcass weight]]/grand[[#This Row],[received]]</f>
        <v>274.18888888888887</v>
      </c>
      <c r="T1638" s="7">
        <f>grand[[#This Row],[ kidneys fat quantity]]/grand[[#This Row],[received]]</f>
        <v>8.6111111111111107</v>
      </c>
      <c r="U1638">
        <v>25</v>
      </c>
      <c r="V1638">
        <v>0</v>
      </c>
      <c r="W1638">
        <v>47</v>
      </c>
      <c r="X1638">
        <v>10</v>
      </c>
      <c r="Y1638">
        <v>8.5</v>
      </c>
      <c r="Z1638" s="18">
        <f>grand[[#This Row],[av. Transportation loss]]/grand[[#This Row],[av.total weight]]</f>
        <v>0</v>
      </c>
      <c r="AA1638" s="18">
        <f>AVERAGE((grand[[#This Row],[am]]/25),(grand[[#This Row],[pm]]/50))</f>
        <v>0.97</v>
      </c>
      <c r="AB1638" s="3">
        <f>grand[[#This Row],[ carcass weight]]/grand[[#This Row],[total weight]]</f>
        <v>0.60698561062599921</v>
      </c>
      <c r="AC1638" s="18">
        <f>SUM(grand[[#This Row],[am]:[meat transportation]])/100</f>
        <v>0.90500000000000003</v>
      </c>
      <c r="AD1638" s="2" t="s">
        <v>982</v>
      </c>
      <c r="AE1638" s="2"/>
      <c r="AF1638" s="2"/>
      <c r="AG1638" s="2"/>
      <c r="AH1638" s="2"/>
      <c r="AI1638" s="2"/>
      <c r="AJ1638" s="2">
        <v>0</v>
      </c>
    </row>
    <row r="1639" spans="1:36" hidden="1" x14ac:dyDescent="0.2">
      <c r="A1639" s="11">
        <v>46074</v>
      </c>
      <c r="B1639" s="53" t="s">
        <v>2443</v>
      </c>
      <c r="C1639" s="52" t="str">
        <f>IF(MID(B1639,4,2)="09","Ramadan",IF(AND(MID(B1639,4,2)="12",VALUE(LEFT(B1639,2))&lt;=9),"Adha Season","Normal"))</f>
        <v>Ramadan</v>
      </c>
      <c r="D1639" s="2" t="s">
        <v>294</v>
      </c>
      <c r="F1639" s="4" t="s">
        <v>165</v>
      </c>
      <c r="G1639" s="1">
        <v>32</v>
      </c>
      <c r="H1639">
        <v>32</v>
      </c>
      <c r="I1639">
        <f>grand[[#This Row],[number]]-grand[[#This Row],[received]]</f>
        <v>0</v>
      </c>
      <c r="J1639" s="30"/>
      <c r="K1639" s="2">
        <v>1825</v>
      </c>
      <c r="L1639" s="2">
        <v>1825</v>
      </c>
      <c r="M1639" s="2">
        <f>K1639-L1639</f>
        <v>0</v>
      </c>
      <c r="N1639" s="2">
        <v>1074.5999999999999</v>
      </c>
      <c r="O1639" s="2">
        <v>0</v>
      </c>
      <c r="P1639" s="7">
        <f>grand[[#This Row],[total weight]]/grand[[#This Row],[received]]</f>
        <v>57.03125</v>
      </c>
      <c r="Q1639" s="7">
        <f>grand[[#This Row],[receiving weight]]/grand[[#This Row],[received]]</f>
        <v>57.03125</v>
      </c>
      <c r="R1639" s="7">
        <f>grand[[#This Row],[transportation loss ]]/grand[[#This Row],[received]]</f>
        <v>0</v>
      </c>
      <c r="S1639" s="7">
        <f>grand[[#This Row],[ carcass weight]]/grand[[#This Row],[received]]</f>
        <v>33.581249999999997</v>
      </c>
      <c r="T1639" s="7">
        <f>grand[[#This Row],[ kidneys fat quantity]]/grand[[#This Row],[received]]</f>
        <v>0</v>
      </c>
      <c r="U1639">
        <v>25</v>
      </c>
      <c r="V1639">
        <v>0</v>
      </c>
      <c r="W1639">
        <v>45.8125</v>
      </c>
      <c r="X1639">
        <v>10</v>
      </c>
      <c r="Y1639">
        <v>8.5</v>
      </c>
      <c r="Z1639" s="18">
        <f>grand[[#This Row],[av. Transportation loss]]/grand[[#This Row],[av.total weight]]</f>
        <v>0</v>
      </c>
      <c r="AA1639" s="18">
        <f>AVERAGE((grand[[#This Row],[am]]/25),(grand[[#This Row],[pm]]/50))</f>
        <v>0.958125</v>
      </c>
      <c r="AB1639" s="3">
        <f>grand[[#This Row],[ carcass weight]]/grand[[#This Row],[total weight]]</f>
        <v>0.58882191780821913</v>
      </c>
      <c r="AC1639" s="18">
        <f>SUM(grand[[#This Row],[am]:[meat transportation]])/100</f>
        <v>0.89312499999999995</v>
      </c>
      <c r="AD1639" s="2" t="s">
        <v>981</v>
      </c>
      <c r="AE1639" s="2"/>
      <c r="AF1639" s="2"/>
      <c r="AG1639" s="2"/>
      <c r="AH1639" s="2"/>
      <c r="AI1639" s="2"/>
      <c r="AJ1639" s="2">
        <v>0</v>
      </c>
    </row>
    <row r="1640" spans="1:36" hidden="1" x14ac:dyDescent="0.2">
      <c r="A1640" s="11">
        <v>46075</v>
      </c>
      <c r="B1640" s="53" t="s">
        <v>2900</v>
      </c>
      <c r="C1640" s="52" t="str">
        <f>IF(MID(B1640,4,2)="09","Ramadan",IF(AND(MID(B1640,4,2)="12",VALUE(LEFT(B1640,2))&lt;=9),"Adha Season","Normal"))</f>
        <v>Ramadan</v>
      </c>
      <c r="D1640" s="1" t="s">
        <v>45</v>
      </c>
      <c r="F1640" s="4" t="s">
        <v>954</v>
      </c>
      <c r="G1640" s="1">
        <v>44</v>
      </c>
      <c r="H1640">
        <v>44</v>
      </c>
      <c r="I1640">
        <f>grand[[#This Row],[number]]-grand[[#This Row],[received]]</f>
        <v>0</v>
      </c>
      <c r="J1640" s="30"/>
      <c r="K1640" s="2">
        <v>18111</v>
      </c>
      <c r="L1640" s="2">
        <v>18111</v>
      </c>
      <c r="M1640" s="2">
        <f>K1640-L1640</f>
        <v>0</v>
      </c>
      <c r="N1640" s="2">
        <v>10898.8</v>
      </c>
      <c r="O1640" s="2">
        <v>255</v>
      </c>
      <c r="P1640" s="7">
        <f>grand[[#This Row],[total weight]]/grand[[#This Row],[received]]</f>
        <v>411.61363636363637</v>
      </c>
      <c r="Q1640" s="7">
        <f>grand[[#This Row],[receiving weight]]/grand[[#This Row],[received]]</f>
        <v>411.61363636363637</v>
      </c>
      <c r="R1640" s="7">
        <f>grand[[#This Row],[transportation loss ]]/grand[[#This Row],[received]]</f>
        <v>0</v>
      </c>
      <c r="S1640" s="7">
        <f>grand[[#This Row],[ carcass weight]]/grand[[#This Row],[received]]</f>
        <v>247.7</v>
      </c>
      <c r="T1640" s="7">
        <f>grand[[#This Row],[ kidneys fat quantity]]/grand[[#This Row],[received]]</f>
        <v>5.7954545454545459</v>
      </c>
      <c r="U1640">
        <v>25</v>
      </c>
      <c r="V1640">
        <v>0</v>
      </c>
      <c r="W1640">
        <v>47.02272727272728</v>
      </c>
      <c r="X1640">
        <v>10</v>
      </c>
      <c r="Y1640">
        <v>8.5</v>
      </c>
      <c r="Z1640" s="18">
        <f>grand[[#This Row],[av. Transportation loss]]/grand[[#This Row],[av.total weight]]</f>
        <v>0</v>
      </c>
      <c r="AA1640" s="18">
        <f>AVERAGE((grand[[#This Row],[am]]/25),(grand[[#This Row],[pm]]/50))</f>
        <v>0.97022727272727283</v>
      </c>
      <c r="AB1640" s="3">
        <f>grand[[#This Row],[ carcass weight]]/grand[[#This Row],[total weight]]</f>
        <v>0.6017779250179448</v>
      </c>
      <c r="AC1640" s="18">
        <f>SUM(grand[[#This Row],[am]:[meat transportation]])/100</f>
        <v>0.90522727272727277</v>
      </c>
      <c r="AD1640" s="2" t="s">
        <v>983</v>
      </c>
      <c r="AE1640" s="2"/>
      <c r="AF1640" s="2"/>
      <c r="AG1640" s="2"/>
      <c r="AH1640" s="2"/>
      <c r="AI1640" s="2"/>
      <c r="AJ1640" s="2">
        <v>0</v>
      </c>
    </row>
    <row r="1641" spans="1:36" x14ac:dyDescent="0.2">
      <c r="A1641" s="11">
        <v>46076</v>
      </c>
      <c r="B1641" s="53" t="s">
        <v>2444</v>
      </c>
      <c r="C1641" s="52" t="str">
        <f>IF(MID(B1641,4,2)="09","Ramadan",IF(AND(MID(B1641,4,2)="12",VALUE(LEFT(B1641,2))&lt;=9),"Adha Season","Normal"))</f>
        <v>Ramadan</v>
      </c>
      <c r="D1641" s="1" t="s">
        <v>45</v>
      </c>
      <c r="F1641" s="4" t="s">
        <v>746</v>
      </c>
      <c r="G1641" s="1">
        <v>71</v>
      </c>
      <c r="H1641">
        <v>70</v>
      </c>
      <c r="I1641">
        <f>grand[[#This Row],[number]]-grand[[#This Row],[received]]</f>
        <v>1</v>
      </c>
      <c r="J1641" s="64" t="s">
        <v>1019</v>
      </c>
      <c r="K1641" s="2">
        <v>36046</v>
      </c>
      <c r="L1641" s="2">
        <v>36046</v>
      </c>
      <c r="M1641" s="2">
        <f>K1641-L1641</f>
        <v>0</v>
      </c>
      <c r="N1641" s="2">
        <v>21626.799999999999</v>
      </c>
      <c r="O1641" s="2">
        <v>602</v>
      </c>
      <c r="P1641" s="7">
        <f>grand[[#This Row],[total weight]]/grand[[#This Row],[received]]</f>
        <v>514.94285714285718</v>
      </c>
      <c r="Q1641" s="7">
        <f>grand[[#This Row],[receiving weight]]/grand[[#This Row],[received]]</f>
        <v>514.94285714285718</v>
      </c>
      <c r="R1641" s="7">
        <f>grand[[#This Row],[transportation loss ]]/grand[[#This Row],[received]]</f>
        <v>0</v>
      </c>
      <c r="S1641" s="7">
        <f>grand[[#This Row],[ carcass weight]]/grand[[#This Row],[received]]</f>
        <v>308.95428571428573</v>
      </c>
      <c r="T1641" s="7">
        <f>grand[[#This Row],[ kidneys fat quantity]]/grand[[#This Row],[received]]</f>
        <v>8.6</v>
      </c>
      <c r="U1641">
        <v>25</v>
      </c>
      <c r="V1641">
        <v>0</v>
      </c>
      <c r="W1641">
        <v>48.957142857142856</v>
      </c>
      <c r="X1641">
        <v>10</v>
      </c>
      <c r="Y1641">
        <v>8.5</v>
      </c>
      <c r="Z1641" s="18">
        <f>grand[[#This Row],[av. Transportation loss]]/grand[[#This Row],[av.total weight]]</f>
        <v>0</v>
      </c>
      <c r="AA1641" s="18">
        <f>AVERAGE((grand[[#This Row],[am]]/25),(grand[[#This Row],[pm]]/50))</f>
        <v>0.98957142857142855</v>
      </c>
      <c r="AB1641" s="3">
        <f>grand[[#This Row],[ carcass weight]]/grand[[#This Row],[total weight]]</f>
        <v>0.59997780613660323</v>
      </c>
      <c r="AC1641" s="18">
        <f>SUM(grand[[#This Row],[am]:[meat transportation]])/100</f>
        <v>0.9245714285714286</v>
      </c>
      <c r="AD1641" s="2" t="s">
        <v>985</v>
      </c>
      <c r="AE1641" s="2"/>
      <c r="AF1641" s="2"/>
      <c r="AG1641" s="2"/>
      <c r="AH1641" s="2"/>
      <c r="AI1641" s="2"/>
      <c r="AJ1641" s="2">
        <v>9</v>
      </c>
    </row>
    <row r="1642" spans="1:36" hidden="1" x14ac:dyDescent="0.2">
      <c r="A1642" s="11">
        <v>46076</v>
      </c>
      <c r="B1642" s="53" t="s">
        <v>2444</v>
      </c>
      <c r="C1642" s="52" t="str">
        <f>IF(MID(B1642,4,2)="09","Ramadan",IF(AND(MID(B1642,4,2)="12",VALUE(LEFT(B1642,2))&lt;=9),"Adha Season","Normal"))</f>
        <v>Ramadan</v>
      </c>
      <c r="D1642" s="2" t="s">
        <v>294</v>
      </c>
      <c r="F1642" s="4" t="s">
        <v>165</v>
      </c>
      <c r="G1642" s="1">
        <v>43</v>
      </c>
      <c r="H1642">
        <v>42</v>
      </c>
      <c r="I1642">
        <f>grand[[#This Row],[number]]-grand[[#This Row],[received]]</f>
        <v>1</v>
      </c>
      <c r="J1642" s="64" t="s">
        <v>1018</v>
      </c>
      <c r="K1642" s="2">
        <v>2200</v>
      </c>
      <c r="L1642" s="2">
        <v>2200</v>
      </c>
      <c r="M1642" s="2">
        <f>K1642-L1642</f>
        <v>0</v>
      </c>
      <c r="N1642" s="2">
        <v>1232.4000000000001</v>
      </c>
      <c r="O1642" s="2">
        <v>0</v>
      </c>
      <c r="P1642" s="7">
        <f>grand[[#This Row],[total weight]]/grand[[#This Row],[received]]</f>
        <v>52.38095238095238</v>
      </c>
      <c r="Q1642" s="7">
        <f>grand[[#This Row],[receiving weight]]/grand[[#This Row],[received]]</f>
        <v>52.38095238095238</v>
      </c>
      <c r="R1642" s="7">
        <f>grand[[#This Row],[transportation loss ]]/grand[[#This Row],[received]]</f>
        <v>0</v>
      </c>
      <c r="S1642" s="7">
        <f>grand[[#This Row],[ carcass weight]]/grand[[#This Row],[received]]</f>
        <v>29.342857142857145</v>
      </c>
      <c r="T1642" s="7">
        <f>grand[[#This Row],[ kidneys fat quantity]]/grand[[#This Row],[received]]</f>
        <v>0</v>
      </c>
      <c r="U1642">
        <v>25</v>
      </c>
      <c r="V1642">
        <v>0</v>
      </c>
      <c r="W1642">
        <v>48.642857142857139</v>
      </c>
      <c r="X1642">
        <v>10</v>
      </c>
      <c r="Y1642">
        <v>8.5</v>
      </c>
      <c r="Z1642" s="18">
        <f>grand[[#This Row],[av. Transportation loss]]/grand[[#This Row],[av.total weight]]</f>
        <v>0</v>
      </c>
      <c r="AA1642" s="18">
        <f>AVERAGE((grand[[#This Row],[am]]/25),(grand[[#This Row],[pm]]/50))</f>
        <v>0.98642857142857143</v>
      </c>
      <c r="AB1642" s="3">
        <f>grand[[#This Row],[ carcass weight]]/grand[[#This Row],[total weight]]</f>
        <v>0.56018181818181823</v>
      </c>
      <c r="AC1642" s="18">
        <f>SUM(grand[[#This Row],[am]:[meat transportation]])/100</f>
        <v>0.92142857142857137</v>
      </c>
      <c r="AD1642" s="2" t="s">
        <v>984</v>
      </c>
      <c r="AE1642" s="2"/>
      <c r="AF1642" s="2"/>
      <c r="AG1642" s="2"/>
      <c r="AH1642" s="2"/>
      <c r="AI1642" s="2"/>
      <c r="AJ1642" s="2">
        <v>0</v>
      </c>
    </row>
    <row r="1643" spans="1:36" hidden="1" x14ac:dyDescent="0.2">
      <c r="A1643" s="11">
        <v>46077</v>
      </c>
      <c r="B1643" s="53" t="s">
        <v>2445</v>
      </c>
      <c r="C1643" s="52" t="str">
        <f>IF(MID(B1643,4,2)="09","Ramadan",IF(AND(MID(B1643,4,2)="12",VALUE(LEFT(B1643,2))&lt;=9),"Adha Season","Normal"))</f>
        <v>Ramadan</v>
      </c>
      <c r="D1643" s="1" t="s">
        <v>45</v>
      </c>
      <c r="F1643" s="4" t="s">
        <v>986</v>
      </c>
      <c r="G1643" s="1">
        <v>8</v>
      </c>
      <c r="H1643">
        <v>8</v>
      </c>
      <c r="I1643">
        <f>grand[[#This Row],[number]]-grand[[#This Row],[received]]</f>
        <v>0</v>
      </c>
      <c r="J1643" s="30"/>
      <c r="K1643" s="2">
        <v>3893</v>
      </c>
      <c r="L1643" s="2">
        <v>3893</v>
      </c>
      <c r="M1643" s="2">
        <f>K1643-L1643</f>
        <v>0</v>
      </c>
      <c r="N1643" s="2">
        <v>2332</v>
      </c>
      <c r="O1643" s="2">
        <v>79.599999999999994</v>
      </c>
      <c r="P1643" s="7">
        <f>grand[[#This Row],[total weight]]/grand[[#This Row],[received]]</f>
        <v>486.625</v>
      </c>
      <c r="Q1643" s="7">
        <f>grand[[#This Row],[receiving weight]]/grand[[#This Row],[received]]</f>
        <v>486.625</v>
      </c>
      <c r="R1643" s="7">
        <f>grand[[#This Row],[transportation loss ]]/grand[[#This Row],[received]]</f>
        <v>0</v>
      </c>
      <c r="S1643" s="7">
        <f>grand[[#This Row],[ carcass weight]]/grand[[#This Row],[received]]</f>
        <v>291.5</v>
      </c>
      <c r="T1643" s="7">
        <f>grand[[#This Row],[ kidneys fat quantity]]/grand[[#This Row],[received]]</f>
        <v>9.9499999999999993</v>
      </c>
      <c r="U1643">
        <v>25</v>
      </c>
      <c r="V1643">
        <v>0</v>
      </c>
      <c r="W1643">
        <v>45</v>
      </c>
      <c r="X1643">
        <v>10</v>
      </c>
      <c r="Y1643">
        <v>8.5</v>
      </c>
      <c r="Z1643" s="18">
        <f>grand[[#This Row],[av. Transportation loss]]/grand[[#This Row],[av.total weight]]</f>
        <v>0</v>
      </c>
      <c r="AA1643" s="18">
        <f>AVERAGE((grand[[#This Row],[am]]/25),(grand[[#This Row],[pm]]/50))</f>
        <v>0.95</v>
      </c>
      <c r="AB1643" s="3">
        <f>grand[[#This Row],[ carcass weight]]/grand[[#This Row],[total weight]]</f>
        <v>0.5990238890315952</v>
      </c>
      <c r="AC1643" s="18">
        <f>SUM(grand[[#This Row],[am]:[meat transportation]])/100</f>
        <v>0.88500000000000001</v>
      </c>
      <c r="AD1643" s="2" t="s">
        <v>987</v>
      </c>
      <c r="AE1643" s="2"/>
      <c r="AF1643" s="2"/>
      <c r="AG1643" s="2"/>
      <c r="AH1643" s="2"/>
      <c r="AI1643" s="2"/>
      <c r="AJ1643" s="2">
        <v>1</v>
      </c>
    </row>
    <row r="1644" spans="1:36" hidden="1" x14ac:dyDescent="0.2">
      <c r="A1644" s="11">
        <v>46077</v>
      </c>
      <c r="B1644" s="53" t="s">
        <v>2445</v>
      </c>
      <c r="C1644" s="52" t="str">
        <f>IF(MID(B1644,4,2)="09","Ramadan",IF(AND(MID(B1644,4,2)="12",VALUE(LEFT(B1644,2))&lt;=9),"Adha Season","Normal"))</f>
        <v>Ramadan</v>
      </c>
      <c r="D1644" s="1" t="s">
        <v>45</v>
      </c>
      <c r="F1644" s="4" t="s">
        <v>46</v>
      </c>
      <c r="G1644" s="1">
        <v>58</v>
      </c>
      <c r="H1644">
        <v>58</v>
      </c>
      <c r="I1644">
        <f>grand[[#This Row],[number]]-grand[[#This Row],[received]]</f>
        <v>0</v>
      </c>
      <c r="J1644" s="30"/>
      <c r="K1644" s="2">
        <v>33092</v>
      </c>
      <c r="L1644" s="2">
        <v>33092</v>
      </c>
      <c r="M1644" s="2">
        <f>K1644-L1644</f>
        <v>0</v>
      </c>
      <c r="N1644" s="2">
        <v>19855</v>
      </c>
      <c r="O1644" s="2">
        <v>726</v>
      </c>
      <c r="P1644" s="7">
        <f>grand[[#This Row],[total weight]]/grand[[#This Row],[received]]</f>
        <v>570.55172413793105</v>
      </c>
      <c r="Q1644" s="7">
        <f>grand[[#This Row],[receiving weight]]/grand[[#This Row],[received]]</f>
        <v>570.55172413793105</v>
      </c>
      <c r="R1644" s="7">
        <f>grand[[#This Row],[transportation loss ]]/grand[[#This Row],[received]]</f>
        <v>0</v>
      </c>
      <c r="S1644" s="7">
        <f>grand[[#This Row],[ carcass weight]]/grand[[#This Row],[received]]</f>
        <v>342.32758620689657</v>
      </c>
      <c r="T1644" s="7">
        <f>grand[[#This Row],[ kidneys fat quantity]]/grand[[#This Row],[received]]</f>
        <v>12.517241379310345</v>
      </c>
      <c r="U1644">
        <v>23.275862068965516</v>
      </c>
      <c r="V1644">
        <v>0</v>
      </c>
      <c r="W1644">
        <v>48.655172413793103</v>
      </c>
      <c r="X1644">
        <v>10</v>
      </c>
      <c r="Y1644">
        <v>8.5</v>
      </c>
      <c r="Z1644" s="18">
        <f>grand[[#This Row],[av. Transportation loss]]/grand[[#This Row],[av.total weight]]</f>
        <v>0</v>
      </c>
      <c r="AA1644" s="18">
        <f>AVERAGE((grand[[#This Row],[am]]/25),(grand[[#This Row],[pm]]/50))</f>
        <v>0.95206896551724141</v>
      </c>
      <c r="AB1644" s="3">
        <f>grand[[#This Row],[ carcass weight]]/grand[[#This Row],[total weight]]</f>
        <v>0.59999395624320073</v>
      </c>
      <c r="AC1644" s="18">
        <f>SUM(grand[[#This Row],[am]:[meat transportation]])/100</f>
        <v>0.90431034482758621</v>
      </c>
      <c r="AD1644" s="2" t="s">
        <v>988</v>
      </c>
      <c r="AE1644" s="2"/>
      <c r="AF1644" s="2"/>
      <c r="AG1644" s="2"/>
      <c r="AH1644" s="2"/>
      <c r="AI1644" s="2"/>
      <c r="AJ1644" s="2">
        <v>10</v>
      </c>
    </row>
    <row r="1645" spans="1:36" hidden="1" x14ac:dyDescent="0.2">
      <c r="A1645" s="11">
        <v>46078</v>
      </c>
      <c r="B1645" s="53" t="s">
        <v>2446</v>
      </c>
      <c r="C1645" s="52" t="str">
        <f>IF(MID(B1645,4,2)="09","Ramadan",IF(AND(MID(B1645,4,2)="12",VALUE(LEFT(B1645,2))&lt;=9),"Adha Season","Normal"))</f>
        <v>Ramadan</v>
      </c>
      <c r="D1645" s="1" t="s">
        <v>45</v>
      </c>
      <c r="F1645" s="4" t="s">
        <v>954</v>
      </c>
      <c r="G1645" s="1">
        <v>36</v>
      </c>
      <c r="H1645">
        <v>36</v>
      </c>
      <c r="I1645">
        <f>grand[[#This Row],[number]]-grand[[#This Row],[received]]</f>
        <v>0</v>
      </c>
      <c r="J1645" s="30"/>
      <c r="K1645" s="2">
        <v>14621</v>
      </c>
      <c r="L1645" s="2">
        <v>14621</v>
      </c>
      <c r="M1645" s="2">
        <f>K1645-L1645</f>
        <v>0</v>
      </c>
      <c r="N1645" s="2">
        <v>8853</v>
      </c>
      <c r="O1645" s="2">
        <v>214</v>
      </c>
      <c r="P1645" s="7">
        <f>grand[[#This Row],[total weight]]/grand[[#This Row],[received]]</f>
        <v>406.13888888888891</v>
      </c>
      <c r="Q1645" s="7">
        <f>grand[[#This Row],[receiving weight]]/grand[[#This Row],[received]]</f>
        <v>406.13888888888891</v>
      </c>
      <c r="R1645" s="7">
        <f>grand[[#This Row],[transportation loss ]]/grand[[#This Row],[received]]</f>
        <v>0</v>
      </c>
      <c r="S1645" s="7">
        <f>grand[[#This Row],[ carcass weight]]/grand[[#This Row],[received]]</f>
        <v>245.91666666666666</v>
      </c>
      <c r="T1645" s="7">
        <f>grand[[#This Row],[ kidneys fat quantity]]/grand[[#This Row],[received]]</f>
        <v>5.9444444444444446</v>
      </c>
      <c r="U1645">
        <v>25</v>
      </c>
      <c r="V1645">
        <v>0</v>
      </c>
      <c r="W1645">
        <v>47.138888888888893</v>
      </c>
      <c r="X1645">
        <v>10</v>
      </c>
      <c r="Y1645">
        <v>8.5</v>
      </c>
      <c r="Z1645" s="18">
        <f>grand[[#This Row],[av. Transportation loss]]/grand[[#This Row],[av.total weight]]</f>
        <v>0</v>
      </c>
      <c r="AA1645" s="18">
        <f>AVERAGE((grand[[#This Row],[am]]/25),(grand[[#This Row],[pm]]/50))</f>
        <v>0.97138888888888886</v>
      </c>
      <c r="AB1645" s="3">
        <f>grand[[#This Row],[ carcass weight]]/grand[[#This Row],[total weight]]</f>
        <v>0.60549893988099313</v>
      </c>
      <c r="AC1645" s="18">
        <f>SUM(grand[[#This Row],[am]:[meat transportation]])/100</f>
        <v>0.90638888888888891</v>
      </c>
      <c r="AD1645" s="2" t="s">
        <v>990</v>
      </c>
      <c r="AE1645" s="2"/>
      <c r="AF1645" s="2"/>
      <c r="AG1645" s="2"/>
      <c r="AH1645" s="2"/>
      <c r="AI1645" s="2"/>
      <c r="AJ1645" s="2">
        <v>0</v>
      </c>
    </row>
    <row r="1646" spans="1:36" hidden="1" x14ac:dyDescent="0.2">
      <c r="A1646" s="11">
        <v>46078</v>
      </c>
      <c r="B1646" s="53" t="s">
        <v>2446</v>
      </c>
      <c r="C1646" s="52" t="str">
        <f>IF(MID(B1646,4,2)="09","Ramadan",IF(AND(MID(B1646,4,2)="12",VALUE(LEFT(B1646,2))&lt;=9),"Adha Season","Normal"))</f>
        <v>Ramadan</v>
      </c>
      <c r="D1646" s="2" t="s">
        <v>294</v>
      </c>
      <c r="F1646" s="4" t="s">
        <v>165</v>
      </c>
      <c r="G1646" s="1">
        <v>62</v>
      </c>
      <c r="H1646">
        <v>62</v>
      </c>
      <c r="I1646">
        <f>grand[[#This Row],[number]]-grand[[#This Row],[received]]</f>
        <v>0</v>
      </c>
      <c r="J1646" s="30"/>
      <c r="K1646" s="2">
        <v>3437</v>
      </c>
      <c r="L1646" s="2">
        <v>3437</v>
      </c>
      <c r="M1646" s="2">
        <f>K1646-L1646</f>
        <v>0</v>
      </c>
      <c r="N1646" s="2">
        <v>1908</v>
      </c>
      <c r="O1646" s="2">
        <v>0</v>
      </c>
      <c r="P1646" s="7">
        <f>grand[[#This Row],[total weight]]/grand[[#This Row],[received]]</f>
        <v>55.435483870967744</v>
      </c>
      <c r="Q1646" s="7">
        <f>grand[[#This Row],[receiving weight]]/grand[[#This Row],[received]]</f>
        <v>55.435483870967744</v>
      </c>
      <c r="R1646" s="7">
        <f>grand[[#This Row],[transportation loss ]]/grand[[#This Row],[received]]</f>
        <v>0</v>
      </c>
      <c r="S1646" s="7">
        <f>grand[[#This Row],[ carcass weight]]/grand[[#This Row],[received]]</f>
        <v>30.774193548387096</v>
      </c>
      <c r="T1646" s="7">
        <f>grand[[#This Row],[ kidneys fat quantity]]/grand[[#This Row],[received]]</f>
        <v>0</v>
      </c>
      <c r="U1646">
        <v>25</v>
      </c>
      <c r="V1646">
        <v>0</v>
      </c>
      <c r="W1646">
        <v>46.161290322580648</v>
      </c>
      <c r="X1646">
        <v>10</v>
      </c>
      <c r="Y1646">
        <v>8.5</v>
      </c>
      <c r="Z1646" s="18">
        <f>grand[[#This Row],[av. Transportation loss]]/grand[[#This Row],[av.total weight]]</f>
        <v>0</v>
      </c>
      <c r="AA1646" s="18">
        <f>AVERAGE((grand[[#This Row],[am]]/25),(grand[[#This Row],[pm]]/50))</f>
        <v>0.9616129032258065</v>
      </c>
      <c r="AB1646" s="3">
        <f>grand[[#This Row],[ carcass weight]]/grand[[#This Row],[total weight]]</f>
        <v>0.55513529240616821</v>
      </c>
      <c r="AC1646" s="18">
        <f>SUM(grand[[#This Row],[am]:[meat transportation]])/100</f>
        <v>0.89661290322580645</v>
      </c>
      <c r="AD1646" s="2" t="s">
        <v>97</v>
      </c>
      <c r="AE1646" s="2"/>
      <c r="AF1646" s="2"/>
      <c r="AG1646" s="2"/>
      <c r="AH1646" s="2"/>
      <c r="AI1646" s="2"/>
      <c r="AJ1646" s="2">
        <v>0</v>
      </c>
    </row>
    <row r="1647" spans="1:36" x14ac:dyDescent="0.2">
      <c r="A1647" s="11">
        <v>46078</v>
      </c>
      <c r="B1647" s="53" t="s">
        <v>2446</v>
      </c>
      <c r="C1647" s="52" t="str">
        <f>IF(MID(B1647,4,2)="09","Ramadan",IF(AND(MID(B1647,4,2)="12",VALUE(LEFT(B1647,2))&lt;=9),"Adha Season","Normal"))</f>
        <v>Ramadan</v>
      </c>
      <c r="D1647" s="1" t="s">
        <v>45</v>
      </c>
      <c r="F1647" s="4" t="s">
        <v>986</v>
      </c>
      <c r="G1647" s="1">
        <v>24</v>
      </c>
      <c r="H1647">
        <v>23</v>
      </c>
      <c r="I1647">
        <f>grand[[#This Row],[number]]-grand[[#This Row],[received]]</f>
        <v>1</v>
      </c>
      <c r="J1647" s="64" t="s">
        <v>1015</v>
      </c>
      <c r="K1647" s="2">
        <v>10908</v>
      </c>
      <c r="L1647" s="2">
        <v>10908</v>
      </c>
      <c r="M1647" s="2">
        <f>K1647-L1647</f>
        <v>0</v>
      </c>
      <c r="N1647" s="2">
        <v>6539</v>
      </c>
      <c r="O1647" s="2">
        <v>179</v>
      </c>
      <c r="P1647" s="7">
        <f>grand[[#This Row],[total weight]]/grand[[#This Row],[received]]</f>
        <v>474.26086956521738</v>
      </c>
      <c r="Q1647" s="7">
        <f>grand[[#This Row],[receiving weight]]/grand[[#This Row],[received]]</f>
        <v>474.26086956521738</v>
      </c>
      <c r="R1647" s="7">
        <f>grand[[#This Row],[transportation loss ]]/grand[[#This Row],[received]]</f>
        <v>0</v>
      </c>
      <c r="S1647" s="7">
        <f>grand[[#This Row],[ carcass weight]]/grand[[#This Row],[received]]</f>
        <v>284.30434782608694</v>
      </c>
      <c r="T1647" s="7">
        <f>grand[[#This Row],[ kidneys fat quantity]]/grand[[#This Row],[received]]</f>
        <v>7.7826086956521738</v>
      </c>
      <c r="U1647">
        <v>25</v>
      </c>
      <c r="V1647">
        <v>0</v>
      </c>
      <c r="W1647">
        <v>39.586956521739125</v>
      </c>
      <c r="X1647">
        <v>10</v>
      </c>
      <c r="Y1647">
        <v>8.5</v>
      </c>
      <c r="Z1647" s="18">
        <f>grand[[#This Row],[av. Transportation loss]]/grand[[#This Row],[av.total weight]]</f>
        <v>0</v>
      </c>
      <c r="AA1647" s="18">
        <f>AVERAGE((grand[[#This Row],[am]]/25),(grand[[#This Row],[pm]]/50))</f>
        <v>0.89586956521739125</v>
      </c>
      <c r="AB1647" s="3">
        <f>grand[[#This Row],[ carcass weight]]/grand[[#This Row],[total weight]]</f>
        <v>0.59946828016134945</v>
      </c>
      <c r="AC1647" s="18">
        <f>SUM(grand[[#This Row],[am]:[meat transportation]])/100</f>
        <v>0.8308695652173913</v>
      </c>
      <c r="AD1647" s="2" t="s">
        <v>989</v>
      </c>
      <c r="AE1647" s="2"/>
      <c r="AF1647" s="2"/>
      <c r="AG1647" s="2"/>
      <c r="AH1647" s="2"/>
      <c r="AI1647" s="2"/>
      <c r="AJ1647" s="2">
        <v>7</v>
      </c>
    </row>
    <row r="1648" spans="1:36" hidden="1" x14ac:dyDescent="0.2">
      <c r="A1648" s="11">
        <v>46079</v>
      </c>
      <c r="B1648" s="53" t="s">
        <v>2447</v>
      </c>
      <c r="C1648" s="52" t="str">
        <f>IF(MID(B1648,4,2)="09","Ramadan",IF(AND(MID(B1648,4,2)="12",VALUE(LEFT(B1648,2))&lt;=9),"Adha Season","Normal"))</f>
        <v>Ramadan</v>
      </c>
      <c r="D1648" s="2" t="s">
        <v>294</v>
      </c>
      <c r="F1648" s="4" t="s">
        <v>165</v>
      </c>
      <c r="G1648" s="1">
        <v>56</v>
      </c>
      <c r="H1648">
        <v>56</v>
      </c>
      <c r="I1648">
        <f>grand[[#This Row],[number]]-grand[[#This Row],[received]]</f>
        <v>0</v>
      </c>
      <c r="J1648" s="30"/>
      <c r="K1648" s="2">
        <v>3110</v>
      </c>
      <c r="L1648" s="2">
        <v>3110</v>
      </c>
      <c r="M1648" s="2">
        <f>K1648-L1648</f>
        <v>0</v>
      </c>
      <c r="N1648" s="2">
        <v>1766</v>
      </c>
      <c r="O1648" s="2">
        <v>0</v>
      </c>
      <c r="P1648" s="7">
        <f>grand[[#This Row],[total weight]]/grand[[#This Row],[received]]</f>
        <v>55.535714285714285</v>
      </c>
      <c r="Q1648" s="7">
        <f>grand[[#This Row],[receiving weight]]/grand[[#This Row],[received]]</f>
        <v>55.535714285714285</v>
      </c>
      <c r="R1648" s="7">
        <f>grand[[#This Row],[transportation loss ]]/grand[[#This Row],[received]]</f>
        <v>0</v>
      </c>
      <c r="S1648" s="7">
        <f>grand[[#This Row],[ carcass weight]]/grand[[#This Row],[received]]</f>
        <v>31.535714285714285</v>
      </c>
      <c r="T1648" s="7">
        <f>grand[[#This Row],[ kidneys fat quantity]]/grand[[#This Row],[received]]</f>
        <v>0</v>
      </c>
      <c r="U1648">
        <v>25</v>
      </c>
      <c r="V1648">
        <v>0</v>
      </c>
      <c r="W1648">
        <v>48.482142857142854</v>
      </c>
      <c r="X1648">
        <v>10</v>
      </c>
      <c r="Y1648">
        <v>8.5</v>
      </c>
      <c r="Z1648" s="18">
        <f>grand[[#This Row],[av. Transportation loss]]/grand[[#This Row],[av.total weight]]</f>
        <v>0</v>
      </c>
      <c r="AA1648" s="18">
        <f>AVERAGE((grand[[#This Row],[am]]/25),(grand[[#This Row],[pm]]/50))</f>
        <v>0.98482142857142851</v>
      </c>
      <c r="AB1648" s="3">
        <f>grand[[#This Row],[ carcass weight]]/grand[[#This Row],[total weight]]</f>
        <v>0.5678456591639871</v>
      </c>
      <c r="AC1648" s="18">
        <f>SUM(grand[[#This Row],[am]:[meat transportation]])/100</f>
        <v>0.91982142857142857</v>
      </c>
      <c r="AD1648" s="2" t="s">
        <v>991</v>
      </c>
      <c r="AE1648" s="2"/>
      <c r="AF1648" s="2"/>
      <c r="AG1648" s="2"/>
      <c r="AH1648" s="2"/>
      <c r="AI1648" s="2"/>
      <c r="AJ1648" s="2">
        <v>0</v>
      </c>
    </row>
    <row r="1649" spans="1:36" x14ac:dyDescent="0.2">
      <c r="A1649" s="11">
        <v>46079</v>
      </c>
      <c r="B1649" s="53" t="s">
        <v>2447</v>
      </c>
      <c r="C1649" s="52" t="str">
        <f>IF(MID(B1649,4,2)="09","Ramadan",IF(AND(MID(B1649,4,2)="12",VALUE(LEFT(B1649,2))&lt;=9),"Adha Season","Normal"))</f>
        <v>Ramadan</v>
      </c>
      <c r="D1649" s="1" t="s">
        <v>45</v>
      </c>
      <c r="F1649" s="4" t="s">
        <v>954</v>
      </c>
      <c r="G1649" s="1">
        <v>88</v>
      </c>
      <c r="H1649">
        <v>86</v>
      </c>
      <c r="I1649">
        <f>grand[[#This Row],[number]]-grand[[#This Row],[received]]</f>
        <v>2</v>
      </c>
      <c r="J1649" s="64" t="s">
        <v>1020</v>
      </c>
      <c r="K1649" s="2">
        <v>36919</v>
      </c>
      <c r="L1649" s="2">
        <v>36919</v>
      </c>
      <c r="M1649" s="2">
        <f>K1649-L1649</f>
        <v>0</v>
      </c>
      <c r="N1649" s="2">
        <v>22203</v>
      </c>
      <c r="O1649" s="2">
        <v>554</v>
      </c>
      <c r="P1649" s="7">
        <f>grand[[#This Row],[total weight]]/grand[[#This Row],[received]]</f>
        <v>429.2906976744186</v>
      </c>
      <c r="Q1649" s="7">
        <f>grand[[#This Row],[receiving weight]]/grand[[#This Row],[received]]</f>
        <v>429.2906976744186</v>
      </c>
      <c r="R1649" s="7">
        <f>grand[[#This Row],[transportation loss ]]/grand[[#This Row],[received]]</f>
        <v>0</v>
      </c>
      <c r="S1649" s="7">
        <f>grand[[#This Row],[ carcass weight]]/grand[[#This Row],[received]]</f>
        <v>258.17441860465118</v>
      </c>
      <c r="T1649" s="7">
        <f>grand[[#This Row],[ kidneys fat quantity]]/grand[[#This Row],[received]]</f>
        <v>6.441860465116279</v>
      </c>
      <c r="U1649">
        <v>25</v>
      </c>
      <c r="V1649">
        <v>0</v>
      </c>
      <c r="W1649">
        <v>48.517441860465119</v>
      </c>
      <c r="X1649">
        <v>10</v>
      </c>
      <c r="Y1649">
        <v>8.5</v>
      </c>
      <c r="Z1649" s="18">
        <f>grand[[#This Row],[av. Transportation loss]]/grand[[#This Row],[av.total weight]]</f>
        <v>0</v>
      </c>
      <c r="AA1649" s="18">
        <f>AVERAGE((grand[[#This Row],[am]]/25),(grand[[#This Row],[pm]]/50))</f>
        <v>0.98517441860465116</v>
      </c>
      <c r="AB1649" s="3">
        <f>grand[[#This Row],[ carcass weight]]/grand[[#This Row],[total weight]]</f>
        <v>0.60139765432433168</v>
      </c>
      <c r="AC1649" s="18">
        <f>SUM(grand[[#This Row],[am]:[meat transportation]])/100</f>
        <v>0.9201744186046511</v>
      </c>
      <c r="AD1649" s="2" t="s">
        <v>992</v>
      </c>
      <c r="AE1649" s="2"/>
      <c r="AF1649" s="2"/>
      <c r="AG1649" s="2"/>
      <c r="AH1649" s="2"/>
      <c r="AI1649" s="2"/>
      <c r="AJ1649" s="2">
        <v>0</v>
      </c>
    </row>
    <row r="1650" spans="1:36" hidden="1" x14ac:dyDescent="0.2">
      <c r="A1650" s="11">
        <v>46081</v>
      </c>
      <c r="B1650" s="53" t="s">
        <v>2448</v>
      </c>
      <c r="C1650" s="52" t="str">
        <f>IF(MID(B1650,4,2)="09","Ramadan",IF(AND(MID(B1650,4,2)="12",VALUE(LEFT(B1650,2))&lt;=9),"Adha Season","Normal"))</f>
        <v>Ramadan</v>
      </c>
      <c r="D1650" s="1" t="s">
        <v>45</v>
      </c>
      <c r="F1650" s="4" t="s">
        <v>746</v>
      </c>
      <c r="G1650" s="1">
        <v>63</v>
      </c>
      <c r="H1650">
        <v>63</v>
      </c>
      <c r="I1650">
        <f>grand[[#This Row],[number]]-grand[[#This Row],[received]]</f>
        <v>0</v>
      </c>
      <c r="J1650" s="30"/>
      <c r="K1650" s="2">
        <v>36716</v>
      </c>
      <c r="L1650" s="2">
        <v>36716</v>
      </c>
      <c r="M1650" s="2">
        <f>K1650-L1650</f>
        <v>0</v>
      </c>
      <c r="N1650" s="2">
        <v>22030</v>
      </c>
      <c r="O1650" s="2">
        <v>719</v>
      </c>
      <c r="P1650" s="7">
        <f>grand[[#This Row],[total weight]]/grand[[#This Row],[received]]</f>
        <v>582.79365079365084</v>
      </c>
      <c r="Q1650" s="7">
        <f>grand[[#This Row],[receiving weight]]/grand[[#This Row],[received]]</f>
        <v>582.79365079365084</v>
      </c>
      <c r="R1650" s="7">
        <f>grand[[#This Row],[transportation loss ]]/grand[[#This Row],[received]]</f>
        <v>0</v>
      </c>
      <c r="S1650" s="7">
        <f>grand[[#This Row],[ carcass weight]]/grand[[#This Row],[received]]</f>
        <v>349.6825396825397</v>
      </c>
      <c r="T1650" s="7">
        <f>grand[[#This Row],[ kidneys fat quantity]]/grand[[#This Row],[received]]</f>
        <v>11.412698412698413</v>
      </c>
      <c r="U1650">
        <v>23.253968253968253</v>
      </c>
      <c r="V1650">
        <v>0</v>
      </c>
      <c r="W1650">
        <v>46.984126984126995</v>
      </c>
      <c r="X1650">
        <v>10</v>
      </c>
      <c r="Y1650">
        <v>8.5</v>
      </c>
      <c r="Z1650" s="18">
        <f>grand[[#This Row],[av. Transportation loss]]/grand[[#This Row],[av.total weight]]</f>
        <v>0</v>
      </c>
      <c r="AA1650" s="18">
        <f>AVERAGE((grand[[#This Row],[am]]/25),(grand[[#This Row],[pm]]/50))</f>
        <v>0.93492063492063493</v>
      </c>
      <c r="AB1650" s="3">
        <f>grand[[#This Row],[ carcass weight]]/grand[[#This Row],[total weight]]</f>
        <v>0.60001089443294475</v>
      </c>
      <c r="AC1650" s="18">
        <f>SUM(grand[[#This Row],[am]:[meat transportation]])/100</f>
        <v>0.88738095238095238</v>
      </c>
      <c r="AD1650" s="2" t="s">
        <v>993</v>
      </c>
      <c r="AE1650" s="2"/>
      <c r="AF1650" s="2"/>
      <c r="AG1650" s="2"/>
      <c r="AH1650" s="2"/>
      <c r="AI1650" s="2"/>
      <c r="AJ1650" s="2">
        <v>45</v>
      </c>
    </row>
    <row r="1651" spans="1:36" hidden="1" x14ac:dyDescent="0.2">
      <c r="A1651" s="11">
        <v>46081</v>
      </c>
      <c r="B1651" s="53" t="s">
        <v>2448</v>
      </c>
      <c r="C1651" s="52" t="str">
        <f>IF(MID(B1651,4,2)="09","Ramadan",IF(AND(MID(B1651,4,2)="12",VALUE(LEFT(B1651,2))&lt;=9),"Adha Season","Normal"))</f>
        <v>Ramadan</v>
      </c>
      <c r="D1651" s="2" t="s">
        <v>294</v>
      </c>
      <c r="F1651" s="4" t="s">
        <v>165</v>
      </c>
      <c r="G1651" s="1">
        <v>56</v>
      </c>
      <c r="H1651">
        <v>55</v>
      </c>
      <c r="I1651">
        <f>grand[[#This Row],[number]]-grand[[#This Row],[received]]</f>
        <v>1</v>
      </c>
      <c r="J1651" s="64" t="s">
        <v>1021</v>
      </c>
      <c r="K1651" s="2">
        <v>2947</v>
      </c>
      <c r="L1651" s="2">
        <v>2947</v>
      </c>
      <c r="M1651" s="2">
        <f>K1651-L1651</f>
        <v>0</v>
      </c>
      <c r="N1651" s="2">
        <v>1681</v>
      </c>
      <c r="O1651" s="2">
        <v>0</v>
      </c>
      <c r="P1651" s="7">
        <f>grand[[#This Row],[total weight]]/grand[[#This Row],[received]]</f>
        <v>53.581818181818178</v>
      </c>
      <c r="Q1651" s="7">
        <f>grand[[#This Row],[receiving weight]]/grand[[#This Row],[received]]</f>
        <v>53.581818181818178</v>
      </c>
      <c r="R1651" s="7">
        <f>grand[[#This Row],[transportation loss ]]/grand[[#This Row],[received]]</f>
        <v>0</v>
      </c>
      <c r="S1651" s="7">
        <f>grand[[#This Row],[ carcass weight]]/grand[[#This Row],[received]]</f>
        <v>30.563636363636363</v>
      </c>
      <c r="T1651" s="7">
        <f>grand[[#This Row],[ kidneys fat quantity]]/grand[[#This Row],[received]]</f>
        <v>0</v>
      </c>
      <c r="U1651">
        <v>25</v>
      </c>
      <c r="V1651">
        <v>0</v>
      </c>
      <c r="W1651">
        <v>45.13636363636364</v>
      </c>
      <c r="X1651">
        <v>10</v>
      </c>
      <c r="Y1651">
        <v>8.5</v>
      </c>
      <c r="Z1651" s="18">
        <f>grand[[#This Row],[av. Transportation loss]]/grand[[#This Row],[av.total weight]]</f>
        <v>0</v>
      </c>
      <c r="AA1651" s="18">
        <f>AVERAGE((grand[[#This Row],[am]]/25),(grand[[#This Row],[pm]]/50))</f>
        <v>0.95136363636363641</v>
      </c>
      <c r="AB1651" s="3">
        <f>grand[[#This Row],[ carcass weight]]/grand[[#This Row],[total weight]]</f>
        <v>0.57041058703766545</v>
      </c>
      <c r="AC1651" s="18">
        <f>SUM(grand[[#This Row],[am]:[meat transportation]])/100</f>
        <v>0.88636363636363635</v>
      </c>
      <c r="AD1651" s="2" t="s">
        <v>994</v>
      </c>
      <c r="AE1651" s="2"/>
      <c r="AF1651" s="2"/>
      <c r="AG1651" s="2"/>
      <c r="AH1651" s="2"/>
      <c r="AI1651" s="2"/>
      <c r="AJ1651" s="2">
        <v>0</v>
      </c>
    </row>
    <row r="1652" spans="1:36" hidden="1" x14ac:dyDescent="0.2">
      <c r="A1652" s="11">
        <v>46082</v>
      </c>
      <c r="B1652" s="53" t="s">
        <v>2901</v>
      </c>
      <c r="C1652" s="52" t="str">
        <f>IF(MID(B1652,4,2)="09","Ramadan",IF(AND(MID(B1652,4,2)="12",VALUE(LEFT(B1652,2))&lt;=9),"Adha Season","Normal"))</f>
        <v>Ramadan</v>
      </c>
      <c r="D1652" s="1" t="s">
        <v>45</v>
      </c>
      <c r="F1652" s="4" t="s">
        <v>954</v>
      </c>
      <c r="G1652" s="1">
        <v>74</v>
      </c>
      <c r="H1652">
        <v>74</v>
      </c>
      <c r="I1652">
        <f>grand[[#This Row],[number]]-grand[[#This Row],[received]]</f>
        <v>0</v>
      </c>
      <c r="J1652" s="2"/>
      <c r="K1652" s="2">
        <v>31476</v>
      </c>
      <c r="L1652" s="2">
        <v>31476</v>
      </c>
      <c r="M1652" s="2">
        <f>K1652-L1652</f>
        <v>0</v>
      </c>
      <c r="N1652" s="2">
        <v>19187</v>
      </c>
      <c r="O1652" s="2">
        <v>447</v>
      </c>
      <c r="P1652" s="7">
        <f>grand[[#This Row],[total weight]]/grand[[#This Row],[received]]</f>
        <v>425.35135135135135</v>
      </c>
      <c r="Q1652" s="7">
        <f>grand[[#This Row],[receiving weight]]/grand[[#This Row],[received]]</f>
        <v>425.35135135135135</v>
      </c>
      <c r="R1652" s="7">
        <f>grand[[#This Row],[transportation loss ]]/grand[[#This Row],[received]]</f>
        <v>0</v>
      </c>
      <c r="S1652" s="7">
        <f>grand[[#This Row],[ carcass weight]]/grand[[#This Row],[received]]</f>
        <v>259.2837837837838</v>
      </c>
      <c r="T1652" s="7">
        <f>grand[[#This Row],[ kidneys fat quantity]]/grand[[#This Row],[received]]</f>
        <v>6.0405405405405403</v>
      </c>
      <c r="U1652">
        <v>25</v>
      </c>
      <c r="V1652">
        <v>0</v>
      </c>
      <c r="W1652">
        <v>48.405405405405403</v>
      </c>
      <c r="X1652">
        <v>10</v>
      </c>
      <c r="Y1652">
        <v>8.5</v>
      </c>
      <c r="Z1652" s="18">
        <f>grand[[#This Row],[av. Transportation loss]]/grand[[#This Row],[av.total weight]]</f>
        <v>0</v>
      </c>
      <c r="AA1652" s="18">
        <f>AVERAGE((grand[[#This Row],[am]]/25),(grand[[#This Row],[pm]]/50))</f>
        <v>0.98405405405405411</v>
      </c>
      <c r="AB1652" s="3">
        <f>grand[[#This Row],[ carcass weight]]/grand[[#This Row],[total weight]]</f>
        <v>0.60957554962511118</v>
      </c>
      <c r="AC1652" s="18">
        <f>SUM(grand[[#This Row],[am]:[meat transportation]])/100</f>
        <v>0.91905405405405405</v>
      </c>
      <c r="AD1652" s="2" t="s">
        <v>1024</v>
      </c>
      <c r="AE1652" s="2"/>
      <c r="AF1652" s="2"/>
      <c r="AG1652" s="2"/>
      <c r="AH1652" s="2"/>
      <c r="AI1652" s="2"/>
      <c r="AJ1652" s="2">
        <v>0</v>
      </c>
    </row>
    <row r="1653" spans="1:36" hidden="1" x14ac:dyDescent="0.2">
      <c r="A1653" s="11">
        <v>46083</v>
      </c>
      <c r="B1653" s="53" t="s">
        <v>2449</v>
      </c>
      <c r="C1653" s="52" t="str">
        <f>IF(MID(B1653,4,2)="09","Ramadan",IF(AND(MID(B1653,4,2)="12",VALUE(LEFT(B1653,2))&lt;=9),"Adha Season","Normal"))</f>
        <v>Ramadan</v>
      </c>
      <c r="D1653" s="2" t="s">
        <v>294</v>
      </c>
      <c r="F1653" s="4" t="s">
        <v>165</v>
      </c>
      <c r="G1653" s="1">
        <v>50</v>
      </c>
      <c r="H1653">
        <v>50</v>
      </c>
      <c r="I1653">
        <f>grand[[#This Row],[number]]-grand[[#This Row],[received]]</f>
        <v>0</v>
      </c>
      <c r="J1653" s="30"/>
      <c r="K1653" s="2">
        <v>2771</v>
      </c>
      <c r="L1653" s="2">
        <v>2771</v>
      </c>
      <c r="M1653" s="2">
        <f>K1653-L1653</f>
        <v>0</v>
      </c>
      <c r="N1653" s="2">
        <v>1588.2</v>
      </c>
      <c r="O1653" s="2">
        <v>0</v>
      </c>
      <c r="P1653" s="7">
        <f>grand[[#This Row],[total weight]]/grand[[#This Row],[received]]</f>
        <v>55.42</v>
      </c>
      <c r="Q1653" s="7">
        <f>grand[[#This Row],[receiving weight]]/grand[[#This Row],[received]]</f>
        <v>55.42</v>
      </c>
      <c r="R1653" s="7">
        <f>grand[[#This Row],[transportation loss ]]/grand[[#This Row],[received]]</f>
        <v>0</v>
      </c>
      <c r="S1653" s="7">
        <f>grand[[#This Row],[ carcass weight]]/grand[[#This Row],[received]]</f>
        <v>31.763999999999999</v>
      </c>
      <c r="T1653" s="7">
        <f>grand[[#This Row],[ kidneys fat quantity]]/grand[[#This Row],[received]]</f>
        <v>0</v>
      </c>
      <c r="U1653">
        <v>25</v>
      </c>
      <c r="V1653">
        <v>0</v>
      </c>
      <c r="W1653">
        <v>48.98</v>
      </c>
      <c r="X1653">
        <v>10</v>
      </c>
      <c r="Y1653">
        <v>8.5</v>
      </c>
      <c r="Z1653" s="18">
        <f>grand[[#This Row],[av. Transportation loss]]/grand[[#This Row],[av.total weight]]</f>
        <v>0</v>
      </c>
      <c r="AA1653" s="18">
        <f>AVERAGE((grand[[#This Row],[am]]/25),(grand[[#This Row],[pm]]/50))</f>
        <v>0.98980000000000001</v>
      </c>
      <c r="AB1653" s="3">
        <f>grand[[#This Row],[ carcass weight]]/grand[[#This Row],[total weight]]</f>
        <v>0.57315048718874051</v>
      </c>
      <c r="AC1653" s="18">
        <f>SUM(grand[[#This Row],[am]:[meat transportation]])/100</f>
        <v>0.92479999999999984</v>
      </c>
      <c r="AD1653" s="2" t="s">
        <v>1039</v>
      </c>
      <c r="AE1653" s="2"/>
      <c r="AF1653" s="2"/>
      <c r="AG1653" s="2"/>
      <c r="AH1653" s="2"/>
      <c r="AI1653" s="2"/>
      <c r="AJ1653" s="2">
        <v>0</v>
      </c>
    </row>
    <row r="1654" spans="1:36" x14ac:dyDescent="0.2">
      <c r="A1654" s="11">
        <v>46083</v>
      </c>
      <c r="B1654" s="53" t="s">
        <v>2449</v>
      </c>
      <c r="C1654" s="52" t="str">
        <f>IF(MID(B1654,4,2)="09","Ramadan",IF(AND(MID(B1654,4,2)="12",VALUE(LEFT(B1654,2))&lt;=9),"Adha Season","Normal"))</f>
        <v>Ramadan</v>
      </c>
      <c r="D1654" s="1" t="s">
        <v>45</v>
      </c>
      <c r="F1654" s="4" t="s">
        <v>954</v>
      </c>
      <c r="G1654" s="1">
        <v>56</v>
      </c>
      <c r="H1654">
        <v>55</v>
      </c>
      <c r="I1654">
        <f>grand[[#This Row],[number]]-grand[[#This Row],[received]]</f>
        <v>1</v>
      </c>
      <c r="J1654" s="64" t="s">
        <v>648</v>
      </c>
      <c r="K1654" s="2">
        <v>24134</v>
      </c>
      <c r="L1654" s="2">
        <v>24134</v>
      </c>
      <c r="M1654" s="2">
        <f>K1654-L1654</f>
        <v>0</v>
      </c>
      <c r="N1654" s="2">
        <v>14550.7</v>
      </c>
      <c r="O1654" s="2">
        <v>426</v>
      </c>
      <c r="P1654" s="7">
        <f>grand[[#This Row],[total weight]]/grand[[#This Row],[received]]</f>
        <v>438.8</v>
      </c>
      <c r="Q1654" s="7">
        <f>grand[[#This Row],[receiving weight]]/grand[[#This Row],[received]]</f>
        <v>438.8</v>
      </c>
      <c r="R1654" s="7">
        <f>grand[[#This Row],[transportation loss ]]/grand[[#This Row],[received]]</f>
        <v>0</v>
      </c>
      <c r="S1654" s="7">
        <f>grand[[#This Row],[ carcass weight]]/grand[[#This Row],[received]]</f>
        <v>264.55818181818182</v>
      </c>
      <c r="T1654" s="7">
        <f>grand[[#This Row],[ kidneys fat quantity]]/grand[[#This Row],[received]]</f>
        <v>7.7454545454545451</v>
      </c>
      <c r="U1654">
        <v>25</v>
      </c>
      <c r="V1654">
        <v>0</v>
      </c>
      <c r="W1654">
        <v>48.25454545454545</v>
      </c>
      <c r="X1654">
        <v>10</v>
      </c>
      <c r="Y1654">
        <v>8.5</v>
      </c>
      <c r="Z1654" s="18">
        <f>grand[[#This Row],[av. Transportation loss]]/grand[[#This Row],[av.total weight]]</f>
        <v>0</v>
      </c>
      <c r="AA1654" s="18">
        <f>AVERAGE((grand[[#This Row],[am]]/25),(grand[[#This Row],[pm]]/50))</f>
        <v>0.9825454545454545</v>
      </c>
      <c r="AB1654" s="3">
        <f>grand[[#This Row],[ carcass weight]]/grand[[#This Row],[total weight]]</f>
        <v>0.60291290295848188</v>
      </c>
      <c r="AC1654" s="18">
        <f>SUM(grand[[#This Row],[am]:[meat transportation]])/100</f>
        <v>0.91754545454545455</v>
      </c>
      <c r="AD1654" s="2" t="s">
        <v>1038</v>
      </c>
      <c r="AE1654" s="2"/>
      <c r="AF1654" s="2"/>
      <c r="AG1654" s="2"/>
      <c r="AH1654" s="2"/>
      <c r="AI1654" s="2"/>
      <c r="AJ1654" s="2">
        <v>0</v>
      </c>
    </row>
    <row r="1655" spans="1:36" hidden="1" x14ac:dyDescent="0.2">
      <c r="A1655" s="11">
        <v>46084</v>
      </c>
      <c r="B1655" s="53" t="s">
        <v>2450</v>
      </c>
      <c r="C1655" s="52" t="str">
        <f>IF(MID(B1655,4,2)="09","Ramadan",IF(AND(MID(B1655,4,2)="12",VALUE(LEFT(B1655,2))&lt;=9),"Adha Season","Normal"))</f>
        <v>Ramadan</v>
      </c>
      <c r="D1655" s="1" t="s">
        <v>45</v>
      </c>
      <c r="F1655" s="4" t="s">
        <v>46</v>
      </c>
      <c r="G1655" s="1">
        <v>55</v>
      </c>
      <c r="H1655">
        <v>55</v>
      </c>
      <c r="I1655">
        <f>grand[[#This Row],[number]]-grand[[#This Row],[received]]</f>
        <v>0</v>
      </c>
      <c r="J1655" s="30"/>
      <c r="K1655" s="2">
        <v>28394</v>
      </c>
      <c r="L1655" s="2">
        <v>28394</v>
      </c>
      <c r="M1655" s="2">
        <f>K1655-L1655</f>
        <v>0</v>
      </c>
      <c r="N1655" s="2">
        <v>17036</v>
      </c>
      <c r="O1655" s="2">
        <v>573</v>
      </c>
      <c r="P1655" s="7">
        <f>grand[[#This Row],[total weight]]/grand[[#This Row],[received]]</f>
        <v>516.25454545454545</v>
      </c>
      <c r="Q1655" s="7">
        <f>grand[[#This Row],[receiving weight]]/grand[[#This Row],[received]]</f>
        <v>516.25454545454545</v>
      </c>
      <c r="R1655" s="7">
        <f>grand[[#This Row],[transportation loss ]]/grand[[#This Row],[received]]</f>
        <v>0</v>
      </c>
      <c r="S1655" s="7">
        <f>grand[[#This Row],[ carcass weight]]/grand[[#This Row],[received]]</f>
        <v>309.74545454545455</v>
      </c>
      <c r="T1655" s="7">
        <f>grand[[#This Row],[ kidneys fat quantity]]/grand[[#This Row],[received]]</f>
        <v>10.418181818181818</v>
      </c>
      <c r="U1655">
        <v>25</v>
      </c>
      <c r="V1655">
        <v>0</v>
      </c>
      <c r="W1655">
        <v>43.472727272727269</v>
      </c>
      <c r="X1655">
        <v>10</v>
      </c>
      <c r="Y1655">
        <v>8.5</v>
      </c>
      <c r="Z1655" s="18">
        <f>grand[[#This Row],[av. Transportation loss]]/grand[[#This Row],[av.total weight]]</f>
        <v>0</v>
      </c>
      <c r="AA1655" s="18">
        <f>AVERAGE((grand[[#This Row],[am]]/25),(grand[[#This Row],[pm]]/50))</f>
        <v>0.93472727272727263</v>
      </c>
      <c r="AB1655" s="3">
        <f>grand[[#This Row],[ carcass weight]]/grand[[#This Row],[total weight]]</f>
        <v>0.59998591251672884</v>
      </c>
      <c r="AC1655" s="18">
        <f>SUM(grand[[#This Row],[am]:[meat transportation]])/100</f>
        <v>0.86972727272727268</v>
      </c>
      <c r="AD1655" s="2" t="s">
        <v>1050</v>
      </c>
      <c r="AE1655" s="2"/>
      <c r="AF1655" s="2"/>
      <c r="AG1655" s="2"/>
      <c r="AH1655" s="2"/>
      <c r="AI1655" s="2"/>
      <c r="AJ1655" s="2">
        <v>0</v>
      </c>
    </row>
    <row r="1656" spans="1:36" hidden="1" x14ac:dyDescent="0.2">
      <c r="A1656" s="11">
        <v>46085</v>
      </c>
      <c r="B1656" s="53" t="s">
        <v>2451</v>
      </c>
      <c r="C1656" s="52" t="str">
        <f>IF(MID(B1656,4,2)="09","Ramadan",IF(AND(MID(B1656,4,2)="12",VALUE(LEFT(B1656,2))&lt;=9),"Adha Season","Normal"))</f>
        <v>Ramadan</v>
      </c>
      <c r="D1656" s="2" t="s">
        <v>294</v>
      </c>
      <c r="F1656" s="4" t="s">
        <v>165</v>
      </c>
      <c r="G1656" s="1">
        <v>80</v>
      </c>
      <c r="H1656">
        <v>80</v>
      </c>
      <c r="I1656">
        <f>grand[[#This Row],[number]]-grand[[#This Row],[received]]</f>
        <v>0</v>
      </c>
      <c r="J1656" s="30"/>
      <c r="K1656" s="2">
        <v>4163</v>
      </c>
      <c r="L1656" s="2">
        <v>4163</v>
      </c>
      <c r="M1656" s="2">
        <f>K1656-L1656</f>
        <v>0</v>
      </c>
      <c r="N1656" s="2">
        <v>2390.6999999999998</v>
      </c>
      <c r="O1656" s="2">
        <v>0</v>
      </c>
      <c r="P1656" s="7">
        <f>grand[[#This Row],[total weight]]/grand[[#This Row],[received]]</f>
        <v>52.037500000000001</v>
      </c>
      <c r="Q1656" s="7">
        <f>grand[[#This Row],[receiving weight]]/grand[[#This Row],[received]]</f>
        <v>52.037500000000001</v>
      </c>
      <c r="R1656" s="7">
        <f>grand[[#This Row],[transportation loss ]]/grand[[#This Row],[received]]</f>
        <v>0</v>
      </c>
      <c r="S1656" s="7">
        <f>grand[[#This Row],[ carcass weight]]/grand[[#This Row],[received]]</f>
        <v>29.883749999999999</v>
      </c>
      <c r="T1656" s="7">
        <f>grand[[#This Row],[ kidneys fat quantity]]/grand[[#This Row],[received]]</f>
        <v>0</v>
      </c>
      <c r="U1656">
        <v>25</v>
      </c>
      <c r="V1656">
        <v>0</v>
      </c>
      <c r="W1656">
        <v>44.756250000000001</v>
      </c>
      <c r="X1656">
        <v>10</v>
      </c>
      <c r="Y1656">
        <v>8.5</v>
      </c>
      <c r="Z1656" s="18">
        <f>grand[[#This Row],[av. Transportation loss]]/grand[[#This Row],[av.total weight]]</f>
        <v>0</v>
      </c>
      <c r="AA1656" s="18">
        <f>AVERAGE((grand[[#This Row],[am]]/25),(grand[[#This Row],[pm]]/50))</f>
        <v>0.94756250000000009</v>
      </c>
      <c r="AB1656" s="3">
        <f>grand[[#This Row],[ carcass weight]]/grand[[#This Row],[total weight]]</f>
        <v>0.57427336055729039</v>
      </c>
      <c r="AC1656" s="18">
        <f>SUM(grand[[#This Row],[am]:[meat transportation]])/100</f>
        <v>0.88256249999999992</v>
      </c>
      <c r="AD1656" s="2" t="s">
        <v>1055</v>
      </c>
      <c r="AE1656" s="2"/>
      <c r="AF1656" s="2"/>
      <c r="AG1656" s="2"/>
      <c r="AH1656" s="2"/>
      <c r="AI1656" s="2"/>
      <c r="AJ1656" s="2">
        <v>0</v>
      </c>
    </row>
    <row r="1657" spans="1:36" x14ac:dyDescent="0.2">
      <c r="A1657" s="11">
        <v>46085</v>
      </c>
      <c r="B1657" s="53" t="s">
        <v>2451</v>
      </c>
      <c r="C1657" s="52" t="str">
        <f>IF(MID(B1657,4,2)="09","Ramadan",IF(AND(MID(B1657,4,2)="12",VALUE(LEFT(B1657,2))&lt;=9),"Adha Season","Normal"))</f>
        <v>Ramadan</v>
      </c>
      <c r="D1657" s="1" t="s">
        <v>45</v>
      </c>
      <c r="F1657" s="4" t="s">
        <v>165</v>
      </c>
      <c r="G1657" s="1">
        <v>67</v>
      </c>
      <c r="H1657">
        <v>65</v>
      </c>
      <c r="I1657">
        <f>grand[[#This Row],[number]]-grand[[#This Row],[received]]</f>
        <v>2</v>
      </c>
      <c r="J1657" s="64" t="s">
        <v>1063</v>
      </c>
      <c r="K1657" s="2">
        <v>36558</v>
      </c>
      <c r="L1657" s="2">
        <v>36558</v>
      </c>
      <c r="M1657" s="2">
        <f>K1657-L1657</f>
        <v>0</v>
      </c>
      <c r="N1657" s="2">
        <v>21934.799999999999</v>
      </c>
      <c r="O1657" s="2">
        <v>770</v>
      </c>
      <c r="P1657" s="7">
        <f>grand[[#This Row],[total weight]]/grand[[#This Row],[received]]</f>
        <v>562.43076923076922</v>
      </c>
      <c r="Q1657" s="7">
        <f>grand[[#This Row],[receiving weight]]/grand[[#This Row],[received]]</f>
        <v>562.43076923076922</v>
      </c>
      <c r="R1657" s="7">
        <f>grand[[#This Row],[transportation loss ]]/grand[[#This Row],[received]]</f>
        <v>0</v>
      </c>
      <c r="S1657" s="7">
        <f>grand[[#This Row],[ carcass weight]]/grand[[#This Row],[received]]</f>
        <v>337.45846153846151</v>
      </c>
      <c r="T1657" s="7">
        <f>grand[[#This Row],[ kidneys fat quantity]]/grand[[#This Row],[received]]</f>
        <v>11.846153846153847</v>
      </c>
      <c r="U1657">
        <v>22.23076923076923</v>
      </c>
      <c r="V1657">
        <v>0</v>
      </c>
      <c r="W1657">
        <v>47.530769230769231</v>
      </c>
      <c r="X1657">
        <v>10</v>
      </c>
      <c r="Y1657">
        <v>8.5</v>
      </c>
      <c r="Z1657" s="18">
        <f>grand[[#This Row],[av. Transportation loss]]/grand[[#This Row],[av.total weight]]</f>
        <v>0</v>
      </c>
      <c r="AA1657" s="18">
        <f>AVERAGE((grand[[#This Row],[am]]/25),(grand[[#This Row],[pm]]/50))</f>
        <v>0.91992307692307684</v>
      </c>
      <c r="AB1657" s="3">
        <f>grand[[#This Row],[ carcass weight]]/grand[[#This Row],[total weight]]</f>
        <v>0.6</v>
      </c>
      <c r="AC1657" s="18">
        <f>SUM(grand[[#This Row],[am]:[meat transportation]])/100</f>
        <v>0.88261538461538469</v>
      </c>
      <c r="AD1657" s="2" t="s">
        <v>1054</v>
      </c>
      <c r="AE1657" s="2"/>
      <c r="AF1657" s="2"/>
      <c r="AG1657" s="2"/>
      <c r="AH1657" s="2"/>
      <c r="AI1657" s="2"/>
      <c r="AJ1657" s="2">
        <v>63</v>
      </c>
    </row>
    <row r="1658" spans="1:36" hidden="1" x14ac:dyDescent="0.2">
      <c r="A1658" s="11">
        <v>46086</v>
      </c>
      <c r="B1658" s="53" t="s">
        <v>2452</v>
      </c>
      <c r="C1658" s="52" t="str">
        <f>IF(MID(B1658,4,2)="09","Ramadan",IF(AND(MID(B1658,4,2)="12",VALUE(LEFT(B1658,2))&lt;=9),"Adha Season","Normal"))</f>
        <v>Ramadan</v>
      </c>
      <c r="D1658" s="1" t="s">
        <v>45</v>
      </c>
      <c r="F1658" s="4" t="s">
        <v>746</v>
      </c>
      <c r="G1658" s="1">
        <v>16</v>
      </c>
      <c r="H1658">
        <v>16</v>
      </c>
      <c r="I1658">
        <f>grand[[#This Row],[number]]-grand[[#This Row],[received]]</f>
        <v>0</v>
      </c>
      <c r="J1658" s="30"/>
      <c r="K1658" s="2">
        <v>9063</v>
      </c>
      <c r="L1658" s="2">
        <v>9063</v>
      </c>
      <c r="M1658" s="2">
        <f>K1658-L1658</f>
        <v>0</v>
      </c>
      <c r="N1658" s="2">
        <v>5437.8</v>
      </c>
      <c r="O1658" s="2">
        <v>151</v>
      </c>
      <c r="P1658" s="7">
        <f>grand[[#This Row],[total weight]]/grand[[#This Row],[received]]</f>
        <v>566.4375</v>
      </c>
      <c r="Q1658" s="7">
        <f>grand[[#This Row],[receiving weight]]/grand[[#This Row],[received]]</f>
        <v>566.4375</v>
      </c>
      <c r="R1658" s="7">
        <f>grand[[#This Row],[transportation loss ]]/grand[[#This Row],[received]]</f>
        <v>0</v>
      </c>
      <c r="S1658" s="7">
        <f>grand[[#This Row],[ carcass weight]]/grand[[#This Row],[received]]</f>
        <v>339.86250000000001</v>
      </c>
      <c r="T1658" s="7">
        <f>grand[[#This Row],[ kidneys fat quantity]]/grand[[#This Row],[received]]</f>
        <v>9.4375</v>
      </c>
      <c r="U1658">
        <v>23.125</v>
      </c>
      <c r="V1658">
        <v>0</v>
      </c>
      <c r="W1658">
        <v>46.6875</v>
      </c>
      <c r="X1658">
        <v>10</v>
      </c>
      <c r="Y1658">
        <v>8.5</v>
      </c>
      <c r="Z1658" s="18">
        <f>grand[[#This Row],[av. Transportation loss]]/grand[[#This Row],[av.total weight]]</f>
        <v>0</v>
      </c>
      <c r="AA1658" s="18">
        <f>AVERAGE((grand[[#This Row],[am]]/25),(grand[[#This Row],[pm]]/50))</f>
        <v>0.92937500000000006</v>
      </c>
      <c r="AB1658" s="3">
        <f>grand[[#This Row],[ carcass weight]]/grand[[#This Row],[total weight]]</f>
        <v>0.6</v>
      </c>
      <c r="AC1658" s="18">
        <f>SUM(grand[[#This Row],[am]:[meat transportation]])/100</f>
        <v>0.88312500000000005</v>
      </c>
      <c r="AD1658" s="2" t="s">
        <v>1056</v>
      </c>
      <c r="AE1658" s="2"/>
      <c r="AF1658" s="2"/>
      <c r="AG1658" s="2"/>
      <c r="AH1658" s="2"/>
      <c r="AI1658" s="2"/>
      <c r="AJ1658" s="2">
        <v>14</v>
      </c>
    </row>
    <row r="1659" spans="1:36" hidden="1" x14ac:dyDescent="0.2">
      <c r="A1659" s="11">
        <v>46086</v>
      </c>
      <c r="B1659" s="53" t="s">
        <v>2452</v>
      </c>
      <c r="C1659" s="52" t="str">
        <f>IF(MID(B1659,4,2)="09","Ramadan",IF(AND(MID(B1659,4,2)="12",VALUE(LEFT(B1659,2))&lt;=9),"Adha Season","Normal"))</f>
        <v>Ramadan</v>
      </c>
      <c r="D1659" s="1" t="s">
        <v>45</v>
      </c>
      <c r="F1659" s="4" t="s">
        <v>954</v>
      </c>
      <c r="G1659" s="1">
        <v>84</v>
      </c>
      <c r="H1659">
        <v>84</v>
      </c>
      <c r="I1659">
        <f>grand[[#This Row],[number]]-grand[[#This Row],[received]]</f>
        <v>0</v>
      </c>
      <c r="J1659" s="2"/>
      <c r="K1659" s="2">
        <v>37570</v>
      </c>
      <c r="L1659" s="2">
        <v>37570</v>
      </c>
      <c r="M1659" s="2">
        <f>K1659-L1659</f>
        <v>0</v>
      </c>
      <c r="N1659" s="2">
        <v>22787.200000000001</v>
      </c>
      <c r="O1659" s="2">
        <v>622</v>
      </c>
      <c r="P1659" s="7">
        <f>grand[[#This Row],[total weight]]/grand[[#This Row],[received]]</f>
        <v>447.26190476190476</v>
      </c>
      <c r="Q1659" s="7">
        <f>grand[[#This Row],[receiving weight]]/grand[[#This Row],[received]]</f>
        <v>447.26190476190476</v>
      </c>
      <c r="R1659" s="7">
        <f>grand[[#This Row],[transportation loss ]]/grand[[#This Row],[received]]</f>
        <v>0</v>
      </c>
      <c r="S1659" s="7">
        <f>grand[[#This Row],[ carcass weight]]/grand[[#This Row],[received]]</f>
        <v>271.27619047619049</v>
      </c>
      <c r="T1659" s="7">
        <f>grand[[#This Row],[ kidneys fat quantity]]/grand[[#This Row],[received]]</f>
        <v>7.4047619047619051</v>
      </c>
      <c r="U1659">
        <v>25</v>
      </c>
      <c r="V1659">
        <v>0</v>
      </c>
      <c r="W1659">
        <v>48.833333333333329</v>
      </c>
      <c r="X1659">
        <v>10</v>
      </c>
      <c r="Y1659">
        <v>8.5</v>
      </c>
      <c r="Z1659" s="18">
        <f>grand[[#This Row],[av. Transportation loss]]/grand[[#This Row],[av.total weight]]</f>
        <v>0</v>
      </c>
      <c r="AA1659" s="18">
        <f>AVERAGE((grand[[#This Row],[am]]/25),(grand[[#This Row],[pm]]/50))</f>
        <v>0.98833333333333329</v>
      </c>
      <c r="AB1659" s="3">
        <f>grand[[#This Row],[ carcass weight]]/grand[[#This Row],[total weight]]</f>
        <v>0.60652648389672614</v>
      </c>
      <c r="AC1659" s="18">
        <f>SUM(grand[[#This Row],[am]:[meat transportation]])/100</f>
        <v>0.92333333333333334</v>
      </c>
      <c r="AD1659" s="2" t="s">
        <v>1057</v>
      </c>
      <c r="AE1659" s="2"/>
      <c r="AF1659" s="2"/>
      <c r="AG1659" s="2"/>
      <c r="AH1659" s="2"/>
      <c r="AI1659" s="2"/>
      <c r="AJ1659" s="2">
        <v>0</v>
      </c>
    </row>
    <row r="1660" spans="1:36" x14ac:dyDescent="0.2">
      <c r="A1660" s="11">
        <v>46088</v>
      </c>
      <c r="B1660" s="53" t="s">
        <v>2453</v>
      </c>
      <c r="C1660" s="52" t="str">
        <f>IF(MID(B1660,4,2)="09","Ramadan",IF(AND(MID(B1660,4,2)="12",VALUE(LEFT(B1660,2))&lt;=9),"Adha Season","Normal"))</f>
        <v>Ramadan</v>
      </c>
      <c r="D1660" s="1" t="s">
        <v>45</v>
      </c>
      <c r="F1660" s="4" t="s">
        <v>954</v>
      </c>
      <c r="G1660" s="1">
        <v>75</v>
      </c>
      <c r="H1660">
        <v>74</v>
      </c>
      <c r="I1660">
        <f>grand[[#This Row],[number]]-grand[[#This Row],[received]]</f>
        <v>1</v>
      </c>
      <c r="J1660" s="64" t="s">
        <v>1064</v>
      </c>
      <c r="K1660" s="2">
        <v>32515</v>
      </c>
      <c r="L1660" s="2">
        <v>32515</v>
      </c>
      <c r="M1660" s="2">
        <f>K1660-L1660</f>
        <v>0</v>
      </c>
      <c r="N1660" s="2">
        <v>19621.900000000001</v>
      </c>
      <c r="O1660" s="2">
        <v>439</v>
      </c>
      <c r="P1660" s="7">
        <f>grand[[#This Row],[total weight]]/grand[[#This Row],[received]]</f>
        <v>439.39189189189187</v>
      </c>
      <c r="Q1660" s="7">
        <f>grand[[#This Row],[receiving weight]]/grand[[#This Row],[received]]</f>
        <v>439.39189189189187</v>
      </c>
      <c r="R1660" s="7">
        <f>grand[[#This Row],[transportation loss ]]/grand[[#This Row],[received]]</f>
        <v>0</v>
      </c>
      <c r="S1660" s="7">
        <f>grand[[#This Row],[ carcass weight]]/grand[[#This Row],[received]]</f>
        <v>265.16081081081086</v>
      </c>
      <c r="T1660" s="7">
        <f>grand[[#This Row],[ kidneys fat quantity]]/grand[[#This Row],[received]]</f>
        <v>5.9324324324324325</v>
      </c>
      <c r="U1660">
        <v>25</v>
      </c>
      <c r="V1660">
        <v>0</v>
      </c>
      <c r="W1660">
        <v>48.202702702702702</v>
      </c>
      <c r="X1660">
        <v>10</v>
      </c>
      <c r="Y1660">
        <v>8.5</v>
      </c>
      <c r="Z1660" s="18">
        <f>grand[[#This Row],[av. Transportation loss]]/grand[[#This Row],[av.total weight]]</f>
        <v>0</v>
      </c>
      <c r="AA1660" s="18">
        <f>AVERAGE((grand[[#This Row],[am]]/25),(grand[[#This Row],[pm]]/50))</f>
        <v>0.98202702702702704</v>
      </c>
      <c r="AB1660" s="3">
        <f>grand[[#This Row],[ carcass weight]]/grand[[#This Row],[total weight]]</f>
        <v>0.60347224357988627</v>
      </c>
      <c r="AC1660" s="18">
        <f>SUM(grand[[#This Row],[am]:[meat transportation]])/100</f>
        <v>0.9170270270270271</v>
      </c>
      <c r="AD1660" s="2" t="s">
        <v>1058</v>
      </c>
      <c r="AE1660" s="2"/>
      <c r="AF1660" s="2"/>
      <c r="AG1660" s="2"/>
      <c r="AH1660" s="2"/>
      <c r="AI1660" s="2"/>
      <c r="AJ1660" s="2">
        <v>0</v>
      </c>
    </row>
    <row r="1661" spans="1:36" hidden="1" x14ac:dyDescent="0.2">
      <c r="A1661" s="11">
        <v>46088</v>
      </c>
      <c r="B1661" s="53" t="s">
        <v>2453</v>
      </c>
      <c r="C1661" s="52" t="str">
        <f>IF(MID(B1661,4,2)="09","Ramadan",IF(AND(MID(B1661,4,2)="12",VALUE(LEFT(B1661,2))&lt;=9),"Adha Season","Normal"))</f>
        <v>Ramadan</v>
      </c>
      <c r="D1661" s="2" t="s">
        <v>294</v>
      </c>
      <c r="F1661" s="4" t="s">
        <v>954</v>
      </c>
      <c r="G1661" s="1">
        <v>84</v>
      </c>
      <c r="H1661">
        <v>83</v>
      </c>
      <c r="I1661">
        <f>grand[[#This Row],[number]]-grand[[#This Row],[received]]</f>
        <v>1</v>
      </c>
      <c r="J1661" s="64" t="s">
        <v>1065</v>
      </c>
      <c r="K1661" s="27">
        <v>4227</v>
      </c>
      <c r="L1661" s="27">
        <v>4227</v>
      </c>
      <c r="M1661" s="2">
        <f>K1661-L1661</f>
        <v>0</v>
      </c>
      <c r="N1661" s="2">
        <v>2367.4</v>
      </c>
      <c r="O1661" s="2"/>
      <c r="P1661" s="7">
        <f>grand[[#This Row],[total weight]]/grand[[#This Row],[received]]</f>
        <v>50.927710843373497</v>
      </c>
      <c r="Q1661" s="7">
        <f>grand[[#This Row],[receiving weight]]/grand[[#This Row],[received]]</f>
        <v>50.927710843373497</v>
      </c>
      <c r="R1661" s="7">
        <f>grand[[#This Row],[transportation loss ]]/grand[[#This Row],[received]]</f>
        <v>0</v>
      </c>
      <c r="S1661" s="7">
        <f>grand[[#This Row],[ carcass weight]]/grand[[#This Row],[received]]</f>
        <v>28.522891566265063</v>
      </c>
      <c r="T1661" s="7">
        <f>grand[[#This Row],[ kidneys fat quantity]]/grand[[#This Row],[received]]</f>
        <v>0</v>
      </c>
      <c r="U1661">
        <v>25</v>
      </c>
      <c r="V1661">
        <v>0</v>
      </c>
      <c r="W1661">
        <v>47.686746987951814</v>
      </c>
      <c r="X1661">
        <v>10</v>
      </c>
      <c r="Y1661">
        <v>8.5</v>
      </c>
      <c r="Z1661" s="18">
        <f>grand[[#This Row],[av. Transportation loss]]/grand[[#This Row],[av.total weight]]</f>
        <v>0</v>
      </c>
      <c r="AA1661" s="18">
        <f>AVERAGE((grand[[#This Row],[am]]/25),(grand[[#This Row],[pm]]/50))</f>
        <v>0.97686746987951811</v>
      </c>
      <c r="AB1661" s="3">
        <f>grand[[#This Row],[ carcass weight]]/grand[[#This Row],[total weight]]</f>
        <v>0.56006624083274192</v>
      </c>
      <c r="AC1661" s="18">
        <f>SUM(grand[[#This Row],[am]:[meat transportation]])/100</f>
        <v>0.91186746987951806</v>
      </c>
      <c r="AD1661" s="2" t="s">
        <v>1059</v>
      </c>
      <c r="AE1661" s="2"/>
      <c r="AF1661" s="2"/>
      <c r="AG1661" s="2"/>
      <c r="AH1661" s="2"/>
      <c r="AI1661" s="2"/>
      <c r="AJ1661" s="2">
        <v>0</v>
      </c>
    </row>
    <row r="1662" spans="1:36" hidden="1" x14ac:dyDescent="0.2">
      <c r="A1662" s="11">
        <v>46089</v>
      </c>
      <c r="B1662" s="53" t="s">
        <v>2902</v>
      </c>
      <c r="C1662" s="52" t="str">
        <f>IF(MID(B1662,4,2)="09","Ramadan",IF(AND(MID(B1662,4,2)="12",VALUE(LEFT(B1662,2))&lt;=9),"Adha Season","Normal"))</f>
        <v>Ramadan</v>
      </c>
      <c r="D1662" s="1" t="s">
        <v>45</v>
      </c>
      <c r="F1662" s="4" t="s">
        <v>954</v>
      </c>
      <c r="G1662" s="1">
        <v>80</v>
      </c>
      <c r="H1662">
        <v>80</v>
      </c>
      <c r="I1662">
        <f>grand[[#This Row],[number]]-grand[[#This Row],[received]]</f>
        <v>0</v>
      </c>
      <c r="J1662" s="30"/>
      <c r="K1662" s="2">
        <v>34156</v>
      </c>
      <c r="L1662" s="2">
        <v>34156</v>
      </c>
      <c r="M1662" s="2">
        <f>K1662-L1662</f>
        <v>0</v>
      </c>
      <c r="N1662" s="2">
        <v>20577</v>
      </c>
      <c r="O1662" s="2">
        <v>460</v>
      </c>
      <c r="P1662" s="7">
        <f>grand[[#This Row],[total weight]]/grand[[#This Row],[received]]</f>
        <v>426.95</v>
      </c>
      <c r="Q1662" s="7">
        <f>grand[[#This Row],[receiving weight]]/grand[[#This Row],[received]]</f>
        <v>426.95</v>
      </c>
      <c r="R1662" s="7">
        <f>grand[[#This Row],[transportation loss ]]/grand[[#This Row],[received]]</f>
        <v>0</v>
      </c>
      <c r="S1662" s="7">
        <f>grand[[#This Row],[ carcass weight]]/grand[[#This Row],[received]]</f>
        <v>257.21249999999998</v>
      </c>
      <c r="T1662" s="7">
        <f>grand[[#This Row],[ kidneys fat quantity]]/grand[[#This Row],[received]]</f>
        <v>5.75</v>
      </c>
      <c r="U1662">
        <v>25</v>
      </c>
      <c r="V1662">
        <v>0</v>
      </c>
      <c r="W1662">
        <v>47.937500000000007</v>
      </c>
      <c r="X1662">
        <v>10</v>
      </c>
      <c r="Y1662">
        <v>8.5</v>
      </c>
      <c r="Z1662" s="18">
        <f>grand[[#This Row],[av. Transportation loss]]/grand[[#This Row],[av.total weight]]</f>
        <v>0</v>
      </c>
      <c r="AA1662" s="18">
        <f>AVERAGE((grand[[#This Row],[am]]/25),(grand[[#This Row],[pm]]/50))</f>
        <v>0.97937500000000011</v>
      </c>
      <c r="AB1662" s="3">
        <f>grand[[#This Row],[ carcass weight]]/grand[[#This Row],[total weight]]</f>
        <v>0.60244173790842015</v>
      </c>
      <c r="AC1662" s="18">
        <f>SUM(grand[[#This Row],[am]:[meat transportation]])/100</f>
        <v>0.91437500000000005</v>
      </c>
      <c r="AD1662" s="2" t="s">
        <v>1060</v>
      </c>
      <c r="AE1662" s="2"/>
      <c r="AF1662" s="2"/>
      <c r="AG1662" s="2"/>
      <c r="AH1662" s="2"/>
      <c r="AI1662" s="2"/>
      <c r="AJ1662" s="2">
        <v>0</v>
      </c>
    </row>
    <row r="1663" spans="1:36" hidden="1" x14ac:dyDescent="0.2">
      <c r="A1663" s="11">
        <v>46090</v>
      </c>
      <c r="B1663" s="53" t="s">
        <v>2454</v>
      </c>
      <c r="C1663" s="52" t="str">
        <f>IF(MID(B1663,4,2)="09","Ramadan",IF(AND(MID(B1663,4,2)="12",VALUE(LEFT(B1663,2))&lt;=9),"Adha Season","Normal"))</f>
        <v>Ramadan</v>
      </c>
      <c r="D1663" s="1" t="s">
        <v>45</v>
      </c>
      <c r="F1663" s="4" t="s">
        <v>954</v>
      </c>
      <c r="G1663" s="1">
        <v>72</v>
      </c>
      <c r="H1663">
        <v>72</v>
      </c>
      <c r="I1663">
        <f>grand[[#This Row],[number]]-grand[[#This Row],[received]]</f>
        <v>0</v>
      </c>
      <c r="J1663" s="2"/>
      <c r="K1663" s="2">
        <v>31850</v>
      </c>
      <c r="L1663" s="2">
        <v>31850</v>
      </c>
      <c r="M1663" s="2">
        <f>K1663-L1663</f>
        <v>0</v>
      </c>
      <c r="N1663" s="2">
        <v>19387.7</v>
      </c>
      <c r="O1663" s="2">
        <v>456</v>
      </c>
      <c r="P1663" s="7">
        <f>grand[[#This Row],[total weight]]/grand[[#This Row],[received]]</f>
        <v>442.36111111111109</v>
      </c>
      <c r="Q1663" s="7">
        <f>grand[[#This Row],[receiving weight]]/grand[[#This Row],[received]]</f>
        <v>442.36111111111109</v>
      </c>
      <c r="R1663" s="7">
        <f>grand[[#This Row],[transportation loss ]]/grand[[#This Row],[received]]</f>
        <v>0</v>
      </c>
      <c r="S1663" s="7">
        <f>grand[[#This Row],[ carcass weight]]/grand[[#This Row],[received]]</f>
        <v>269.27361111111111</v>
      </c>
      <c r="T1663" s="7">
        <f>grand[[#This Row],[ kidneys fat quantity]]/grand[[#This Row],[received]]</f>
        <v>6.333333333333333</v>
      </c>
      <c r="U1663">
        <v>25</v>
      </c>
      <c r="V1663">
        <v>0</v>
      </c>
      <c r="W1663">
        <v>47.30555555555555</v>
      </c>
      <c r="X1663">
        <v>10</v>
      </c>
      <c r="Y1663">
        <v>8.5</v>
      </c>
      <c r="Z1663" s="18">
        <f>grand[[#This Row],[av. Transportation loss]]/grand[[#This Row],[av.total weight]]</f>
        <v>0</v>
      </c>
      <c r="AA1663" s="18">
        <f>AVERAGE((grand[[#This Row],[am]]/25),(grand[[#This Row],[pm]]/50))</f>
        <v>0.97305555555555556</v>
      </c>
      <c r="AB1663" s="3">
        <f>grand[[#This Row],[ carcass weight]]/grand[[#This Row],[total weight]]</f>
        <v>0.60871899529042384</v>
      </c>
      <c r="AC1663" s="18">
        <f>SUM(grand[[#This Row],[am]:[meat transportation]])/100</f>
        <v>0.90805555555555539</v>
      </c>
      <c r="AD1663" s="2" t="s">
        <v>1061</v>
      </c>
      <c r="AE1663" s="2"/>
      <c r="AF1663" s="2"/>
      <c r="AG1663" s="2"/>
      <c r="AH1663" s="2"/>
      <c r="AI1663" s="2"/>
      <c r="AJ1663" s="2">
        <v>0</v>
      </c>
    </row>
    <row r="1664" spans="1:36" hidden="1" x14ac:dyDescent="0.2">
      <c r="A1664" s="11">
        <v>46090</v>
      </c>
      <c r="B1664" s="53" t="s">
        <v>2454</v>
      </c>
      <c r="C1664" s="52" t="str">
        <f>IF(MID(B1664,4,2)="09","Ramadan",IF(AND(MID(B1664,4,2)="12",VALUE(LEFT(B1664,2))&lt;=9),"Adha Season","Normal"))</f>
        <v>Ramadan</v>
      </c>
      <c r="D1664" s="2" t="s">
        <v>294</v>
      </c>
      <c r="F1664" s="4" t="s">
        <v>165</v>
      </c>
      <c r="G1664" s="1">
        <v>75</v>
      </c>
      <c r="H1664">
        <v>75</v>
      </c>
      <c r="I1664">
        <f>grand[[#This Row],[number]]-grand[[#This Row],[received]]</f>
        <v>0</v>
      </c>
      <c r="J1664" s="30"/>
      <c r="K1664" s="2">
        <v>4144</v>
      </c>
      <c r="L1664" s="2">
        <v>4144</v>
      </c>
      <c r="M1664" s="2">
        <f>K1664-L1664</f>
        <v>0</v>
      </c>
      <c r="N1664" s="2">
        <v>2371.9</v>
      </c>
      <c r="O1664" s="2">
        <v>0</v>
      </c>
      <c r="P1664" s="7">
        <f>grand[[#This Row],[total weight]]/grand[[#This Row],[received]]</f>
        <v>55.25333333333333</v>
      </c>
      <c r="Q1664" s="7">
        <f>grand[[#This Row],[receiving weight]]/grand[[#This Row],[received]]</f>
        <v>55.25333333333333</v>
      </c>
      <c r="R1664" s="7">
        <f>grand[[#This Row],[transportation loss ]]/grand[[#This Row],[received]]</f>
        <v>0</v>
      </c>
      <c r="S1664" s="7">
        <f>grand[[#This Row],[ carcass weight]]/grand[[#This Row],[received]]</f>
        <v>31.625333333333334</v>
      </c>
      <c r="T1664" s="7">
        <f>grand[[#This Row],[ kidneys fat quantity]]/grand[[#This Row],[received]]</f>
        <v>0</v>
      </c>
      <c r="U1664">
        <v>25</v>
      </c>
      <c r="V1664">
        <v>0</v>
      </c>
      <c r="W1664">
        <v>48.180000000000007</v>
      </c>
      <c r="X1664">
        <v>10</v>
      </c>
      <c r="Y1664">
        <v>8.5</v>
      </c>
      <c r="Z1664" s="18">
        <f>grand[[#This Row],[av. Transportation loss]]/grand[[#This Row],[av.total weight]]</f>
        <v>0</v>
      </c>
      <c r="AA1664" s="18">
        <f>AVERAGE((grand[[#This Row],[am]]/25),(grand[[#This Row],[pm]]/50))</f>
        <v>0.98180000000000001</v>
      </c>
      <c r="AB1664" s="3">
        <f>grand[[#This Row],[ carcass weight]]/grand[[#This Row],[total weight]]</f>
        <v>0.57236969111969116</v>
      </c>
      <c r="AC1664" s="18">
        <f>SUM(grand[[#This Row],[am]:[meat transportation]])/100</f>
        <v>0.91680000000000006</v>
      </c>
      <c r="AD1664" s="2" t="s">
        <v>1062</v>
      </c>
      <c r="AE1664" s="2"/>
      <c r="AF1664" s="2"/>
      <c r="AG1664" s="2"/>
      <c r="AH1664" s="2"/>
      <c r="AI1664" s="2"/>
      <c r="AJ1664" s="2">
        <v>0</v>
      </c>
    </row>
    <row r="1665" spans="1:36" hidden="1" x14ac:dyDescent="0.2">
      <c r="A1665" s="11">
        <v>46091</v>
      </c>
      <c r="B1665" s="53" t="s">
        <v>2455</v>
      </c>
      <c r="C1665" s="52" t="str">
        <f>IF(MID(B1665,4,2)="09","Ramadan",IF(AND(MID(B1665,4,2)="12",VALUE(LEFT(B1665,2))&lt;=9),"Adha Season","Normal"))</f>
        <v>Ramadan</v>
      </c>
      <c r="D1665" s="1" t="s">
        <v>45</v>
      </c>
      <c r="F1665" s="4" t="s">
        <v>46</v>
      </c>
      <c r="G1665" s="1">
        <v>32</v>
      </c>
      <c r="H1665">
        <v>32</v>
      </c>
      <c r="I1665">
        <f>grand[[#This Row],[number]]-grand[[#This Row],[received]]</f>
        <v>0</v>
      </c>
      <c r="J1665" s="30"/>
      <c r="K1665" s="2">
        <v>15293</v>
      </c>
      <c r="L1665" s="2">
        <v>15293</v>
      </c>
      <c r="M1665" s="2">
        <f>K1665-L1665</f>
        <v>0</v>
      </c>
      <c r="N1665" s="2">
        <v>9175.5</v>
      </c>
      <c r="O1665" s="2">
        <v>290</v>
      </c>
      <c r="P1665" s="7">
        <f>grand[[#This Row],[total weight]]/grand[[#This Row],[received]]</f>
        <v>477.90625</v>
      </c>
      <c r="Q1665" s="7">
        <f>grand[[#This Row],[receiving weight]]/grand[[#This Row],[received]]</f>
        <v>477.90625</v>
      </c>
      <c r="R1665" s="7">
        <f>grand[[#This Row],[transportation loss ]]/grand[[#This Row],[received]]</f>
        <v>0</v>
      </c>
      <c r="S1665" s="7">
        <f>grand[[#This Row],[ carcass weight]]/grand[[#This Row],[received]]</f>
        <v>286.734375</v>
      </c>
      <c r="T1665" s="7">
        <f>grand[[#This Row],[ kidneys fat quantity]]/grand[[#This Row],[received]]</f>
        <v>9.0625</v>
      </c>
      <c r="U1665">
        <v>25</v>
      </c>
      <c r="V1665">
        <v>0</v>
      </c>
      <c r="W1665">
        <v>43.78125</v>
      </c>
      <c r="X1665">
        <v>10</v>
      </c>
      <c r="Y1665">
        <v>8.5</v>
      </c>
      <c r="Z1665" s="18">
        <f>grand[[#This Row],[av. Transportation loss]]/grand[[#This Row],[av.total weight]]</f>
        <v>0</v>
      </c>
      <c r="AA1665" s="18">
        <f>AVERAGE((grand[[#This Row],[am]]/25),(grand[[#This Row],[pm]]/50))</f>
        <v>0.93781249999999994</v>
      </c>
      <c r="AB1665" s="3">
        <f>grand[[#This Row],[ carcass weight]]/grand[[#This Row],[total weight]]</f>
        <v>0.59998038318184788</v>
      </c>
      <c r="AC1665" s="18">
        <f>SUM(grand[[#This Row],[am]:[meat transportation]])/100</f>
        <v>0.87281249999999999</v>
      </c>
      <c r="AD1665" s="2" t="s">
        <v>1025</v>
      </c>
      <c r="AE1665" s="2"/>
      <c r="AF1665" s="2"/>
      <c r="AG1665" s="2"/>
      <c r="AH1665" s="2"/>
      <c r="AI1665" s="2"/>
      <c r="AJ1665" s="2">
        <v>1</v>
      </c>
    </row>
    <row r="1666" spans="1:36" hidden="1" x14ac:dyDescent="0.2">
      <c r="A1666" s="11">
        <v>46091</v>
      </c>
      <c r="B1666" s="53" t="s">
        <v>2455</v>
      </c>
      <c r="C1666" s="52" t="str">
        <f>IF(MID(B1666,4,2)="09","Ramadan",IF(AND(MID(B1666,4,2)="12",VALUE(LEFT(B1666,2))&lt;=9),"Adha Season","Normal"))</f>
        <v>Ramadan</v>
      </c>
      <c r="D1666" s="1" t="s">
        <v>45</v>
      </c>
      <c r="E1666" s="1" t="s">
        <v>528</v>
      </c>
      <c r="F1666" s="4" t="s">
        <v>916</v>
      </c>
      <c r="G1666" s="1">
        <v>30</v>
      </c>
      <c r="H1666">
        <v>30</v>
      </c>
      <c r="I1666">
        <f>grand[[#This Row],[number]]-grand[[#This Row],[received]]</f>
        <v>0</v>
      </c>
      <c r="J1666" s="2"/>
      <c r="K1666" s="2">
        <v>16354</v>
      </c>
      <c r="L1666" s="2">
        <v>16354</v>
      </c>
      <c r="M1666" s="2">
        <f>K1666-L1666</f>
        <v>0</v>
      </c>
      <c r="N1666" s="2">
        <v>10750</v>
      </c>
      <c r="O1666" s="2">
        <v>0</v>
      </c>
      <c r="P1666" s="7">
        <f>grand[[#This Row],[total weight]]/grand[[#This Row],[received]]</f>
        <v>545.13333333333333</v>
      </c>
      <c r="Q1666" s="7">
        <f>grand[[#This Row],[receiving weight]]/grand[[#This Row],[received]]</f>
        <v>545.13333333333333</v>
      </c>
      <c r="R1666" s="7">
        <f>grand[[#This Row],[transportation loss ]]/grand[[#This Row],[received]]</f>
        <v>0</v>
      </c>
      <c r="S1666" s="7">
        <f>grand[[#This Row],[ carcass weight]]/grand[[#This Row],[received]]</f>
        <v>358.33333333333331</v>
      </c>
      <c r="T1666" s="7">
        <f>grand[[#This Row],[ kidneys fat quantity]]/grand[[#This Row],[received]]</f>
        <v>0</v>
      </c>
      <c r="U1666">
        <v>24</v>
      </c>
      <c r="V1666">
        <v>4</v>
      </c>
      <c r="W1666">
        <v>44.11666666666666</v>
      </c>
      <c r="X1666">
        <v>10</v>
      </c>
      <c r="Y1666">
        <v>8.5</v>
      </c>
      <c r="Z1666" s="18">
        <f>grand[[#This Row],[av. Transportation loss]]/grand[[#This Row],[av.total weight]]</f>
        <v>0</v>
      </c>
      <c r="AA1666" s="18">
        <f>AVERAGE((grand[[#This Row],[am]]/25),(grand[[#This Row],[pm]]/50))</f>
        <v>0.92116666666666658</v>
      </c>
      <c r="AB1666" s="3">
        <f>grand[[#This Row],[ carcass weight]]/grand[[#This Row],[total weight]]</f>
        <v>0.65733153968448088</v>
      </c>
      <c r="AC1666" s="18">
        <f>SUM(grand[[#This Row],[am]:[meat transportation]])/100</f>
        <v>0.90616666666666656</v>
      </c>
      <c r="AD1666" s="2" t="s">
        <v>1026</v>
      </c>
      <c r="AE1666" s="2"/>
      <c r="AF1666" s="2"/>
      <c r="AG1666" s="2"/>
      <c r="AH1666" s="2"/>
      <c r="AI1666" s="2"/>
      <c r="AJ1666" s="2">
        <v>21</v>
      </c>
    </row>
    <row r="1667" spans="1:36" hidden="1" x14ac:dyDescent="0.2">
      <c r="A1667" s="11">
        <v>46092</v>
      </c>
      <c r="B1667" s="53" t="s">
        <v>2456</v>
      </c>
      <c r="C1667" s="52" t="str">
        <f>IF(MID(B1667,4,2)="09","Ramadan",IF(AND(MID(B1667,4,2)="12",VALUE(LEFT(B1667,2))&lt;=9),"Adha Season","Normal"))</f>
        <v>Ramadan</v>
      </c>
      <c r="D1667" s="1" t="s">
        <v>45</v>
      </c>
      <c r="F1667" s="4" t="s">
        <v>165</v>
      </c>
      <c r="G1667" s="1">
        <v>59</v>
      </c>
      <c r="H1667">
        <v>59</v>
      </c>
      <c r="I1667">
        <f>grand[[#This Row],[number]]-grand[[#This Row],[received]]</f>
        <v>0</v>
      </c>
      <c r="J1667" s="30"/>
      <c r="K1667" s="2">
        <v>32657</v>
      </c>
      <c r="L1667" s="2">
        <v>32657</v>
      </c>
      <c r="M1667" s="2">
        <f>K1667-L1667</f>
        <v>0</v>
      </c>
      <c r="N1667" s="2">
        <v>19594.3</v>
      </c>
      <c r="O1667" s="2">
        <v>595</v>
      </c>
      <c r="P1667" s="7">
        <f>grand[[#This Row],[total weight]]/grand[[#This Row],[received]]</f>
        <v>553.50847457627117</v>
      </c>
      <c r="Q1667" s="7">
        <f>grand[[#This Row],[receiving weight]]/grand[[#This Row],[received]]</f>
        <v>553.50847457627117</v>
      </c>
      <c r="R1667" s="7">
        <f>grand[[#This Row],[transportation loss ]]/grand[[#This Row],[received]]</f>
        <v>0</v>
      </c>
      <c r="S1667" s="7">
        <f>grand[[#This Row],[ carcass weight]]/grand[[#This Row],[received]]</f>
        <v>332.10677966101696</v>
      </c>
      <c r="T1667" s="7">
        <f>grand[[#This Row],[ kidneys fat quantity]]/grand[[#This Row],[received]]</f>
        <v>10.084745762711865</v>
      </c>
      <c r="U1667">
        <v>22.79661016949153</v>
      </c>
      <c r="V1667">
        <v>0</v>
      </c>
      <c r="W1667">
        <v>43.49152542372881</v>
      </c>
      <c r="X1667">
        <v>10</v>
      </c>
      <c r="Y1667">
        <v>8.5</v>
      </c>
      <c r="Z1667" s="18">
        <f>grand[[#This Row],[av. Transportation loss]]/grand[[#This Row],[av.total weight]]</f>
        <v>0</v>
      </c>
      <c r="AA1667" s="18">
        <f>AVERAGE((grand[[#This Row],[am]]/25),(grand[[#This Row],[pm]]/50))</f>
        <v>0.8908474576271187</v>
      </c>
      <c r="AB1667" s="3">
        <f>grand[[#This Row],[ carcass weight]]/grand[[#This Row],[total weight]]</f>
        <v>0.60000306213063048</v>
      </c>
      <c r="AC1667" s="18">
        <f>SUM(grand[[#This Row],[am]:[meat transportation]])/100</f>
        <v>0.84788135593220348</v>
      </c>
      <c r="AD1667" s="2" t="s">
        <v>1027</v>
      </c>
      <c r="AE1667" s="2"/>
      <c r="AF1667" s="2"/>
      <c r="AG1667" s="2"/>
      <c r="AH1667" s="2"/>
      <c r="AI1667" s="2"/>
      <c r="AJ1667" s="2">
        <v>55</v>
      </c>
    </row>
    <row r="1668" spans="1:36" hidden="1" x14ac:dyDescent="0.2">
      <c r="A1668" s="11">
        <v>46092</v>
      </c>
      <c r="B1668" s="53" t="s">
        <v>2456</v>
      </c>
      <c r="C1668" s="52" t="str">
        <f>IF(MID(B1668,4,2)="09","Ramadan",IF(AND(MID(B1668,4,2)="12",VALUE(LEFT(B1668,2))&lt;=9),"Adha Season","Normal"))</f>
        <v>Ramadan</v>
      </c>
      <c r="D1668" s="2" t="s">
        <v>294</v>
      </c>
      <c r="F1668" s="4" t="s">
        <v>165</v>
      </c>
      <c r="G1668" s="1">
        <v>89</v>
      </c>
      <c r="H1668">
        <v>83</v>
      </c>
      <c r="I1668">
        <f>grand[[#This Row],[number]]-grand[[#This Row],[received]]</f>
        <v>6</v>
      </c>
      <c r="J1668" s="64" t="s">
        <v>1066</v>
      </c>
      <c r="K1668" s="27">
        <v>4225</v>
      </c>
      <c r="L1668" s="27">
        <v>4225</v>
      </c>
      <c r="M1668" s="2">
        <f>K1668-L1668</f>
        <v>0</v>
      </c>
      <c r="N1668" s="2">
        <v>2517.6999999999998</v>
      </c>
      <c r="O1668" s="2">
        <v>0</v>
      </c>
      <c r="P1668" s="7">
        <f>grand[[#This Row],[total weight]]/grand[[#This Row],[received]]</f>
        <v>50.903614457831324</v>
      </c>
      <c r="Q1668" s="7">
        <f>grand[[#This Row],[receiving weight]]/grand[[#This Row],[received]]</f>
        <v>50.903614457831324</v>
      </c>
      <c r="R1668" s="7">
        <f>grand[[#This Row],[transportation loss ]]/grand[[#This Row],[received]]</f>
        <v>0</v>
      </c>
      <c r="S1668" s="7">
        <f>grand[[#This Row],[ carcass weight]]/grand[[#This Row],[received]]</f>
        <v>30.333734939759033</v>
      </c>
      <c r="T1668" s="7">
        <f>grand[[#This Row],[ kidneys fat quantity]]/grand[[#This Row],[received]]</f>
        <v>0</v>
      </c>
      <c r="U1668">
        <v>25</v>
      </c>
      <c r="V1668">
        <v>0</v>
      </c>
      <c r="W1668">
        <v>49.481927710843379</v>
      </c>
      <c r="X1668">
        <v>10</v>
      </c>
      <c r="Y1668">
        <v>8.5</v>
      </c>
      <c r="Z1668" s="18">
        <f>grand[[#This Row],[av. Transportation loss]]/grand[[#This Row],[av.total weight]]</f>
        <v>0</v>
      </c>
      <c r="AA1668" s="18">
        <f>AVERAGE((grand[[#This Row],[am]]/25),(grand[[#This Row],[pm]]/50))</f>
        <v>0.99481927710843387</v>
      </c>
      <c r="AB1668" s="3">
        <f>grand[[#This Row],[ carcass weight]]/grand[[#This Row],[total weight]]</f>
        <v>0.59590532544378694</v>
      </c>
      <c r="AC1668" s="18">
        <f>SUM(grand[[#This Row],[am]:[meat transportation]])/100</f>
        <v>0.92981927710843382</v>
      </c>
      <c r="AD1668" s="2" t="s">
        <v>766</v>
      </c>
      <c r="AE1668" s="2"/>
      <c r="AF1668" s="2"/>
      <c r="AG1668" s="2"/>
      <c r="AH1668" s="2"/>
      <c r="AI1668" s="2"/>
      <c r="AJ1668" s="2">
        <v>0</v>
      </c>
    </row>
    <row r="1669" spans="1:36" hidden="1" x14ac:dyDescent="0.2">
      <c r="A1669" s="11">
        <v>46093</v>
      </c>
      <c r="B1669" s="53" t="s">
        <v>2457</v>
      </c>
      <c r="C1669" s="52" t="str">
        <f>IF(MID(B1669,4,2)="09","Ramadan",IF(AND(MID(B1669,4,2)="12",VALUE(LEFT(B1669,2))&lt;=9),"Adha Season","Normal"))</f>
        <v>Ramadan</v>
      </c>
      <c r="D1669" s="1" t="s">
        <v>45</v>
      </c>
      <c r="F1669" s="4" t="s">
        <v>954</v>
      </c>
      <c r="G1669" s="1">
        <v>90</v>
      </c>
      <c r="H1669">
        <v>90</v>
      </c>
      <c r="I1669">
        <f>grand[[#This Row],[number]]-grand[[#This Row],[received]]</f>
        <v>0</v>
      </c>
      <c r="J1669" s="2"/>
      <c r="K1669" s="2">
        <v>39207</v>
      </c>
      <c r="L1669" s="2">
        <v>39207</v>
      </c>
      <c r="M1669" s="2">
        <f>K1669-L1669</f>
        <v>0</v>
      </c>
      <c r="N1669" s="2">
        <v>23909.4</v>
      </c>
      <c r="O1669" s="2">
        <v>688</v>
      </c>
      <c r="P1669" s="7">
        <f>grand[[#This Row],[total weight]]/grand[[#This Row],[received]]</f>
        <v>435.63333333333333</v>
      </c>
      <c r="Q1669" s="7">
        <f>grand[[#This Row],[receiving weight]]/grand[[#This Row],[received]]</f>
        <v>435.63333333333333</v>
      </c>
      <c r="R1669" s="7">
        <f>grand[[#This Row],[transportation loss ]]/grand[[#This Row],[received]]</f>
        <v>0</v>
      </c>
      <c r="S1669" s="7">
        <f>grand[[#This Row],[ carcass weight]]/grand[[#This Row],[received]]</f>
        <v>265.66000000000003</v>
      </c>
      <c r="T1669" s="7">
        <f>grand[[#This Row],[ kidneys fat quantity]]/grand[[#This Row],[received]]</f>
        <v>7.6444444444444448</v>
      </c>
      <c r="U1669">
        <v>25</v>
      </c>
      <c r="V1669">
        <v>0</v>
      </c>
      <c r="W1669">
        <v>49.188888888888883</v>
      </c>
      <c r="X1669">
        <v>10</v>
      </c>
      <c r="Y1669">
        <v>8.5</v>
      </c>
      <c r="Z1669" s="18">
        <f>grand[[#This Row],[av. Transportation loss]]/grand[[#This Row],[av.total weight]]</f>
        <v>0</v>
      </c>
      <c r="AA1669" s="18">
        <f>AVERAGE((grand[[#This Row],[am]]/25),(grand[[#This Row],[pm]]/50))</f>
        <v>0.99188888888888882</v>
      </c>
      <c r="AB1669" s="3">
        <f>grand[[#This Row],[ carcass weight]]/grand[[#This Row],[total weight]]</f>
        <v>0.60982477618792563</v>
      </c>
      <c r="AC1669" s="18">
        <f>SUM(grand[[#This Row],[am]:[meat transportation]])/100</f>
        <v>0.92688888888888887</v>
      </c>
      <c r="AD1669" s="2" t="s">
        <v>1029</v>
      </c>
      <c r="AE1669" s="2"/>
      <c r="AF1669" s="2"/>
      <c r="AG1669" s="2"/>
      <c r="AH1669" s="2"/>
      <c r="AI1669" s="2"/>
      <c r="AJ1669" s="2">
        <v>0</v>
      </c>
    </row>
    <row r="1670" spans="1:36" hidden="1" x14ac:dyDescent="0.2">
      <c r="A1670" s="11">
        <v>46093</v>
      </c>
      <c r="B1670" s="53" t="s">
        <v>2457</v>
      </c>
      <c r="C1670" s="52" t="str">
        <f>IF(MID(B1670,4,2)="09","Ramadan",IF(AND(MID(B1670,4,2)="12",VALUE(LEFT(B1670,2))&lt;=9),"Adha Season","Normal"))</f>
        <v>Ramadan</v>
      </c>
      <c r="D1670" s="2" t="s">
        <v>294</v>
      </c>
      <c r="F1670" s="4" t="s">
        <v>772</v>
      </c>
      <c r="G1670" s="1">
        <v>30</v>
      </c>
      <c r="H1670">
        <v>28</v>
      </c>
      <c r="I1670">
        <f>grand[[#This Row],[number]]-grand[[#This Row],[received]]</f>
        <v>2</v>
      </c>
      <c r="J1670" s="64" t="s">
        <v>1067</v>
      </c>
      <c r="K1670" s="2">
        <v>1445</v>
      </c>
      <c r="L1670" s="2">
        <v>1445</v>
      </c>
      <c r="M1670" s="2">
        <f>K1670-L1670</f>
        <v>0</v>
      </c>
      <c r="N1670" s="2">
        <v>775.5</v>
      </c>
      <c r="O1670" s="2">
        <v>0</v>
      </c>
      <c r="P1670" s="7">
        <f>grand[[#This Row],[total weight]]/grand[[#This Row],[received]]</f>
        <v>51.607142857142854</v>
      </c>
      <c r="Q1670" s="7">
        <f>grand[[#This Row],[receiving weight]]/grand[[#This Row],[received]]</f>
        <v>51.607142857142854</v>
      </c>
      <c r="R1670" s="7">
        <f>grand[[#This Row],[transportation loss ]]/grand[[#This Row],[received]]</f>
        <v>0</v>
      </c>
      <c r="S1670" s="7">
        <f>grand[[#This Row],[ carcass weight]]/grand[[#This Row],[received]]</f>
        <v>27.696428571428573</v>
      </c>
      <c r="T1670" s="7">
        <f>grand[[#This Row],[ kidneys fat quantity]]/grand[[#This Row],[received]]</f>
        <v>0</v>
      </c>
      <c r="U1670">
        <v>25</v>
      </c>
      <c r="V1670">
        <v>0</v>
      </c>
      <c r="W1670">
        <v>46.910714285714285</v>
      </c>
      <c r="X1670">
        <v>10</v>
      </c>
      <c r="Y1670">
        <v>8.5</v>
      </c>
      <c r="Z1670" s="18">
        <f>grand[[#This Row],[av. Transportation loss]]/grand[[#This Row],[av.total weight]]</f>
        <v>0</v>
      </c>
      <c r="AA1670" s="18">
        <f>AVERAGE((grand[[#This Row],[am]]/25),(grand[[#This Row],[pm]]/50))</f>
        <v>0.96910714285714283</v>
      </c>
      <c r="AB1670" s="3">
        <f>grand[[#This Row],[ carcass weight]]/grand[[#This Row],[total weight]]</f>
        <v>0.53667820069204153</v>
      </c>
      <c r="AC1670" s="18">
        <f>SUM(grand[[#This Row],[am]:[meat transportation]])/100</f>
        <v>0.90410714285714278</v>
      </c>
      <c r="AD1670" s="2" t="s">
        <v>1028</v>
      </c>
      <c r="AE1670" s="2"/>
      <c r="AF1670" s="2"/>
      <c r="AG1670" s="2"/>
      <c r="AH1670" s="2"/>
      <c r="AI1670" s="2"/>
      <c r="AJ1670" s="2">
        <v>0</v>
      </c>
    </row>
    <row r="1671" spans="1:36" hidden="1" x14ac:dyDescent="0.2">
      <c r="A1671" s="11">
        <v>46095</v>
      </c>
      <c r="B1671" s="53" t="s">
        <v>2458</v>
      </c>
      <c r="C1671" s="52" t="str">
        <f>IF(MID(B1671,4,2)="09","Ramadan",IF(AND(MID(B1671,4,2)="12",VALUE(LEFT(B1671,2))&lt;=9),"Adha Season","Normal"))</f>
        <v>Ramadan</v>
      </c>
      <c r="D1671" s="1" t="s">
        <v>45</v>
      </c>
      <c r="F1671" s="4" t="s">
        <v>954</v>
      </c>
      <c r="G1671" s="1">
        <v>60</v>
      </c>
      <c r="H1671">
        <v>60</v>
      </c>
      <c r="I1671">
        <f>grand[[#This Row],[number]]-grand[[#This Row],[received]]</f>
        <v>0</v>
      </c>
      <c r="J1671" s="2"/>
      <c r="K1671" s="2">
        <v>25513</v>
      </c>
      <c r="L1671" s="2">
        <v>25513</v>
      </c>
      <c r="M1671" s="2">
        <f>K1671-L1671</f>
        <v>0</v>
      </c>
      <c r="N1671" s="2">
        <v>15726.5</v>
      </c>
      <c r="O1671" s="2">
        <v>423</v>
      </c>
      <c r="P1671" s="7">
        <f>grand[[#This Row],[total weight]]/grand[[#This Row],[received]]</f>
        <v>425.21666666666664</v>
      </c>
      <c r="Q1671" s="7">
        <f>grand[[#This Row],[receiving weight]]/grand[[#This Row],[received]]</f>
        <v>425.21666666666664</v>
      </c>
      <c r="R1671" s="7">
        <f>grand[[#This Row],[transportation loss ]]/grand[[#This Row],[received]]</f>
        <v>0</v>
      </c>
      <c r="S1671" s="7">
        <f>grand[[#This Row],[ carcass weight]]/grand[[#This Row],[received]]</f>
        <v>262.10833333333335</v>
      </c>
      <c r="T1671" s="7">
        <f>grand[[#This Row],[ kidneys fat quantity]]/grand[[#This Row],[received]]</f>
        <v>7.05</v>
      </c>
      <c r="U1671">
        <v>25</v>
      </c>
      <c r="V1671">
        <v>0</v>
      </c>
      <c r="W1671">
        <v>47.333333333333336</v>
      </c>
      <c r="X1671">
        <v>10</v>
      </c>
      <c r="Y1671">
        <v>8.5</v>
      </c>
      <c r="Z1671" s="18">
        <f>grand[[#This Row],[av. Transportation loss]]/grand[[#This Row],[av.total weight]]</f>
        <v>0</v>
      </c>
      <c r="AA1671" s="18">
        <f>AVERAGE((grand[[#This Row],[am]]/25),(grand[[#This Row],[pm]]/50))</f>
        <v>0.97333333333333338</v>
      </c>
      <c r="AB1671" s="3">
        <f>grand[[#This Row],[ carcass weight]]/grand[[#This Row],[total weight]]</f>
        <v>0.61641124132795044</v>
      </c>
      <c r="AC1671" s="18">
        <f>SUM(grand[[#This Row],[am]:[meat transportation]])/100</f>
        <v>0.90833333333333344</v>
      </c>
      <c r="AD1671" s="2" t="s">
        <v>1031</v>
      </c>
      <c r="AE1671" s="2"/>
      <c r="AF1671" s="2"/>
      <c r="AG1671" s="2"/>
      <c r="AH1671" s="2"/>
      <c r="AI1671" s="2"/>
      <c r="AJ1671" s="2">
        <v>0</v>
      </c>
    </row>
    <row r="1672" spans="1:36" hidden="1" x14ac:dyDescent="0.2">
      <c r="A1672" s="11">
        <v>46095</v>
      </c>
      <c r="B1672" s="53" t="s">
        <v>2458</v>
      </c>
      <c r="C1672" s="52" t="str">
        <f>IF(MID(B1672,4,2)="09","Ramadan",IF(AND(MID(B1672,4,2)="12",VALUE(LEFT(B1672,2))&lt;=9),"Adha Season","Normal"))</f>
        <v>Ramadan</v>
      </c>
      <c r="D1672" s="2" t="s">
        <v>294</v>
      </c>
      <c r="F1672" s="4" t="s">
        <v>954</v>
      </c>
      <c r="G1672" s="1">
        <v>69</v>
      </c>
      <c r="H1672">
        <v>68</v>
      </c>
      <c r="I1672">
        <f>grand[[#This Row],[number]]-grand[[#This Row],[received]]</f>
        <v>1</v>
      </c>
      <c r="J1672" s="64" t="s">
        <v>1065</v>
      </c>
      <c r="K1672" s="2">
        <v>3135</v>
      </c>
      <c r="L1672" s="2">
        <v>3135</v>
      </c>
      <c r="M1672" s="2">
        <f>K1672-L1672</f>
        <v>0</v>
      </c>
      <c r="N1672" s="2">
        <v>1654.7</v>
      </c>
      <c r="O1672" s="2">
        <v>0</v>
      </c>
      <c r="P1672" s="7">
        <f>grand[[#This Row],[total weight]]/grand[[#This Row],[received]]</f>
        <v>46.102941176470587</v>
      </c>
      <c r="Q1672" s="7">
        <f>grand[[#This Row],[receiving weight]]/grand[[#This Row],[received]]</f>
        <v>46.102941176470587</v>
      </c>
      <c r="R1672" s="7">
        <f>grand[[#This Row],[transportation loss ]]/grand[[#This Row],[received]]</f>
        <v>0</v>
      </c>
      <c r="S1672" s="7">
        <f>grand[[#This Row],[ carcass weight]]/grand[[#This Row],[received]]</f>
        <v>24.333823529411767</v>
      </c>
      <c r="T1672" s="7">
        <f>grand[[#This Row],[ kidneys fat quantity]]/grand[[#This Row],[received]]</f>
        <v>0</v>
      </c>
      <c r="U1672">
        <v>25</v>
      </c>
      <c r="V1672">
        <v>0</v>
      </c>
      <c r="W1672">
        <v>47.147058823529413</v>
      </c>
      <c r="X1672">
        <v>10</v>
      </c>
      <c r="Y1672">
        <v>8.5</v>
      </c>
      <c r="Z1672" s="18">
        <f>grand[[#This Row],[av. Transportation loss]]/grand[[#This Row],[av.total weight]]</f>
        <v>0</v>
      </c>
      <c r="AA1672" s="18">
        <f>AVERAGE((grand[[#This Row],[am]]/25),(grand[[#This Row],[pm]]/50))</f>
        <v>0.97147058823529409</v>
      </c>
      <c r="AB1672" s="3">
        <f>grand[[#This Row],[ carcass weight]]/grand[[#This Row],[total weight]]</f>
        <v>0.5278149920255184</v>
      </c>
      <c r="AC1672" s="18">
        <f>SUM(grand[[#This Row],[am]:[meat transportation]])/100</f>
        <v>0.90647058823529425</v>
      </c>
      <c r="AD1672" s="2" t="s">
        <v>1030</v>
      </c>
      <c r="AE1672" s="2"/>
      <c r="AF1672" s="2"/>
      <c r="AG1672" s="2"/>
      <c r="AH1672" s="2"/>
      <c r="AI1672" s="2"/>
      <c r="AJ1672" s="2">
        <v>0</v>
      </c>
    </row>
    <row r="1673" spans="1:36" hidden="1" x14ac:dyDescent="0.2">
      <c r="A1673" s="11">
        <v>46096</v>
      </c>
      <c r="B1673" s="53" t="s">
        <v>2903</v>
      </c>
      <c r="C1673" s="52" t="str">
        <f>IF(MID(B1673,4,2)="09","Ramadan",IF(AND(MID(B1673,4,2)="12",VALUE(LEFT(B1673,2))&lt;=9),"Adha Season","Normal"))</f>
        <v>Ramadan</v>
      </c>
      <c r="D1673" s="1" t="s">
        <v>45</v>
      </c>
      <c r="F1673" s="4" t="s">
        <v>954</v>
      </c>
      <c r="G1673" s="1">
        <v>64</v>
      </c>
      <c r="H1673">
        <v>64</v>
      </c>
      <c r="I1673">
        <f>grand[[#This Row],[number]]-grand[[#This Row],[received]]</f>
        <v>0</v>
      </c>
      <c r="J1673" s="2"/>
      <c r="K1673" s="2">
        <v>26842</v>
      </c>
      <c r="L1673" s="2">
        <v>26842</v>
      </c>
      <c r="M1673" s="2">
        <f>K1673-L1673</f>
        <v>0</v>
      </c>
      <c r="N1673" s="2">
        <v>16387.400000000001</v>
      </c>
      <c r="O1673" s="2">
        <v>396</v>
      </c>
      <c r="P1673" s="7">
        <f>grand[[#This Row],[total weight]]/grand[[#This Row],[received]]</f>
        <v>419.40625</v>
      </c>
      <c r="Q1673" s="7">
        <f>grand[[#This Row],[receiving weight]]/grand[[#This Row],[received]]</f>
        <v>419.40625</v>
      </c>
      <c r="R1673" s="7">
        <f>grand[[#This Row],[transportation loss ]]/grand[[#This Row],[received]]</f>
        <v>0</v>
      </c>
      <c r="S1673" s="7">
        <f>grand[[#This Row],[ carcass weight]]/grand[[#This Row],[received]]</f>
        <v>256.05312500000002</v>
      </c>
      <c r="T1673" s="7">
        <f>grand[[#This Row],[ kidneys fat quantity]]/grand[[#This Row],[received]]</f>
        <v>6.1875</v>
      </c>
      <c r="U1673">
        <v>25</v>
      </c>
      <c r="V1673">
        <v>0</v>
      </c>
      <c r="W1673">
        <v>49.109375</v>
      </c>
      <c r="X1673">
        <v>10</v>
      </c>
      <c r="Y1673">
        <v>8.5</v>
      </c>
      <c r="Z1673" s="18">
        <f>grand[[#This Row],[av. Transportation loss]]/grand[[#This Row],[av.total weight]]</f>
        <v>0</v>
      </c>
      <c r="AA1673" s="18">
        <f>AVERAGE((grand[[#This Row],[am]]/25),(grand[[#This Row],[pm]]/50))</f>
        <v>0.99109375</v>
      </c>
      <c r="AB1673" s="3">
        <f>grand[[#This Row],[ carcass weight]]/grand[[#This Row],[total weight]]</f>
        <v>0.61051337456225319</v>
      </c>
      <c r="AC1673" s="18">
        <f>SUM(grand[[#This Row],[am]:[meat transportation]])/100</f>
        <v>0.92609375000000005</v>
      </c>
      <c r="AD1673" s="2" t="s">
        <v>1032</v>
      </c>
      <c r="AE1673" s="2"/>
      <c r="AF1673" s="2"/>
      <c r="AG1673" s="2"/>
      <c r="AH1673" s="2"/>
      <c r="AI1673" s="2"/>
      <c r="AJ1673" s="2">
        <v>0</v>
      </c>
    </row>
    <row r="1674" spans="1:36" hidden="1" x14ac:dyDescent="0.2">
      <c r="A1674" s="11">
        <v>46097</v>
      </c>
      <c r="B1674" s="53" t="s">
        <v>2459</v>
      </c>
      <c r="C1674" s="52" t="str">
        <f>IF(MID(B1674,4,2)="09","Ramadan",IF(AND(MID(B1674,4,2)="12",VALUE(LEFT(B1674,2))&lt;=9),"Adha Season","Normal"))</f>
        <v>Ramadan</v>
      </c>
      <c r="D1674" s="1" t="s">
        <v>45</v>
      </c>
      <c r="F1674" s="4" t="s">
        <v>954</v>
      </c>
      <c r="G1674" s="1">
        <v>54</v>
      </c>
      <c r="H1674">
        <v>54</v>
      </c>
      <c r="I1674">
        <f>grand[[#This Row],[number]]-grand[[#This Row],[received]]</f>
        <v>0</v>
      </c>
      <c r="J1674" s="2"/>
      <c r="K1674" s="2">
        <v>22620</v>
      </c>
      <c r="L1674" s="2">
        <v>22620</v>
      </c>
      <c r="M1674" s="2">
        <f>K1674-L1674</f>
        <v>0</v>
      </c>
      <c r="N1674" s="2">
        <v>13806.8</v>
      </c>
      <c r="O1674" s="2">
        <v>363</v>
      </c>
      <c r="P1674" s="7">
        <f>grand[[#This Row],[total weight]]/grand[[#This Row],[received]]</f>
        <v>418.88888888888891</v>
      </c>
      <c r="Q1674" s="7">
        <f>grand[[#This Row],[receiving weight]]/grand[[#This Row],[received]]</f>
        <v>418.88888888888891</v>
      </c>
      <c r="R1674" s="7">
        <f>grand[[#This Row],[transportation loss ]]/grand[[#This Row],[received]]</f>
        <v>0</v>
      </c>
      <c r="S1674" s="7">
        <f>grand[[#This Row],[ carcass weight]]/grand[[#This Row],[received]]</f>
        <v>255.68148148148146</v>
      </c>
      <c r="T1674" s="7">
        <f>grand[[#This Row],[ kidneys fat quantity]]/grand[[#This Row],[received]]</f>
        <v>6.7222222222222223</v>
      </c>
      <c r="U1674">
        <v>25</v>
      </c>
      <c r="V1674">
        <v>0</v>
      </c>
      <c r="W1674">
        <v>48.018518518518519</v>
      </c>
      <c r="X1674">
        <v>10</v>
      </c>
      <c r="Y1674">
        <v>8.5</v>
      </c>
      <c r="Z1674" s="18">
        <f>grand[[#This Row],[av. Transportation loss]]/grand[[#This Row],[av.total weight]]</f>
        <v>0</v>
      </c>
      <c r="AA1674" s="18">
        <f>AVERAGE((grand[[#This Row],[am]]/25),(grand[[#This Row],[pm]]/50))</f>
        <v>0.98018518518518527</v>
      </c>
      <c r="AB1674" s="3">
        <f>grand[[#This Row],[ carcass weight]]/grand[[#This Row],[total weight]]</f>
        <v>0.61038019451812553</v>
      </c>
      <c r="AC1674" s="18">
        <f>SUM(grand[[#This Row],[am]:[meat transportation]])/100</f>
        <v>0.91518518518518521</v>
      </c>
      <c r="AD1674" s="2" t="s">
        <v>1033</v>
      </c>
      <c r="AE1674" s="2"/>
      <c r="AF1674" s="2"/>
      <c r="AG1674" s="2"/>
      <c r="AH1674" s="2"/>
      <c r="AI1674" s="2"/>
      <c r="AJ1674" s="2">
        <v>0</v>
      </c>
    </row>
    <row r="1675" spans="1:36" hidden="1" x14ac:dyDescent="0.2">
      <c r="A1675" s="11">
        <v>46097</v>
      </c>
      <c r="B1675" s="53" t="s">
        <v>2459</v>
      </c>
      <c r="C1675" s="52" t="str">
        <f>IF(MID(B1675,4,2)="09","Ramadan",IF(AND(MID(B1675,4,2)="12",VALUE(LEFT(B1675,2))&lt;=9),"Adha Season","Normal"))</f>
        <v>Ramadan</v>
      </c>
      <c r="D1675" s="2" t="s">
        <v>294</v>
      </c>
      <c r="F1675" s="4" t="s">
        <v>165</v>
      </c>
      <c r="G1675" s="1">
        <v>37</v>
      </c>
      <c r="H1675">
        <v>37</v>
      </c>
      <c r="I1675">
        <f>grand[[#This Row],[number]]-grand[[#This Row],[received]]</f>
        <v>0</v>
      </c>
      <c r="J1675" s="30"/>
      <c r="K1675" s="2">
        <v>2151</v>
      </c>
      <c r="L1675" s="2">
        <v>2151</v>
      </c>
      <c r="M1675" s="2">
        <f>K1675-L1675</f>
        <v>0</v>
      </c>
      <c r="N1675" s="2">
        <v>1268.4000000000001</v>
      </c>
      <c r="O1675" s="2">
        <v>0</v>
      </c>
      <c r="P1675" s="7">
        <f>grand[[#This Row],[total weight]]/grand[[#This Row],[received]]</f>
        <v>58.135135135135137</v>
      </c>
      <c r="Q1675" s="7">
        <f>grand[[#This Row],[receiving weight]]/grand[[#This Row],[received]]</f>
        <v>58.135135135135137</v>
      </c>
      <c r="R1675" s="7">
        <f>grand[[#This Row],[transportation loss ]]/grand[[#This Row],[received]]</f>
        <v>0</v>
      </c>
      <c r="S1675" s="7">
        <f>grand[[#This Row],[ carcass weight]]/grand[[#This Row],[received]]</f>
        <v>34.281081081081084</v>
      </c>
      <c r="T1675" s="7">
        <f>grand[[#This Row],[ kidneys fat quantity]]/grand[[#This Row],[received]]</f>
        <v>0</v>
      </c>
      <c r="U1675">
        <v>25</v>
      </c>
      <c r="V1675">
        <v>0</v>
      </c>
      <c r="W1675">
        <v>48.810810810810807</v>
      </c>
      <c r="X1675">
        <v>10</v>
      </c>
      <c r="Y1675">
        <v>8.5</v>
      </c>
      <c r="Z1675" s="18">
        <f>grand[[#This Row],[av. Transportation loss]]/grand[[#This Row],[av.total weight]]</f>
        <v>0</v>
      </c>
      <c r="AA1675" s="18">
        <f>AVERAGE((grand[[#This Row],[am]]/25),(grand[[#This Row],[pm]]/50))</f>
        <v>0.98810810810810801</v>
      </c>
      <c r="AB1675" s="3">
        <f>grand[[#This Row],[ carcass weight]]/grand[[#This Row],[total weight]]</f>
        <v>0.58967921896792197</v>
      </c>
      <c r="AC1675" s="18">
        <f>SUM(grand[[#This Row],[am]:[meat transportation]])/100</f>
        <v>0.92310810810810806</v>
      </c>
      <c r="AD1675" s="2" t="s">
        <v>81</v>
      </c>
      <c r="AE1675" s="2"/>
      <c r="AF1675" s="2"/>
      <c r="AG1675" s="2"/>
      <c r="AH1675" s="2"/>
      <c r="AI1675" s="2"/>
      <c r="AJ1675" s="2">
        <v>0</v>
      </c>
    </row>
    <row r="1676" spans="1:36" hidden="1" x14ac:dyDescent="0.2">
      <c r="A1676" s="11">
        <v>46098</v>
      </c>
      <c r="B1676" s="53" t="s">
        <v>2460</v>
      </c>
      <c r="C1676" s="52" t="str">
        <f>IF(MID(B1676,4,2)="09","Ramadan",IF(AND(MID(B1676,4,2)="12",VALUE(LEFT(B1676,2))&lt;=9),"Adha Season","Normal"))</f>
        <v>Ramadan</v>
      </c>
      <c r="D1676" s="1" t="s">
        <v>45</v>
      </c>
      <c r="F1676" s="4" t="s">
        <v>576</v>
      </c>
      <c r="G1676" s="1">
        <v>56</v>
      </c>
      <c r="H1676">
        <v>56</v>
      </c>
      <c r="I1676">
        <f>grand[[#This Row],[number]]-grand[[#This Row],[received]]</f>
        <v>0</v>
      </c>
      <c r="J1676" s="2"/>
      <c r="K1676" s="2">
        <v>29962</v>
      </c>
      <c r="L1676" s="2">
        <v>29962</v>
      </c>
      <c r="M1676" s="2">
        <f>K1676-L1676</f>
        <v>0</v>
      </c>
      <c r="N1676" s="2">
        <v>18948.7</v>
      </c>
      <c r="O1676" s="2">
        <v>563</v>
      </c>
      <c r="P1676" s="7">
        <f>grand[[#This Row],[total weight]]/grand[[#This Row],[received]]</f>
        <v>535.03571428571433</v>
      </c>
      <c r="Q1676" s="7">
        <f>grand[[#This Row],[receiving weight]]/grand[[#This Row],[received]]</f>
        <v>535.03571428571433</v>
      </c>
      <c r="R1676" s="7">
        <f>grand[[#This Row],[transportation loss ]]/grand[[#This Row],[received]]</f>
        <v>0</v>
      </c>
      <c r="S1676" s="7">
        <f>grand[[#This Row],[ carcass weight]]/grand[[#This Row],[received]]</f>
        <v>338.36964285714288</v>
      </c>
      <c r="T1676" s="7">
        <f>grand[[#This Row],[ kidneys fat quantity]]/grand[[#This Row],[received]]</f>
        <v>10.053571428571429</v>
      </c>
      <c r="U1676">
        <v>24.375</v>
      </c>
      <c r="V1676">
        <v>0</v>
      </c>
      <c r="W1676">
        <v>46</v>
      </c>
      <c r="X1676">
        <v>10</v>
      </c>
      <c r="Y1676">
        <v>8.5</v>
      </c>
      <c r="Z1676" s="18">
        <f>grand[[#This Row],[av. Transportation loss]]/grand[[#This Row],[av.total weight]]</f>
        <v>0</v>
      </c>
      <c r="AA1676" s="18">
        <f>AVERAGE((grand[[#This Row],[am]]/25),(grand[[#This Row],[pm]]/50))</f>
        <v>0.94750000000000001</v>
      </c>
      <c r="AB1676" s="3">
        <f>grand[[#This Row],[ carcass weight]]/grand[[#This Row],[total weight]]</f>
        <v>0.63242440424537749</v>
      </c>
      <c r="AC1676" s="18">
        <f>SUM(grand[[#This Row],[am]:[meat transportation]])/100</f>
        <v>0.88875000000000004</v>
      </c>
      <c r="AD1676" s="2" t="s">
        <v>1034</v>
      </c>
      <c r="AE1676" s="2"/>
      <c r="AF1676" s="2"/>
      <c r="AG1676" s="2"/>
      <c r="AH1676" s="2"/>
      <c r="AI1676" s="2"/>
      <c r="AJ1676" s="2">
        <v>46</v>
      </c>
    </row>
    <row r="1677" spans="1:36" hidden="1" x14ac:dyDescent="0.2">
      <c r="A1677" s="11">
        <v>46098</v>
      </c>
      <c r="B1677" s="53" t="s">
        <v>2460</v>
      </c>
      <c r="C1677" s="52" t="str">
        <f>IF(MID(B1677,4,2)="09","Ramadan",IF(AND(MID(B1677,4,2)="12",VALUE(LEFT(B1677,2))&lt;=9),"Adha Season","Normal"))</f>
        <v>Ramadan</v>
      </c>
      <c r="D1677" s="2" t="s">
        <v>294</v>
      </c>
      <c r="F1677" s="4" t="s">
        <v>165</v>
      </c>
      <c r="G1677" s="1">
        <v>35</v>
      </c>
      <c r="H1677">
        <v>35</v>
      </c>
      <c r="I1677">
        <f>grand[[#This Row],[number]]-grand[[#This Row],[received]]</f>
        <v>0</v>
      </c>
      <c r="J1677" s="30"/>
      <c r="K1677" s="2">
        <v>1835</v>
      </c>
      <c r="L1677" s="2">
        <v>1835</v>
      </c>
      <c r="M1677" s="2">
        <f>K1677-L1677</f>
        <v>0</v>
      </c>
      <c r="N1677" s="2">
        <v>1082</v>
      </c>
      <c r="O1677" s="2">
        <v>0</v>
      </c>
      <c r="P1677" s="7">
        <f>grand[[#This Row],[total weight]]/grand[[#This Row],[received]]</f>
        <v>52.428571428571431</v>
      </c>
      <c r="Q1677" s="7">
        <f>grand[[#This Row],[receiving weight]]/grand[[#This Row],[received]]</f>
        <v>52.428571428571431</v>
      </c>
      <c r="R1677" s="7">
        <f>grand[[#This Row],[transportation loss ]]/grand[[#This Row],[received]]</f>
        <v>0</v>
      </c>
      <c r="S1677" s="7">
        <f>grand[[#This Row],[ carcass weight]]/grand[[#This Row],[received]]</f>
        <v>30.914285714285715</v>
      </c>
      <c r="T1677" s="7">
        <f>grand[[#This Row],[ kidneys fat quantity]]/grand[[#This Row],[received]]</f>
        <v>0</v>
      </c>
      <c r="U1677">
        <v>25</v>
      </c>
      <c r="V1677">
        <v>0</v>
      </c>
      <c r="W1677">
        <v>44.871428571428574</v>
      </c>
      <c r="X1677">
        <v>10</v>
      </c>
      <c r="Y1677">
        <v>8.5</v>
      </c>
      <c r="Z1677" s="18">
        <f>grand[[#This Row],[av. Transportation loss]]/grand[[#This Row],[av.total weight]]</f>
        <v>0</v>
      </c>
      <c r="AA1677" s="18">
        <f>AVERAGE((grand[[#This Row],[am]]/25),(grand[[#This Row],[pm]]/50))</f>
        <v>0.94871428571428573</v>
      </c>
      <c r="AB1677" s="3">
        <f>grand[[#This Row],[ carcass weight]]/grand[[#This Row],[total weight]]</f>
        <v>0.58964577656675754</v>
      </c>
      <c r="AC1677" s="18">
        <f>SUM(grand[[#This Row],[am]:[meat transportation]])/100</f>
        <v>0.88371428571428567</v>
      </c>
      <c r="AD1677" s="2" t="s">
        <v>427</v>
      </c>
      <c r="AE1677" s="2"/>
      <c r="AF1677" s="2"/>
      <c r="AG1677" s="2"/>
      <c r="AH1677" s="2"/>
      <c r="AI1677" s="2"/>
      <c r="AJ1677" s="2">
        <v>0</v>
      </c>
    </row>
    <row r="1678" spans="1:36" hidden="1" x14ac:dyDescent="0.2">
      <c r="A1678" s="11">
        <v>46099</v>
      </c>
      <c r="B1678" s="53" t="s">
        <v>2461</v>
      </c>
      <c r="C1678" s="52" t="str">
        <f>IF(MID(B1678,4,2)="09","Ramadan",IF(AND(MID(B1678,4,2)="12",VALUE(LEFT(B1678,2))&lt;=9),"Adha Season","Normal"))</f>
        <v>Ramadan</v>
      </c>
      <c r="D1678" s="2" t="s">
        <v>294</v>
      </c>
      <c r="F1678" s="4" t="s">
        <v>165</v>
      </c>
      <c r="G1678" s="1">
        <v>35</v>
      </c>
      <c r="H1678">
        <v>35</v>
      </c>
      <c r="I1678">
        <f>grand[[#This Row],[number]]-grand[[#This Row],[received]]</f>
        <v>0</v>
      </c>
      <c r="J1678" s="30"/>
      <c r="K1678" s="2">
        <v>1865</v>
      </c>
      <c r="L1678" s="2">
        <v>1865</v>
      </c>
      <c r="M1678" s="2">
        <f>K1678-L1678</f>
        <v>0</v>
      </c>
      <c r="N1678" s="2">
        <v>1029.0999999999999</v>
      </c>
      <c r="O1678" s="2">
        <v>0</v>
      </c>
      <c r="P1678" s="7">
        <f>grand[[#This Row],[total weight]]/grand[[#This Row],[received]]</f>
        <v>53.285714285714285</v>
      </c>
      <c r="Q1678" s="7">
        <f>grand[[#This Row],[receiving weight]]/grand[[#This Row],[received]]</f>
        <v>53.285714285714285</v>
      </c>
      <c r="R1678" s="7">
        <f>grand[[#This Row],[transportation loss ]]/grand[[#This Row],[received]]</f>
        <v>0</v>
      </c>
      <c r="S1678" s="7">
        <f>grand[[#This Row],[ carcass weight]]/grand[[#This Row],[received]]</f>
        <v>29.40285714285714</v>
      </c>
      <c r="T1678" s="7">
        <f>grand[[#This Row],[ kidneys fat quantity]]/grand[[#This Row],[received]]</f>
        <v>0</v>
      </c>
      <c r="U1678">
        <v>25</v>
      </c>
      <c r="V1678">
        <v>0</v>
      </c>
      <c r="W1678">
        <v>47.957142857142856</v>
      </c>
      <c r="X1678">
        <v>10</v>
      </c>
      <c r="Y1678">
        <v>8.5</v>
      </c>
      <c r="Z1678" s="18">
        <f>grand[[#This Row],[av. Transportation loss]]/grand[[#This Row],[av.total weight]]</f>
        <v>0</v>
      </c>
      <c r="AA1678" s="18">
        <f>AVERAGE((grand[[#This Row],[am]]/25),(grand[[#This Row],[pm]]/50))</f>
        <v>0.97957142857142854</v>
      </c>
      <c r="AB1678" s="3">
        <f>grand[[#This Row],[ carcass weight]]/grand[[#This Row],[total weight]]</f>
        <v>0.55179624664879356</v>
      </c>
      <c r="AC1678" s="18">
        <f>SUM(grand[[#This Row],[am]:[meat transportation]])/100</f>
        <v>0.91457142857142859</v>
      </c>
      <c r="AD1678" s="2" t="s">
        <v>1036</v>
      </c>
      <c r="AE1678" s="2"/>
      <c r="AF1678" s="2"/>
      <c r="AG1678" s="2"/>
      <c r="AH1678" s="2"/>
      <c r="AI1678" s="2"/>
      <c r="AJ1678" s="2">
        <v>0</v>
      </c>
    </row>
    <row r="1679" spans="1:36" x14ac:dyDescent="0.2">
      <c r="A1679" s="11">
        <v>46099</v>
      </c>
      <c r="B1679" s="53" t="s">
        <v>2461</v>
      </c>
      <c r="C1679" s="52" t="str">
        <f>IF(MID(B1679,4,2)="09","Ramadan",IF(AND(MID(B1679,4,2)="12",VALUE(LEFT(B1679,2))&lt;=9),"Adha Season","Normal"))</f>
        <v>Ramadan</v>
      </c>
      <c r="D1679" s="1" t="s">
        <v>45</v>
      </c>
      <c r="F1679" s="4" t="s">
        <v>165</v>
      </c>
      <c r="G1679" s="1">
        <v>63</v>
      </c>
      <c r="H1679">
        <v>61</v>
      </c>
      <c r="I1679">
        <f>grand[[#This Row],[number]]-grand[[#This Row],[received]]</f>
        <v>2</v>
      </c>
      <c r="J1679" s="64" t="s">
        <v>1068</v>
      </c>
      <c r="K1679" s="2">
        <v>31251</v>
      </c>
      <c r="L1679" s="2">
        <v>31251</v>
      </c>
      <c r="M1679" s="2">
        <f>K1679-L1679</f>
        <v>0</v>
      </c>
      <c r="N1679" s="2">
        <v>18750.5</v>
      </c>
      <c r="O1679" s="2">
        <v>590</v>
      </c>
      <c r="P1679" s="7">
        <f>grand[[#This Row],[total weight]]/grand[[#This Row],[received]]</f>
        <v>512.31147540983602</v>
      </c>
      <c r="Q1679" s="7">
        <f>grand[[#This Row],[receiving weight]]/grand[[#This Row],[received]]</f>
        <v>512.31147540983602</v>
      </c>
      <c r="R1679" s="7">
        <f>grand[[#This Row],[transportation loss ]]/grand[[#This Row],[received]]</f>
        <v>0</v>
      </c>
      <c r="S1679" s="7">
        <f>grand[[#This Row],[ carcass weight]]/grand[[#This Row],[received]]</f>
        <v>307.38524590163934</v>
      </c>
      <c r="T1679" s="7">
        <f>grand[[#This Row],[ kidneys fat quantity]]/grand[[#This Row],[received]]</f>
        <v>9.6721311475409841</v>
      </c>
      <c r="U1679">
        <v>24.016393442622949</v>
      </c>
      <c r="V1679">
        <v>0</v>
      </c>
      <c r="W1679">
        <v>47.344262295081968</v>
      </c>
      <c r="X1679">
        <v>10</v>
      </c>
      <c r="Y1679">
        <v>8.5</v>
      </c>
      <c r="Z1679" s="18">
        <f>grand[[#This Row],[av. Transportation loss]]/grand[[#This Row],[av.total weight]]</f>
        <v>0</v>
      </c>
      <c r="AA1679" s="18">
        <f>AVERAGE((grand[[#This Row],[am]]/25),(grand[[#This Row],[pm]]/50))</f>
        <v>0.95377049180327866</v>
      </c>
      <c r="AB1679" s="3">
        <f>grand[[#This Row],[ carcass weight]]/grand[[#This Row],[total weight]]</f>
        <v>0.59999680010239675</v>
      </c>
      <c r="AC1679" s="18">
        <f>SUM(grand[[#This Row],[am]:[meat transportation]])/100</f>
        <v>0.8986065573770492</v>
      </c>
      <c r="AD1679" s="2" t="s">
        <v>1035</v>
      </c>
      <c r="AE1679" s="2"/>
      <c r="AF1679" s="2"/>
      <c r="AG1679" s="2"/>
      <c r="AH1679" s="2"/>
      <c r="AI1679" s="2"/>
      <c r="AJ1679" s="2">
        <v>41</v>
      </c>
    </row>
    <row r="1680" spans="1:36" hidden="1" x14ac:dyDescent="0.2">
      <c r="A1680" s="11">
        <v>46100</v>
      </c>
      <c r="B1680" s="53" t="s">
        <v>2462</v>
      </c>
      <c r="C1680" s="52" t="str">
        <f>IF(MID(B1680,4,2)="09","Ramadan",IF(AND(MID(B1680,4,2)="12",VALUE(LEFT(B1680,2))&lt;=9),"Adha Season","Normal"))</f>
        <v>Ramadan</v>
      </c>
      <c r="D1680" s="1" t="s">
        <v>45</v>
      </c>
      <c r="F1680" s="4" t="s">
        <v>46</v>
      </c>
      <c r="G1680" s="1">
        <v>63</v>
      </c>
      <c r="H1680">
        <v>63</v>
      </c>
      <c r="I1680">
        <f>grand[[#This Row],[number]]-grand[[#This Row],[received]]</f>
        <v>0</v>
      </c>
      <c r="J1680" s="30"/>
      <c r="K1680" s="2">
        <v>35417</v>
      </c>
      <c r="L1680" s="2">
        <v>35417</v>
      </c>
      <c r="M1680" s="2">
        <f>K1680-L1680</f>
        <v>0</v>
      </c>
      <c r="N1680" s="2">
        <v>21250</v>
      </c>
      <c r="O1680" s="2">
        <v>798</v>
      </c>
      <c r="P1680" s="7">
        <f>grand[[#This Row],[total weight]]/grand[[#This Row],[received]]</f>
        <v>562.17460317460313</v>
      </c>
      <c r="Q1680" s="7">
        <f>grand[[#This Row],[receiving weight]]/grand[[#This Row],[received]]</f>
        <v>562.17460317460313</v>
      </c>
      <c r="R1680" s="7">
        <f>grand[[#This Row],[transportation loss ]]/grand[[#This Row],[received]]</f>
        <v>0</v>
      </c>
      <c r="S1680" s="7">
        <f>grand[[#This Row],[ carcass weight]]/grand[[#This Row],[received]]</f>
        <v>337.30158730158729</v>
      </c>
      <c r="T1680" s="7">
        <f>grand[[#This Row],[ kidneys fat quantity]]/grand[[#This Row],[received]]</f>
        <v>12.666666666666666</v>
      </c>
      <c r="U1680">
        <v>24.920634920634921</v>
      </c>
      <c r="V1680">
        <v>0</v>
      </c>
      <c r="W1680">
        <v>48.619047619047613</v>
      </c>
      <c r="X1680">
        <v>10</v>
      </c>
      <c r="Y1680">
        <v>8.5</v>
      </c>
      <c r="Z1680" s="18">
        <f>grand[[#This Row],[av. Transportation loss]]/grand[[#This Row],[av.total weight]]</f>
        <v>0</v>
      </c>
      <c r="AA1680" s="18">
        <f>AVERAGE((grand[[#This Row],[am]]/25),(grand[[#This Row],[pm]]/50))</f>
        <v>0.98460317460317448</v>
      </c>
      <c r="AB1680" s="3">
        <f>grand[[#This Row],[ carcass weight]]/grand[[#This Row],[total weight]]</f>
        <v>0.5999943529943248</v>
      </c>
      <c r="AC1680" s="18">
        <f>SUM(grand[[#This Row],[am]:[meat transportation]])/100</f>
        <v>0.92039682539682532</v>
      </c>
      <c r="AD1680" s="2" t="s">
        <v>1037</v>
      </c>
      <c r="AE1680" s="2"/>
      <c r="AF1680" s="2"/>
      <c r="AG1680" s="2"/>
      <c r="AH1680" s="2"/>
      <c r="AI1680" s="2"/>
      <c r="AJ1680" s="2">
        <v>9</v>
      </c>
    </row>
    <row r="1681" spans="1:36" hidden="1" x14ac:dyDescent="0.2">
      <c r="A1681" s="11">
        <v>46100</v>
      </c>
      <c r="B1681" s="53" t="s">
        <v>2462</v>
      </c>
      <c r="C1681" s="52" t="str">
        <f>IF(MID(B1681,4,2)="09","Ramadan",IF(AND(MID(B1681,4,2)="12",VALUE(LEFT(B1681,2))&lt;=9),"Adha Season","Normal"))</f>
        <v>Ramadan</v>
      </c>
      <c r="D1681" s="2" t="s">
        <v>294</v>
      </c>
      <c r="F1681" s="4" t="s">
        <v>165</v>
      </c>
      <c r="G1681" s="1">
        <v>23</v>
      </c>
      <c r="H1681">
        <v>23</v>
      </c>
      <c r="I1681">
        <f>grand[[#This Row],[number]]-grand[[#This Row],[received]]</f>
        <v>0</v>
      </c>
      <c r="J1681" s="30"/>
      <c r="K1681" s="2">
        <v>1205</v>
      </c>
      <c r="L1681" s="2">
        <v>1205</v>
      </c>
      <c r="M1681" s="2">
        <f>K1681-L1681</f>
        <v>0</v>
      </c>
      <c r="N1681" s="2">
        <v>647.70000000000005</v>
      </c>
      <c r="O1681" s="2">
        <v>0</v>
      </c>
      <c r="P1681" s="7">
        <f>grand[[#This Row],[total weight]]/grand[[#This Row],[received]]</f>
        <v>52.391304347826086</v>
      </c>
      <c r="Q1681" s="7">
        <f>grand[[#This Row],[receiving weight]]/grand[[#This Row],[received]]</f>
        <v>52.391304347826086</v>
      </c>
      <c r="R1681" s="7">
        <f>grand[[#This Row],[transportation loss ]]/grand[[#This Row],[received]]</f>
        <v>0</v>
      </c>
      <c r="S1681" s="7">
        <f>grand[[#This Row],[ carcass weight]]/grand[[#This Row],[received]]</f>
        <v>28.160869565217393</v>
      </c>
      <c r="T1681" s="7">
        <f>grand[[#This Row],[ kidneys fat quantity]]/grand[[#This Row],[received]]</f>
        <v>0</v>
      </c>
      <c r="U1681">
        <v>25</v>
      </c>
      <c r="V1681">
        <v>0</v>
      </c>
      <c r="W1681">
        <v>47.826086956521735</v>
      </c>
      <c r="X1681">
        <v>10</v>
      </c>
      <c r="Y1681">
        <v>8.5</v>
      </c>
      <c r="Z1681" s="18">
        <f>grand[[#This Row],[av. Transportation loss]]/grand[[#This Row],[av.total weight]]</f>
        <v>0</v>
      </c>
      <c r="AA1681" s="18">
        <f>AVERAGE((grand[[#This Row],[am]]/25),(grand[[#This Row],[pm]]/50))</f>
        <v>0.97826086956521729</v>
      </c>
      <c r="AB1681" s="3">
        <f>grand[[#This Row],[ carcass weight]]/grand[[#This Row],[total weight]]</f>
        <v>0.53751037344398345</v>
      </c>
      <c r="AC1681" s="18">
        <f>SUM(grand[[#This Row],[am]:[meat transportation]])/100</f>
        <v>0.91326086956521735</v>
      </c>
      <c r="AD1681" s="2" t="s">
        <v>987</v>
      </c>
      <c r="AE1681" s="2"/>
      <c r="AF1681" s="2"/>
      <c r="AG1681" s="2"/>
      <c r="AH1681" s="2"/>
      <c r="AI1681" s="2"/>
      <c r="AJ1681" s="2">
        <v>0</v>
      </c>
    </row>
    <row r="1682" spans="1:36" hidden="1" x14ac:dyDescent="0.2">
      <c r="A1682" s="11">
        <v>46104</v>
      </c>
      <c r="B1682" s="53" t="s">
        <v>2904</v>
      </c>
      <c r="C1682" s="52" t="str">
        <f>IF(MID(B1682,4,2)="09","Ramadan",IF(AND(MID(B1682,4,2)="12",VALUE(LEFT(B1682,2))&lt;=9),"Adha Season","Normal"))</f>
        <v>Normal</v>
      </c>
      <c r="D1682" s="1" t="s">
        <v>45</v>
      </c>
      <c r="F1682" s="4" t="s">
        <v>954</v>
      </c>
      <c r="G1682" s="1">
        <v>48</v>
      </c>
      <c r="H1682">
        <v>48</v>
      </c>
      <c r="I1682">
        <f>grand[[#This Row],[number]]-grand[[#This Row],[received]]</f>
        <v>0</v>
      </c>
      <c r="J1682" s="30"/>
      <c r="K1682" s="2">
        <v>21197</v>
      </c>
      <c r="L1682" s="2">
        <v>21197</v>
      </c>
      <c r="M1682" s="2">
        <f>K1682-L1682</f>
        <v>0</v>
      </c>
      <c r="N1682" s="2">
        <v>12758.2</v>
      </c>
      <c r="O1682" s="2">
        <v>390</v>
      </c>
      <c r="P1682" s="7">
        <f>grand[[#This Row],[total weight]]/grand[[#This Row],[received]]</f>
        <v>441.60416666666669</v>
      </c>
      <c r="Q1682" s="7">
        <f>grand[[#This Row],[receiving weight]]/grand[[#This Row],[received]]</f>
        <v>441.60416666666669</v>
      </c>
      <c r="R1682" s="7">
        <f>grand[[#This Row],[transportation loss ]]/grand[[#This Row],[received]]</f>
        <v>0</v>
      </c>
      <c r="S1682" s="7">
        <f>grand[[#This Row],[ carcass weight]]/grand[[#This Row],[received]]</f>
        <v>265.79583333333335</v>
      </c>
      <c r="T1682" s="7">
        <f>grand[[#This Row],[ kidneys fat quantity]]/grand[[#This Row],[received]]</f>
        <v>8.125</v>
      </c>
      <c r="U1682">
        <v>25</v>
      </c>
      <c r="V1682">
        <v>0</v>
      </c>
      <c r="W1682">
        <v>45.427083333333336</v>
      </c>
      <c r="X1682">
        <v>10</v>
      </c>
      <c r="Y1682">
        <v>8.5</v>
      </c>
      <c r="Z1682" s="18">
        <f>grand[[#This Row],[av. Transportation loss]]/grand[[#This Row],[av.total weight]]</f>
        <v>0</v>
      </c>
      <c r="AA1682" s="18">
        <f>AVERAGE((grand[[#This Row],[am]]/25),(grand[[#This Row],[pm]]/50))</f>
        <v>0.9542708333333334</v>
      </c>
      <c r="AB1682" s="3">
        <f>grand[[#This Row],[ carcass weight]]/grand[[#This Row],[total weight]]</f>
        <v>0.60188705948955046</v>
      </c>
      <c r="AC1682" s="18">
        <f>SUM(grand[[#This Row],[am]:[meat transportation]])/100</f>
        <v>0.88927083333333345</v>
      </c>
      <c r="AD1682" s="2" t="s">
        <v>1040</v>
      </c>
      <c r="AE1682" s="2"/>
      <c r="AF1682" s="2"/>
      <c r="AG1682" s="2"/>
      <c r="AH1682" s="2"/>
      <c r="AI1682" s="2"/>
      <c r="AJ1682" s="2">
        <v>0</v>
      </c>
    </row>
    <row r="1683" spans="1:36" hidden="1" x14ac:dyDescent="0.2">
      <c r="A1683" s="11">
        <v>46104</v>
      </c>
      <c r="B1683" s="53" t="s">
        <v>2904</v>
      </c>
      <c r="C1683" s="52" t="str">
        <f>IF(MID(B1683,4,2)="09","Ramadan",IF(AND(MID(B1683,4,2)="12",VALUE(LEFT(B1683,2))&lt;=9),"Adha Season","Normal"))</f>
        <v>Normal</v>
      </c>
      <c r="D1683" s="2" t="s">
        <v>294</v>
      </c>
      <c r="F1683" s="4" t="s">
        <v>165</v>
      </c>
      <c r="G1683" s="1">
        <v>34</v>
      </c>
      <c r="H1683">
        <v>34</v>
      </c>
      <c r="I1683">
        <f>grand[[#This Row],[number]]-grand[[#This Row],[received]]</f>
        <v>0</v>
      </c>
      <c r="J1683" s="30"/>
      <c r="K1683" s="2">
        <v>1915</v>
      </c>
      <c r="L1683" s="2">
        <v>1915</v>
      </c>
      <c r="M1683" s="2">
        <f>K1683-L1683</f>
        <v>0</v>
      </c>
      <c r="N1683" s="2">
        <v>1103</v>
      </c>
      <c r="O1683" s="2">
        <v>0</v>
      </c>
      <c r="P1683" s="7">
        <f>grand[[#This Row],[total weight]]/grand[[#This Row],[received]]</f>
        <v>56.323529411764703</v>
      </c>
      <c r="Q1683" s="7">
        <f>grand[[#This Row],[receiving weight]]/grand[[#This Row],[received]]</f>
        <v>56.323529411764703</v>
      </c>
      <c r="R1683" s="7">
        <f>grand[[#This Row],[transportation loss ]]/grand[[#This Row],[received]]</f>
        <v>0</v>
      </c>
      <c r="S1683" s="7">
        <f>grand[[#This Row],[ carcass weight]]/grand[[#This Row],[received]]</f>
        <v>32.441176470588232</v>
      </c>
      <c r="T1683" s="7">
        <f>grand[[#This Row],[ kidneys fat quantity]]/grand[[#This Row],[received]]</f>
        <v>0</v>
      </c>
      <c r="U1683">
        <v>25</v>
      </c>
      <c r="V1683">
        <v>0</v>
      </c>
      <c r="W1683">
        <v>48.264705882352942</v>
      </c>
      <c r="X1683">
        <v>10</v>
      </c>
      <c r="Y1683">
        <v>8.5</v>
      </c>
      <c r="Z1683" s="18">
        <f>grand[[#This Row],[av. Transportation loss]]/grand[[#This Row],[av.total weight]]</f>
        <v>0</v>
      </c>
      <c r="AA1683" s="18">
        <f>AVERAGE((grand[[#This Row],[am]]/25),(grand[[#This Row],[pm]]/50))</f>
        <v>0.98264705882352943</v>
      </c>
      <c r="AB1683" s="3">
        <f>grand[[#This Row],[ carcass weight]]/grand[[#This Row],[total weight]]</f>
        <v>0.57597911227154042</v>
      </c>
      <c r="AC1683" s="18">
        <f>SUM(grand[[#This Row],[am]:[meat transportation]])/100</f>
        <v>0.91764705882352937</v>
      </c>
      <c r="AD1683" s="2" t="s">
        <v>1041</v>
      </c>
      <c r="AE1683" s="2"/>
      <c r="AF1683" s="2"/>
      <c r="AG1683" s="2"/>
      <c r="AH1683" s="2"/>
      <c r="AI1683" s="2"/>
      <c r="AJ1683" s="2">
        <v>0</v>
      </c>
    </row>
    <row r="1684" spans="1:36" hidden="1" x14ac:dyDescent="0.2">
      <c r="A1684" s="11">
        <v>46105</v>
      </c>
      <c r="B1684" s="53" t="s">
        <v>2905</v>
      </c>
      <c r="C1684" s="52" t="str">
        <f>IF(MID(B1684,4,2)="09","Ramadan",IF(AND(MID(B1684,4,2)="12",VALUE(LEFT(B1684,2))&lt;=9),"Adha Season","Normal"))</f>
        <v>Normal</v>
      </c>
      <c r="D1684" s="1" t="s">
        <v>45</v>
      </c>
      <c r="F1684" s="4" t="s">
        <v>954</v>
      </c>
      <c r="G1684" s="1">
        <v>48</v>
      </c>
      <c r="H1684">
        <v>48</v>
      </c>
      <c r="I1684">
        <f>grand[[#This Row],[number]]-grand[[#This Row],[received]]</f>
        <v>0</v>
      </c>
      <c r="J1684" s="30"/>
      <c r="K1684" s="2">
        <v>20930</v>
      </c>
      <c r="L1684" s="2">
        <v>20930</v>
      </c>
      <c r="M1684" s="2">
        <f>K1684-L1684</f>
        <v>0</v>
      </c>
      <c r="N1684" s="2">
        <v>12578.9</v>
      </c>
      <c r="O1684" s="2">
        <v>351</v>
      </c>
      <c r="P1684" s="7">
        <f>grand[[#This Row],[total weight]]/grand[[#This Row],[received]]</f>
        <v>436.04166666666669</v>
      </c>
      <c r="Q1684" s="7">
        <f>grand[[#This Row],[receiving weight]]/grand[[#This Row],[received]]</f>
        <v>436.04166666666669</v>
      </c>
      <c r="R1684" s="7">
        <f>grand[[#This Row],[transportation loss ]]/grand[[#This Row],[received]]</f>
        <v>0</v>
      </c>
      <c r="S1684" s="7">
        <f>grand[[#This Row],[ carcass weight]]/grand[[#This Row],[received]]</f>
        <v>262.06041666666664</v>
      </c>
      <c r="T1684" s="7">
        <f>grand[[#This Row],[ kidneys fat quantity]]/grand[[#This Row],[received]]</f>
        <v>7.3125</v>
      </c>
      <c r="U1684">
        <v>25</v>
      </c>
      <c r="V1684">
        <v>0</v>
      </c>
      <c r="W1684">
        <v>47.604166666666664</v>
      </c>
      <c r="X1684">
        <v>10</v>
      </c>
      <c r="Y1684">
        <v>8.5</v>
      </c>
      <c r="Z1684" s="18">
        <f>grand[[#This Row],[av. Transportation loss]]/grand[[#This Row],[av.total weight]]</f>
        <v>0</v>
      </c>
      <c r="AA1684" s="18">
        <f>AVERAGE((grand[[#This Row],[am]]/25),(grand[[#This Row],[pm]]/50))</f>
        <v>0.9760416666666667</v>
      </c>
      <c r="AB1684" s="3">
        <f>grand[[#This Row],[ carcass weight]]/grand[[#This Row],[total weight]]</f>
        <v>0.60099856665074058</v>
      </c>
      <c r="AC1684" s="18">
        <f>SUM(grand[[#This Row],[am]:[meat transportation]])/100</f>
        <v>0.91104166666666653</v>
      </c>
      <c r="AD1684" s="2" t="s">
        <v>1043</v>
      </c>
      <c r="AE1684" s="2"/>
      <c r="AF1684" s="2"/>
      <c r="AG1684" s="2"/>
      <c r="AH1684" s="2"/>
      <c r="AI1684" s="2"/>
      <c r="AJ1684" s="2">
        <v>0</v>
      </c>
    </row>
    <row r="1685" spans="1:36" hidden="1" x14ac:dyDescent="0.2">
      <c r="A1685" s="11">
        <v>46105</v>
      </c>
      <c r="B1685" s="53" t="s">
        <v>2905</v>
      </c>
      <c r="C1685" s="52" t="str">
        <f>IF(MID(B1685,4,2)="09","Ramadan",IF(AND(MID(B1685,4,2)="12",VALUE(LEFT(B1685,2))&lt;=9),"Adha Season","Normal"))</f>
        <v>Normal</v>
      </c>
      <c r="D1685" s="2" t="s">
        <v>294</v>
      </c>
      <c r="F1685" s="4" t="s">
        <v>165</v>
      </c>
      <c r="G1685" s="1">
        <v>37</v>
      </c>
      <c r="H1685">
        <v>36</v>
      </c>
      <c r="I1685">
        <f>grand[[#This Row],[number]]-grand[[#This Row],[received]]</f>
        <v>1</v>
      </c>
      <c r="J1685" s="64" t="s">
        <v>1069</v>
      </c>
      <c r="K1685" s="2">
        <v>1977</v>
      </c>
      <c r="L1685" s="2">
        <v>1977</v>
      </c>
      <c r="M1685" s="2">
        <f>K1685-L1685</f>
        <v>0</v>
      </c>
      <c r="N1685" s="2">
        <v>1126.5</v>
      </c>
      <c r="O1685" s="2">
        <v>0</v>
      </c>
      <c r="P1685" s="7">
        <f>grand[[#This Row],[total weight]]/grand[[#This Row],[received]]</f>
        <v>54.916666666666664</v>
      </c>
      <c r="Q1685" s="7">
        <f>grand[[#This Row],[receiving weight]]/grand[[#This Row],[received]]</f>
        <v>54.916666666666664</v>
      </c>
      <c r="R1685" s="7">
        <f>grand[[#This Row],[transportation loss ]]/grand[[#This Row],[received]]</f>
        <v>0</v>
      </c>
      <c r="S1685" s="7">
        <f>grand[[#This Row],[ carcass weight]]/grand[[#This Row],[received]]</f>
        <v>31.291666666666668</v>
      </c>
      <c r="T1685" s="7">
        <f>grand[[#This Row],[ kidneys fat quantity]]/grand[[#This Row],[received]]</f>
        <v>0</v>
      </c>
      <c r="U1685">
        <v>25</v>
      </c>
      <c r="V1685">
        <v>0</v>
      </c>
      <c r="W1685">
        <v>47.19444444444445</v>
      </c>
      <c r="X1685">
        <v>10</v>
      </c>
      <c r="Y1685">
        <v>8.5</v>
      </c>
      <c r="Z1685" s="18">
        <f>grand[[#This Row],[av. Transportation loss]]/grand[[#This Row],[av.total weight]]</f>
        <v>0</v>
      </c>
      <c r="AA1685" s="18">
        <f>AVERAGE((grand[[#This Row],[am]]/25),(grand[[#This Row],[pm]]/50))</f>
        <v>0.9719444444444445</v>
      </c>
      <c r="AB1685" s="3">
        <f>grand[[#This Row],[ carcass weight]]/grand[[#This Row],[total weight]]</f>
        <v>0.56980273141122917</v>
      </c>
      <c r="AC1685" s="18">
        <f>SUM(grand[[#This Row],[am]:[meat transportation]])/100</f>
        <v>0.90694444444444455</v>
      </c>
      <c r="AD1685" s="2" t="s">
        <v>1042</v>
      </c>
      <c r="AE1685" s="2"/>
      <c r="AF1685" s="2"/>
      <c r="AG1685" s="2"/>
      <c r="AH1685" s="2"/>
      <c r="AI1685" s="2"/>
      <c r="AJ1685" s="2">
        <v>0</v>
      </c>
    </row>
    <row r="1686" spans="1:36" hidden="1" x14ac:dyDescent="0.2">
      <c r="A1686" s="11">
        <v>46106</v>
      </c>
      <c r="B1686" s="53" t="s">
        <v>2463</v>
      </c>
      <c r="C1686" s="52" t="str">
        <f>IF(MID(B1686,4,2)="09","Ramadan",IF(AND(MID(B1686,4,2)="12",VALUE(LEFT(B1686,2))&lt;=9),"Adha Season","Normal"))</f>
        <v>Normal</v>
      </c>
      <c r="D1686" s="1" t="s">
        <v>45</v>
      </c>
      <c r="F1686" s="4" t="s">
        <v>954</v>
      </c>
      <c r="G1686" s="1">
        <v>55</v>
      </c>
      <c r="H1686">
        <v>55</v>
      </c>
      <c r="I1686">
        <f>grand[[#This Row],[number]]-grand[[#This Row],[received]]</f>
        <v>0</v>
      </c>
      <c r="J1686" s="2"/>
      <c r="K1686" s="2">
        <v>23644</v>
      </c>
      <c r="L1686" s="2">
        <v>23644</v>
      </c>
      <c r="M1686" s="2">
        <f>K1686-L1686</f>
        <v>0</v>
      </c>
      <c r="N1686" s="2">
        <v>14392.7</v>
      </c>
      <c r="O1686" s="2">
        <v>428</v>
      </c>
      <c r="P1686" s="7">
        <f>grand[[#This Row],[total weight]]/grand[[#This Row],[received]]</f>
        <v>429.89090909090908</v>
      </c>
      <c r="Q1686" s="7">
        <f>grand[[#This Row],[receiving weight]]/grand[[#This Row],[received]]</f>
        <v>429.89090909090908</v>
      </c>
      <c r="R1686" s="7">
        <f>grand[[#This Row],[transportation loss ]]/grand[[#This Row],[received]]</f>
        <v>0</v>
      </c>
      <c r="S1686" s="7">
        <f>grand[[#This Row],[ carcass weight]]/grand[[#This Row],[received]]</f>
        <v>261.68545454545455</v>
      </c>
      <c r="T1686" s="7">
        <f>grand[[#This Row],[ kidneys fat quantity]]/grand[[#This Row],[received]]</f>
        <v>7.7818181818181822</v>
      </c>
      <c r="U1686">
        <v>25</v>
      </c>
      <c r="V1686">
        <v>0</v>
      </c>
      <c r="W1686">
        <v>45.772727272727266</v>
      </c>
      <c r="X1686">
        <v>10</v>
      </c>
      <c r="Y1686">
        <v>8.5</v>
      </c>
      <c r="Z1686" s="18">
        <f>grand[[#This Row],[av. Transportation loss]]/grand[[#This Row],[av.total weight]]</f>
        <v>0</v>
      </c>
      <c r="AA1686" s="18">
        <f>AVERAGE((grand[[#This Row],[am]]/25),(grand[[#This Row],[pm]]/50))</f>
        <v>0.95772727272727265</v>
      </c>
      <c r="AB1686" s="3">
        <f>grand[[#This Row],[ carcass weight]]/grand[[#This Row],[total weight]]</f>
        <v>0.60872525799357136</v>
      </c>
      <c r="AC1686" s="18">
        <f>SUM(grand[[#This Row],[am]:[meat transportation]])/100</f>
        <v>0.8927272727272727</v>
      </c>
      <c r="AD1686" s="2" t="s">
        <v>1044</v>
      </c>
      <c r="AE1686" s="2"/>
      <c r="AF1686" s="2"/>
      <c r="AG1686" s="2"/>
      <c r="AH1686" s="2"/>
      <c r="AI1686" s="2"/>
      <c r="AJ1686" s="2">
        <v>0</v>
      </c>
    </row>
    <row r="1687" spans="1:36" hidden="1" x14ac:dyDescent="0.2">
      <c r="A1687" s="11">
        <v>46106</v>
      </c>
      <c r="B1687" s="53" t="s">
        <v>2463</v>
      </c>
      <c r="C1687" s="52" t="str">
        <f>IF(MID(B1687,4,2)="09","Ramadan",IF(AND(MID(B1687,4,2)="12",VALUE(LEFT(B1687,2))&lt;=9),"Adha Season","Normal"))</f>
        <v>Normal</v>
      </c>
      <c r="D1687" s="2" t="s">
        <v>294</v>
      </c>
      <c r="F1687" s="4" t="s">
        <v>165</v>
      </c>
      <c r="G1687" s="1">
        <v>34</v>
      </c>
      <c r="H1687">
        <v>34</v>
      </c>
      <c r="I1687">
        <f>grand[[#This Row],[number]]-grand[[#This Row],[received]]</f>
        <v>0</v>
      </c>
      <c r="J1687" s="30"/>
      <c r="K1687" s="2">
        <v>1839</v>
      </c>
      <c r="L1687" s="2">
        <v>1839</v>
      </c>
      <c r="M1687" s="2">
        <f>K1687-L1687</f>
        <v>0</v>
      </c>
      <c r="N1687" s="2">
        <v>1058.5999999999999</v>
      </c>
      <c r="O1687" s="2">
        <v>0</v>
      </c>
      <c r="P1687" s="7">
        <f>grand[[#This Row],[total weight]]/grand[[#This Row],[received]]</f>
        <v>54.088235294117645</v>
      </c>
      <c r="Q1687" s="7">
        <f>grand[[#This Row],[receiving weight]]/grand[[#This Row],[received]]</f>
        <v>54.088235294117645</v>
      </c>
      <c r="R1687" s="7">
        <f>grand[[#This Row],[transportation loss ]]/grand[[#This Row],[received]]</f>
        <v>0</v>
      </c>
      <c r="S1687" s="7">
        <f>grand[[#This Row],[ carcass weight]]/grand[[#This Row],[received]]</f>
        <v>31.135294117647057</v>
      </c>
      <c r="T1687" s="7">
        <f>grand[[#This Row],[ kidneys fat quantity]]/grand[[#This Row],[received]]</f>
        <v>0</v>
      </c>
      <c r="U1687">
        <v>25</v>
      </c>
      <c r="V1687">
        <v>0</v>
      </c>
      <c r="W1687">
        <v>46.323529411764703</v>
      </c>
      <c r="X1687">
        <v>10</v>
      </c>
      <c r="Y1687">
        <v>8.5</v>
      </c>
      <c r="Z1687" s="18">
        <f>grand[[#This Row],[av. Transportation loss]]/grand[[#This Row],[av.total weight]]</f>
        <v>0</v>
      </c>
      <c r="AA1687" s="18">
        <f>AVERAGE((grand[[#This Row],[am]]/25),(grand[[#This Row],[pm]]/50))</f>
        <v>0.96323529411764697</v>
      </c>
      <c r="AB1687" s="3">
        <f>grand[[#This Row],[ carcass weight]]/grand[[#This Row],[total weight]]</f>
        <v>0.57563893420337131</v>
      </c>
      <c r="AC1687" s="18">
        <f>SUM(grand[[#This Row],[am]:[meat transportation]])/100</f>
        <v>0.89823529411764691</v>
      </c>
      <c r="AD1687" s="2" t="s">
        <v>1045</v>
      </c>
      <c r="AE1687" s="2"/>
      <c r="AF1687" s="2"/>
      <c r="AG1687" s="2"/>
      <c r="AH1687" s="2"/>
      <c r="AI1687" s="2"/>
      <c r="AJ1687" s="2">
        <v>0</v>
      </c>
    </row>
    <row r="1688" spans="1:36" hidden="1" x14ac:dyDescent="0.2">
      <c r="A1688" s="11">
        <v>46107</v>
      </c>
      <c r="B1688" s="53" t="s">
        <v>2464</v>
      </c>
      <c r="C1688" s="52" t="str">
        <f>IF(MID(B1688,4,2)="09","Ramadan",IF(AND(MID(B1688,4,2)="12",VALUE(LEFT(B1688,2))&lt;=9),"Adha Season","Normal"))</f>
        <v>Normal</v>
      </c>
      <c r="D1688" s="1" t="s">
        <v>45</v>
      </c>
      <c r="F1688" s="4" t="s">
        <v>954</v>
      </c>
      <c r="G1688" s="1">
        <v>64</v>
      </c>
      <c r="H1688">
        <v>64</v>
      </c>
      <c r="I1688">
        <f>grand[[#This Row],[number]]-grand[[#This Row],[received]]</f>
        <v>0</v>
      </c>
      <c r="J1688" s="30"/>
      <c r="K1688" s="2">
        <v>27210</v>
      </c>
      <c r="L1688" s="2">
        <v>27210</v>
      </c>
      <c r="M1688" s="2">
        <f>K1688-L1688</f>
        <v>0</v>
      </c>
      <c r="N1688" s="2">
        <v>16409.5</v>
      </c>
      <c r="O1688" s="2">
        <v>452</v>
      </c>
      <c r="P1688" s="7">
        <f>grand[[#This Row],[total weight]]/grand[[#This Row],[received]]</f>
        <v>425.15625</v>
      </c>
      <c r="Q1688" s="7">
        <f>grand[[#This Row],[receiving weight]]/grand[[#This Row],[received]]</f>
        <v>425.15625</v>
      </c>
      <c r="R1688" s="7">
        <f>grand[[#This Row],[transportation loss ]]/grand[[#This Row],[received]]</f>
        <v>0</v>
      </c>
      <c r="S1688" s="7">
        <f>grand[[#This Row],[ carcass weight]]/grand[[#This Row],[received]]</f>
        <v>256.3984375</v>
      </c>
      <c r="T1688" s="7">
        <f>grand[[#This Row],[ kidneys fat quantity]]/grand[[#This Row],[received]]</f>
        <v>7.0625</v>
      </c>
      <c r="U1688">
        <v>25</v>
      </c>
      <c r="V1688">
        <v>0</v>
      </c>
      <c r="W1688">
        <v>49.234375</v>
      </c>
      <c r="X1688">
        <v>10</v>
      </c>
      <c r="Y1688">
        <v>8.5</v>
      </c>
      <c r="Z1688" s="18">
        <f>grand[[#This Row],[av. Transportation loss]]/grand[[#This Row],[av.total weight]]</f>
        <v>0</v>
      </c>
      <c r="AA1688" s="18">
        <f>AVERAGE((grand[[#This Row],[am]]/25),(grand[[#This Row],[pm]]/50))</f>
        <v>0.99234375000000008</v>
      </c>
      <c r="AB1688" s="3">
        <f>grand[[#This Row],[ carcass weight]]/grand[[#This Row],[total weight]]</f>
        <v>0.60306872473355388</v>
      </c>
      <c r="AC1688" s="18">
        <f>SUM(grand[[#This Row],[am]:[meat transportation]])/100</f>
        <v>0.92734375000000002</v>
      </c>
      <c r="AD1688" s="2" t="s">
        <v>1047</v>
      </c>
      <c r="AE1688" s="2"/>
      <c r="AF1688" s="2"/>
      <c r="AG1688" s="2"/>
      <c r="AH1688" s="2"/>
      <c r="AI1688" s="2"/>
      <c r="AJ1688" s="2">
        <v>0</v>
      </c>
    </row>
    <row r="1689" spans="1:36" hidden="1" x14ac:dyDescent="0.2">
      <c r="A1689" s="11">
        <v>46107</v>
      </c>
      <c r="B1689" s="53" t="s">
        <v>2464</v>
      </c>
      <c r="C1689" s="52" t="str">
        <f>IF(MID(B1689,4,2)="09","Ramadan",IF(AND(MID(B1689,4,2)="12",VALUE(LEFT(B1689,2))&lt;=9),"Adha Season","Normal"))</f>
        <v>Normal</v>
      </c>
      <c r="D1689" s="1" t="s">
        <v>45</v>
      </c>
      <c r="F1689" s="4" t="s">
        <v>46</v>
      </c>
      <c r="G1689" s="1">
        <v>64</v>
      </c>
      <c r="H1689">
        <v>64</v>
      </c>
      <c r="I1689">
        <f>grand[[#This Row],[number]]-grand[[#This Row],[received]]</f>
        <v>0</v>
      </c>
      <c r="J1689" s="30"/>
      <c r="K1689" s="2">
        <v>34588</v>
      </c>
      <c r="L1689" s="2">
        <v>34588</v>
      </c>
      <c r="M1689" s="2">
        <f>K1689-L1689</f>
        <v>0</v>
      </c>
      <c r="N1689" s="2">
        <v>20753</v>
      </c>
      <c r="O1689" s="2">
        <v>703</v>
      </c>
      <c r="P1689" s="7">
        <f>grand[[#This Row],[total weight]]/grand[[#This Row],[received]]</f>
        <v>540.4375</v>
      </c>
      <c r="Q1689" s="7">
        <f>grand[[#This Row],[receiving weight]]/grand[[#This Row],[received]]</f>
        <v>540.4375</v>
      </c>
      <c r="R1689" s="7">
        <f>grand[[#This Row],[transportation loss ]]/grand[[#This Row],[received]]</f>
        <v>0</v>
      </c>
      <c r="S1689" s="7">
        <f>grand[[#This Row],[ carcass weight]]/grand[[#This Row],[received]]</f>
        <v>324.265625</v>
      </c>
      <c r="T1689" s="7">
        <f>grand[[#This Row],[ kidneys fat quantity]]/grand[[#This Row],[received]]</f>
        <v>10.984375</v>
      </c>
      <c r="U1689">
        <v>25</v>
      </c>
      <c r="V1689">
        <v>0</v>
      </c>
      <c r="W1689">
        <v>48.96875</v>
      </c>
      <c r="X1689">
        <v>10</v>
      </c>
      <c r="Y1689">
        <v>8.5</v>
      </c>
      <c r="Z1689" s="18">
        <f>grand[[#This Row],[av. Transportation loss]]/grand[[#This Row],[av.total weight]]</f>
        <v>0</v>
      </c>
      <c r="AA1689" s="18">
        <f>AVERAGE((grand[[#This Row],[am]]/25),(grand[[#This Row],[pm]]/50))</f>
        <v>0.98968750000000005</v>
      </c>
      <c r="AB1689" s="3">
        <f>grand[[#This Row],[ carcass weight]]/grand[[#This Row],[total weight]]</f>
        <v>0.60000578235226087</v>
      </c>
      <c r="AC1689" s="18">
        <f>SUM(grand[[#This Row],[am]:[meat transportation]])/100</f>
        <v>0.9246875</v>
      </c>
      <c r="AD1689" s="2" t="s">
        <v>1046</v>
      </c>
      <c r="AE1689" s="2"/>
      <c r="AF1689" s="2"/>
      <c r="AG1689" s="2"/>
      <c r="AH1689" s="2"/>
      <c r="AI1689" s="2"/>
      <c r="AJ1689" s="2">
        <v>2</v>
      </c>
    </row>
    <row r="1690" spans="1:36" hidden="1" x14ac:dyDescent="0.2">
      <c r="A1690" s="11">
        <v>46107</v>
      </c>
      <c r="B1690" s="53" t="s">
        <v>2464</v>
      </c>
      <c r="C1690" s="52" t="str">
        <f>IF(MID(B1690,4,2)="09","Ramadan",IF(AND(MID(B1690,4,2)="12",VALUE(LEFT(B1690,2))&lt;=9),"Adha Season","Normal"))</f>
        <v>Normal</v>
      </c>
      <c r="D1690" s="2" t="s">
        <v>294</v>
      </c>
      <c r="F1690" s="4" t="s">
        <v>165</v>
      </c>
      <c r="G1690" s="1">
        <v>63</v>
      </c>
      <c r="H1690">
        <v>63</v>
      </c>
      <c r="I1690">
        <f>grand[[#This Row],[number]]-grand[[#This Row],[received]]</f>
        <v>0</v>
      </c>
      <c r="J1690" s="30"/>
      <c r="K1690" s="2">
        <v>3400</v>
      </c>
      <c r="L1690" s="2">
        <v>3400</v>
      </c>
      <c r="M1690" s="2">
        <f>K1690-L1690</f>
        <v>0</v>
      </c>
      <c r="N1690" s="2">
        <v>1925.5</v>
      </c>
      <c r="O1690" s="2">
        <v>0</v>
      </c>
      <c r="P1690" s="7">
        <f>grand[[#This Row],[total weight]]/grand[[#This Row],[received]]</f>
        <v>53.968253968253968</v>
      </c>
      <c r="Q1690" s="7">
        <f>grand[[#This Row],[receiving weight]]/grand[[#This Row],[received]]</f>
        <v>53.968253968253968</v>
      </c>
      <c r="R1690" s="7">
        <f>grand[[#This Row],[transportation loss ]]/grand[[#This Row],[received]]</f>
        <v>0</v>
      </c>
      <c r="S1690" s="7">
        <f>grand[[#This Row],[ carcass weight]]/grand[[#This Row],[received]]</f>
        <v>30.563492063492063</v>
      </c>
      <c r="T1690" s="7">
        <f>grand[[#This Row],[ kidneys fat quantity]]/grand[[#This Row],[received]]</f>
        <v>0</v>
      </c>
      <c r="U1690">
        <v>25</v>
      </c>
      <c r="V1690">
        <v>0</v>
      </c>
      <c r="W1690">
        <v>47.952380952380949</v>
      </c>
      <c r="X1690">
        <v>10</v>
      </c>
      <c r="Y1690">
        <v>8.5</v>
      </c>
      <c r="Z1690" s="18">
        <f>grand[[#This Row],[av. Transportation loss]]/grand[[#This Row],[av.total weight]]</f>
        <v>0</v>
      </c>
      <c r="AA1690" s="18">
        <f>AVERAGE((grand[[#This Row],[am]]/25),(grand[[#This Row],[pm]]/50))</f>
        <v>0.97952380952380946</v>
      </c>
      <c r="AB1690" s="3">
        <f>grand[[#This Row],[ carcass weight]]/grand[[#This Row],[total weight]]</f>
        <v>0.56632352941176467</v>
      </c>
      <c r="AC1690" s="18">
        <f>SUM(grand[[#This Row],[am]:[meat transportation]])/100</f>
        <v>0.91452380952380952</v>
      </c>
      <c r="AD1690" s="2" t="s">
        <v>740</v>
      </c>
      <c r="AE1690" s="2"/>
      <c r="AF1690" s="2"/>
      <c r="AG1690" s="2"/>
      <c r="AH1690" s="2"/>
      <c r="AI1690" s="2"/>
      <c r="AJ1690" s="2">
        <v>0</v>
      </c>
    </row>
    <row r="1691" spans="1:36" hidden="1" x14ac:dyDescent="0.2">
      <c r="A1691" s="11">
        <v>46109</v>
      </c>
      <c r="B1691" s="53" t="s">
        <v>2465</v>
      </c>
      <c r="C1691" s="52" t="str">
        <f>IF(MID(B1691,4,2)="09","Ramadan",IF(AND(MID(B1691,4,2)="12",VALUE(LEFT(B1691,2))&lt;=9),"Adha Season","Normal"))</f>
        <v>Normal</v>
      </c>
      <c r="D1691" s="2" t="s">
        <v>294</v>
      </c>
      <c r="F1691" s="4" t="s">
        <v>165</v>
      </c>
      <c r="G1691" s="1">
        <v>37</v>
      </c>
      <c r="H1691">
        <v>37</v>
      </c>
      <c r="I1691">
        <f>grand[[#This Row],[number]]-grand[[#This Row],[received]]</f>
        <v>0</v>
      </c>
      <c r="J1691" s="30"/>
      <c r="K1691" s="2">
        <v>2055</v>
      </c>
      <c r="L1691" s="2">
        <v>2055</v>
      </c>
      <c r="M1691" s="2">
        <f>K1691-L1691</f>
        <v>0</v>
      </c>
      <c r="N1691" s="2">
        <v>1151.5</v>
      </c>
      <c r="O1691" s="2">
        <v>0</v>
      </c>
      <c r="P1691" s="7">
        <f>grand[[#This Row],[total weight]]/grand[[#This Row],[received]]</f>
        <v>55.54054054054054</v>
      </c>
      <c r="Q1691" s="7">
        <f>grand[[#This Row],[receiving weight]]/grand[[#This Row],[received]]</f>
        <v>55.54054054054054</v>
      </c>
      <c r="R1691" s="7">
        <f>grand[[#This Row],[transportation loss ]]/grand[[#This Row],[received]]</f>
        <v>0</v>
      </c>
      <c r="S1691" s="7">
        <f>grand[[#This Row],[ carcass weight]]/grand[[#This Row],[received]]</f>
        <v>31.121621621621621</v>
      </c>
      <c r="T1691" s="7">
        <f>grand[[#This Row],[ kidneys fat quantity]]/grand[[#This Row],[received]]</f>
        <v>0</v>
      </c>
      <c r="U1691">
        <v>25</v>
      </c>
      <c r="V1691">
        <v>0</v>
      </c>
      <c r="W1691">
        <v>47.621621621621635</v>
      </c>
      <c r="X1691">
        <v>10</v>
      </c>
      <c r="Y1691">
        <v>8.5</v>
      </c>
      <c r="Z1691" s="18">
        <f>grand[[#This Row],[av. Transportation loss]]/grand[[#This Row],[av.total weight]]</f>
        <v>0</v>
      </c>
      <c r="AA1691" s="18">
        <f>AVERAGE((grand[[#This Row],[am]]/25),(grand[[#This Row],[pm]]/50))</f>
        <v>0.97621621621621635</v>
      </c>
      <c r="AB1691" s="3">
        <f>grand[[#This Row],[ carcass weight]]/grand[[#This Row],[total weight]]</f>
        <v>0.56034063260340627</v>
      </c>
      <c r="AC1691" s="18">
        <f>SUM(grand[[#This Row],[am]:[meat transportation]])/100</f>
        <v>0.9112162162162164</v>
      </c>
      <c r="AD1691" s="2" t="s">
        <v>854</v>
      </c>
      <c r="AE1691" s="2"/>
      <c r="AF1691" s="2"/>
      <c r="AG1691" s="2"/>
      <c r="AH1691" s="2"/>
      <c r="AI1691" s="2"/>
      <c r="AJ1691" s="2">
        <v>0</v>
      </c>
    </row>
    <row r="1692" spans="1:36" x14ac:dyDescent="0.2">
      <c r="A1692" s="11">
        <v>46109</v>
      </c>
      <c r="B1692" s="53" t="s">
        <v>2465</v>
      </c>
      <c r="C1692" s="52" t="str">
        <f>IF(MID(B1692,4,2)="09","Ramadan",IF(AND(MID(B1692,4,2)="12",VALUE(LEFT(B1692,2))&lt;=9),"Adha Season","Normal"))</f>
        <v>Normal</v>
      </c>
      <c r="D1692" s="1" t="s">
        <v>45</v>
      </c>
      <c r="F1692" s="4" t="s">
        <v>954</v>
      </c>
      <c r="G1692" s="1">
        <v>68</v>
      </c>
      <c r="H1692">
        <v>66</v>
      </c>
      <c r="I1692">
        <f>grand[[#This Row],[number]]-grand[[#This Row],[received]]</f>
        <v>2</v>
      </c>
      <c r="J1692" s="64" t="s">
        <v>1070</v>
      </c>
      <c r="K1692" s="2">
        <v>28279</v>
      </c>
      <c r="L1692" s="2">
        <v>28279</v>
      </c>
      <c r="M1692" s="2">
        <f>K1692-L1692</f>
        <v>0</v>
      </c>
      <c r="N1692" s="2">
        <v>17107.599999999999</v>
      </c>
      <c r="O1692" s="2">
        <v>458</v>
      </c>
      <c r="P1692" s="7">
        <f>grand[[#This Row],[total weight]]/grand[[#This Row],[received]]</f>
        <v>428.469696969697</v>
      </c>
      <c r="Q1692" s="7">
        <f>grand[[#This Row],[receiving weight]]/grand[[#This Row],[received]]</f>
        <v>428.469696969697</v>
      </c>
      <c r="R1692" s="7">
        <f>grand[[#This Row],[transportation loss ]]/grand[[#This Row],[received]]</f>
        <v>0</v>
      </c>
      <c r="S1692" s="7">
        <f>grand[[#This Row],[ carcass weight]]/grand[[#This Row],[received]]</f>
        <v>259.20606060606059</v>
      </c>
      <c r="T1692" s="7">
        <f>grand[[#This Row],[ kidneys fat quantity]]/grand[[#This Row],[received]]</f>
        <v>6.9393939393939394</v>
      </c>
      <c r="U1692">
        <v>25</v>
      </c>
      <c r="V1692">
        <v>0</v>
      </c>
      <c r="W1692">
        <v>48.11363636363636</v>
      </c>
      <c r="X1692">
        <v>10</v>
      </c>
      <c r="Y1692">
        <v>8.5</v>
      </c>
      <c r="Z1692" s="18">
        <f>grand[[#This Row],[av. Transportation loss]]/grand[[#This Row],[av.total weight]]</f>
        <v>0</v>
      </c>
      <c r="AA1692" s="18">
        <f>AVERAGE((grand[[#This Row],[am]]/25),(grand[[#This Row],[pm]]/50))</f>
        <v>0.98113636363636358</v>
      </c>
      <c r="AB1692" s="3">
        <f>grand[[#This Row],[ carcass weight]]/grand[[#This Row],[total weight]]</f>
        <v>0.60495774249443046</v>
      </c>
      <c r="AC1692" s="18">
        <f>SUM(grand[[#This Row],[am]:[meat transportation]])/100</f>
        <v>0.91613636363636364</v>
      </c>
      <c r="AD1692" s="2" t="s">
        <v>1048</v>
      </c>
      <c r="AE1692" s="2"/>
      <c r="AF1692" s="2"/>
      <c r="AG1692" s="2"/>
      <c r="AH1692" s="2"/>
      <c r="AI1692" s="2"/>
      <c r="AJ1692" s="2">
        <v>0</v>
      </c>
    </row>
    <row r="1693" spans="1:36" x14ac:dyDescent="0.2">
      <c r="A1693" s="11">
        <v>46110</v>
      </c>
      <c r="B1693" s="53" t="s">
        <v>2906</v>
      </c>
      <c r="C1693" s="52" t="str">
        <f>IF(MID(B1693,4,2)="09","Ramadan",IF(AND(MID(B1693,4,2)="12",VALUE(LEFT(B1693,2))&lt;=9),"Adha Season","Normal"))</f>
        <v>Normal</v>
      </c>
      <c r="D1693" s="1" t="s">
        <v>45</v>
      </c>
      <c r="F1693" s="4" t="s">
        <v>165</v>
      </c>
      <c r="G1693" s="1">
        <v>66</v>
      </c>
      <c r="H1693">
        <v>64</v>
      </c>
      <c r="I1693">
        <f>grand[[#This Row],[number]]-grand[[#This Row],[received]]</f>
        <v>2</v>
      </c>
      <c r="J1693" s="64" t="s">
        <v>1071</v>
      </c>
      <c r="K1693" s="2">
        <v>33718</v>
      </c>
      <c r="L1693" s="2">
        <v>33718</v>
      </c>
      <c r="M1693" s="2">
        <f>K1693-L1693</f>
        <v>0</v>
      </c>
      <c r="N1693" s="2">
        <v>20230.8</v>
      </c>
      <c r="O1693" s="2">
        <v>659</v>
      </c>
      <c r="P1693" s="7">
        <f>grand[[#This Row],[total weight]]/grand[[#This Row],[received]]</f>
        <v>526.84375</v>
      </c>
      <c r="Q1693" s="7">
        <f>grand[[#This Row],[receiving weight]]/grand[[#This Row],[received]]</f>
        <v>526.84375</v>
      </c>
      <c r="R1693" s="7">
        <f>grand[[#This Row],[transportation loss ]]/grand[[#This Row],[received]]</f>
        <v>0</v>
      </c>
      <c r="S1693" s="7">
        <f>grand[[#This Row],[ carcass weight]]/grand[[#This Row],[received]]</f>
        <v>316.10624999999999</v>
      </c>
      <c r="T1693" s="7">
        <f>grand[[#This Row],[ kidneys fat quantity]]/grand[[#This Row],[received]]</f>
        <v>10.296875</v>
      </c>
      <c r="U1693">
        <v>23.828125</v>
      </c>
      <c r="V1693">
        <v>0</v>
      </c>
      <c r="W1693">
        <v>46.734375</v>
      </c>
      <c r="X1693">
        <v>10</v>
      </c>
      <c r="Y1693">
        <v>8.5</v>
      </c>
      <c r="Z1693" s="18">
        <f>grand[[#This Row],[av. Transportation loss]]/grand[[#This Row],[av.total weight]]</f>
        <v>0</v>
      </c>
      <c r="AA1693" s="18">
        <f>AVERAGE((grand[[#This Row],[am]]/25),(grand[[#This Row],[pm]]/50))</f>
        <v>0.94390624999999995</v>
      </c>
      <c r="AB1693" s="3">
        <f>grand[[#This Row],[ carcass weight]]/grand[[#This Row],[total weight]]</f>
        <v>0.6</v>
      </c>
      <c r="AC1693" s="18">
        <f>SUM(grand[[#This Row],[am]:[meat transportation]])/100</f>
        <v>0.890625</v>
      </c>
      <c r="AD1693" s="2" t="s">
        <v>1049</v>
      </c>
      <c r="AE1693" s="2"/>
      <c r="AF1693" s="2"/>
      <c r="AG1693" s="2"/>
      <c r="AH1693" s="2"/>
      <c r="AI1693" s="2"/>
      <c r="AJ1693" s="2">
        <v>35</v>
      </c>
    </row>
    <row r="1694" spans="1:36" x14ac:dyDescent="0.2">
      <c r="A1694" s="11">
        <v>46111</v>
      </c>
      <c r="B1694" s="53" t="s">
        <v>2466</v>
      </c>
      <c r="C1694" s="52" t="str">
        <f>IF(MID(B1694,4,2)="09","Ramadan",IF(AND(MID(B1694,4,2)="12",VALUE(LEFT(B1694,2))&lt;=9),"Adha Season","Normal"))</f>
        <v>Normal</v>
      </c>
      <c r="D1694" s="1" t="s">
        <v>45</v>
      </c>
      <c r="F1694" s="4" t="s">
        <v>954</v>
      </c>
      <c r="G1694" s="1">
        <v>98</v>
      </c>
      <c r="H1694">
        <v>97</v>
      </c>
      <c r="I1694">
        <f>grand[[#This Row],[number]]-grand[[#This Row],[received]]</f>
        <v>1</v>
      </c>
      <c r="J1694" s="64" t="s">
        <v>1072</v>
      </c>
      <c r="K1694" s="2">
        <v>41918</v>
      </c>
      <c r="L1694" s="2">
        <v>41918</v>
      </c>
      <c r="M1694" s="2">
        <f>K1694-L1694</f>
        <v>0</v>
      </c>
      <c r="N1694" s="2">
        <v>25341.4</v>
      </c>
      <c r="O1694" s="2">
        <v>0</v>
      </c>
      <c r="P1694" s="7">
        <f>grand[[#This Row],[total weight]]/grand[[#This Row],[received]]</f>
        <v>432.14432989690721</v>
      </c>
      <c r="Q1694" s="7">
        <f>grand[[#This Row],[receiving weight]]/grand[[#This Row],[received]]</f>
        <v>432.14432989690721</v>
      </c>
      <c r="R1694" s="7">
        <f>grand[[#This Row],[transportation loss ]]/grand[[#This Row],[received]]</f>
        <v>0</v>
      </c>
      <c r="S1694" s="7">
        <f>grand[[#This Row],[ carcass weight]]/grand[[#This Row],[received]]</f>
        <v>261.25154639175258</v>
      </c>
      <c r="T1694" s="7">
        <f>grand[[#This Row],[ kidneys fat quantity]]/grand[[#This Row],[received]]</f>
        <v>0</v>
      </c>
      <c r="U1694">
        <v>25</v>
      </c>
      <c r="V1694">
        <v>0</v>
      </c>
      <c r="W1694">
        <v>48.298969072164944</v>
      </c>
      <c r="X1694">
        <v>10</v>
      </c>
      <c r="Y1694">
        <v>8.5</v>
      </c>
      <c r="Z1694" s="18">
        <f>grand[[#This Row],[av. Transportation loss]]/grand[[#This Row],[av.total weight]]</f>
        <v>0</v>
      </c>
      <c r="AA1694" s="18">
        <f>AVERAGE((grand[[#This Row],[am]]/25),(grand[[#This Row],[pm]]/50))</f>
        <v>0.98298969072164943</v>
      </c>
      <c r="AB1694" s="3">
        <f>grand[[#This Row],[ carcass weight]]/grand[[#This Row],[total weight]]</f>
        <v>0.6045469726609094</v>
      </c>
      <c r="AC1694" s="18">
        <f>SUM(grand[[#This Row],[am]:[meat transportation]])/100</f>
        <v>0.91798969072164938</v>
      </c>
      <c r="AD1694" s="2" t="s">
        <v>1051</v>
      </c>
      <c r="AE1694" s="2"/>
      <c r="AF1694" s="2"/>
      <c r="AG1694" s="2"/>
      <c r="AH1694" s="2"/>
      <c r="AI1694" s="2"/>
      <c r="AJ1694" s="2">
        <v>1</v>
      </c>
    </row>
    <row r="1695" spans="1:36" hidden="1" x14ac:dyDescent="0.2">
      <c r="A1695" s="11">
        <v>46112</v>
      </c>
      <c r="B1695" s="53" t="s">
        <v>2467</v>
      </c>
      <c r="C1695" s="52" t="str">
        <f>IF(MID(B1695,4,2)="09","Ramadan",IF(AND(MID(B1695,4,2)="12",VALUE(LEFT(B1695,2))&lt;=9),"Adha Season","Normal"))</f>
        <v>Normal</v>
      </c>
      <c r="D1695" s="2" t="s">
        <v>294</v>
      </c>
      <c r="F1695" s="4" t="s">
        <v>165</v>
      </c>
      <c r="G1695" s="1">
        <v>40</v>
      </c>
      <c r="H1695">
        <v>40</v>
      </c>
      <c r="I1695">
        <f>grand[[#This Row],[number]]-grand[[#This Row],[received]]</f>
        <v>0</v>
      </c>
      <c r="J1695" s="30"/>
      <c r="K1695" s="2">
        <v>1970</v>
      </c>
      <c r="L1695" s="2">
        <v>1970</v>
      </c>
      <c r="M1695" s="2">
        <f>K1695-L1695</f>
        <v>0</v>
      </c>
      <c r="N1695" s="2">
        <v>1114.4000000000001</v>
      </c>
      <c r="O1695" s="2">
        <v>0</v>
      </c>
      <c r="P1695" s="7">
        <f>grand[[#This Row],[total weight]]/grand[[#This Row],[received]]</f>
        <v>49.25</v>
      </c>
      <c r="Q1695" s="7">
        <f>grand[[#This Row],[receiving weight]]/grand[[#This Row],[received]]</f>
        <v>49.25</v>
      </c>
      <c r="R1695" s="7">
        <f>grand[[#This Row],[transportation loss ]]/grand[[#This Row],[received]]</f>
        <v>0</v>
      </c>
      <c r="S1695" s="7">
        <f>grand[[#This Row],[ carcass weight]]/grand[[#This Row],[received]]</f>
        <v>27.860000000000003</v>
      </c>
      <c r="T1695" s="7">
        <f>grand[[#This Row],[ kidneys fat quantity]]/grand[[#This Row],[received]]</f>
        <v>0</v>
      </c>
      <c r="U1695">
        <v>25</v>
      </c>
      <c r="V1695">
        <v>0</v>
      </c>
      <c r="W1695">
        <v>46.924999999999997</v>
      </c>
      <c r="X1695">
        <v>10</v>
      </c>
      <c r="Y1695">
        <v>8.5</v>
      </c>
      <c r="Z1695" s="18">
        <f>grand[[#This Row],[av. Transportation loss]]/grand[[#This Row],[av.total weight]]</f>
        <v>0</v>
      </c>
      <c r="AA1695" s="18">
        <f>AVERAGE((grand[[#This Row],[am]]/25),(grand[[#This Row],[pm]]/50))</f>
        <v>0.96924999999999994</v>
      </c>
      <c r="AB1695" s="3">
        <f>grand[[#This Row],[ carcass weight]]/grand[[#This Row],[total weight]]</f>
        <v>0.5656852791878173</v>
      </c>
      <c r="AC1695" s="18">
        <f>SUM(grand[[#This Row],[am]:[meat transportation]])/100</f>
        <v>0.90425</v>
      </c>
      <c r="AD1695" s="2" t="s">
        <v>1053</v>
      </c>
      <c r="AE1695" s="2"/>
      <c r="AF1695" s="2"/>
      <c r="AG1695" s="2"/>
      <c r="AH1695" s="2"/>
      <c r="AI1695" s="2"/>
      <c r="AJ1695" s="2">
        <v>0</v>
      </c>
    </row>
    <row r="1696" spans="1:36" x14ac:dyDescent="0.2">
      <c r="A1696" s="11">
        <v>46112</v>
      </c>
      <c r="B1696" s="53" t="s">
        <v>2467</v>
      </c>
      <c r="C1696" s="52" t="str">
        <f>IF(MID(B1696,4,2)="09","Ramadan",IF(AND(MID(B1696,4,2)="12",VALUE(LEFT(B1696,2))&lt;=9),"Adha Season","Normal"))</f>
        <v>Normal</v>
      </c>
      <c r="D1696" s="1" t="s">
        <v>45</v>
      </c>
      <c r="F1696" s="4" t="s">
        <v>746</v>
      </c>
      <c r="G1696" s="1">
        <v>68</v>
      </c>
      <c r="H1696">
        <v>63</v>
      </c>
      <c r="I1696">
        <f>grand[[#This Row],[number]]-grand[[#This Row],[received]]</f>
        <v>5</v>
      </c>
      <c r="J1696" s="64" t="s">
        <v>1073</v>
      </c>
      <c r="K1696" s="2">
        <v>33494</v>
      </c>
      <c r="L1696" s="2">
        <v>33494</v>
      </c>
      <c r="M1696" s="2">
        <f>K1696-L1696</f>
        <v>0</v>
      </c>
      <c r="N1696" s="2">
        <v>20096.3</v>
      </c>
      <c r="O1696" s="2">
        <v>606</v>
      </c>
      <c r="P1696" s="7">
        <f>grand[[#This Row],[total weight]]/grand[[#This Row],[received]]</f>
        <v>531.65079365079362</v>
      </c>
      <c r="Q1696" s="7">
        <f>grand[[#This Row],[receiving weight]]/grand[[#This Row],[received]]</f>
        <v>531.65079365079362</v>
      </c>
      <c r="R1696" s="7">
        <f>grand[[#This Row],[transportation loss ]]/grand[[#This Row],[received]]</f>
        <v>0</v>
      </c>
      <c r="S1696" s="7">
        <f>grand[[#This Row],[ carcass weight]]/grand[[#This Row],[received]]</f>
        <v>318.98888888888888</v>
      </c>
      <c r="T1696" s="7">
        <f>grand[[#This Row],[ kidneys fat quantity]]/grand[[#This Row],[received]]</f>
        <v>9.6190476190476186</v>
      </c>
      <c r="U1696">
        <v>24.079365079365079</v>
      </c>
      <c r="V1696">
        <v>0</v>
      </c>
      <c r="W1696">
        <v>45.63492063492064</v>
      </c>
      <c r="X1696">
        <v>10</v>
      </c>
      <c r="Y1696">
        <v>8.5</v>
      </c>
      <c r="Z1696" s="18">
        <f>grand[[#This Row],[av. Transportation loss]]/grand[[#This Row],[av.total weight]]</f>
        <v>0</v>
      </c>
      <c r="AA1696" s="18">
        <f>AVERAGE((grand[[#This Row],[am]]/25),(grand[[#This Row],[pm]]/50))</f>
        <v>0.93793650793650796</v>
      </c>
      <c r="AB1696" s="3">
        <f>grand[[#This Row],[ carcass weight]]/grand[[#This Row],[total weight]]</f>
        <v>0.59999701439063713</v>
      </c>
      <c r="AC1696" s="18">
        <f>SUM(grand[[#This Row],[am]:[meat transportation]])/100</f>
        <v>0.88214285714285723</v>
      </c>
      <c r="AD1696" s="2" t="s">
        <v>1052</v>
      </c>
      <c r="AE1696" s="2"/>
      <c r="AF1696" s="2"/>
      <c r="AG1696" s="2"/>
      <c r="AH1696" s="2"/>
      <c r="AI1696" s="2"/>
      <c r="AJ1696" s="2">
        <v>36</v>
      </c>
    </row>
    <row r="1697" spans="1:36" hidden="1" x14ac:dyDescent="0.2">
      <c r="A1697" s="11">
        <v>46113</v>
      </c>
      <c r="B1697" s="53" t="s">
        <v>2468</v>
      </c>
      <c r="C1697" s="52" t="str">
        <f>IF(MID(B1697,4,2)="09","Ramadan",IF(AND(MID(B1697,4,2)="12",VALUE(LEFT(B1697,2))&lt;=9),"Adha Season","Normal"))</f>
        <v>Normal</v>
      </c>
      <c r="D1697" s="2" t="s">
        <v>45</v>
      </c>
      <c r="F1697" s="4" t="s">
        <v>954</v>
      </c>
      <c r="G1697" s="1">
        <v>70</v>
      </c>
      <c r="H1697">
        <v>70</v>
      </c>
      <c r="I1697">
        <f>grand[[#This Row],[number]]-grand[[#This Row],[received]]</f>
        <v>0</v>
      </c>
      <c r="J1697" s="2"/>
      <c r="K1697" s="2">
        <v>29898</v>
      </c>
      <c r="L1697" s="2">
        <v>29898</v>
      </c>
      <c r="M1697" s="2">
        <f>K1697-L1697</f>
        <v>0</v>
      </c>
      <c r="N1697" s="2">
        <v>18058.5</v>
      </c>
      <c r="O1697" s="2">
        <v>470</v>
      </c>
      <c r="P1697" s="7">
        <f>grand[[#This Row],[total weight]]/grand[[#This Row],[received]]</f>
        <v>427.1142857142857</v>
      </c>
      <c r="Q1697" s="7">
        <f>grand[[#This Row],[receiving weight]]/grand[[#This Row],[received]]</f>
        <v>427.1142857142857</v>
      </c>
      <c r="R1697" s="7">
        <f>grand[[#This Row],[transportation loss ]]/grand[[#This Row],[received]]</f>
        <v>0</v>
      </c>
      <c r="S1697" s="7">
        <f>grand[[#This Row],[ carcass weight]]/grand[[#This Row],[received]]</f>
        <v>257.97857142857146</v>
      </c>
      <c r="T1697" s="7">
        <f>grand[[#This Row],[ kidneys fat quantity]]/grand[[#This Row],[received]]</f>
        <v>6.7142857142857144</v>
      </c>
      <c r="U1697">
        <v>25</v>
      </c>
      <c r="V1697">
        <v>0</v>
      </c>
      <c r="W1697">
        <v>47.971428571428575</v>
      </c>
      <c r="X1697">
        <v>10</v>
      </c>
      <c r="Y1697">
        <v>8.5</v>
      </c>
      <c r="Z1697" s="18">
        <f>grand[[#This Row],[av. Transportation loss]]/grand[[#This Row],[av.total weight]]</f>
        <v>0</v>
      </c>
      <c r="AA1697" s="18">
        <f>AVERAGE((grand[[#This Row],[am]]/25),(grand[[#This Row],[pm]]/50))</f>
        <v>0.97971428571428576</v>
      </c>
      <c r="AB1697" s="3">
        <f>grand[[#This Row],[ carcass weight]]/grand[[#This Row],[total weight]]</f>
        <v>0.60400361228175803</v>
      </c>
      <c r="AC1697" s="18">
        <f>SUM(grand[[#This Row],[am]:[meat transportation]])/100</f>
        <v>0.9147142857142857</v>
      </c>
      <c r="AD1697" s="2" t="s">
        <v>1077</v>
      </c>
      <c r="AE1697" s="2"/>
      <c r="AF1697" s="2"/>
      <c r="AG1697" s="2"/>
      <c r="AH1697" s="2"/>
      <c r="AI1697" s="2"/>
      <c r="AJ1697" s="2">
        <v>0</v>
      </c>
    </row>
    <row r="1698" spans="1:36" hidden="1" x14ac:dyDescent="0.2">
      <c r="A1698" s="11">
        <v>46114</v>
      </c>
      <c r="B1698" s="53" t="s">
        <v>2469</v>
      </c>
      <c r="C1698" s="52" t="str">
        <f>IF(MID(B1698,4,2)="09","Ramadan",IF(AND(MID(B1698,4,2)="12",VALUE(LEFT(B1698,2))&lt;=9),"Adha Season","Normal"))</f>
        <v>Normal</v>
      </c>
      <c r="D1698" s="2" t="s">
        <v>1079</v>
      </c>
      <c r="F1698" s="4" t="s">
        <v>165</v>
      </c>
      <c r="G1698" s="1">
        <v>55</v>
      </c>
      <c r="H1698">
        <v>55</v>
      </c>
      <c r="I1698">
        <f>grand[[#This Row],[number]]-grand[[#This Row],[received]]</f>
        <v>0</v>
      </c>
      <c r="J1698" s="2"/>
      <c r="K1698" s="2">
        <v>3043</v>
      </c>
      <c r="L1698" s="2">
        <v>3043</v>
      </c>
      <c r="M1698" s="2">
        <f>K1698-L1698</f>
        <v>0</v>
      </c>
      <c r="N1698" s="2">
        <v>1722.4</v>
      </c>
      <c r="O1698" s="2">
        <v>0</v>
      </c>
      <c r="P1698" s="7">
        <f>grand[[#This Row],[total weight]]/grand[[#This Row],[received]]</f>
        <v>55.327272727272728</v>
      </c>
      <c r="Q1698" s="7">
        <f>grand[[#This Row],[receiving weight]]/grand[[#This Row],[received]]</f>
        <v>55.327272727272728</v>
      </c>
      <c r="R1698" s="7">
        <f>grand[[#This Row],[transportation loss ]]/grand[[#This Row],[received]]</f>
        <v>0</v>
      </c>
      <c r="S1698" s="7">
        <f>grand[[#This Row],[ carcass weight]]/grand[[#This Row],[received]]</f>
        <v>31.316363636363636</v>
      </c>
      <c r="T1698" s="7">
        <f>grand[[#This Row],[ kidneys fat quantity]]/grand[[#This Row],[received]]</f>
        <v>0</v>
      </c>
      <c r="U1698">
        <v>25</v>
      </c>
      <c r="V1698">
        <v>0</v>
      </c>
      <c r="W1698">
        <v>45.709090909090911</v>
      </c>
      <c r="X1698">
        <v>10</v>
      </c>
      <c r="Y1698">
        <v>8.5</v>
      </c>
      <c r="Z1698" s="18">
        <f>grand[[#This Row],[av. Transportation loss]]/grand[[#This Row],[av.total weight]]</f>
        <v>0</v>
      </c>
      <c r="AA1698" s="18">
        <f>AVERAGE((grand[[#This Row],[am]]/25),(grand[[#This Row],[pm]]/50))</f>
        <v>0.9570909090909091</v>
      </c>
      <c r="AB1698" s="3">
        <f>grand[[#This Row],[ carcass weight]]/grand[[#This Row],[total weight]]</f>
        <v>0.56602037463029908</v>
      </c>
      <c r="AC1698" s="18">
        <f>SUM(grand[[#This Row],[am]:[meat transportation]])/100</f>
        <v>0.89209090909090916</v>
      </c>
      <c r="AD1698" s="2" t="s">
        <v>1087</v>
      </c>
      <c r="AE1698" s="2"/>
      <c r="AF1698" s="2"/>
      <c r="AG1698" s="2"/>
      <c r="AH1698" s="2"/>
      <c r="AI1698" s="2"/>
      <c r="AJ1698" s="2">
        <v>0</v>
      </c>
    </row>
    <row r="1699" spans="1:36" hidden="1" x14ac:dyDescent="0.2">
      <c r="A1699" s="11">
        <v>46114</v>
      </c>
      <c r="B1699" s="53" t="s">
        <v>2469</v>
      </c>
      <c r="C1699" s="52" t="str">
        <f>IF(MID(B1699,4,2)="09","Ramadan",IF(AND(MID(B1699,4,2)="12",VALUE(LEFT(B1699,2))&lt;=9),"Adha Season","Normal"))</f>
        <v>Normal</v>
      </c>
      <c r="D1699" s="2" t="s">
        <v>45</v>
      </c>
      <c r="F1699" s="4" t="s">
        <v>954</v>
      </c>
      <c r="G1699" s="1">
        <v>100</v>
      </c>
      <c r="H1699">
        <v>100</v>
      </c>
      <c r="I1699">
        <f>grand[[#This Row],[number]]-grand[[#This Row],[received]]</f>
        <v>0</v>
      </c>
      <c r="J1699" s="2"/>
      <c r="K1699" s="2">
        <v>41955</v>
      </c>
      <c r="L1699" s="2">
        <v>41955</v>
      </c>
      <c r="M1699" s="2">
        <f>K1699-L1699</f>
        <v>0</v>
      </c>
      <c r="N1699" s="2">
        <v>25450.7</v>
      </c>
      <c r="O1699" s="2">
        <v>700</v>
      </c>
      <c r="P1699" s="7">
        <f>grand[[#This Row],[total weight]]/grand[[#This Row],[received]]</f>
        <v>419.55</v>
      </c>
      <c r="Q1699" s="7">
        <f>grand[[#This Row],[receiving weight]]/grand[[#This Row],[received]]</f>
        <v>419.55</v>
      </c>
      <c r="R1699" s="7">
        <f>grand[[#This Row],[transportation loss ]]/grand[[#This Row],[received]]</f>
        <v>0</v>
      </c>
      <c r="S1699" s="7">
        <f>grand[[#This Row],[ carcass weight]]/grand[[#This Row],[received]]</f>
        <v>254.50700000000001</v>
      </c>
      <c r="T1699" s="7">
        <f>grand[[#This Row],[ kidneys fat quantity]]/grand[[#This Row],[received]]</f>
        <v>7</v>
      </c>
      <c r="U1699">
        <v>25</v>
      </c>
      <c r="V1699">
        <v>0</v>
      </c>
      <c r="W1699">
        <v>47.94</v>
      </c>
      <c r="X1699">
        <v>10</v>
      </c>
      <c r="Y1699">
        <v>8.5</v>
      </c>
      <c r="Z1699" s="18">
        <f>grand[[#This Row],[av. Transportation loss]]/grand[[#This Row],[av.total weight]]</f>
        <v>0</v>
      </c>
      <c r="AA1699" s="18">
        <f>AVERAGE((grand[[#This Row],[am]]/25),(grand[[#This Row],[pm]]/50))</f>
        <v>0.97940000000000005</v>
      </c>
      <c r="AB1699" s="3">
        <f>grand[[#This Row],[ carcass weight]]/grand[[#This Row],[total weight]]</f>
        <v>0.60661899654391616</v>
      </c>
      <c r="AC1699" s="18">
        <f>SUM(grand[[#This Row],[am]:[meat transportation]])/100</f>
        <v>0.91439999999999999</v>
      </c>
      <c r="AD1699" s="2" t="s">
        <v>1088</v>
      </c>
      <c r="AE1699" s="2"/>
      <c r="AF1699" s="2"/>
      <c r="AG1699" s="2"/>
      <c r="AH1699" s="2"/>
      <c r="AI1699" s="2"/>
      <c r="AJ1699" s="2">
        <v>0</v>
      </c>
    </row>
    <row r="1700" spans="1:36" hidden="1" x14ac:dyDescent="0.2">
      <c r="A1700" s="11">
        <v>46116</v>
      </c>
      <c r="B1700" s="53" t="s">
        <v>2470</v>
      </c>
      <c r="C1700" s="52" t="str">
        <f>IF(MID(B1700,4,2)="09","Ramadan",IF(AND(MID(B1700,4,2)="12",VALUE(LEFT(B1700,2))&lt;=9),"Adha Season","Normal"))</f>
        <v>Normal</v>
      </c>
      <c r="D1700" s="2" t="s">
        <v>45</v>
      </c>
      <c r="F1700" s="4" t="s">
        <v>954</v>
      </c>
      <c r="G1700" s="1">
        <v>40</v>
      </c>
      <c r="H1700">
        <v>40</v>
      </c>
      <c r="I1700">
        <f>grand[[#This Row],[number]]-grand[[#This Row],[received]]</f>
        <v>0</v>
      </c>
      <c r="J1700" s="2"/>
      <c r="K1700" s="2">
        <v>17920</v>
      </c>
      <c r="L1700" s="2">
        <v>17920</v>
      </c>
      <c r="M1700" s="2">
        <f>K1700-L1700</f>
        <v>0</v>
      </c>
      <c r="N1700" s="2">
        <v>10873.8</v>
      </c>
      <c r="O1700" s="2">
        <v>357</v>
      </c>
      <c r="P1700" s="7">
        <f>grand[[#This Row],[total weight]]/grand[[#This Row],[received]]</f>
        <v>448</v>
      </c>
      <c r="Q1700" s="7">
        <f>grand[[#This Row],[receiving weight]]/grand[[#This Row],[received]]</f>
        <v>448</v>
      </c>
      <c r="R1700" s="7">
        <f>grand[[#This Row],[transportation loss ]]/grand[[#This Row],[received]]</f>
        <v>0</v>
      </c>
      <c r="S1700" s="7">
        <f>grand[[#This Row],[ carcass weight]]/grand[[#This Row],[received]]</f>
        <v>271.84499999999997</v>
      </c>
      <c r="T1700" s="7">
        <f>grand[[#This Row],[ kidneys fat quantity]]/grand[[#This Row],[received]]</f>
        <v>8.9250000000000007</v>
      </c>
      <c r="U1700">
        <v>25</v>
      </c>
      <c r="V1700">
        <v>0</v>
      </c>
      <c r="W1700">
        <v>45.099999999999994</v>
      </c>
      <c r="X1700">
        <v>10</v>
      </c>
      <c r="Y1700">
        <v>8.5</v>
      </c>
      <c r="Z1700" s="18">
        <f>grand[[#This Row],[av. Transportation loss]]/grand[[#This Row],[av.total weight]]</f>
        <v>0</v>
      </c>
      <c r="AA1700" s="18">
        <f>AVERAGE((grand[[#This Row],[am]]/25),(grand[[#This Row],[pm]]/50))</f>
        <v>0.95099999999999996</v>
      </c>
      <c r="AB1700" s="3">
        <f>grand[[#This Row],[ carcass weight]]/grand[[#This Row],[total weight]]</f>
        <v>0.60679687500000001</v>
      </c>
      <c r="AC1700" s="18">
        <f>SUM(grand[[#This Row],[am]:[meat transportation]])/100</f>
        <v>0.8859999999999999</v>
      </c>
      <c r="AD1700" s="2" t="s">
        <v>1106</v>
      </c>
      <c r="AE1700" s="2"/>
      <c r="AF1700" s="2"/>
      <c r="AG1700" s="2"/>
      <c r="AH1700" s="2"/>
      <c r="AI1700" s="2"/>
      <c r="AJ1700" s="2">
        <v>0</v>
      </c>
    </row>
    <row r="1701" spans="1:36" hidden="1" x14ac:dyDescent="0.2">
      <c r="A1701" s="11">
        <v>46116</v>
      </c>
      <c r="B1701" s="53" t="s">
        <v>2470</v>
      </c>
      <c r="C1701" s="52" t="str">
        <f>IF(MID(B1701,4,2)="09","Ramadan",IF(AND(MID(B1701,4,2)="12",VALUE(LEFT(B1701,2))&lt;=9),"Adha Season","Normal"))</f>
        <v>Normal</v>
      </c>
      <c r="D1701" s="2" t="s">
        <v>1079</v>
      </c>
      <c r="F1701" s="4" t="s">
        <v>165</v>
      </c>
      <c r="G1701" s="1">
        <v>33</v>
      </c>
      <c r="H1701">
        <v>33</v>
      </c>
      <c r="I1701">
        <f>grand[[#This Row],[number]]-grand[[#This Row],[received]]</f>
        <v>0</v>
      </c>
      <c r="J1701" s="2"/>
      <c r="K1701" s="2">
        <v>1850</v>
      </c>
      <c r="L1701" s="2">
        <v>1850</v>
      </c>
      <c r="M1701" s="2">
        <f>K1701-L1701</f>
        <v>0</v>
      </c>
      <c r="N1701" s="2">
        <v>1075.5999999999999</v>
      </c>
      <c r="O1701" s="2">
        <v>0</v>
      </c>
      <c r="P1701" s="7">
        <f>grand[[#This Row],[total weight]]/grand[[#This Row],[received]]</f>
        <v>56.060606060606062</v>
      </c>
      <c r="Q1701" s="7">
        <f>grand[[#This Row],[receiving weight]]/grand[[#This Row],[received]]</f>
        <v>56.060606060606062</v>
      </c>
      <c r="R1701" s="7">
        <f>grand[[#This Row],[transportation loss ]]/grand[[#This Row],[received]]</f>
        <v>0</v>
      </c>
      <c r="S1701" s="7">
        <f>grand[[#This Row],[ carcass weight]]/grand[[#This Row],[received]]</f>
        <v>32.593939393939394</v>
      </c>
      <c r="T1701" s="7">
        <f>grand[[#This Row],[ kidneys fat quantity]]/grand[[#This Row],[received]]</f>
        <v>0</v>
      </c>
      <c r="U1701">
        <v>25</v>
      </c>
      <c r="V1701">
        <v>0</v>
      </c>
      <c r="W1701">
        <v>48.606060606060609</v>
      </c>
      <c r="X1701">
        <v>10</v>
      </c>
      <c r="Y1701">
        <v>8.5</v>
      </c>
      <c r="Z1701" s="18">
        <f>grand[[#This Row],[av. Transportation loss]]/grand[[#This Row],[av.total weight]]</f>
        <v>0</v>
      </c>
      <c r="AA1701" s="18">
        <f>AVERAGE((grand[[#This Row],[am]]/25),(grand[[#This Row],[pm]]/50))</f>
        <v>0.98606060606060608</v>
      </c>
      <c r="AB1701" s="3">
        <f>grand[[#This Row],[ carcass weight]]/grand[[#This Row],[total weight]]</f>
        <v>0.58140540540540531</v>
      </c>
      <c r="AC1701" s="18">
        <f>SUM(grand[[#This Row],[am]:[meat transportation]])/100</f>
        <v>0.92106060606060614</v>
      </c>
      <c r="AD1701" s="2" t="s">
        <v>1107</v>
      </c>
      <c r="AE1701" s="2"/>
      <c r="AF1701" s="2"/>
      <c r="AG1701" s="2"/>
      <c r="AH1701" s="2"/>
      <c r="AI1701" s="2"/>
      <c r="AJ1701" s="2">
        <v>0</v>
      </c>
    </row>
    <row r="1702" spans="1:36" x14ac:dyDescent="0.2">
      <c r="A1702" s="11">
        <v>46117</v>
      </c>
      <c r="B1702" s="53" t="s">
        <v>2907</v>
      </c>
      <c r="C1702" s="52" t="str">
        <f>IF(MID(B1702,4,2)="09","Ramadan",IF(AND(MID(B1702,4,2)="12",VALUE(LEFT(B1702,2))&lt;=9),"Adha Season","Normal"))</f>
        <v>Normal</v>
      </c>
      <c r="D1702" s="2" t="s">
        <v>45</v>
      </c>
      <c r="F1702" s="4" t="s">
        <v>954</v>
      </c>
      <c r="G1702" s="1">
        <v>66</v>
      </c>
      <c r="H1702">
        <v>65</v>
      </c>
      <c r="I1702">
        <f>grand[[#This Row],[number]]-grand[[#This Row],[received]]</f>
        <v>1</v>
      </c>
      <c r="J1702" s="9" t="s">
        <v>1188</v>
      </c>
      <c r="K1702" s="2">
        <v>28190</v>
      </c>
      <c r="L1702" s="2">
        <v>28190</v>
      </c>
      <c r="M1702" s="2">
        <f>K1702-L1702</f>
        <v>0</v>
      </c>
      <c r="N1702" s="2">
        <v>17139.599999999999</v>
      </c>
      <c r="O1702" s="2">
        <v>490</v>
      </c>
      <c r="P1702" s="7">
        <f>grand[[#This Row],[total weight]]/grand[[#This Row],[received]]</f>
        <v>433.69230769230768</v>
      </c>
      <c r="Q1702" s="7">
        <f>grand[[#This Row],[receiving weight]]/grand[[#This Row],[received]]</f>
        <v>433.69230769230768</v>
      </c>
      <c r="R1702" s="7">
        <f>grand[[#This Row],[transportation loss ]]/grand[[#This Row],[received]]</f>
        <v>0</v>
      </c>
      <c r="S1702" s="7">
        <f>grand[[#This Row],[ carcass weight]]/grand[[#This Row],[received]]</f>
        <v>263.68615384615384</v>
      </c>
      <c r="T1702" s="7">
        <f>grand[[#This Row],[ kidneys fat quantity]]/grand[[#This Row],[received]]</f>
        <v>7.5384615384615383</v>
      </c>
      <c r="U1702">
        <v>25</v>
      </c>
      <c r="V1702">
        <v>0</v>
      </c>
      <c r="W1702">
        <v>46.584615384615383</v>
      </c>
      <c r="X1702">
        <v>10</v>
      </c>
      <c r="Y1702">
        <v>8.5</v>
      </c>
      <c r="Z1702" s="18">
        <f>grand[[#This Row],[av. Transportation loss]]/grand[[#This Row],[av.total weight]]</f>
        <v>0</v>
      </c>
      <c r="AA1702" s="18">
        <f>AVERAGE((grand[[#This Row],[am]]/25),(grand[[#This Row],[pm]]/50))</f>
        <v>0.9658461538461538</v>
      </c>
      <c r="AB1702" s="3">
        <f>grand[[#This Row],[ carcass weight]]/grand[[#This Row],[total weight]]</f>
        <v>0.60800283788577503</v>
      </c>
      <c r="AC1702" s="18">
        <f>SUM(grand[[#This Row],[am]:[meat transportation]])/100</f>
        <v>0.90084615384615374</v>
      </c>
      <c r="AD1702" s="2" t="s">
        <v>1108</v>
      </c>
      <c r="AE1702" s="2"/>
      <c r="AF1702" s="2"/>
      <c r="AG1702" s="2"/>
      <c r="AH1702" s="2"/>
      <c r="AI1702" s="2"/>
      <c r="AJ1702" s="2">
        <v>0</v>
      </c>
    </row>
    <row r="1703" spans="1:36" hidden="1" x14ac:dyDescent="0.2">
      <c r="A1703" s="11">
        <v>46118</v>
      </c>
      <c r="B1703" s="53" t="s">
        <v>2471</v>
      </c>
      <c r="C1703" s="52" t="str">
        <f>IF(MID(B1703,4,2)="09","Ramadan",IF(AND(MID(B1703,4,2)="12",VALUE(LEFT(B1703,2))&lt;=9),"Adha Season","Normal"))</f>
        <v>Normal</v>
      </c>
      <c r="D1703" s="2" t="s">
        <v>1079</v>
      </c>
      <c r="F1703" s="4" t="s">
        <v>165</v>
      </c>
      <c r="G1703" s="1">
        <v>34</v>
      </c>
      <c r="H1703">
        <v>34</v>
      </c>
      <c r="I1703">
        <f>grand[[#This Row],[number]]-grand[[#This Row],[received]]</f>
        <v>0</v>
      </c>
      <c r="J1703" s="2"/>
      <c r="K1703" s="2">
        <v>1910</v>
      </c>
      <c r="L1703" s="2">
        <v>1910</v>
      </c>
      <c r="M1703" s="2">
        <f>K1703-L1703</f>
        <v>0</v>
      </c>
      <c r="N1703" s="2">
        <v>1098</v>
      </c>
      <c r="O1703" s="2">
        <v>0</v>
      </c>
      <c r="P1703" s="7">
        <f>grand[[#This Row],[total weight]]/grand[[#This Row],[received]]</f>
        <v>56.176470588235297</v>
      </c>
      <c r="Q1703" s="7">
        <f>grand[[#This Row],[receiving weight]]/grand[[#This Row],[received]]</f>
        <v>56.176470588235297</v>
      </c>
      <c r="R1703" s="7">
        <f>grand[[#This Row],[transportation loss ]]/grand[[#This Row],[received]]</f>
        <v>0</v>
      </c>
      <c r="S1703" s="7">
        <f>grand[[#This Row],[ carcass weight]]/grand[[#This Row],[received]]</f>
        <v>32.294117647058826</v>
      </c>
      <c r="T1703" s="7">
        <f>grand[[#This Row],[ kidneys fat quantity]]/grand[[#This Row],[received]]</f>
        <v>0</v>
      </c>
      <c r="U1703">
        <v>25</v>
      </c>
      <c r="V1703">
        <v>0</v>
      </c>
      <c r="W1703">
        <v>49.029411764705891</v>
      </c>
      <c r="X1703">
        <v>10</v>
      </c>
      <c r="Y1703">
        <v>8.5</v>
      </c>
      <c r="Z1703" s="18">
        <f>grand[[#This Row],[av. Transportation loss]]/grand[[#This Row],[av.total weight]]</f>
        <v>0</v>
      </c>
      <c r="AA1703" s="18">
        <f>AVERAGE((grand[[#This Row],[am]]/25),(grand[[#This Row],[pm]]/50))</f>
        <v>0.99029411764705899</v>
      </c>
      <c r="AB1703" s="3">
        <f>grand[[#This Row],[ carcass weight]]/grand[[#This Row],[total weight]]</f>
        <v>0.57486910994764395</v>
      </c>
      <c r="AC1703" s="18">
        <f>SUM(grand[[#This Row],[am]:[meat transportation]])/100</f>
        <v>0.92529411764705882</v>
      </c>
      <c r="AD1703" s="2" t="s">
        <v>71</v>
      </c>
      <c r="AE1703" s="2"/>
      <c r="AF1703" s="2"/>
      <c r="AG1703" s="2"/>
      <c r="AH1703" s="2"/>
      <c r="AI1703" s="2"/>
      <c r="AJ1703" s="2">
        <v>0</v>
      </c>
    </row>
    <row r="1704" spans="1:36" hidden="1" x14ac:dyDescent="0.2">
      <c r="A1704" s="11">
        <v>43457</v>
      </c>
      <c r="B1704" s="53" t="s">
        <v>1240</v>
      </c>
      <c r="C1704" s="52" t="str">
        <f>IF(MID(B1704,4,2)="09","Ramadan",IF(AND(MID(B1704,4,2)="12",VALUE(LEFT(B1704,2))&lt;=9),"Adha Season","Normal"))</f>
        <v>Normal</v>
      </c>
      <c r="D1704" s="1" t="s">
        <v>45</v>
      </c>
      <c r="F1704" s="4" t="s">
        <v>46</v>
      </c>
      <c r="G1704" s="2">
        <v>16</v>
      </c>
      <c r="H1704" s="2">
        <v>15</v>
      </c>
      <c r="I1704" s="2">
        <f>grand[[#This Row],[number]]-grand[[#This Row],[received]]</f>
        <v>1</v>
      </c>
      <c r="J1704" s="30"/>
      <c r="K1704" s="2"/>
      <c r="L1704" s="2"/>
      <c r="M1704" s="2">
        <f>K1704-L1704</f>
        <v>0</v>
      </c>
      <c r="N1704" s="2"/>
      <c r="O1704" s="2"/>
      <c r="P1704" s="7"/>
      <c r="Q1704" s="7"/>
      <c r="R1704" s="7"/>
      <c r="S1704" s="7"/>
      <c r="T1704" s="7"/>
      <c r="U1704" s="2">
        <v>22.4</v>
      </c>
      <c r="V1704" s="2"/>
      <c r="W1704" s="2">
        <v>49.6</v>
      </c>
      <c r="X1704" s="2">
        <v>10</v>
      </c>
      <c r="Y1704" s="8">
        <v>8.125</v>
      </c>
      <c r="Z1704" s="3"/>
      <c r="AA1704" s="12">
        <f>AVERAGE((grand[[#This Row],[am]]/25),(grand[[#This Row],[pm]]/50))</f>
        <v>0.94399999999999995</v>
      </c>
      <c r="AB1704" s="3"/>
      <c r="AC1704" s="3">
        <f>SUM(grand[[#This Row],[am]:[meat transportation]])/100</f>
        <v>0.90125</v>
      </c>
      <c r="AD1704" s="2"/>
      <c r="AE1704" s="2"/>
      <c r="AF1704" s="2"/>
      <c r="AG1704" s="2"/>
      <c r="AH1704" s="2"/>
      <c r="AI1704" s="2"/>
      <c r="AJ1704" s="2"/>
    </row>
    <row r="1705" spans="1:36" hidden="1" x14ac:dyDescent="0.2">
      <c r="A1705" s="11">
        <v>43482</v>
      </c>
      <c r="B1705" s="53" t="s">
        <v>1251</v>
      </c>
      <c r="C1705" s="52" t="str">
        <f>IF(MID(B1705,4,2)="09","Ramadan",IF(AND(MID(B1705,4,2)="12",VALUE(LEFT(B1705,2))&lt;=9),"Adha Season","Normal"))</f>
        <v>Normal</v>
      </c>
      <c r="D1705" s="1" t="s">
        <v>45</v>
      </c>
      <c r="F1705" s="4" t="s">
        <v>38</v>
      </c>
      <c r="G1705" s="2">
        <v>16</v>
      </c>
      <c r="H1705" s="2">
        <v>15</v>
      </c>
      <c r="I1705" s="2">
        <f>grand[[#This Row],[number]]-grand[[#This Row],[received]]</f>
        <v>1</v>
      </c>
      <c r="J1705" s="30"/>
      <c r="K1705" s="2">
        <v>6568</v>
      </c>
      <c r="L1705" s="2">
        <v>6368</v>
      </c>
      <c r="M1705" s="2">
        <f>K1705-L1705</f>
        <v>200</v>
      </c>
      <c r="N1705" s="2">
        <v>3950</v>
      </c>
      <c r="O1705" s="2">
        <v>122</v>
      </c>
      <c r="P1705" s="7">
        <f>grand[[#This Row],[total weight]]/grand[[#This Row],[received]]</f>
        <v>437.86666666666667</v>
      </c>
      <c r="Q1705" s="7">
        <f>grand[[#This Row],[receiving weight]]/grand[[#This Row],[received]]</f>
        <v>424.53333333333336</v>
      </c>
      <c r="R1705" s="7">
        <f>grand[[#This Row],[transportation loss ]]/grand[[#This Row],[received]]</f>
        <v>13.333333333333334</v>
      </c>
      <c r="S1705" s="7">
        <f>grand[[#This Row],[ carcass weight]]/grand[[#This Row],[received]]</f>
        <v>263.33333333333331</v>
      </c>
      <c r="T1705" s="7">
        <f>grand[[#This Row],[ kidneys fat quantity]]/grand[[#This Row],[received]]</f>
        <v>8.1333333333333329</v>
      </c>
      <c r="U1705" s="2">
        <v>21.4</v>
      </c>
      <c r="V1705" s="2"/>
      <c r="W1705" s="2">
        <v>48.2</v>
      </c>
      <c r="X1705" s="2">
        <v>9</v>
      </c>
      <c r="Y1705" s="8">
        <v>7.8</v>
      </c>
      <c r="Z1705" s="3">
        <f>grand[[#This Row],[av. Transportation loss]]/grand[[#This Row],[av.total weight]]</f>
        <v>3.0450669914738125E-2</v>
      </c>
      <c r="AA1705" s="12">
        <f>AVERAGE((grand[[#This Row],[am]]/25),(grand[[#This Row],[pm]]/50))</f>
        <v>0.91</v>
      </c>
      <c r="AB1705" s="3">
        <f>grand[[#This Row],[ carcass weight]]/grand[[#This Row],[total weight]]</f>
        <v>0.60140073081607792</v>
      </c>
      <c r="AC1705" s="3">
        <f>SUM(grand[[#This Row],[am]:[meat transportation]])/100</f>
        <v>0.86399999999999988</v>
      </c>
      <c r="AD1705" s="2"/>
      <c r="AE1705" s="2"/>
      <c r="AF1705" s="2"/>
      <c r="AG1705" s="2"/>
      <c r="AH1705" s="2"/>
      <c r="AI1705" s="2"/>
      <c r="AJ1705" s="2"/>
    </row>
    <row r="1706" spans="1:36" hidden="1" x14ac:dyDescent="0.2">
      <c r="A1706" s="11">
        <v>43492</v>
      </c>
      <c r="B1706" s="53" t="s">
        <v>1255</v>
      </c>
      <c r="C1706" s="52" t="str">
        <f>IF(MID(B1706,4,2)="09","Ramadan",IF(AND(MID(B1706,4,2)="12",VALUE(LEFT(B1706,2))&lt;=9),"Adha Season","Normal"))</f>
        <v>Normal</v>
      </c>
      <c r="D1706" s="1" t="s">
        <v>45</v>
      </c>
      <c r="F1706" s="4" t="s">
        <v>46</v>
      </c>
      <c r="G1706" s="2">
        <v>16</v>
      </c>
      <c r="H1706" s="2">
        <v>15</v>
      </c>
      <c r="I1706" s="2">
        <f>grand[[#This Row],[number]]-grand[[#This Row],[received]]</f>
        <v>1</v>
      </c>
      <c r="J1706" s="30"/>
      <c r="K1706" s="2">
        <v>7508</v>
      </c>
      <c r="L1706" s="2">
        <v>7073</v>
      </c>
      <c r="M1706" s="2">
        <f>K1706-L1706</f>
        <v>435</v>
      </c>
      <c r="N1706" s="2">
        <v>4565.8999999999996</v>
      </c>
      <c r="O1706" s="2">
        <v>183</v>
      </c>
      <c r="P1706" s="7">
        <f>grand[[#This Row],[total weight]]/grand[[#This Row],[received]]</f>
        <v>500.53333333333336</v>
      </c>
      <c r="Q1706" s="7">
        <f>grand[[#This Row],[receiving weight]]/grand[[#This Row],[received]]</f>
        <v>471.53333333333336</v>
      </c>
      <c r="R1706" s="7">
        <f>grand[[#This Row],[transportation loss ]]/grand[[#This Row],[received]]</f>
        <v>29</v>
      </c>
      <c r="S1706" s="7">
        <f>grand[[#This Row],[ carcass weight]]/grand[[#This Row],[received]]</f>
        <v>304.39333333333332</v>
      </c>
      <c r="T1706" s="7">
        <f>grand[[#This Row],[ kidneys fat quantity]]/grand[[#This Row],[received]]</f>
        <v>12.2</v>
      </c>
      <c r="U1706" s="2">
        <v>23.9</v>
      </c>
      <c r="V1706" s="2"/>
      <c r="W1706" s="2">
        <v>48.8</v>
      </c>
      <c r="X1706" s="2">
        <v>9.4</v>
      </c>
      <c r="Y1706" s="8">
        <v>7.8</v>
      </c>
      <c r="Z1706" s="3">
        <f>grand[[#This Row],[av. Transportation loss]]/grand[[#This Row],[av.total weight]]</f>
        <v>5.7938199254128929E-2</v>
      </c>
      <c r="AA1706" s="12">
        <f>AVERAGE((grand[[#This Row],[am]]/25),(grand[[#This Row],[pm]]/50))</f>
        <v>0.96599999999999997</v>
      </c>
      <c r="AB1706" s="3">
        <f>grand[[#This Row],[ carcass weight]]/grand[[#This Row],[total weight]]</f>
        <v>0.60813798614810866</v>
      </c>
      <c r="AC1706" s="3">
        <f>SUM(grand[[#This Row],[am]:[meat transportation]])/100</f>
        <v>0.89899999999999991</v>
      </c>
      <c r="AD1706" s="2"/>
      <c r="AE1706" s="2"/>
      <c r="AF1706" s="2"/>
      <c r="AG1706" s="2"/>
      <c r="AH1706" s="2"/>
      <c r="AI1706" s="2"/>
      <c r="AJ1706" s="2"/>
    </row>
    <row r="1707" spans="1:36" hidden="1" x14ac:dyDescent="0.2">
      <c r="A1707" s="11">
        <v>43496</v>
      </c>
      <c r="B1707" s="53" t="s">
        <v>1257</v>
      </c>
      <c r="C1707" s="52" t="str">
        <f>IF(MID(B1707,4,2)="09","Ramadan",IF(AND(MID(B1707,4,2)="12",VALUE(LEFT(B1707,2))&lt;=9),"Adha Season","Normal"))</f>
        <v>Normal</v>
      </c>
      <c r="D1707" s="1" t="s">
        <v>45</v>
      </c>
      <c r="F1707" s="4" t="s">
        <v>46</v>
      </c>
      <c r="G1707" s="2">
        <v>16</v>
      </c>
      <c r="H1707" s="2">
        <v>15</v>
      </c>
      <c r="I1707" s="2">
        <f>grand[[#This Row],[number]]-grand[[#This Row],[received]]</f>
        <v>1</v>
      </c>
      <c r="J1707" s="30"/>
      <c r="K1707" s="2">
        <v>7640</v>
      </c>
      <c r="L1707" s="2">
        <v>7255</v>
      </c>
      <c r="M1707" s="2">
        <f>K1707-L1707</f>
        <v>385</v>
      </c>
      <c r="N1707" s="2">
        <v>4585.1000000000004</v>
      </c>
      <c r="O1707" s="2">
        <v>172.5</v>
      </c>
      <c r="P1707" s="7">
        <f>grand[[#This Row],[total weight]]/grand[[#This Row],[received]]</f>
        <v>509.33333333333331</v>
      </c>
      <c r="Q1707" s="7">
        <f>grand[[#This Row],[receiving weight]]/grand[[#This Row],[received]]</f>
        <v>483.66666666666669</v>
      </c>
      <c r="R1707" s="7">
        <f>grand[[#This Row],[transportation loss ]]/grand[[#This Row],[received]]</f>
        <v>25.666666666666668</v>
      </c>
      <c r="S1707" s="7">
        <f>grand[[#This Row],[ carcass weight]]/grand[[#This Row],[received]]</f>
        <v>305.67333333333335</v>
      </c>
      <c r="T1707" s="7">
        <f>grand[[#This Row],[ kidneys fat quantity]]/grand[[#This Row],[received]]</f>
        <v>11.5</v>
      </c>
      <c r="U1707" s="2">
        <v>21.5</v>
      </c>
      <c r="V1707" s="2"/>
      <c r="W1707" s="2">
        <v>49.2</v>
      </c>
      <c r="X1707" s="2">
        <v>8.6</v>
      </c>
      <c r="Y1707" s="8">
        <v>7</v>
      </c>
      <c r="Z1707" s="3">
        <f>grand[[#This Row],[av. Transportation loss]]/grand[[#This Row],[av.total weight]]</f>
        <v>5.0392670157068067E-2</v>
      </c>
      <c r="AA1707" s="12">
        <f>AVERAGE((grand[[#This Row],[am]]/25),(grand[[#This Row],[pm]]/50))</f>
        <v>0.92200000000000004</v>
      </c>
      <c r="AB1707" s="3">
        <f>grand[[#This Row],[ carcass weight]]/grand[[#This Row],[total weight]]</f>
        <v>0.60014397905759165</v>
      </c>
      <c r="AC1707" s="3">
        <f>SUM(grand[[#This Row],[am]:[meat transportation]])/100</f>
        <v>0.86299999999999999</v>
      </c>
      <c r="AD1707" s="2"/>
      <c r="AE1707" s="2"/>
      <c r="AF1707" s="2"/>
      <c r="AG1707" s="2"/>
      <c r="AH1707" s="2"/>
      <c r="AI1707" s="2"/>
      <c r="AJ1707" s="2"/>
    </row>
    <row r="1708" spans="1:36" hidden="1" x14ac:dyDescent="0.2">
      <c r="A1708" s="11">
        <v>43517</v>
      </c>
      <c r="B1708" s="53" t="s">
        <v>1266</v>
      </c>
      <c r="C1708" s="52" t="str">
        <f>IF(MID(B1708,4,2)="09","Ramadan",IF(AND(MID(B1708,4,2)="12",VALUE(LEFT(B1708,2))&lt;=9),"Adha Season","Normal"))</f>
        <v>Normal</v>
      </c>
      <c r="D1708" s="1" t="s">
        <v>45</v>
      </c>
      <c r="F1708" s="4" t="s">
        <v>39</v>
      </c>
      <c r="G1708" s="2">
        <v>18</v>
      </c>
      <c r="H1708" s="2">
        <v>17</v>
      </c>
      <c r="I1708" s="2">
        <f>grand[[#This Row],[number]]-grand[[#This Row],[received]]</f>
        <v>1</v>
      </c>
      <c r="J1708" s="30"/>
      <c r="K1708" s="2">
        <v>6910</v>
      </c>
      <c r="L1708" s="2">
        <v>6495</v>
      </c>
      <c r="M1708" s="2">
        <f>K1708-L1708</f>
        <v>415</v>
      </c>
      <c r="N1708" s="2">
        <v>4252.8</v>
      </c>
      <c r="O1708" s="2">
        <v>156</v>
      </c>
      <c r="P1708" s="7">
        <f>grand[[#This Row],[total weight]]/grand[[#This Row],[received]]</f>
        <v>406.47058823529414</v>
      </c>
      <c r="Q1708" s="7">
        <f>grand[[#This Row],[receiving weight]]/grand[[#This Row],[received]]</f>
        <v>382.05882352941177</v>
      </c>
      <c r="R1708" s="7">
        <f>grand[[#This Row],[transportation loss ]]/grand[[#This Row],[received]]</f>
        <v>24.411764705882351</v>
      </c>
      <c r="S1708" s="7">
        <f>grand[[#This Row],[ carcass weight]]/grand[[#This Row],[received]]</f>
        <v>250.16470588235296</v>
      </c>
      <c r="T1708" s="7">
        <f>grand[[#This Row],[ kidneys fat quantity]]/grand[[#This Row],[received]]</f>
        <v>9.1764705882352935</v>
      </c>
      <c r="U1708" s="2">
        <v>25</v>
      </c>
      <c r="V1708" s="2"/>
      <c r="W1708" s="2">
        <v>49.6</v>
      </c>
      <c r="X1708" s="2">
        <v>10</v>
      </c>
      <c r="Y1708" s="8">
        <v>8.5</v>
      </c>
      <c r="Z1708" s="3">
        <f>grand[[#This Row],[av. Transportation loss]]/grand[[#This Row],[av.total weight]]</f>
        <v>6.0057887120115769E-2</v>
      </c>
      <c r="AA1708" s="12">
        <f>AVERAGE((grand[[#This Row],[am]]/25),(grand[[#This Row],[pm]]/50))</f>
        <v>0.996</v>
      </c>
      <c r="AB1708" s="3">
        <f>grand[[#This Row],[ carcass weight]]/grand[[#This Row],[total weight]]</f>
        <v>0.61545586107091177</v>
      </c>
      <c r="AC1708" s="3">
        <f>SUM(grand[[#This Row],[am]:[meat transportation]])/100</f>
        <v>0.93099999999999994</v>
      </c>
      <c r="AD1708" s="2"/>
      <c r="AE1708" s="2"/>
      <c r="AF1708" s="2"/>
      <c r="AG1708" s="2"/>
      <c r="AH1708" s="2"/>
      <c r="AI1708" s="2"/>
      <c r="AJ1708" s="2"/>
    </row>
    <row r="1709" spans="1:36" hidden="1" x14ac:dyDescent="0.2">
      <c r="A1709" s="11">
        <v>43545</v>
      </c>
      <c r="B1709" s="53" t="s">
        <v>1278</v>
      </c>
      <c r="C1709" s="52" t="str">
        <f>IF(MID(B1709,4,2)="09","Ramadan",IF(AND(MID(B1709,4,2)="12",VALUE(LEFT(B1709,2))&lt;=9),"Adha Season","Normal"))</f>
        <v>Normal</v>
      </c>
      <c r="D1709" s="1" t="s">
        <v>45</v>
      </c>
      <c r="F1709" s="4" t="s">
        <v>46</v>
      </c>
      <c r="G1709" s="2">
        <v>20</v>
      </c>
      <c r="H1709" s="2">
        <v>19</v>
      </c>
      <c r="I1709" s="2">
        <f>grand[[#This Row],[number]]-grand[[#This Row],[received]]</f>
        <v>1</v>
      </c>
      <c r="J1709" s="30"/>
      <c r="K1709" s="2">
        <v>9270</v>
      </c>
      <c r="L1709" s="2">
        <v>8754</v>
      </c>
      <c r="M1709" s="2">
        <f>K1709-L1709</f>
        <v>516</v>
      </c>
      <c r="N1709" s="2">
        <v>5702</v>
      </c>
      <c r="O1709" s="2">
        <v>218</v>
      </c>
      <c r="P1709" s="7">
        <f>grand[[#This Row],[total weight]]/grand[[#This Row],[received]]</f>
        <v>487.89473684210526</v>
      </c>
      <c r="Q1709" s="7">
        <f>grand[[#This Row],[receiving weight]]/grand[[#This Row],[received]]</f>
        <v>460.73684210526318</v>
      </c>
      <c r="R1709" s="7">
        <f>grand[[#This Row],[transportation loss ]]/grand[[#This Row],[received]]</f>
        <v>27.157894736842106</v>
      </c>
      <c r="S1709" s="7">
        <f>grand[[#This Row],[ carcass weight]]/grand[[#This Row],[received]]</f>
        <v>300.10526315789474</v>
      </c>
      <c r="T1709" s="7">
        <f>grand[[#This Row],[ kidneys fat quantity]]/grand[[#This Row],[received]]</f>
        <v>11.473684210526315</v>
      </c>
      <c r="U1709" s="2">
        <v>24</v>
      </c>
      <c r="V1709" s="2"/>
      <c r="W1709" s="2">
        <v>49.6</v>
      </c>
      <c r="X1709" s="2">
        <v>10</v>
      </c>
      <c r="Y1709" s="8">
        <v>8.5</v>
      </c>
      <c r="Z1709" s="3">
        <f>grand[[#This Row],[av. Transportation loss]]/grand[[#This Row],[av.total weight]]</f>
        <v>5.5663430420711979E-2</v>
      </c>
      <c r="AA1709" s="12">
        <f>AVERAGE((grand[[#This Row],[am]]/25),(grand[[#This Row],[pm]]/50))</f>
        <v>0.97599999999999998</v>
      </c>
      <c r="AB1709" s="3">
        <f>grand[[#This Row],[ carcass weight]]/grand[[#This Row],[total weight]]</f>
        <v>0.61510248112189858</v>
      </c>
      <c r="AC1709" s="3">
        <f>SUM(grand[[#This Row],[am]:[meat transportation]])/100</f>
        <v>0.92099999999999993</v>
      </c>
      <c r="AD1709" s="2"/>
      <c r="AE1709" s="2"/>
      <c r="AF1709" s="2"/>
      <c r="AG1709" s="2"/>
      <c r="AH1709" s="2"/>
      <c r="AI1709" s="2"/>
      <c r="AJ1709" s="2"/>
    </row>
    <row r="1710" spans="1:36" hidden="1" x14ac:dyDescent="0.2">
      <c r="A1710" s="11">
        <v>43576</v>
      </c>
      <c r="B1710" s="53" t="s">
        <v>1291</v>
      </c>
      <c r="C1710" s="52" t="str">
        <f>IF(MID(B1710,4,2)="09","Ramadan",IF(AND(MID(B1710,4,2)="12",VALUE(LEFT(B1710,2))&lt;=9),"Adha Season","Normal"))</f>
        <v>Normal</v>
      </c>
      <c r="D1710" s="1" t="s">
        <v>45</v>
      </c>
      <c r="F1710" s="4" t="s">
        <v>46</v>
      </c>
      <c r="G1710" s="2">
        <v>21</v>
      </c>
      <c r="H1710" s="2">
        <v>20</v>
      </c>
      <c r="I1710" s="2">
        <f>grand[[#This Row],[number]]-grand[[#This Row],[received]]</f>
        <v>1</v>
      </c>
      <c r="J1710" s="30"/>
      <c r="K1710" s="2">
        <v>9295</v>
      </c>
      <c r="L1710" s="2">
        <v>8942.6</v>
      </c>
      <c r="M1710" s="2">
        <f>K1710-L1710</f>
        <v>352.39999999999964</v>
      </c>
      <c r="N1710" s="2">
        <v>5613.9</v>
      </c>
      <c r="O1710" s="2">
        <v>174</v>
      </c>
      <c r="P1710" s="7">
        <f>grand[[#This Row],[total weight]]/grand[[#This Row],[received]]</f>
        <v>464.75</v>
      </c>
      <c r="Q1710" s="7">
        <f>grand[[#This Row],[receiving weight]]/grand[[#This Row],[received]]</f>
        <v>447.13</v>
      </c>
      <c r="R1710" s="7">
        <f>grand[[#This Row],[transportation loss ]]/grand[[#This Row],[received]]</f>
        <v>17.619999999999983</v>
      </c>
      <c r="S1710" s="7">
        <f>grand[[#This Row],[ carcass weight]]/grand[[#This Row],[received]]</f>
        <v>280.69499999999999</v>
      </c>
      <c r="T1710" s="7">
        <f>grand[[#This Row],[ kidneys fat quantity]]/grand[[#This Row],[received]]</f>
        <v>8.6999999999999993</v>
      </c>
      <c r="U1710" s="2">
        <v>25</v>
      </c>
      <c r="V1710" s="2"/>
      <c r="W1710" s="2">
        <v>49</v>
      </c>
      <c r="X1710" s="2">
        <v>10</v>
      </c>
      <c r="Y1710" s="8">
        <v>8.5</v>
      </c>
      <c r="Z1710" s="3">
        <f>grand[[#This Row],[av. Transportation loss]]/grand[[#This Row],[av.total weight]]</f>
        <v>3.7912856374394802E-2</v>
      </c>
      <c r="AA1710" s="12">
        <f>AVERAGE((grand[[#This Row],[am]]/25),(grand[[#This Row],[pm]]/50))</f>
        <v>0.99</v>
      </c>
      <c r="AB1710" s="3">
        <f>grand[[#This Row],[ carcass weight]]/grand[[#This Row],[total weight]]</f>
        <v>0.6039698762775686</v>
      </c>
      <c r="AC1710" s="3">
        <f>SUM(grand[[#This Row],[am]:[meat transportation]])/100</f>
        <v>0.92500000000000004</v>
      </c>
      <c r="AD1710" s="2"/>
      <c r="AE1710" s="2"/>
      <c r="AF1710" s="2"/>
      <c r="AG1710" s="2"/>
      <c r="AH1710" s="2"/>
      <c r="AI1710" s="2"/>
      <c r="AJ1710" s="2"/>
    </row>
    <row r="1711" spans="1:36" hidden="1" x14ac:dyDescent="0.2">
      <c r="A1711" s="11">
        <v>43594</v>
      </c>
      <c r="B1711" s="53" t="s">
        <v>1299</v>
      </c>
      <c r="C1711" s="52" t="str">
        <f>IF(MID(B1711,4,2)="09","Ramadan",IF(AND(MID(B1711,4,2)="12",VALUE(LEFT(B1711,2))&lt;=9),"Adha Season","Normal"))</f>
        <v>Ramadan</v>
      </c>
      <c r="D1711" s="1" t="s">
        <v>45</v>
      </c>
      <c r="F1711" s="4" t="s">
        <v>46</v>
      </c>
      <c r="G1711" s="2">
        <v>16</v>
      </c>
      <c r="H1711" s="2">
        <v>15</v>
      </c>
      <c r="I1711" s="2">
        <f>grand[[#This Row],[number]]-grand[[#This Row],[received]]</f>
        <v>1</v>
      </c>
      <c r="J1711" s="30"/>
      <c r="K1711" s="2">
        <v>6629</v>
      </c>
      <c r="L1711" s="2">
        <v>6474</v>
      </c>
      <c r="M1711" s="2">
        <f>K1711-L1711</f>
        <v>155</v>
      </c>
      <c r="N1711" s="2">
        <v>3977.3</v>
      </c>
      <c r="O1711" s="2">
        <v>75</v>
      </c>
      <c r="P1711" s="7">
        <f>grand[[#This Row],[total weight]]/grand[[#This Row],[received]]</f>
        <v>441.93333333333334</v>
      </c>
      <c r="Q1711" s="7">
        <f>grand[[#This Row],[receiving weight]]/grand[[#This Row],[received]]</f>
        <v>431.6</v>
      </c>
      <c r="R1711" s="7">
        <f>grand[[#This Row],[transportation loss ]]/grand[[#This Row],[received]]</f>
        <v>10.333333333333334</v>
      </c>
      <c r="S1711" s="7">
        <f>grand[[#This Row],[ carcass weight]]/grand[[#This Row],[received]]</f>
        <v>265.15333333333336</v>
      </c>
      <c r="T1711" s="7">
        <f>grand[[#This Row],[ kidneys fat quantity]]/grand[[#This Row],[received]]</f>
        <v>5</v>
      </c>
      <c r="U1711" s="2">
        <v>25</v>
      </c>
      <c r="V1711" s="2"/>
      <c r="W1711" s="2">
        <v>49.1</v>
      </c>
      <c r="X1711" s="2">
        <v>10</v>
      </c>
      <c r="Y1711" s="8">
        <v>8.5</v>
      </c>
      <c r="Z1711" s="3">
        <f>grand[[#This Row],[av. Transportation loss]]/grand[[#This Row],[av.total weight]]</f>
        <v>2.3382108915371853E-2</v>
      </c>
      <c r="AA1711" s="12">
        <f>AVERAGE((grand[[#This Row],[am]]/25),(grand[[#This Row],[pm]]/50))</f>
        <v>0.99099999999999999</v>
      </c>
      <c r="AB1711" s="3">
        <f>grand[[#This Row],[ carcass weight]]/grand[[#This Row],[total weight]]</f>
        <v>0.59998491476844173</v>
      </c>
      <c r="AC1711" s="3">
        <f>SUM(grand[[#This Row],[am]:[meat transportation]])/100</f>
        <v>0.92599999999999993</v>
      </c>
      <c r="AD1711" s="2"/>
      <c r="AE1711" s="2"/>
      <c r="AF1711" s="2"/>
      <c r="AG1711" s="2"/>
      <c r="AH1711" s="2"/>
      <c r="AI1711" s="2"/>
      <c r="AJ1711" s="2"/>
    </row>
    <row r="1712" spans="1:36" hidden="1" x14ac:dyDescent="0.2">
      <c r="A1712" s="11">
        <v>43608</v>
      </c>
      <c r="B1712" s="53" t="s">
        <v>1305</v>
      </c>
      <c r="C1712" s="52" t="str">
        <f>IF(MID(B1712,4,2)="09","Ramadan",IF(AND(MID(B1712,4,2)="12",VALUE(LEFT(B1712,2))&lt;=9),"Adha Season","Normal"))</f>
        <v>Ramadan</v>
      </c>
      <c r="D1712" s="1" t="s">
        <v>45</v>
      </c>
      <c r="F1712" s="4" t="s">
        <v>46</v>
      </c>
      <c r="G1712" s="2">
        <v>19</v>
      </c>
      <c r="H1712" s="2">
        <v>18</v>
      </c>
      <c r="I1712" s="2">
        <f>grand[[#This Row],[number]]-grand[[#This Row],[received]]</f>
        <v>1</v>
      </c>
      <c r="J1712" s="30"/>
      <c r="K1712" s="2">
        <v>7724</v>
      </c>
      <c r="L1712" s="2">
        <v>7330</v>
      </c>
      <c r="M1712" s="2">
        <f>K1712-L1712</f>
        <v>394</v>
      </c>
      <c r="N1712" s="2">
        <v>4634.6000000000004</v>
      </c>
      <c r="O1712" s="2">
        <v>150</v>
      </c>
      <c r="P1712" s="7">
        <f>grand[[#This Row],[total weight]]/grand[[#This Row],[received]]</f>
        <v>429.11111111111109</v>
      </c>
      <c r="Q1712" s="7">
        <f>grand[[#This Row],[receiving weight]]/grand[[#This Row],[received]]</f>
        <v>407.22222222222223</v>
      </c>
      <c r="R1712" s="7">
        <f>grand[[#This Row],[transportation loss ]]/grand[[#This Row],[received]]</f>
        <v>21.888888888888889</v>
      </c>
      <c r="S1712" s="7">
        <f>grand[[#This Row],[ carcass weight]]/grand[[#This Row],[received]]</f>
        <v>257.47777777777782</v>
      </c>
      <c r="T1712" s="7">
        <f>grand[[#This Row],[ kidneys fat quantity]]/grand[[#This Row],[received]]</f>
        <v>8.3333333333333339</v>
      </c>
      <c r="U1712" s="2">
        <v>25</v>
      </c>
      <c r="V1712" s="2"/>
      <c r="W1712" s="2">
        <v>50</v>
      </c>
      <c r="X1712" s="2">
        <v>10</v>
      </c>
      <c r="Y1712" s="8">
        <v>8.5</v>
      </c>
      <c r="Z1712" s="3">
        <f>grand[[#This Row],[av. Transportation loss]]/grand[[#This Row],[av.total weight]]</f>
        <v>5.100983946141896E-2</v>
      </c>
      <c r="AA1712" s="12">
        <f>AVERAGE((grand[[#This Row],[am]]/25),(grand[[#This Row],[pm]]/50))</f>
        <v>1</v>
      </c>
      <c r="AB1712" s="3">
        <f>grand[[#This Row],[ carcass weight]]/grand[[#This Row],[total weight]]</f>
        <v>0.60002589331952361</v>
      </c>
      <c r="AC1712" s="3">
        <f>SUM(grand[[#This Row],[am]:[meat transportation]])/100</f>
        <v>0.93500000000000005</v>
      </c>
      <c r="AD1712" s="2"/>
      <c r="AE1712" s="2"/>
      <c r="AF1712" s="2"/>
      <c r="AG1712" s="2"/>
      <c r="AH1712" s="2"/>
      <c r="AI1712" s="2"/>
      <c r="AJ1712" s="2"/>
    </row>
    <row r="1713" spans="1:36" hidden="1" x14ac:dyDescent="0.2">
      <c r="A1713" s="11">
        <v>43646</v>
      </c>
      <c r="B1713" s="53" t="s">
        <v>1318</v>
      </c>
      <c r="C1713" s="52" t="str">
        <f>IF(MID(B1713,4,2)="09","Ramadan",IF(AND(MID(B1713,4,2)="12",VALUE(LEFT(B1713,2))&lt;=9),"Adha Season","Normal"))</f>
        <v>Normal</v>
      </c>
      <c r="D1713" s="1" t="s">
        <v>45</v>
      </c>
      <c r="F1713" s="4" t="s">
        <v>40</v>
      </c>
      <c r="G1713" s="2">
        <v>20</v>
      </c>
      <c r="H1713" s="2">
        <v>19</v>
      </c>
      <c r="I1713" s="2">
        <f>grand[[#This Row],[number]]-grand[[#This Row],[received]]</f>
        <v>1</v>
      </c>
      <c r="J1713" s="30"/>
      <c r="K1713" s="2">
        <v>8848</v>
      </c>
      <c r="L1713" s="2">
        <v>8395</v>
      </c>
      <c r="M1713" s="2">
        <f>K1713-L1713</f>
        <v>453</v>
      </c>
      <c r="N1713" s="2">
        <v>5314.45</v>
      </c>
      <c r="O1713" s="2">
        <v>27.5</v>
      </c>
      <c r="P1713" s="7">
        <f>grand[[#This Row],[total weight]]/grand[[#This Row],[received]]</f>
        <v>465.68421052631578</v>
      </c>
      <c r="Q1713" s="7">
        <f>grand[[#This Row],[receiving weight]]/grand[[#This Row],[received]]</f>
        <v>441.84210526315792</v>
      </c>
      <c r="R1713" s="7">
        <f>grand[[#This Row],[transportation loss ]]/grand[[#This Row],[received]]</f>
        <v>23.842105263157894</v>
      </c>
      <c r="S1713" s="7">
        <f>grand[[#This Row],[ carcass weight]]/grand[[#This Row],[received]]</f>
        <v>279.70789473684209</v>
      </c>
      <c r="T1713" s="7">
        <f>grand[[#This Row],[ kidneys fat quantity]]/grand[[#This Row],[received]]</f>
        <v>1.4473684210526316</v>
      </c>
      <c r="U1713" s="2">
        <v>19</v>
      </c>
      <c r="V1713" s="2"/>
      <c r="W1713" s="2">
        <v>49.3</v>
      </c>
      <c r="X1713" s="2">
        <v>10</v>
      </c>
      <c r="Y1713" s="8">
        <v>8.5</v>
      </c>
      <c r="Z1713" s="3">
        <f>grand[[#This Row],[av. Transportation loss]]/grand[[#This Row],[av.total weight]]</f>
        <v>5.1198010849909582E-2</v>
      </c>
      <c r="AA1713" s="12">
        <f>AVERAGE((grand[[#This Row],[am]]/25),(grand[[#This Row],[pm]]/50))</f>
        <v>0.873</v>
      </c>
      <c r="AB1713" s="3">
        <f>grand[[#This Row],[ carcass weight]]/grand[[#This Row],[total weight]]</f>
        <v>0.6006385623869801</v>
      </c>
      <c r="AC1713" s="3">
        <f>SUM(grand[[#This Row],[am]:[meat transportation]])/100</f>
        <v>0.86799999999999999</v>
      </c>
      <c r="AD1713" s="2"/>
      <c r="AE1713" s="2"/>
      <c r="AF1713" s="2"/>
      <c r="AG1713" s="2"/>
      <c r="AH1713" s="2"/>
      <c r="AI1713" s="2"/>
      <c r="AJ1713" s="2"/>
    </row>
    <row r="1714" spans="1:36" hidden="1" x14ac:dyDescent="0.2">
      <c r="A1714" s="11">
        <v>43662</v>
      </c>
      <c r="B1714" s="53" t="s">
        <v>1325</v>
      </c>
      <c r="C1714" s="52" t="str">
        <f>IF(MID(B1714,4,2)="09","Ramadan",IF(AND(MID(B1714,4,2)="12",VALUE(LEFT(B1714,2))&lt;=9),"Adha Season","Normal"))</f>
        <v>Normal</v>
      </c>
      <c r="D1714" s="1" t="s">
        <v>45</v>
      </c>
      <c r="F1714" s="4" t="s">
        <v>36</v>
      </c>
      <c r="G1714" s="2">
        <v>20</v>
      </c>
      <c r="H1714" s="2">
        <v>19</v>
      </c>
      <c r="I1714" s="2">
        <f>grand[[#This Row],[number]]-grand[[#This Row],[received]]</f>
        <v>1</v>
      </c>
      <c r="J1714" s="30"/>
      <c r="K1714" s="2">
        <v>8693</v>
      </c>
      <c r="L1714" s="2">
        <v>8413</v>
      </c>
      <c r="M1714" s="2">
        <f>K1714-L1714</f>
        <v>280</v>
      </c>
      <c r="N1714" s="2">
        <v>5218.8</v>
      </c>
      <c r="O1714" s="2">
        <v>149</v>
      </c>
      <c r="P1714" s="7">
        <f>grand[[#This Row],[total weight]]/grand[[#This Row],[received]]</f>
        <v>457.5263157894737</v>
      </c>
      <c r="Q1714" s="7">
        <f>grand[[#This Row],[receiving weight]]/grand[[#This Row],[received]]</f>
        <v>442.78947368421052</v>
      </c>
      <c r="R1714" s="7">
        <f>grand[[#This Row],[transportation loss ]]/grand[[#This Row],[received]]</f>
        <v>14.736842105263158</v>
      </c>
      <c r="S1714" s="7">
        <f>grand[[#This Row],[ carcass weight]]/grand[[#This Row],[received]]</f>
        <v>274.67368421052635</v>
      </c>
      <c r="T1714" s="7">
        <f>grand[[#This Row],[ kidneys fat quantity]]/grand[[#This Row],[received]]</f>
        <v>7.8421052631578947</v>
      </c>
      <c r="U1714" s="2">
        <v>25</v>
      </c>
      <c r="V1714" s="2"/>
      <c r="W1714" s="2">
        <v>49.5</v>
      </c>
      <c r="X1714" s="2">
        <v>10</v>
      </c>
      <c r="Y1714" s="8">
        <v>8.5</v>
      </c>
      <c r="Z1714" s="3">
        <f>grand[[#This Row],[av. Transportation loss]]/grand[[#This Row],[av.total weight]]</f>
        <v>3.2209823996318873E-2</v>
      </c>
      <c r="AA1714" s="12">
        <f>AVERAGE((grand[[#This Row],[am]]/25),(grand[[#This Row],[pm]]/50))</f>
        <v>0.995</v>
      </c>
      <c r="AB1714" s="3">
        <f>grand[[#This Row],[ carcass weight]]/grand[[#This Row],[total weight]]</f>
        <v>0.60034510525710338</v>
      </c>
      <c r="AC1714" s="3">
        <f>SUM(grand[[#This Row],[am]:[meat transportation]])/100</f>
        <v>0.93</v>
      </c>
      <c r="AD1714" s="2"/>
      <c r="AE1714" s="2"/>
      <c r="AF1714" s="2"/>
      <c r="AG1714" s="2"/>
      <c r="AH1714" s="2"/>
      <c r="AI1714" s="2"/>
      <c r="AJ1714" s="2"/>
    </row>
    <row r="1715" spans="1:36" hidden="1" x14ac:dyDescent="0.2">
      <c r="A1715" s="11">
        <v>43664</v>
      </c>
      <c r="B1715" s="53" t="s">
        <v>1326</v>
      </c>
      <c r="C1715" s="52" t="str">
        <f>IF(MID(B1715,4,2)="09","Ramadan",IF(AND(MID(B1715,4,2)="12",VALUE(LEFT(B1715,2))&lt;=9),"Adha Season","Normal"))</f>
        <v>Normal</v>
      </c>
      <c r="D1715" s="1" t="s">
        <v>45</v>
      </c>
      <c r="F1715" s="4" t="s">
        <v>46</v>
      </c>
      <c r="G1715" s="2">
        <v>23</v>
      </c>
      <c r="H1715" s="2">
        <v>22</v>
      </c>
      <c r="I1715" s="2">
        <f>grand[[#This Row],[number]]-grand[[#This Row],[received]]</f>
        <v>1</v>
      </c>
      <c r="J1715" s="30"/>
      <c r="K1715" s="2">
        <v>10636</v>
      </c>
      <c r="L1715" s="2">
        <v>10401</v>
      </c>
      <c r="M1715" s="2">
        <f>K1715-L1715</f>
        <v>235</v>
      </c>
      <c r="N1715" s="2">
        <v>6383</v>
      </c>
      <c r="O1715" s="2">
        <v>192</v>
      </c>
      <c r="P1715" s="7">
        <f>grand[[#This Row],[total weight]]/grand[[#This Row],[received]]</f>
        <v>483.45454545454544</v>
      </c>
      <c r="Q1715" s="7">
        <f>grand[[#This Row],[receiving weight]]/grand[[#This Row],[received]]</f>
        <v>472.77272727272725</v>
      </c>
      <c r="R1715" s="7">
        <f>grand[[#This Row],[transportation loss ]]/grand[[#This Row],[received]]</f>
        <v>10.681818181818182</v>
      </c>
      <c r="S1715" s="7">
        <f>grand[[#This Row],[ carcass weight]]/grand[[#This Row],[received]]</f>
        <v>290.13636363636363</v>
      </c>
      <c r="T1715" s="7">
        <f>grand[[#This Row],[ kidneys fat quantity]]/grand[[#This Row],[received]]</f>
        <v>8.7272727272727266</v>
      </c>
      <c r="U1715" s="2">
        <v>23.3</v>
      </c>
      <c r="V1715" s="2"/>
      <c r="W1715" s="2">
        <v>49.9</v>
      </c>
      <c r="X1715" s="2">
        <v>10</v>
      </c>
      <c r="Y1715" s="8">
        <v>8.5</v>
      </c>
      <c r="Z1715" s="3">
        <f>grand[[#This Row],[av. Transportation loss]]/grand[[#This Row],[av.total weight]]</f>
        <v>2.2094772470853705E-2</v>
      </c>
      <c r="AA1715" s="12">
        <f>AVERAGE((grand[[#This Row],[am]]/25),(grand[[#This Row],[pm]]/50))</f>
        <v>0.96500000000000008</v>
      </c>
      <c r="AB1715" s="3">
        <f>grand[[#This Row],[ carcass weight]]/grand[[#This Row],[total weight]]</f>
        <v>0.60013162843174128</v>
      </c>
      <c r="AC1715" s="3">
        <f>SUM(grand[[#This Row],[am]:[meat transportation]])/100</f>
        <v>0.91700000000000004</v>
      </c>
      <c r="AD1715" s="2"/>
      <c r="AE1715" s="2"/>
      <c r="AF1715" s="2"/>
      <c r="AG1715" s="2"/>
      <c r="AH1715" s="2"/>
      <c r="AI1715" s="2"/>
      <c r="AJ1715" s="2"/>
    </row>
    <row r="1716" spans="1:36" hidden="1" x14ac:dyDescent="0.2">
      <c r="A1716" s="11">
        <v>43671</v>
      </c>
      <c r="B1716" s="53" t="s">
        <v>1329</v>
      </c>
      <c r="C1716" s="52" t="str">
        <f>IF(MID(B1716,4,2)="09","Ramadan",IF(AND(MID(B1716,4,2)="12",VALUE(LEFT(B1716,2))&lt;=9),"Adha Season","Normal"))</f>
        <v>Normal</v>
      </c>
      <c r="D1716" s="1" t="s">
        <v>45</v>
      </c>
      <c r="F1716" s="4" t="s">
        <v>46</v>
      </c>
      <c r="G1716" s="2">
        <v>21</v>
      </c>
      <c r="H1716" s="2">
        <v>20</v>
      </c>
      <c r="I1716" s="2">
        <f>grand[[#This Row],[number]]-grand[[#This Row],[received]]</f>
        <v>1</v>
      </c>
      <c r="J1716" s="30"/>
      <c r="K1716" s="2">
        <v>10735</v>
      </c>
      <c r="L1716" s="2">
        <v>10285</v>
      </c>
      <c r="M1716" s="2">
        <f>K1716-L1716</f>
        <v>450</v>
      </c>
      <c r="N1716" s="2">
        <v>6565.6</v>
      </c>
      <c r="O1716" s="2">
        <v>196</v>
      </c>
      <c r="P1716" s="7">
        <f>grand[[#This Row],[total weight]]/grand[[#This Row],[received]]</f>
        <v>536.75</v>
      </c>
      <c r="Q1716" s="7">
        <f>grand[[#This Row],[receiving weight]]/grand[[#This Row],[received]]</f>
        <v>514.25</v>
      </c>
      <c r="R1716" s="7">
        <f>grand[[#This Row],[transportation loss ]]/grand[[#This Row],[received]]</f>
        <v>22.5</v>
      </c>
      <c r="S1716" s="7">
        <f>grand[[#This Row],[ carcass weight]]/grand[[#This Row],[received]]</f>
        <v>328.28000000000003</v>
      </c>
      <c r="T1716" s="7">
        <f>grand[[#This Row],[ kidneys fat quantity]]/grand[[#This Row],[received]]</f>
        <v>9.8000000000000007</v>
      </c>
      <c r="U1716" s="2">
        <v>25</v>
      </c>
      <c r="V1716" s="2"/>
      <c r="W1716" s="2">
        <v>49.4</v>
      </c>
      <c r="X1716" s="2">
        <v>10</v>
      </c>
      <c r="Y1716" s="8">
        <v>8.5</v>
      </c>
      <c r="Z1716" s="3">
        <f>grand[[#This Row],[av. Transportation loss]]/grand[[#This Row],[av.total weight]]</f>
        <v>4.1918956683744762E-2</v>
      </c>
      <c r="AA1716" s="12">
        <f>AVERAGE((grand[[#This Row],[am]]/25),(grand[[#This Row],[pm]]/50))</f>
        <v>0.99399999999999999</v>
      </c>
      <c r="AB1716" s="3">
        <f>grand[[#This Row],[ carcass weight]]/grand[[#This Row],[total weight]]</f>
        <v>0.61160689333954354</v>
      </c>
      <c r="AC1716" s="3">
        <f>SUM(grand[[#This Row],[am]:[meat transportation]])/100</f>
        <v>0.92900000000000005</v>
      </c>
      <c r="AD1716" s="2"/>
      <c r="AE1716" s="2"/>
      <c r="AF1716" s="2"/>
      <c r="AG1716" s="2"/>
      <c r="AH1716" s="2"/>
      <c r="AI1716" s="2"/>
      <c r="AJ1716" s="2"/>
    </row>
    <row r="1717" spans="1:36" hidden="1" x14ac:dyDescent="0.2">
      <c r="A1717" s="11">
        <v>43683</v>
      </c>
      <c r="B1717" s="53" t="s">
        <v>1336</v>
      </c>
      <c r="C1717" s="52" t="str">
        <f>IF(MID(B1717,4,2)="09","Ramadan",IF(AND(MID(B1717,4,2)="12",VALUE(LEFT(B1717,2))&lt;=9),"Adha Season","Normal"))</f>
        <v>Adha Season</v>
      </c>
      <c r="D1717" s="1" t="s">
        <v>45</v>
      </c>
      <c r="F1717" s="4" t="s">
        <v>46</v>
      </c>
      <c r="G1717" s="2">
        <v>26</v>
      </c>
      <c r="H1717" s="2">
        <v>25</v>
      </c>
      <c r="I1717" s="2">
        <f>grand[[#This Row],[number]]-grand[[#This Row],[received]]</f>
        <v>1</v>
      </c>
      <c r="J1717" s="30"/>
      <c r="K1717" s="2"/>
      <c r="L1717" s="2"/>
      <c r="M1717" s="2">
        <f>K1717-L1717</f>
        <v>0</v>
      </c>
      <c r="N1717" s="2"/>
      <c r="O1717" s="2"/>
      <c r="P1717" s="7"/>
      <c r="Q1717" s="7"/>
      <c r="R1717" s="7"/>
      <c r="S1717" s="7"/>
      <c r="T1717" s="7"/>
      <c r="U1717" s="2">
        <v>21.6</v>
      </c>
      <c r="V1717" s="2"/>
      <c r="W1717" s="2">
        <v>49.3</v>
      </c>
      <c r="X1717" s="2">
        <v>10</v>
      </c>
      <c r="Y1717" s="8">
        <v>8.5</v>
      </c>
      <c r="Z1717" s="3"/>
      <c r="AA1717" s="12">
        <f>AVERAGE((grand[[#This Row],[am]]/25),(grand[[#This Row],[pm]]/50))</f>
        <v>0.92500000000000004</v>
      </c>
      <c r="AB1717" s="3"/>
      <c r="AC1717" s="3">
        <f>SUM(grand[[#This Row],[am]:[meat transportation]])/100</f>
        <v>0.89400000000000002</v>
      </c>
      <c r="AD1717" s="2"/>
      <c r="AE1717" s="2"/>
      <c r="AF1717" s="2"/>
      <c r="AG1717" s="2"/>
      <c r="AH1717" s="2"/>
      <c r="AI1717" s="2"/>
      <c r="AJ1717" s="2"/>
    </row>
    <row r="1718" spans="1:36" hidden="1" x14ac:dyDescent="0.2">
      <c r="A1718" s="11">
        <v>43685</v>
      </c>
      <c r="B1718" s="53" t="s">
        <v>1338</v>
      </c>
      <c r="C1718" s="52" t="str">
        <f>IF(MID(B1718,4,2)="09","Ramadan",IF(AND(MID(B1718,4,2)="12",VALUE(LEFT(B1718,2))&lt;=9),"Adha Season","Normal"))</f>
        <v>Adha Season</v>
      </c>
      <c r="D1718" s="1" t="s">
        <v>45</v>
      </c>
      <c r="F1718" s="4" t="s">
        <v>46</v>
      </c>
      <c r="G1718" s="2">
        <v>33</v>
      </c>
      <c r="H1718" s="2">
        <v>32</v>
      </c>
      <c r="I1718" s="2">
        <f>grand[[#This Row],[number]]-grand[[#This Row],[received]]</f>
        <v>1</v>
      </c>
      <c r="J1718" s="30"/>
      <c r="K1718" s="2">
        <v>15050</v>
      </c>
      <c r="L1718" s="2">
        <v>15050</v>
      </c>
      <c r="M1718" s="2">
        <f>K1718-L1718</f>
        <v>0</v>
      </c>
      <c r="N1718" s="2">
        <v>9029.5</v>
      </c>
      <c r="O1718" s="2"/>
      <c r="P1718" s="7">
        <f>grand[[#This Row],[total weight]]/grand[[#This Row],[received]]</f>
        <v>470.3125</v>
      </c>
      <c r="Q1718" s="7">
        <f>grand[[#This Row],[receiving weight]]/grand[[#This Row],[received]]</f>
        <v>470.3125</v>
      </c>
      <c r="R1718" s="7"/>
      <c r="S1718" s="7">
        <f>grand[[#This Row],[ carcass weight]]/grand[[#This Row],[received]]</f>
        <v>282.171875</v>
      </c>
      <c r="T1718" s="7"/>
      <c r="U1718" s="2">
        <v>23</v>
      </c>
      <c r="V1718" s="2"/>
      <c r="W1718" s="2">
        <v>46</v>
      </c>
      <c r="X1718" s="2">
        <v>10</v>
      </c>
      <c r="Y1718" s="8">
        <v>8.5</v>
      </c>
      <c r="Z1718" s="3">
        <f>grand[[#This Row],[av. Transportation loss]]/grand[[#This Row],[av.total weight]]</f>
        <v>0</v>
      </c>
      <c r="AA1718" s="12">
        <f>AVERAGE((grand[[#This Row],[am]]/25),(grand[[#This Row],[pm]]/50))</f>
        <v>0.92</v>
      </c>
      <c r="AB1718" s="3">
        <f>grand[[#This Row],[ carcass weight]]/grand[[#This Row],[total weight]]</f>
        <v>0.59996677740863791</v>
      </c>
      <c r="AC1718" s="3">
        <f>SUM(grand[[#This Row],[am]:[meat transportation]])/100</f>
        <v>0.875</v>
      </c>
      <c r="AD1718" s="2"/>
      <c r="AE1718" s="2"/>
      <c r="AF1718" s="2"/>
      <c r="AG1718" s="2"/>
      <c r="AH1718" s="2"/>
      <c r="AI1718" s="2"/>
      <c r="AJ1718" s="2"/>
    </row>
    <row r="1719" spans="1:36" hidden="1" x14ac:dyDescent="0.2">
      <c r="A1719" s="11">
        <v>43706</v>
      </c>
      <c r="B1719" s="53" t="s">
        <v>1347</v>
      </c>
      <c r="C1719" s="52" t="str">
        <f>IF(MID(B1719,4,2)="09","Ramadan",IF(AND(MID(B1719,4,2)="12",VALUE(LEFT(B1719,2))&lt;=9),"Adha Season","Normal"))</f>
        <v>Normal</v>
      </c>
      <c r="D1719" s="1" t="s">
        <v>45</v>
      </c>
      <c r="F1719" s="4" t="s">
        <v>46</v>
      </c>
      <c r="G1719" s="2">
        <v>25</v>
      </c>
      <c r="H1719" s="2">
        <v>24</v>
      </c>
      <c r="I1719" s="2">
        <f>grand[[#This Row],[number]]-grand[[#This Row],[received]]</f>
        <v>1</v>
      </c>
      <c r="J1719" s="30"/>
      <c r="K1719" s="2"/>
      <c r="L1719" s="2"/>
      <c r="M1719" s="2">
        <f>K1719-L1719</f>
        <v>0</v>
      </c>
      <c r="N1719" s="2"/>
      <c r="O1719" s="2"/>
      <c r="P1719" s="7"/>
      <c r="Q1719" s="7"/>
      <c r="R1719" s="7"/>
      <c r="S1719" s="7"/>
      <c r="T1719" s="7"/>
      <c r="U1719" s="2">
        <v>25</v>
      </c>
      <c r="V1719" s="2"/>
      <c r="W1719" s="2">
        <v>49.8</v>
      </c>
      <c r="X1719" s="2">
        <v>10</v>
      </c>
      <c r="Y1719" s="8">
        <v>8.5</v>
      </c>
      <c r="Z1719" s="3"/>
      <c r="AA1719" s="12">
        <f>AVERAGE((grand[[#This Row],[am]]/25),(grand[[#This Row],[pm]]/50))</f>
        <v>0.998</v>
      </c>
      <c r="AB1719" s="3"/>
      <c r="AC1719" s="3">
        <f>SUM(grand[[#This Row],[am]:[meat transportation]])/100</f>
        <v>0.93299999999999994</v>
      </c>
      <c r="AD1719" s="2"/>
      <c r="AE1719" s="2"/>
      <c r="AF1719" s="2"/>
      <c r="AG1719" s="2"/>
      <c r="AH1719" s="2"/>
      <c r="AI1719" s="2"/>
      <c r="AJ1719" s="2"/>
    </row>
    <row r="1720" spans="1:36" hidden="1" x14ac:dyDescent="0.2">
      <c r="A1720" s="11">
        <v>43709</v>
      </c>
      <c r="B1720" s="53" t="s">
        <v>1348</v>
      </c>
      <c r="C1720" s="52" t="str">
        <f>IF(MID(B1720,4,2)="09","Ramadan",IF(AND(MID(B1720,4,2)="12",VALUE(LEFT(B1720,2))&lt;=9),"Adha Season","Normal"))</f>
        <v>Normal</v>
      </c>
      <c r="D1720" s="1" t="s">
        <v>45</v>
      </c>
      <c r="F1720" s="4" t="s">
        <v>39</v>
      </c>
      <c r="G1720" s="2">
        <v>26</v>
      </c>
      <c r="H1720" s="2">
        <v>25</v>
      </c>
      <c r="I1720" s="2">
        <f>grand[[#This Row],[number]]-grand[[#This Row],[received]]</f>
        <v>1</v>
      </c>
      <c r="J1720" s="30"/>
      <c r="K1720" s="2">
        <v>9450</v>
      </c>
      <c r="L1720" s="2">
        <v>8820</v>
      </c>
      <c r="M1720" s="2">
        <f>K1720-L1720</f>
        <v>630</v>
      </c>
      <c r="N1720" s="2">
        <v>5776.7</v>
      </c>
      <c r="O1720" s="2"/>
      <c r="P1720" s="7">
        <f>grand[[#This Row],[total weight]]/grand[[#This Row],[received]]</f>
        <v>378</v>
      </c>
      <c r="Q1720" s="7">
        <f>grand[[#This Row],[receiving weight]]/grand[[#This Row],[received]]</f>
        <v>352.8</v>
      </c>
      <c r="R1720" s="7">
        <f>grand[[#This Row],[transportation loss ]]/grand[[#This Row],[received]]</f>
        <v>25.2</v>
      </c>
      <c r="S1720" s="7">
        <f>grand[[#This Row],[ carcass weight]]/grand[[#This Row],[received]]</f>
        <v>231.06799999999998</v>
      </c>
      <c r="T1720" s="7"/>
      <c r="U1720" s="2">
        <v>25</v>
      </c>
      <c r="V1720" s="2"/>
      <c r="W1720" s="2">
        <v>49.9</v>
      </c>
      <c r="X1720" s="2">
        <v>10</v>
      </c>
      <c r="Y1720" s="8">
        <v>8.5</v>
      </c>
      <c r="Z1720" s="3">
        <f>grand[[#This Row],[av. Transportation loss]]/grand[[#This Row],[av.total weight]]</f>
        <v>6.6666666666666666E-2</v>
      </c>
      <c r="AA1720" s="12">
        <f>AVERAGE((grand[[#This Row],[am]]/25),(grand[[#This Row],[pm]]/50))</f>
        <v>0.999</v>
      </c>
      <c r="AB1720" s="3">
        <f>grand[[#This Row],[ carcass weight]]/grand[[#This Row],[total weight]]</f>
        <v>0.61129100529100522</v>
      </c>
      <c r="AC1720" s="3">
        <f>SUM(grand[[#This Row],[am]:[meat transportation]])/100</f>
        <v>0.93400000000000005</v>
      </c>
      <c r="AD1720" s="2"/>
      <c r="AE1720" s="2"/>
      <c r="AF1720" s="2"/>
      <c r="AG1720" s="2"/>
      <c r="AH1720" s="2"/>
      <c r="AI1720" s="2"/>
      <c r="AJ1720" s="2"/>
    </row>
    <row r="1721" spans="1:36" hidden="1" x14ac:dyDescent="0.2">
      <c r="A1721" s="11">
        <v>43713</v>
      </c>
      <c r="B1721" s="53" t="s">
        <v>1350</v>
      </c>
      <c r="C1721" s="52" t="str">
        <f>IF(MID(B1721,4,2)="09","Ramadan",IF(AND(MID(B1721,4,2)="12",VALUE(LEFT(B1721,2))&lt;=9),"Adha Season","Normal"))</f>
        <v>Normal</v>
      </c>
      <c r="D1721" s="1" t="s">
        <v>45</v>
      </c>
      <c r="F1721" s="4" t="s">
        <v>46</v>
      </c>
      <c r="G1721" s="2">
        <v>33</v>
      </c>
      <c r="H1721" s="2">
        <v>32</v>
      </c>
      <c r="I1721" s="2">
        <f>grand[[#This Row],[number]]-grand[[#This Row],[received]]</f>
        <v>1</v>
      </c>
      <c r="J1721" s="30"/>
      <c r="K1721" s="2">
        <v>15779</v>
      </c>
      <c r="L1721" s="2">
        <v>14904</v>
      </c>
      <c r="M1721" s="2">
        <f>K1721-L1721</f>
        <v>875</v>
      </c>
      <c r="N1721" s="2">
        <v>9468</v>
      </c>
      <c r="O1721" s="2">
        <v>256</v>
      </c>
      <c r="P1721" s="7">
        <f>grand[[#This Row],[total weight]]/grand[[#This Row],[received]]</f>
        <v>493.09375</v>
      </c>
      <c r="Q1721" s="7">
        <f>grand[[#This Row],[receiving weight]]/grand[[#This Row],[received]]</f>
        <v>465.75</v>
      </c>
      <c r="R1721" s="7">
        <f>grand[[#This Row],[transportation loss ]]/grand[[#This Row],[received]]</f>
        <v>27.34375</v>
      </c>
      <c r="S1721" s="7">
        <f>grand[[#This Row],[ carcass weight]]/grand[[#This Row],[received]]</f>
        <v>295.875</v>
      </c>
      <c r="T1721" s="7">
        <f>grand[[#This Row],[ kidneys fat quantity]]/grand[[#This Row],[received]]</f>
        <v>8</v>
      </c>
      <c r="U1721" s="2">
        <v>25</v>
      </c>
      <c r="V1721" s="2"/>
      <c r="W1721" s="2">
        <v>49.8</v>
      </c>
      <c r="X1721" s="2">
        <v>10</v>
      </c>
      <c r="Y1721" s="8">
        <v>8.5</v>
      </c>
      <c r="Z1721" s="3">
        <f>grand[[#This Row],[av. Transportation loss]]/grand[[#This Row],[av.total weight]]</f>
        <v>5.5453450789023383E-2</v>
      </c>
      <c r="AA1721" s="12">
        <f>AVERAGE((grand[[#This Row],[am]]/25),(grand[[#This Row],[pm]]/50))</f>
        <v>0.998</v>
      </c>
      <c r="AB1721" s="3">
        <f>grand[[#This Row],[ carcass weight]]/grand[[#This Row],[total weight]]</f>
        <v>0.60003802522339822</v>
      </c>
      <c r="AC1721" s="3">
        <f>SUM(grand[[#This Row],[am]:[meat transportation]])/100</f>
        <v>0.93299999999999994</v>
      </c>
      <c r="AD1721" s="2"/>
      <c r="AE1721" s="2"/>
      <c r="AF1721" s="2"/>
      <c r="AG1721" s="2"/>
      <c r="AH1721" s="2"/>
      <c r="AI1721" s="2"/>
      <c r="AJ1721" s="2"/>
    </row>
    <row r="1722" spans="1:36" hidden="1" x14ac:dyDescent="0.2">
      <c r="A1722" s="11">
        <v>43720</v>
      </c>
      <c r="B1722" s="53" t="s">
        <v>1353</v>
      </c>
      <c r="C1722" s="52" t="str">
        <f>IF(MID(B1722,4,2)="09","Ramadan",IF(AND(MID(B1722,4,2)="12",VALUE(LEFT(B1722,2))&lt;=9),"Adha Season","Normal"))</f>
        <v>Normal</v>
      </c>
      <c r="D1722" s="1" t="s">
        <v>45</v>
      </c>
      <c r="F1722" s="4" t="s">
        <v>46</v>
      </c>
      <c r="G1722" s="2">
        <v>22</v>
      </c>
      <c r="H1722" s="2">
        <v>21</v>
      </c>
      <c r="I1722" s="2">
        <f>grand[[#This Row],[number]]-grand[[#This Row],[received]]</f>
        <v>1</v>
      </c>
      <c r="J1722" s="30"/>
      <c r="K1722" s="2">
        <v>10036</v>
      </c>
      <c r="L1722" s="2">
        <v>9641</v>
      </c>
      <c r="M1722" s="2">
        <f>K1722-L1722</f>
        <v>395</v>
      </c>
      <c r="N1722" s="2">
        <v>6118.5</v>
      </c>
      <c r="O1722" s="2"/>
      <c r="P1722" s="7">
        <f>grand[[#This Row],[total weight]]/grand[[#This Row],[received]]</f>
        <v>477.90476190476193</v>
      </c>
      <c r="Q1722" s="7">
        <f>grand[[#This Row],[receiving weight]]/grand[[#This Row],[received]]</f>
        <v>459.09523809523807</v>
      </c>
      <c r="R1722" s="7">
        <f>grand[[#This Row],[transportation loss ]]/grand[[#This Row],[received]]</f>
        <v>18.80952380952381</v>
      </c>
      <c r="S1722" s="7">
        <f>grand[[#This Row],[ carcass weight]]/grand[[#This Row],[received]]</f>
        <v>291.35714285714283</v>
      </c>
      <c r="T1722" s="7"/>
      <c r="U1722" s="2">
        <v>25</v>
      </c>
      <c r="V1722" s="2"/>
      <c r="W1722" s="2">
        <v>49.7</v>
      </c>
      <c r="X1722" s="2">
        <v>10</v>
      </c>
      <c r="Y1722" s="8">
        <v>8.5</v>
      </c>
      <c r="Z1722" s="3">
        <f>grand[[#This Row],[av. Transportation loss]]/grand[[#This Row],[av.total weight]]</f>
        <v>3.9358310083698687E-2</v>
      </c>
      <c r="AA1722" s="12">
        <f>AVERAGE((grand[[#This Row],[am]]/25),(grand[[#This Row],[pm]]/50))</f>
        <v>0.99700000000000011</v>
      </c>
      <c r="AB1722" s="3">
        <f>grand[[#This Row],[ carcass weight]]/grand[[#This Row],[total weight]]</f>
        <v>0.60965524113192504</v>
      </c>
      <c r="AC1722" s="3">
        <f>SUM(grand[[#This Row],[am]:[meat transportation]])/100</f>
        <v>0.93200000000000005</v>
      </c>
      <c r="AD1722" s="2"/>
      <c r="AE1722" s="2"/>
      <c r="AF1722" s="2"/>
      <c r="AG1722" s="2"/>
      <c r="AH1722" s="2"/>
      <c r="AI1722" s="2"/>
      <c r="AJ1722" s="2"/>
    </row>
    <row r="1723" spans="1:36" hidden="1" x14ac:dyDescent="0.2">
      <c r="A1723" s="11">
        <v>43720</v>
      </c>
      <c r="B1723" s="53" t="s">
        <v>1353</v>
      </c>
      <c r="C1723" s="52" t="str">
        <f>IF(MID(B1723,4,2)="09","Ramadan",IF(AND(MID(B1723,4,2)="12",VALUE(LEFT(B1723,2))&lt;=9),"Adha Season","Normal"))</f>
        <v>Normal</v>
      </c>
      <c r="D1723" s="2" t="s">
        <v>294</v>
      </c>
      <c r="E1723" s="2"/>
      <c r="F1723" s="4" t="s">
        <v>35</v>
      </c>
      <c r="G1723" s="2">
        <v>20</v>
      </c>
      <c r="H1723" s="2">
        <v>19</v>
      </c>
      <c r="I1723" s="2">
        <f>grand[[#This Row],[number]]-grand[[#This Row],[received]]</f>
        <v>1</v>
      </c>
      <c r="J1723" s="30"/>
      <c r="K1723" s="2"/>
      <c r="L1723" s="2"/>
      <c r="M1723" s="2">
        <f>K1723-L1723</f>
        <v>0</v>
      </c>
      <c r="N1723" s="2"/>
      <c r="O1723" s="2"/>
      <c r="P1723" s="7">
        <f>grand[[#This Row],[total weight]]/grand[[#This Row],[received]]</f>
        <v>0</v>
      </c>
      <c r="Q1723" s="7">
        <f>grand[[#This Row],[receiving weight]]/grand[[#This Row],[received]]</f>
        <v>0</v>
      </c>
      <c r="R1723" s="7">
        <f>grand[[#This Row],[transportation loss ]]/grand[[#This Row],[received]]</f>
        <v>0</v>
      </c>
      <c r="S1723" s="7">
        <f>grand[[#This Row],[ carcass weight]]/grand[[#This Row],[received]]</f>
        <v>0</v>
      </c>
      <c r="T1723" s="7">
        <f>grand[[#This Row],[ kidneys fat quantity]]/grand[[#This Row],[received]]</f>
        <v>0</v>
      </c>
      <c r="U1723" s="2">
        <v>25</v>
      </c>
      <c r="V1723" s="2">
        <v>0</v>
      </c>
      <c r="W1723" s="2">
        <v>49.7</v>
      </c>
      <c r="X1723" s="2">
        <v>10</v>
      </c>
      <c r="Y1723" s="8">
        <v>8.5</v>
      </c>
      <c r="Z1723" s="3"/>
      <c r="AA1723" s="12">
        <f>AVERAGE((grand[[#This Row],[am]]/25),(grand[[#This Row],[pm]]/50))</f>
        <v>0.99700000000000011</v>
      </c>
      <c r="AB1723" s="3"/>
      <c r="AC1723" s="3">
        <f>SUM(grand[[#This Row],[am]:[meat transportation]])/100</f>
        <v>0.93200000000000005</v>
      </c>
      <c r="AD1723" s="2"/>
      <c r="AE1723" s="2"/>
      <c r="AF1723" s="2"/>
      <c r="AG1723" s="2"/>
      <c r="AH1723" s="2"/>
      <c r="AI1723" s="2"/>
      <c r="AJ1723" s="2"/>
    </row>
    <row r="1724" spans="1:36" hidden="1" x14ac:dyDescent="0.2">
      <c r="A1724" s="11">
        <v>43727</v>
      </c>
      <c r="B1724" s="53" t="s">
        <v>1356</v>
      </c>
      <c r="C1724" s="52" t="str">
        <f>IF(MID(B1724,4,2)="09","Ramadan",IF(AND(MID(B1724,4,2)="12",VALUE(LEFT(B1724,2))&lt;=9),"Adha Season","Normal"))</f>
        <v>Normal</v>
      </c>
      <c r="D1724" s="1" t="s">
        <v>45</v>
      </c>
      <c r="F1724" s="4" t="s">
        <v>46</v>
      </c>
      <c r="G1724" s="2">
        <v>33</v>
      </c>
      <c r="H1724" s="2">
        <v>32</v>
      </c>
      <c r="I1724" s="2">
        <f>grand[[#This Row],[number]]-grand[[#This Row],[received]]</f>
        <v>1</v>
      </c>
      <c r="J1724" s="30"/>
      <c r="K1724" s="2">
        <v>14691</v>
      </c>
      <c r="L1724" s="2">
        <v>14061</v>
      </c>
      <c r="M1724" s="2">
        <f>K1724-L1724</f>
        <v>630</v>
      </c>
      <c r="N1724" s="2">
        <v>8817.7000000000007</v>
      </c>
      <c r="O1724" s="2"/>
      <c r="P1724" s="7">
        <f>grand[[#This Row],[total weight]]/grand[[#This Row],[received]]</f>
        <v>459.09375</v>
      </c>
      <c r="Q1724" s="7">
        <f>grand[[#This Row],[receiving weight]]/grand[[#This Row],[received]]</f>
        <v>439.40625</v>
      </c>
      <c r="R1724" s="7">
        <f>grand[[#This Row],[transportation loss ]]/grand[[#This Row],[received]]</f>
        <v>19.6875</v>
      </c>
      <c r="S1724" s="7">
        <f>grand[[#This Row],[ carcass weight]]/grand[[#This Row],[received]]</f>
        <v>275.55312500000002</v>
      </c>
      <c r="T1724" s="7"/>
      <c r="U1724" s="2">
        <v>25</v>
      </c>
      <c r="V1724" s="2"/>
      <c r="W1724" s="2">
        <v>49.7</v>
      </c>
      <c r="X1724" s="2">
        <v>10</v>
      </c>
      <c r="Y1724" s="8">
        <v>8.5</v>
      </c>
      <c r="Z1724" s="3">
        <f>grand[[#This Row],[av. Transportation loss]]/grand[[#This Row],[av.total weight]]</f>
        <v>4.2883397998774761E-2</v>
      </c>
      <c r="AA1724" s="12">
        <f>AVERAGE((grand[[#This Row],[am]]/25),(grand[[#This Row],[pm]]/50))</f>
        <v>0.99700000000000011</v>
      </c>
      <c r="AB1724" s="3">
        <f>grand[[#This Row],[ carcass weight]]/grand[[#This Row],[total weight]]</f>
        <v>0.60021101354570827</v>
      </c>
      <c r="AC1724" s="3">
        <f>SUM(grand[[#This Row],[am]:[meat transportation]])/100</f>
        <v>0.93200000000000005</v>
      </c>
      <c r="AD1724" s="2"/>
      <c r="AE1724" s="2"/>
      <c r="AF1724" s="2"/>
      <c r="AG1724" s="2"/>
      <c r="AH1724" s="2"/>
      <c r="AI1724" s="2"/>
      <c r="AJ1724" s="2"/>
    </row>
    <row r="1725" spans="1:36" hidden="1" x14ac:dyDescent="0.2">
      <c r="A1725" s="11">
        <v>43732</v>
      </c>
      <c r="B1725" s="53" t="s">
        <v>1358</v>
      </c>
      <c r="C1725" s="52" t="str">
        <f>IF(MID(B1725,4,2)="09","Ramadan",IF(AND(MID(B1725,4,2)="12",VALUE(LEFT(B1725,2))&lt;=9),"Adha Season","Normal"))</f>
        <v>Normal</v>
      </c>
      <c r="D1725" s="1" t="s">
        <v>45</v>
      </c>
      <c r="F1725" s="4" t="s">
        <v>46</v>
      </c>
      <c r="G1725" s="2">
        <v>24</v>
      </c>
      <c r="H1725" s="2">
        <v>23</v>
      </c>
      <c r="I1725" s="2">
        <f>grand[[#This Row],[number]]-grand[[#This Row],[received]]</f>
        <v>1</v>
      </c>
      <c r="J1725" s="30"/>
      <c r="K1725" s="2">
        <v>10573</v>
      </c>
      <c r="L1725" s="2">
        <v>10193</v>
      </c>
      <c r="M1725" s="2">
        <f>K1725-L1725</f>
        <v>380</v>
      </c>
      <c r="N1725" s="2">
        <v>6467.9</v>
      </c>
      <c r="O1725" s="2"/>
      <c r="P1725" s="7">
        <f>grand[[#This Row],[total weight]]/grand[[#This Row],[received]]</f>
        <v>459.69565217391306</v>
      </c>
      <c r="Q1725" s="7">
        <f>grand[[#This Row],[receiving weight]]/grand[[#This Row],[received]]</f>
        <v>443.17391304347825</v>
      </c>
      <c r="R1725" s="7">
        <f>grand[[#This Row],[transportation loss ]]/grand[[#This Row],[received]]</f>
        <v>16.521739130434781</v>
      </c>
      <c r="S1725" s="7">
        <f>grand[[#This Row],[ carcass weight]]/grand[[#This Row],[received]]</f>
        <v>281.21304347826083</v>
      </c>
      <c r="T1725" s="7"/>
      <c r="U1725" s="2">
        <v>25</v>
      </c>
      <c r="V1725" s="2"/>
      <c r="W1725" s="2">
        <v>49.4</v>
      </c>
      <c r="X1725" s="2">
        <v>10</v>
      </c>
      <c r="Y1725" s="8">
        <v>8.5</v>
      </c>
      <c r="Z1725" s="3">
        <f>grand[[#This Row],[av. Transportation loss]]/grand[[#This Row],[av.total weight]]</f>
        <v>3.5940603423815373E-2</v>
      </c>
      <c r="AA1725" s="12">
        <f>AVERAGE((grand[[#This Row],[am]]/25),(grand[[#This Row],[pm]]/50))</f>
        <v>0.99399999999999999</v>
      </c>
      <c r="AB1725" s="3">
        <f>grand[[#This Row],[ carcass weight]]/grand[[#This Row],[total weight]]</f>
        <v>0.61173744443393541</v>
      </c>
      <c r="AC1725" s="3">
        <f>SUM(grand[[#This Row],[am]:[meat transportation]])/100</f>
        <v>0.92900000000000005</v>
      </c>
      <c r="AD1725" s="2"/>
      <c r="AE1725" s="2"/>
      <c r="AF1725" s="2"/>
      <c r="AG1725" s="2"/>
      <c r="AH1725" s="2"/>
      <c r="AI1725" s="2"/>
      <c r="AJ1725" s="2"/>
    </row>
    <row r="1726" spans="1:36" hidden="1" x14ac:dyDescent="0.2">
      <c r="A1726" s="11">
        <v>43741</v>
      </c>
      <c r="B1726" s="53" t="s">
        <v>1361</v>
      </c>
      <c r="C1726" s="52" t="str">
        <f>IF(MID(B1726,4,2)="09","Ramadan",IF(AND(MID(B1726,4,2)="12",VALUE(LEFT(B1726,2))&lt;=9),"Adha Season","Normal"))</f>
        <v>Normal</v>
      </c>
      <c r="D1726" s="1" t="s">
        <v>45</v>
      </c>
      <c r="F1726" s="4" t="s">
        <v>46</v>
      </c>
      <c r="G1726" s="2">
        <v>24</v>
      </c>
      <c r="H1726" s="2">
        <v>23</v>
      </c>
      <c r="I1726" s="2">
        <f>grand[[#This Row],[number]]-grand[[#This Row],[received]]</f>
        <v>1</v>
      </c>
      <c r="J1726" s="30"/>
      <c r="K1726" s="2"/>
      <c r="L1726" s="2"/>
      <c r="M1726" s="2">
        <f>K1726-L1726</f>
        <v>0</v>
      </c>
      <c r="N1726" s="2"/>
      <c r="O1726" s="2"/>
      <c r="P1726" s="7"/>
      <c r="Q1726" s="7"/>
      <c r="R1726" s="7"/>
      <c r="S1726" s="7"/>
      <c r="T1726" s="7"/>
      <c r="U1726" s="2">
        <v>19.8</v>
      </c>
      <c r="V1726" s="2"/>
      <c r="W1726" s="2">
        <v>49.7</v>
      </c>
      <c r="X1726" s="2">
        <v>10</v>
      </c>
      <c r="Y1726" s="8">
        <v>8.5</v>
      </c>
      <c r="Z1726" s="3"/>
      <c r="AA1726" s="12">
        <f>AVERAGE((grand[[#This Row],[am]]/25),(grand[[#This Row],[pm]]/50))</f>
        <v>0.89300000000000002</v>
      </c>
      <c r="AB1726" s="3"/>
      <c r="AC1726" s="3">
        <f>SUM(grand[[#This Row],[am]:[meat transportation]])/100</f>
        <v>0.88</v>
      </c>
      <c r="AD1726" s="2"/>
      <c r="AE1726" s="2"/>
      <c r="AF1726" s="2"/>
      <c r="AG1726" s="2"/>
      <c r="AH1726" s="2"/>
      <c r="AI1726" s="2"/>
      <c r="AJ1726" s="2"/>
    </row>
    <row r="1727" spans="1:36" hidden="1" x14ac:dyDescent="0.2">
      <c r="A1727" s="11">
        <v>43744</v>
      </c>
      <c r="B1727" s="53" t="s">
        <v>1362</v>
      </c>
      <c r="C1727" s="52" t="str">
        <f>IF(MID(B1727,4,2)="09","Ramadan",IF(AND(MID(B1727,4,2)="12",VALUE(LEFT(B1727,2))&lt;=9),"Adha Season","Normal"))</f>
        <v>Normal</v>
      </c>
      <c r="D1727" s="1" t="s">
        <v>45</v>
      </c>
      <c r="F1727" s="4" t="s">
        <v>43</v>
      </c>
      <c r="G1727" s="2">
        <v>8</v>
      </c>
      <c r="H1727" s="2">
        <v>7</v>
      </c>
      <c r="I1727" s="2">
        <f>grand[[#This Row],[number]]-grand[[#This Row],[received]]</f>
        <v>1</v>
      </c>
      <c r="J1727" s="30"/>
      <c r="K1727" s="2">
        <v>2709</v>
      </c>
      <c r="L1727" s="2">
        <v>2648</v>
      </c>
      <c r="M1727" s="2">
        <f>K1727-L1727</f>
        <v>61</v>
      </c>
      <c r="N1727" s="2">
        <v>1675.97</v>
      </c>
      <c r="O1727" s="2">
        <v>41.18</v>
      </c>
      <c r="P1727" s="7">
        <f>grand[[#This Row],[total weight]]/grand[[#This Row],[received]]</f>
        <v>387</v>
      </c>
      <c r="Q1727" s="7">
        <f>grand[[#This Row],[receiving weight]]/grand[[#This Row],[received]]</f>
        <v>378.28571428571428</v>
      </c>
      <c r="R1727" s="7">
        <f>grand[[#This Row],[transportation loss ]]/grand[[#This Row],[received]]</f>
        <v>8.7142857142857135</v>
      </c>
      <c r="S1727" s="7">
        <f>grand[[#This Row],[ carcass weight]]/grand[[#This Row],[received]]</f>
        <v>239.42428571428573</v>
      </c>
      <c r="T1727" s="7">
        <f>grand[[#This Row],[ kidneys fat quantity]]/grand[[#This Row],[received]]</f>
        <v>5.8828571428571426</v>
      </c>
      <c r="U1727" s="2">
        <v>25</v>
      </c>
      <c r="V1727" s="2"/>
      <c r="W1727" s="2">
        <v>49.8</v>
      </c>
      <c r="X1727" s="2">
        <v>10</v>
      </c>
      <c r="Y1727" s="8">
        <v>8.5</v>
      </c>
      <c r="Z1727" s="3">
        <f>grand[[#This Row],[av. Transportation loss]]/grand[[#This Row],[av.total weight]]</f>
        <v>2.251753414544112E-2</v>
      </c>
      <c r="AA1727" s="12">
        <f>AVERAGE((grand[[#This Row],[am]]/25),(grand[[#This Row],[pm]]/50))</f>
        <v>0.998</v>
      </c>
      <c r="AB1727" s="3">
        <f>grand[[#This Row],[ carcass weight]]/grand[[#This Row],[total weight]]</f>
        <v>0.61866740494647476</v>
      </c>
      <c r="AC1727" s="3">
        <f>SUM(grand[[#This Row],[am]:[meat transportation]])/100</f>
        <v>0.93299999999999994</v>
      </c>
      <c r="AD1727" s="2"/>
      <c r="AE1727" s="2"/>
      <c r="AF1727" s="2"/>
      <c r="AG1727" s="2"/>
      <c r="AH1727" s="2"/>
      <c r="AI1727" s="2"/>
      <c r="AJ1727" s="2"/>
    </row>
    <row r="1728" spans="1:36" hidden="1" x14ac:dyDescent="0.2">
      <c r="A1728" s="11">
        <v>43772</v>
      </c>
      <c r="B1728" s="53" t="s">
        <v>1374</v>
      </c>
      <c r="C1728" s="52" t="str">
        <f>IF(MID(B1728,4,2)="09","Ramadan",IF(AND(MID(B1728,4,2)="12",VALUE(LEFT(B1728,2))&lt;=9),"Adha Season","Normal"))</f>
        <v>Normal</v>
      </c>
      <c r="D1728" s="1" t="s">
        <v>45</v>
      </c>
      <c r="F1728" s="4" t="s">
        <v>39</v>
      </c>
      <c r="G1728" s="2">
        <v>35</v>
      </c>
      <c r="H1728" s="2">
        <v>34</v>
      </c>
      <c r="I1728" s="2">
        <f>grand[[#This Row],[number]]-grand[[#This Row],[received]]</f>
        <v>1</v>
      </c>
      <c r="J1728" s="30"/>
      <c r="K1728" s="2">
        <v>13397</v>
      </c>
      <c r="L1728" s="2">
        <v>12530</v>
      </c>
      <c r="M1728" s="2">
        <f>K1728-L1728</f>
        <v>867</v>
      </c>
      <c r="N1728" s="2">
        <v>8221.2000000000007</v>
      </c>
      <c r="O1728" s="2"/>
      <c r="P1728" s="7">
        <f>grand[[#This Row],[total weight]]/grand[[#This Row],[received]]</f>
        <v>394.02941176470586</v>
      </c>
      <c r="Q1728" s="7">
        <f>grand[[#This Row],[receiving weight]]/grand[[#This Row],[received]]</f>
        <v>368.52941176470586</v>
      </c>
      <c r="R1728" s="7">
        <f>grand[[#This Row],[transportation loss ]]/grand[[#This Row],[received]]</f>
        <v>25.5</v>
      </c>
      <c r="S1728" s="7">
        <f>grand[[#This Row],[ carcass weight]]/grand[[#This Row],[received]]</f>
        <v>241.8</v>
      </c>
      <c r="T1728" s="7"/>
      <c r="U1728" s="2">
        <v>25</v>
      </c>
      <c r="V1728" s="2"/>
      <c r="W1728" s="2">
        <v>49.9</v>
      </c>
      <c r="X1728" s="2">
        <v>10</v>
      </c>
      <c r="Y1728" s="8">
        <v>8.5</v>
      </c>
      <c r="Z1728" s="3">
        <f>grand[[#This Row],[av. Transportation loss]]/grand[[#This Row],[av.total weight]]</f>
        <v>6.4715981189818625E-2</v>
      </c>
      <c r="AA1728" s="12">
        <f>AVERAGE((grand[[#This Row],[am]]/25),(grand[[#This Row],[pm]]/50))</f>
        <v>0.999</v>
      </c>
      <c r="AB1728" s="3">
        <f>grand[[#This Row],[ carcass weight]]/grand[[#This Row],[total weight]]</f>
        <v>0.61365977457639775</v>
      </c>
      <c r="AC1728" s="3">
        <f>SUM(grand[[#This Row],[am]:[meat transportation]])/100</f>
        <v>0.93400000000000005</v>
      </c>
      <c r="AD1728" s="2"/>
      <c r="AE1728" s="2"/>
      <c r="AF1728" s="2"/>
      <c r="AG1728" s="2"/>
      <c r="AH1728" s="2"/>
      <c r="AI1728" s="2"/>
      <c r="AJ1728" s="2"/>
    </row>
    <row r="1729" spans="1:37" hidden="1" x14ac:dyDescent="0.2">
      <c r="A1729" s="11">
        <v>43774</v>
      </c>
      <c r="B1729" s="53" t="s">
        <v>1375</v>
      </c>
      <c r="C1729" s="52" t="str">
        <f>IF(MID(B1729,4,2)="09","Ramadan",IF(AND(MID(B1729,4,2)="12",VALUE(LEFT(B1729,2))&lt;=9),"Adha Season","Normal"))</f>
        <v>Normal</v>
      </c>
      <c r="D1729" s="1" t="s">
        <v>45</v>
      </c>
      <c r="F1729" s="4" t="s">
        <v>39</v>
      </c>
      <c r="G1729" s="2">
        <v>33</v>
      </c>
      <c r="H1729" s="2">
        <v>32</v>
      </c>
      <c r="I1729" s="2">
        <f>grand[[#This Row],[number]]-grand[[#This Row],[received]]</f>
        <v>1</v>
      </c>
      <c r="J1729" s="30"/>
      <c r="K1729" s="2">
        <v>12962</v>
      </c>
      <c r="L1729" s="2">
        <v>12230</v>
      </c>
      <c r="M1729" s="2">
        <f>K1729-L1729</f>
        <v>732</v>
      </c>
      <c r="N1729" s="2">
        <v>8077.1</v>
      </c>
      <c r="O1729" s="2"/>
      <c r="P1729" s="7">
        <f>grand[[#This Row],[total weight]]/grand[[#This Row],[received]]</f>
        <v>405.0625</v>
      </c>
      <c r="Q1729" s="7">
        <f>grand[[#This Row],[receiving weight]]/grand[[#This Row],[received]]</f>
        <v>382.1875</v>
      </c>
      <c r="R1729" s="7">
        <f>grand[[#This Row],[transportation loss ]]/grand[[#This Row],[received]]</f>
        <v>22.875</v>
      </c>
      <c r="S1729" s="7">
        <f>grand[[#This Row],[ carcass weight]]/grand[[#This Row],[received]]</f>
        <v>252.40937500000001</v>
      </c>
      <c r="T1729" s="7"/>
      <c r="U1729" s="2">
        <v>25</v>
      </c>
      <c r="V1729" s="2"/>
      <c r="W1729" s="2">
        <v>49.4</v>
      </c>
      <c r="X1729" s="2">
        <v>9</v>
      </c>
      <c r="Y1729" s="8">
        <v>8.5</v>
      </c>
      <c r="Z1729" s="3">
        <f>grand[[#This Row],[av. Transportation loss]]/grand[[#This Row],[av.total weight]]</f>
        <v>5.6472766548372168E-2</v>
      </c>
      <c r="AA1729" s="12">
        <f>AVERAGE((grand[[#This Row],[am]]/25),(grand[[#This Row],[pm]]/50))</f>
        <v>0.99399999999999999</v>
      </c>
      <c r="AB1729" s="3">
        <f>grand[[#This Row],[ carcass weight]]/grand[[#This Row],[total weight]]</f>
        <v>0.6231368615954328</v>
      </c>
      <c r="AC1729" s="3">
        <f>SUM(grand[[#This Row],[am]:[meat transportation]])/100</f>
        <v>0.91900000000000004</v>
      </c>
      <c r="AD1729" s="2"/>
      <c r="AE1729" s="2"/>
      <c r="AF1729" s="2"/>
      <c r="AG1729" s="2"/>
      <c r="AH1729" s="2"/>
      <c r="AI1729" s="2"/>
      <c r="AJ1729" s="2"/>
    </row>
    <row r="1730" spans="1:37" hidden="1" x14ac:dyDescent="0.2">
      <c r="A1730" s="11">
        <v>43779</v>
      </c>
      <c r="B1730" s="53" t="s">
        <v>1377</v>
      </c>
      <c r="C1730" s="52" t="str">
        <f>IF(MID(B1730,4,2)="09","Ramadan",IF(AND(MID(B1730,4,2)="12",VALUE(LEFT(B1730,2))&lt;=9),"Adha Season","Normal"))</f>
        <v>Normal</v>
      </c>
      <c r="D1730" s="1" t="s">
        <v>45</v>
      </c>
      <c r="F1730" s="4" t="s">
        <v>42</v>
      </c>
      <c r="G1730" s="2">
        <v>36</v>
      </c>
      <c r="H1730" s="2">
        <v>35</v>
      </c>
      <c r="I1730" s="2">
        <f>grand[[#This Row],[number]]-grand[[#This Row],[received]]</f>
        <v>1</v>
      </c>
      <c r="J1730" s="30"/>
      <c r="K1730" s="2">
        <v>16242</v>
      </c>
      <c r="L1730" s="2">
        <v>15675</v>
      </c>
      <c r="M1730" s="2">
        <f>K1730-L1730</f>
        <v>567</v>
      </c>
      <c r="N1730" s="2">
        <v>10080.200000000001</v>
      </c>
      <c r="O1730" s="2"/>
      <c r="P1730" s="7">
        <f>grand[[#This Row],[total weight]]/grand[[#This Row],[received]]</f>
        <v>464.05714285714288</v>
      </c>
      <c r="Q1730" s="7">
        <f>grand[[#This Row],[receiving weight]]/grand[[#This Row],[received]]</f>
        <v>447.85714285714283</v>
      </c>
      <c r="R1730" s="7">
        <f>grand[[#This Row],[transportation loss ]]/grand[[#This Row],[received]]</f>
        <v>16.2</v>
      </c>
      <c r="S1730" s="7">
        <f>grand[[#This Row],[ carcass weight]]/grand[[#This Row],[received]]</f>
        <v>288.0057142857143</v>
      </c>
      <c r="T1730" s="7"/>
      <c r="U1730" s="2">
        <v>20</v>
      </c>
      <c r="V1730" s="2"/>
      <c r="W1730" s="2">
        <v>49.9</v>
      </c>
      <c r="X1730" s="2">
        <v>10</v>
      </c>
      <c r="Y1730" s="8">
        <v>8.5</v>
      </c>
      <c r="Z1730" s="3">
        <f>grand[[#This Row],[av. Transportation loss]]/grand[[#This Row],[av.total weight]]</f>
        <v>3.4909493904691537E-2</v>
      </c>
      <c r="AA1730" s="12">
        <f>AVERAGE((grand[[#This Row],[am]]/25),(grand[[#This Row],[pm]]/50))</f>
        <v>0.89900000000000002</v>
      </c>
      <c r="AB1730" s="3">
        <f>grand[[#This Row],[ carcass weight]]/grand[[#This Row],[total weight]]</f>
        <v>0.62062553872675785</v>
      </c>
      <c r="AC1730" s="3">
        <f>SUM(grand[[#This Row],[am]:[meat transportation]])/100</f>
        <v>0.88400000000000001</v>
      </c>
      <c r="AD1730" s="2"/>
      <c r="AE1730" s="2"/>
      <c r="AF1730" s="2"/>
      <c r="AG1730" s="2"/>
      <c r="AH1730" s="2"/>
      <c r="AI1730" s="2"/>
      <c r="AJ1730" s="2"/>
    </row>
    <row r="1731" spans="1:37" hidden="1" x14ac:dyDescent="0.2">
      <c r="A1731" s="11">
        <v>43786</v>
      </c>
      <c r="B1731" s="53" t="s">
        <v>1380</v>
      </c>
      <c r="C1731" s="52" t="str">
        <f>IF(MID(B1731,4,2)="09","Ramadan",IF(AND(MID(B1731,4,2)="12",VALUE(LEFT(B1731,2))&lt;=9),"Adha Season","Normal"))</f>
        <v>Normal</v>
      </c>
      <c r="D1731" s="2" t="s">
        <v>294</v>
      </c>
      <c r="E1731" s="2"/>
      <c r="F1731" s="4" t="s">
        <v>35</v>
      </c>
      <c r="G1731" s="2">
        <v>20</v>
      </c>
      <c r="H1731" s="2">
        <v>19</v>
      </c>
      <c r="I1731" s="2">
        <f>grand[[#This Row],[number]]-grand[[#This Row],[received]]</f>
        <v>1</v>
      </c>
      <c r="J1731" s="30"/>
      <c r="K1731" s="2"/>
      <c r="L1731" s="2"/>
      <c r="M1731" s="2">
        <f>K1731-L1731</f>
        <v>0</v>
      </c>
      <c r="N1731" s="2"/>
      <c r="O1731" s="2"/>
      <c r="P1731" s="7">
        <f>grand[[#This Row],[total weight]]/grand[[#This Row],[received]]</f>
        <v>0</v>
      </c>
      <c r="Q1731" s="7">
        <f>grand[[#This Row],[receiving weight]]/grand[[#This Row],[received]]</f>
        <v>0</v>
      </c>
      <c r="R1731" s="7">
        <f>grand[[#This Row],[transportation loss ]]/grand[[#This Row],[received]]</f>
        <v>0</v>
      </c>
      <c r="S1731" s="7">
        <f>grand[[#This Row],[ carcass weight]]/grand[[#This Row],[received]]</f>
        <v>0</v>
      </c>
      <c r="T1731" s="7">
        <f>grand[[#This Row],[ kidneys fat quantity]]/grand[[#This Row],[received]]</f>
        <v>0</v>
      </c>
      <c r="U1731" s="2">
        <v>25</v>
      </c>
      <c r="V1731" s="2">
        <v>0</v>
      </c>
      <c r="W1731" s="2">
        <v>50</v>
      </c>
      <c r="X1731" s="2">
        <v>10</v>
      </c>
      <c r="Y1731" s="8">
        <v>8.5</v>
      </c>
      <c r="Z1731" s="3"/>
      <c r="AA1731" s="12">
        <f>AVERAGE((grand[[#This Row],[am]]/25),(grand[[#This Row],[pm]]/50))</f>
        <v>1</v>
      </c>
      <c r="AB1731" s="3"/>
      <c r="AC1731" s="3">
        <f>SUM(grand[[#This Row],[am]:[meat transportation]])/100</f>
        <v>0.93500000000000005</v>
      </c>
      <c r="AD1731" s="2"/>
      <c r="AE1731" s="2"/>
      <c r="AF1731" s="2"/>
      <c r="AG1731" s="2"/>
      <c r="AH1731" s="2"/>
      <c r="AI1731" s="2"/>
      <c r="AJ1731" s="2"/>
    </row>
    <row r="1732" spans="1:37" hidden="1" x14ac:dyDescent="0.2">
      <c r="A1732" s="11">
        <v>43788</v>
      </c>
      <c r="B1732" s="53" t="s">
        <v>1381</v>
      </c>
      <c r="C1732" s="52" t="str">
        <f>IF(MID(B1732,4,2)="09","Ramadan",IF(AND(MID(B1732,4,2)="12",VALUE(LEFT(B1732,2))&lt;=9),"Adha Season","Normal"))</f>
        <v>Normal</v>
      </c>
      <c r="D1732" s="1" t="s">
        <v>45</v>
      </c>
      <c r="F1732" s="4" t="s">
        <v>46</v>
      </c>
      <c r="G1732" s="2">
        <v>27</v>
      </c>
      <c r="H1732" s="2">
        <v>26</v>
      </c>
      <c r="I1732" s="2">
        <f>grand[[#This Row],[number]]-grand[[#This Row],[received]]</f>
        <v>1</v>
      </c>
      <c r="J1732" s="30"/>
      <c r="K1732" s="2">
        <v>12771</v>
      </c>
      <c r="L1732" s="2">
        <v>12121</v>
      </c>
      <c r="M1732" s="2">
        <f>K1732-L1732</f>
        <v>650</v>
      </c>
      <c r="N1732" s="2">
        <v>7796.6</v>
      </c>
      <c r="O1732" s="2"/>
      <c r="P1732" s="7">
        <f>grand[[#This Row],[total weight]]/grand[[#This Row],[received]]</f>
        <v>491.19230769230768</v>
      </c>
      <c r="Q1732" s="7">
        <f>grand[[#This Row],[receiving weight]]/grand[[#This Row],[received]]</f>
        <v>466.19230769230768</v>
      </c>
      <c r="R1732" s="7">
        <f>grand[[#This Row],[transportation loss ]]/grand[[#This Row],[received]]</f>
        <v>25</v>
      </c>
      <c r="S1732" s="7">
        <f>grand[[#This Row],[ carcass weight]]/grand[[#This Row],[received]]</f>
        <v>299.8692307692308</v>
      </c>
      <c r="T1732" s="7"/>
      <c r="U1732" s="2">
        <v>23.4</v>
      </c>
      <c r="V1732" s="2"/>
      <c r="W1732" s="2">
        <v>49</v>
      </c>
      <c r="X1732" s="2">
        <v>10</v>
      </c>
      <c r="Y1732" s="8">
        <v>8.5</v>
      </c>
      <c r="Z1732" s="3">
        <f>grand[[#This Row],[av. Transportation loss]]/grand[[#This Row],[av.total weight]]</f>
        <v>5.0896562524469502E-2</v>
      </c>
      <c r="AA1732" s="12">
        <f>AVERAGE((grand[[#This Row],[am]]/25),(grand[[#This Row],[pm]]/50))</f>
        <v>0.95799999999999996</v>
      </c>
      <c r="AB1732" s="3">
        <f>grand[[#This Row],[ carcass weight]]/grand[[#This Row],[total weight]]</f>
        <v>0.61049252212042915</v>
      </c>
      <c r="AC1732" s="3">
        <f>SUM(grand[[#This Row],[am]:[meat transportation]])/100</f>
        <v>0.90900000000000003</v>
      </c>
      <c r="AD1732" s="2"/>
      <c r="AE1732" s="2"/>
      <c r="AF1732" s="2"/>
      <c r="AG1732" s="2"/>
      <c r="AH1732" s="2"/>
      <c r="AI1732" s="2"/>
      <c r="AJ1732" s="2"/>
    </row>
    <row r="1733" spans="1:37" hidden="1" x14ac:dyDescent="0.2">
      <c r="A1733" s="11">
        <v>43793</v>
      </c>
      <c r="B1733" s="53" t="s">
        <v>1383</v>
      </c>
      <c r="C1733" s="52" t="str">
        <f>IF(MID(B1733,4,2)="09","Ramadan",IF(AND(MID(B1733,4,2)="12",VALUE(LEFT(B1733,2))&lt;=9),"Adha Season","Normal"))</f>
        <v>Normal</v>
      </c>
      <c r="D1733" s="1" t="s">
        <v>45</v>
      </c>
      <c r="F1733" s="4" t="s">
        <v>44</v>
      </c>
      <c r="G1733" s="2">
        <v>4</v>
      </c>
      <c r="H1733" s="2">
        <v>3</v>
      </c>
      <c r="I1733" s="2">
        <f>grand[[#This Row],[number]]-grand[[#This Row],[received]]</f>
        <v>1</v>
      </c>
      <c r="J1733" s="30"/>
      <c r="K1733" s="2">
        <v>1179</v>
      </c>
      <c r="L1733" s="2">
        <v>1155</v>
      </c>
      <c r="M1733" s="2">
        <f>K1733-L1733</f>
        <v>24</v>
      </c>
      <c r="N1733" s="2">
        <v>714.2</v>
      </c>
      <c r="O1733" s="2"/>
      <c r="P1733" s="7">
        <f>grand[[#This Row],[total weight]]/grand[[#This Row],[received]]</f>
        <v>393</v>
      </c>
      <c r="Q1733" s="7">
        <f>grand[[#This Row],[receiving weight]]/grand[[#This Row],[received]]</f>
        <v>385</v>
      </c>
      <c r="R1733" s="7">
        <f>grand[[#This Row],[transportation loss ]]/grand[[#This Row],[received]]</f>
        <v>8</v>
      </c>
      <c r="S1733" s="7">
        <f>grand[[#This Row],[ carcass weight]]/grand[[#This Row],[received]]</f>
        <v>238.06666666666669</v>
      </c>
      <c r="T1733" s="7"/>
      <c r="U1733" s="2">
        <v>23.8</v>
      </c>
      <c r="V1733" s="2"/>
      <c r="W1733" s="2">
        <v>49.6</v>
      </c>
      <c r="X1733" s="2">
        <v>10</v>
      </c>
      <c r="Y1733" s="8">
        <v>8.5</v>
      </c>
      <c r="Z1733" s="3">
        <f>grand[[#This Row],[av. Transportation loss]]/grand[[#This Row],[av.total weight]]</f>
        <v>2.0356234096692113E-2</v>
      </c>
      <c r="AA1733" s="12">
        <f>AVERAGE((grand[[#This Row],[am]]/25),(grand[[#This Row],[pm]]/50))</f>
        <v>0.97199999999999998</v>
      </c>
      <c r="AB1733" s="3">
        <f>grand[[#This Row],[ carcass weight]]/grand[[#This Row],[total weight]]</f>
        <v>0.60576759966072946</v>
      </c>
      <c r="AC1733" s="3">
        <f>SUM(grand[[#This Row],[am]:[meat transportation]])/100</f>
        <v>0.91900000000000004</v>
      </c>
      <c r="AD1733" s="2"/>
      <c r="AE1733" s="2"/>
      <c r="AF1733" s="2"/>
      <c r="AG1733" s="2"/>
      <c r="AH1733" s="2"/>
      <c r="AI1733" s="2"/>
      <c r="AJ1733" s="2"/>
    </row>
    <row r="1734" spans="1:37" hidden="1" x14ac:dyDescent="0.2">
      <c r="A1734" s="11">
        <v>43793</v>
      </c>
      <c r="B1734" s="53" t="s">
        <v>1383</v>
      </c>
      <c r="C1734" s="52" t="str">
        <f>IF(MID(B1734,4,2)="09","Ramadan",IF(AND(MID(B1734,4,2)="12",VALUE(LEFT(B1734,2))&lt;=9),"Adha Season","Normal"))</f>
        <v>Normal</v>
      </c>
      <c r="D1734" s="1" t="s">
        <v>45</v>
      </c>
      <c r="F1734" s="4" t="s">
        <v>42</v>
      </c>
      <c r="G1734" s="2">
        <v>28</v>
      </c>
      <c r="H1734" s="2">
        <v>27</v>
      </c>
      <c r="I1734" s="2">
        <f>grand[[#This Row],[number]]-grand[[#This Row],[received]]</f>
        <v>1</v>
      </c>
      <c r="J1734" s="30"/>
      <c r="K1734" s="2">
        <v>11240</v>
      </c>
      <c r="L1734" s="2">
        <v>11240</v>
      </c>
      <c r="M1734" s="2">
        <f>K1734-L1734</f>
        <v>0</v>
      </c>
      <c r="N1734" s="2">
        <v>6973.7</v>
      </c>
      <c r="O1734" s="2"/>
      <c r="P1734" s="7">
        <f>grand[[#This Row],[total weight]]/grand[[#This Row],[received]]</f>
        <v>416.2962962962963</v>
      </c>
      <c r="Q1734" s="7">
        <f>grand[[#This Row],[receiving weight]]/grand[[#This Row],[received]]</f>
        <v>416.2962962962963</v>
      </c>
      <c r="R1734" s="7"/>
      <c r="S1734" s="7">
        <f>grand[[#This Row],[ carcass weight]]/grand[[#This Row],[received]]</f>
        <v>258.28518518518518</v>
      </c>
      <c r="T1734" s="7"/>
      <c r="U1734" s="2">
        <v>23.8</v>
      </c>
      <c r="V1734" s="2"/>
      <c r="W1734" s="2">
        <v>49.6</v>
      </c>
      <c r="X1734" s="2">
        <v>10</v>
      </c>
      <c r="Y1734" s="8">
        <v>8.5</v>
      </c>
      <c r="Z1734" s="3">
        <f>grand[[#This Row],[av. Transportation loss]]/grand[[#This Row],[av.total weight]]</f>
        <v>0</v>
      </c>
      <c r="AA1734" s="12">
        <f>AVERAGE((grand[[#This Row],[am]]/25),(grand[[#This Row],[pm]]/50))</f>
        <v>0.97199999999999998</v>
      </c>
      <c r="AB1734" s="3">
        <f>grand[[#This Row],[ carcass weight]]/grand[[#This Row],[total weight]]</f>
        <v>0.62043594306049821</v>
      </c>
      <c r="AC1734" s="3">
        <f>SUM(grand[[#This Row],[am]:[meat transportation]])/100</f>
        <v>0.91900000000000004</v>
      </c>
      <c r="AD1734" s="2"/>
      <c r="AE1734" s="2"/>
      <c r="AF1734" s="2"/>
      <c r="AG1734" s="2"/>
      <c r="AH1734" s="2"/>
      <c r="AI1734" s="2"/>
      <c r="AJ1734" s="2"/>
    </row>
    <row r="1735" spans="1:37" hidden="1" x14ac:dyDescent="0.2">
      <c r="A1735" s="11">
        <v>43795</v>
      </c>
      <c r="B1735" s="53" t="s">
        <v>1384</v>
      </c>
      <c r="C1735" s="52" t="str">
        <f>IF(MID(B1735,4,2)="09","Ramadan",IF(AND(MID(B1735,4,2)="12",VALUE(LEFT(B1735,2))&lt;=9),"Adha Season","Normal"))</f>
        <v>Normal</v>
      </c>
      <c r="D1735" s="1" t="s">
        <v>45</v>
      </c>
      <c r="F1735" s="4" t="s">
        <v>46</v>
      </c>
      <c r="G1735" s="2">
        <v>30</v>
      </c>
      <c r="H1735" s="2">
        <v>29</v>
      </c>
      <c r="I1735" s="2">
        <f>grand[[#This Row],[number]]-grand[[#This Row],[received]]</f>
        <v>1</v>
      </c>
      <c r="J1735" s="30"/>
      <c r="K1735" s="2">
        <v>14151</v>
      </c>
      <c r="L1735" s="2">
        <v>13286.2</v>
      </c>
      <c r="M1735" s="2">
        <f>K1735-L1735</f>
        <v>864.79999999999927</v>
      </c>
      <c r="N1735" s="2">
        <v>8591.7999999999993</v>
      </c>
      <c r="O1735" s="2"/>
      <c r="P1735" s="7">
        <f>grand[[#This Row],[total weight]]/grand[[#This Row],[received]]</f>
        <v>487.9655172413793</v>
      </c>
      <c r="Q1735" s="7">
        <f>grand[[#This Row],[receiving weight]]/grand[[#This Row],[received]]</f>
        <v>458.14482758620693</v>
      </c>
      <c r="R1735" s="7">
        <f>grand[[#This Row],[transportation loss ]]/grand[[#This Row],[received]]</f>
        <v>29.820689655172387</v>
      </c>
      <c r="S1735" s="7">
        <f>grand[[#This Row],[ carcass weight]]/grand[[#This Row],[received]]</f>
        <v>296.26896551724133</v>
      </c>
      <c r="T1735" s="7"/>
      <c r="U1735" s="2">
        <v>24.3</v>
      </c>
      <c r="V1735" s="2"/>
      <c r="W1735" s="2">
        <v>49.3</v>
      </c>
      <c r="X1735" s="2">
        <v>10</v>
      </c>
      <c r="Y1735" s="8">
        <v>8.5</v>
      </c>
      <c r="Z1735" s="3">
        <f>grand[[#This Row],[av. Transportation loss]]/grand[[#This Row],[av.total weight]]</f>
        <v>6.1112288884177746E-2</v>
      </c>
      <c r="AA1735" s="12">
        <f>AVERAGE((grand[[#This Row],[am]]/25),(grand[[#This Row],[pm]]/50))</f>
        <v>0.97899999999999998</v>
      </c>
      <c r="AB1735" s="3">
        <f>grand[[#This Row],[ carcass weight]]/grand[[#This Row],[total weight]]</f>
        <v>0.60715143806091432</v>
      </c>
      <c r="AC1735" s="3">
        <f>SUM(grand[[#This Row],[am]:[meat transportation]])/100</f>
        <v>0.92099999999999993</v>
      </c>
      <c r="AD1735" s="2"/>
      <c r="AE1735" s="2"/>
      <c r="AF1735" s="2"/>
      <c r="AG1735" s="2"/>
      <c r="AH1735" s="2"/>
      <c r="AI1735" s="2"/>
      <c r="AJ1735" s="2"/>
    </row>
    <row r="1736" spans="1:37" hidden="1" x14ac:dyDescent="0.2">
      <c r="A1736" s="11">
        <v>43804</v>
      </c>
      <c r="B1736" s="53" t="s">
        <v>1388</v>
      </c>
      <c r="C1736" s="52" t="str">
        <f>IF(MID(B1736,4,2)="09","Ramadan",IF(AND(MID(B1736,4,2)="12",VALUE(LEFT(B1736,2))&lt;=9),"Adha Season","Normal"))</f>
        <v>Normal</v>
      </c>
      <c r="D1736" s="1" t="s">
        <v>45</v>
      </c>
      <c r="F1736" s="4" t="s">
        <v>42</v>
      </c>
      <c r="G1736" s="2">
        <v>31</v>
      </c>
      <c r="H1736" s="2">
        <v>30</v>
      </c>
      <c r="I1736" s="2">
        <f>grand[[#This Row],[number]]-grand[[#This Row],[received]]</f>
        <v>1</v>
      </c>
      <c r="J1736" s="30"/>
      <c r="K1736" s="2">
        <v>12110</v>
      </c>
      <c r="L1736" s="2">
        <v>11737</v>
      </c>
      <c r="M1736" s="2">
        <f>K1736-L1736</f>
        <v>373</v>
      </c>
      <c r="N1736" s="2">
        <v>7267.1</v>
      </c>
      <c r="O1736" s="2"/>
      <c r="P1736" s="7">
        <f>grand[[#This Row],[total weight]]/grand[[#This Row],[received]]</f>
        <v>403.66666666666669</v>
      </c>
      <c r="Q1736" s="7">
        <f>grand[[#This Row],[receiving weight]]/grand[[#This Row],[received]]</f>
        <v>391.23333333333335</v>
      </c>
      <c r="R1736" s="7">
        <f>grand[[#This Row],[transportation loss ]]/grand[[#This Row],[received]]</f>
        <v>12.433333333333334</v>
      </c>
      <c r="S1736" s="7">
        <f>grand[[#This Row],[ carcass weight]]/grand[[#This Row],[received]]</f>
        <v>242.23666666666668</v>
      </c>
      <c r="T1736" s="7"/>
      <c r="U1736" s="2">
        <v>23.3</v>
      </c>
      <c r="V1736" s="2"/>
      <c r="W1736" s="2">
        <v>49.8</v>
      </c>
      <c r="X1736" s="2">
        <v>10</v>
      </c>
      <c r="Y1736" s="8">
        <v>8.3000000000000007</v>
      </c>
      <c r="Z1736" s="3">
        <f>grand[[#This Row],[av. Transportation loss]]/grand[[#This Row],[av.total weight]]</f>
        <v>3.0800990916597853E-2</v>
      </c>
      <c r="AA1736" s="12">
        <f>AVERAGE((grand[[#This Row],[am]]/25),(grand[[#This Row],[pm]]/50))</f>
        <v>0.96399999999999997</v>
      </c>
      <c r="AB1736" s="3">
        <f>grand[[#This Row],[ carcass weight]]/grand[[#This Row],[total weight]]</f>
        <v>0.6000908340214699</v>
      </c>
      <c r="AC1736" s="3">
        <f>SUM(grand[[#This Row],[am]:[meat transportation]])/100</f>
        <v>0.91399999999999992</v>
      </c>
      <c r="AD1736" s="2"/>
      <c r="AE1736" s="2"/>
      <c r="AF1736" s="2"/>
      <c r="AG1736" s="2"/>
      <c r="AH1736" s="2"/>
      <c r="AI1736" s="2"/>
      <c r="AJ1736" s="2"/>
    </row>
    <row r="1737" spans="1:37" hidden="1" x14ac:dyDescent="0.2">
      <c r="A1737" s="11">
        <v>43809</v>
      </c>
      <c r="B1737" s="53" t="s">
        <v>1390</v>
      </c>
      <c r="C1737" s="52" t="str">
        <f>IF(MID(B1737,4,2)="09","Ramadan",IF(AND(MID(B1737,4,2)="12",VALUE(LEFT(B1737,2))&lt;=9),"Adha Season","Normal"))</f>
        <v>Normal</v>
      </c>
      <c r="D1737" s="1" t="s">
        <v>45</v>
      </c>
      <c r="F1737" s="4" t="s">
        <v>46</v>
      </c>
      <c r="G1737" s="2">
        <v>30</v>
      </c>
      <c r="H1737" s="2">
        <v>29</v>
      </c>
      <c r="I1737" s="2">
        <f>grand[[#This Row],[number]]-grand[[#This Row],[received]]</f>
        <v>1</v>
      </c>
      <c r="J1737" s="30"/>
      <c r="K1737" s="2">
        <v>14100</v>
      </c>
      <c r="L1737" s="2">
        <v>13035</v>
      </c>
      <c r="M1737" s="2">
        <f>K1737-L1737</f>
        <v>1065</v>
      </c>
      <c r="N1737" s="2">
        <v>8464</v>
      </c>
      <c r="O1737" s="2"/>
      <c r="P1737" s="7">
        <f>grand[[#This Row],[total weight]]/grand[[#This Row],[received]]</f>
        <v>486.20689655172413</v>
      </c>
      <c r="Q1737" s="7">
        <f>grand[[#This Row],[receiving weight]]/grand[[#This Row],[received]]</f>
        <v>449.48275862068965</v>
      </c>
      <c r="R1737" s="7">
        <f>grand[[#This Row],[transportation loss ]]/grand[[#This Row],[received]]</f>
        <v>36.724137931034484</v>
      </c>
      <c r="S1737" s="7">
        <f>grand[[#This Row],[ carcass weight]]/grand[[#This Row],[received]]</f>
        <v>291.86206896551727</v>
      </c>
      <c r="T1737" s="7"/>
      <c r="U1737" s="2">
        <v>25</v>
      </c>
      <c r="V1737" s="2"/>
      <c r="W1737" s="2">
        <v>49.8</v>
      </c>
      <c r="X1737" s="2">
        <v>10</v>
      </c>
      <c r="Y1737" s="8">
        <v>8.5</v>
      </c>
      <c r="Z1737" s="3">
        <f>grand[[#This Row],[av. Transportation loss]]/grand[[#This Row],[av.total weight]]</f>
        <v>7.5531914893617019E-2</v>
      </c>
      <c r="AA1737" s="12">
        <f>AVERAGE((grand[[#This Row],[am]]/25),(grand[[#This Row],[pm]]/50))</f>
        <v>0.998</v>
      </c>
      <c r="AB1737" s="3">
        <f>grand[[#This Row],[ carcass weight]]/grand[[#This Row],[total weight]]</f>
        <v>0.60028368794326237</v>
      </c>
      <c r="AC1737" s="3">
        <f>SUM(grand[[#This Row],[am]:[meat transportation]])/100</f>
        <v>0.93299999999999994</v>
      </c>
      <c r="AD1737" s="2"/>
      <c r="AE1737" s="2"/>
      <c r="AF1737" s="2"/>
      <c r="AG1737" s="2"/>
      <c r="AH1737" s="2"/>
      <c r="AI1737" s="2"/>
      <c r="AJ1737" s="2"/>
    </row>
    <row r="1738" spans="1:37" hidden="1" x14ac:dyDescent="0.2">
      <c r="A1738" s="11">
        <v>43818</v>
      </c>
      <c r="B1738" s="53" t="s">
        <v>1394</v>
      </c>
      <c r="C1738" s="52" t="str">
        <f>IF(MID(B1738,4,2)="09","Ramadan",IF(AND(MID(B1738,4,2)="12",VALUE(LEFT(B1738,2))&lt;=9),"Adha Season","Normal"))</f>
        <v>Normal</v>
      </c>
      <c r="D1738" s="1" t="s">
        <v>45</v>
      </c>
      <c r="F1738" s="4" t="s">
        <v>46</v>
      </c>
      <c r="G1738" s="2">
        <v>30</v>
      </c>
      <c r="H1738" s="2">
        <v>29</v>
      </c>
      <c r="I1738" s="2">
        <f>grand[[#This Row],[number]]-grand[[#This Row],[received]]</f>
        <v>1</v>
      </c>
      <c r="J1738" s="30"/>
      <c r="K1738" s="2">
        <v>14035</v>
      </c>
      <c r="L1738" s="2">
        <v>13330</v>
      </c>
      <c r="M1738" s="2">
        <f>K1738-L1738</f>
        <v>705</v>
      </c>
      <c r="N1738" s="2">
        <v>8572.1</v>
      </c>
      <c r="O1738" s="2"/>
      <c r="P1738" s="7">
        <f>grand[[#This Row],[total weight]]/grand[[#This Row],[received]]</f>
        <v>483.9655172413793</v>
      </c>
      <c r="Q1738" s="7">
        <f>grand[[#This Row],[receiving weight]]/grand[[#This Row],[received]]</f>
        <v>459.65517241379308</v>
      </c>
      <c r="R1738" s="7">
        <f>grand[[#This Row],[transportation loss ]]/grand[[#This Row],[received]]</f>
        <v>24.310344827586206</v>
      </c>
      <c r="S1738" s="7">
        <f>grand[[#This Row],[ carcass weight]]/grand[[#This Row],[received]]</f>
        <v>295.58965517241381</v>
      </c>
      <c r="T1738" s="7"/>
      <c r="U1738" s="2">
        <v>24</v>
      </c>
      <c r="V1738" s="2"/>
      <c r="W1738" s="2">
        <v>49.5</v>
      </c>
      <c r="X1738" s="2">
        <v>10</v>
      </c>
      <c r="Y1738" s="8">
        <v>8.5</v>
      </c>
      <c r="Z1738" s="3">
        <f>grand[[#This Row],[av. Transportation loss]]/grand[[#This Row],[av.total weight]]</f>
        <v>5.0231563947274668E-2</v>
      </c>
      <c r="AA1738" s="12">
        <f>AVERAGE((grand[[#This Row],[am]]/25),(grand[[#This Row],[pm]]/50))</f>
        <v>0.97499999999999998</v>
      </c>
      <c r="AB1738" s="3">
        <f>grand[[#This Row],[ carcass weight]]/grand[[#This Row],[total weight]]</f>
        <v>0.61076594228713932</v>
      </c>
      <c r="AC1738" s="3">
        <f>SUM(grand[[#This Row],[am]:[meat transportation]])/100</f>
        <v>0.92</v>
      </c>
      <c r="AD1738" s="2"/>
      <c r="AE1738" s="2"/>
      <c r="AF1738" s="2"/>
      <c r="AG1738" s="2"/>
      <c r="AH1738" s="2"/>
      <c r="AI1738" s="2"/>
      <c r="AJ1738" s="2"/>
    </row>
    <row r="1739" spans="1:37" hidden="1" x14ac:dyDescent="0.2">
      <c r="A1739" s="11">
        <v>43821</v>
      </c>
      <c r="B1739" s="53" t="s">
        <v>1395</v>
      </c>
      <c r="C1739" s="52" t="str">
        <f>IF(MID(B1739,4,2)="09","Ramadan",IF(AND(MID(B1739,4,2)="12",VALUE(LEFT(B1739,2))&lt;=9),"Adha Season","Normal"))</f>
        <v>Normal</v>
      </c>
      <c r="D1739" s="1" t="s">
        <v>45</v>
      </c>
      <c r="F1739" s="4" t="s">
        <v>39</v>
      </c>
      <c r="G1739" s="2">
        <v>30</v>
      </c>
      <c r="H1739" s="2">
        <v>29</v>
      </c>
      <c r="I1739" s="2">
        <f>grand[[#This Row],[number]]-grand[[#This Row],[received]]</f>
        <v>1</v>
      </c>
      <c r="J1739" s="30"/>
      <c r="K1739" s="2">
        <v>11660</v>
      </c>
      <c r="L1739" s="2">
        <v>11089</v>
      </c>
      <c r="M1739" s="2">
        <f>K1739-L1739</f>
        <v>571</v>
      </c>
      <c r="N1739" s="2">
        <v>7322.4</v>
      </c>
      <c r="O1739" s="2"/>
      <c r="P1739" s="7">
        <f>grand[[#This Row],[total weight]]/grand[[#This Row],[received]]</f>
        <v>402.06896551724139</v>
      </c>
      <c r="Q1739" s="7">
        <f>grand[[#This Row],[receiving weight]]/grand[[#This Row],[received]]</f>
        <v>382.37931034482756</v>
      </c>
      <c r="R1739" s="7">
        <f>grand[[#This Row],[transportation loss ]]/grand[[#This Row],[received]]</f>
        <v>19.689655172413794</v>
      </c>
      <c r="S1739" s="7">
        <f>grand[[#This Row],[ carcass weight]]/grand[[#This Row],[received]]</f>
        <v>252.49655172413793</v>
      </c>
      <c r="T1739" s="7"/>
      <c r="U1739" s="2">
        <v>25</v>
      </c>
      <c r="V1739" s="2"/>
      <c r="W1739" s="2">
        <v>49.8</v>
      </c>
      <c r="X1739" s="2">
        <v>9</v>
      </c>
      <c r="Y1739" s="8">
        <v>8.5</v>
      </c>
      <c r="Z1739" s="3">
        <f>grand[[#This Row],[av. Transportation loss]]/grand[[#This Row],[av.total weight]]</f>
        <v>4.897084048027444E-2</v>
      </c>
      <c r="AA1739" s="12">
        <f>AVERAGE((grand[[#This Row],[am]]/25),(grand[[#This Row],[pm]]/50))</f>
        <v>0.998</v>
      </c>
      <c r="AB1739" s="3">
        <f>grand[[#This Row],[ carcass weight]]/grand[[#This Row],[total weight]]</f>
        <v>0.62799313893653508</v>
      </c>
      <c r="AC1739" s="3">
        <f>SUM(grand[[#This Row],[am]:[meat transportation]])/100</f>
        <v>0.92299999999999993</v>
      </c>
      <c r="AD1739" s="2"/>
      <c r="AE1739" s="2"/>
      <c r="AF1739" s="2"/>
      <c r="AG1739" s="2"/>
      <c r="AH1739" s="2"/>
      <c r="AI1739" s="2"/>
      <c r="AJ1739" s="2"/>
    </row>
    <row r="1740" spans="1:37" hidden="1" x14ac:dyDescent="0.2">
      <c r="A1740" s="11">
        <v>43835</v>
      </c>
      <c r="B1740" s="53" t="s">
        <v>1401</v>
      </c>
      <c r="C1740" s="52" t="str">
        <f>IF(MID(B1740,4,2)="09","Ramadan",IF(AND(MID(B1740,4,2)="12",VALUE(LEFT(B1740,2))&lt;=9),"Adha Season","Normal"))</f>
        <v>Normal</v>
      </c>
      <c r="D1740" s="1" t="s">
        <v>45</v>
      </c>
      <c r="F1740" s="4" t="s">
        <v>46</v>
      </c>
      <c r="G1740" s="4">
        <v>35</v>
      </c>
      <c r="H1740" s="4">
        <v>34</v>
      </c>
      <c r="I1740" s="2">
        <f>grand[[#This Row],[number]]-grand[[#This Row],[received]]</f>
        <v>1</v>
      </c>
      <c r="J1740" s="30" t="s">
        <v>48</v>
      </c>
      <c r="K1740" s="4">
        <v>15700</v>
      </c>
      <c r="L1740" s="4">
        <v>15030</v>
      </c>
      <c r="M1740" s="2">
        <f>K1740-L1740</f>
        <v>670</v>
      </c>
      <c r="N1740" s="4">
        <v>9421.0499999999993</v>
      </c>
      <c r="O1740" s="4"/>
      <c r="P1740" s="7">
        <f>grand[[#This Row],[total weight]]/grand[[#This Row],[received]]</f>
        <v>461.76470588235293</v>
      </c>
      <c r="Q1740" s="7">
        <f>grand[[#This Row],[receiving weight]]/grand[[#This Row],[received]]</f>
        <v>442.05882352941177</v>
      </c>
      <c r="R1740" s="7">
        <f>grand[[#This Row],[transportation loss ]]/grand[[#This Row],[received]]</f>
        <v>19.705882352941178</v>
      </c>
      <c r="S1740" s="7">
        <f>grand[[#This Row],[ carcass weight]]/grand[[#This Row],[received]]</f>
        <v>277.08970588235292</v>
      </c>
      <c r="T1740" s="7">
        <f>grand[[#This Row],[ kidneys fat quantity]]/grand[[#This Row],[received]]</f>
        <v>0</v>
      </c>
      <c r="U1740" s="4">
        <v>25</v>
      </c>
      <c r="V1740" s="4">
        <v>0</v>
      </c>
      <c r="W1740" s="4">
        <v>49.8</v>
      </c>
      <c r="X1740" s="4">
        <v>10</v>
      </c>
      <c r="Y1740" s="8">
        <v>8.5</v>
      </c>
      <c r="Z1740" s="3">
        <f>grand[[#This Row],[av. Transportation loss]]/grand[[#This Row],[av.total weight]]</f>
        <v>4.2675159235668794E-2</v>
      </c>
      <c r="AA1740" s="12">
        <f>AVERAGE((grand[[#This Row],[am]]/25),(grand[[#This Row],[pm]]/50))</f>
        <v>0.998</v>
      </c>
      <c r="AB1740" s="3">
        <f>grand[[#This Row],[ carcass weight]]/grand[[#This Row],[total weight]]</f>
        <v>0.60006687898089173</v>
      </c>
      <c r="AC1740" s="6">
        <f>SUM(grand[[#This Row],[am]:[meat transportation]])/100</f>
        <v>0.93299999999999994</v>
      </c>
      <c r="AD1740" s="4" t="s">
        <v>49</v>
      </c>
      <c r="AE1740" s="4"/>
      <c r="AF1740" s="4"/>
      <c r="AG1740" s="4"/>
      <c r="AH1740" s="4">
        <v>1</v>
      </c>
      <c r="AI1740" s="4"/>
      <c r="AJ1740" s="2"/>
      <c r="AK1740" s="4"/>
    </row>
    <row r="1741" spans="1:37" hidden="1" x14ac:dyDescent="0.2">
      <c r="A1741" s="11">
        <v>43846</v>
      </c>
      <c r="B1741" s="53" t="s">
        <v>1406</v>
      </c>
      <c r="C1741" s="52" t="str">
        <f>IF(MID(B1741,4,2)="09","Ramadan",IF(AND(MID(B1741,4,2)="12",VALUE(LEFT(B1741,2))&lt;=9),"Adha Season","Normal"))</f>
        <v>Normal</v>
      </c>
      <c r="D1741" s="1" t="s">
        <v>45</v>
      </c>
      <c r="F1741" s="4" t="s">
        <v>50</v>
      </c>
      <c r="G1741" s="4">
        <v>34</v>
      </c>
      <c r="H1741" s="4">
        <v>33</v>
      </c>
      <c r="I1741" s="2">
        <f>grand[[#This Row],[number]]-grand[[#This Row],[received]]</f>
        <v>1</v>
      </c>
      <c r="J1741" s="30" t="s">
        <v>48</v>
      </c>
      <c r="K1741" s="4">
        <v>13618</v>
      </c>
      <c r="L1741" s="4">
        <v>12850</v>
      </c>
      <c r="M1741" s="2">
        <f>K1741-L1741</f>
        <v>768</v>
      </c>
      <c r="N1741" s="4">
        <v>8499.7999999999993</v>
      </c>
      <c r="O1741" s="4"/>
      <c r="P1741" s="7">
        <f>grand[[#This Row],[total weight]]/grand[[#This Row],[received]]</f>
        <v>412.66666666666669</v>
      </c>
      <c r="Q1741" s="7">
        <f>grand[[#This Row],[receiving weight]]/grand[[#This Row],[received]]</f>
        <v>389.39393939393938</v>
      </c>
      <c r="R1741" s="7">
        <f>grand[[#This Row],[transportation loss ]]/grand[[#This Row],[received]]</f>
        <v>23.272727272727273</v>
      </c>
      <c r="S1741" s="7">
        <f>grand[[#This Row],[ carcass weight]]/grand[[#This Row],[received]]</f>
        <v>257.56969696969696</v>
      </c>
      <c r="T1741" s="7">
        <f>grand[[#This Row],[ kidneys fat quantity]]/grand[[#This Row],[received]]</f>
        <v>0</v>
      </c>
      <c r="U1741" s="4">
        <v>25</v>
      </c>
      <c r="V1741" s="4">
        <v>0</v>
      </c>
      <c r="W1741" s="4">
        <v>49.8</v>
      </c>
      <c r="X1741" s="4">
        <v>10</v>
      </c>
      <c r="Y1741" s="8">
        <v>8.5</v>
      </c>
      <c r="Z1741" s="3">
        <f>grand[[#This Row],[av. Transportation loss]]/grand[[#This Row],[av.total weight]]</f>
        <v>5.6395946541342341E-2</v>
      </c>
      <c r="AA1741" s="12">
        <f>AVERAGE((grand[[#This Row],[am]]/25),(grand[[#This Row],[pm]]/50))</f>
        <v>0.998</v>
      </c>
      <c r="AB1741" s="3">
        <f>grand[[#This Row],[ carcass weight]]/grand[[#This Row],[total weight]]</f>
        <v>0.62415920105742395</v>
      </c>
      <c r="AC1741" s="6">
        <f>SUM(grand[[#This Row],[am]:[meat transportation]])/100</f>
        <v>0.93299999999999994</v>
      </c>
      <c r="AD1741" s="4"/>
      <c r="AE1741" s="4">
        <v>2</v>
      </c>
      <c r="AF1741" s="4"/>
      <c r="AG1741" s="4"/>
      <c r="AH1741" s="4"/>
      <c r="AI1741" s="4"/>
      <c r="AJ1741" s="2"/>
      <c r="AK1741" s="4"/>
    </row>
    <row r="1742" spans="1:37" hidden="1" x14ac:dyDescent="0.2">
      <c r="A1742" s="11">
        <v>43858</v>
      </c>
      <c r="B1742" s="53" t="s">
        <v>1411</v>
      </c>
      <c r="C1742" s="52" t="str">
        <f>IF(MID(B1742,4,2)="09","Ramadan",IF(AND(MID(B1742,4,2)="12",VALUE(LEFT(B1742,2))&lt;=9),"Adha Season","Normal"))</f>
        <v>Normal</v>
      </c>
      <c r="D1742" s="1" t="s">
        <v>45</v>
      </c>
      <c r="F1742" s="4" t="s">
        <v>50</v>
      </c>
      <c r="G1742" s="4">
        <v>29</v>
      </c>
      <c r="H1742" s="4">
        <v>28</v>
      </c>
      <c r="I1742" s="2">
        <f>grand[[#This Row],[number]]-grand[[#This Row],[received]]</f>
        <v>1</v>
      </c>
      <c r="J1742" s="30" t="s">
        <v>58</v>
      </c>
      <c r="K1742" s="4">
        <v>11505</v>
      </c>
      <c r="L1742" s="4">
        <v>10835</v>
      </c>
      <c r="M1742" s="2">
        <f>K1742-L1742</f>
        <v>670</v>
      </c>
      <c r="N1742" s="4">
        <v>7183</v>
      </c>
      <c r="O1742" s="4"/>
      <c r="P1742" s="7">
        <f>grand[[#This Row],[total weight]]/grand[[#This Row],[received]]</f>
        <v>410.89285714285717</v>
      </c>
      <c r="Q1742" s="7">
        <f>grand[[#This Row],[receiving weight]]/grand[[#This Row],[received]]</f>
        <v>386.96428571428572</v>
      </c>
      <c r="R1742" s="7">
        <f>grand[[#This Row],[transportation loss ]]/grand[[#This Row],[received]]</f>
        <v>23.928571428571427</v>
      </c>
      <c r="S1742" s="7">
        <f>grand[[#This Row],[ carcass weight]]/grand[[#This Row],[received]]</f>
        <v>256.53571428571428</v>
      </c>
      <c r="T1742" s="7">
        <f>grand[[#This Row],[ kidneys fat quantity]]/grand[[#This Row],[received]]</f>
        <v>0</v>
      </c>
      <c r="U1742" s="4">
        <v>25</v>
      </c>
      <c r="V1742" s="4">
        <v>0</v>
      </c>
      <c r="W1742" s="4">
        <v>49.9</v>
      </c>
      <c r="X1742" s="4">
        <v>10</v>
      </c>
      <c r="Y1742" s="8">
        <v>8.5</v>
      </c>
      <c r="Z1742" s="3">
        <f>grand[[#This Row],[av. Transportation loss]]/grand[[#This Row],[av.total weight]]</f>
        <v>5.8235549760973483E-2</v>
      </c>
      <c r="AA1742" s="12">
        <f>AVERAGE((grand[[#This Row],[am]]/25),(grand[[#This Row],[pm]]/50))</f>
        <v>0.999</v>
      </c>
      <c r="AB1742" s="3">
        <f>grand[[#This Row],[ carcass weight]]/grand[[#This Row],[total weight]]</f>
        <v>0.62433724467622775</v>
      </c>
      <c r="AC1742" s="6">
        <f>SUM(grand[[#This Row],[am]:[meat transportation]])/100</f>
        <v>0.93400000000000005</v>
      </c>
      <c r="AD1742" s="4"/>
      <c r="AE1742" s="4">
        <v>1</v>
      </c>
      <c r="AF1742" s="4"/>
      <c r="AG1742" s="4"/>
      <c r="AH1742" s="4"/>
      <c r="AI1742" s="4"/>
      <c r="AJ1742" s="2"/>
      <c r="AK1742" s="4"/>
    </row>
    <row r="1743" spans="1:37" hidden="1" x14ac:dyDescent="0.2">
      <c r="A1743" s="11">
        <v>43865</v>
      </c>
      <c r="B1743" s="53" t="s">
        <v>1414</v>
      </c>
      <c r="C1743" s="52" t="str">
        <f>IF(MID(B1743,4,2)="09","Ramadan",IF(AND(MID(B1743,4,2)="12",VALUE(LEFT(B1743,2))&lt;=9),"Adha Season","Normal"))</f>
        <v>Normal</v>
      </c>
      <c r="D1743" s="1" t="s">
        <v>45</v>
      </c>
      <c r="F1743" s="4" t="s">
        <v>50</v>
      </c>
      <c r="G1743" s="4">
        <v>31</v>
      </c>
      <c r="H1743" s="4">
        <v>30</v>
      </c>
      <c r="I1743" s="2">
        <f>grand[[#This Row],[number]]-grand[[#This Row],[received]]</f>
        <v>1</v>
      </c>
      <c r="J1743" s="30" t="s">
        <v>61</v>
      </c>
      <c r="K1743" s="4">
        <v>12123</v>
      </c>
      <c r="L1743" s="4">
        <v>11375</v>
      </c>
      <c r="M1743" s="2">
        <f>K1743-L1743</f>
        <v>748</v>
      </c>
      <c r="N1743" s="4">
        <v>7514.9</v>
      </c>
      <c r="O1743" s="4"/>
      <c r="P1743" s="7">
        <f>grand[[#This Row],[total weight]]/grand[[#This Row],[received]]</f>
        <v>404.1</v>
      </c>
      <c r="Q1743" s="7">
        <f>grand[[#This Row],[receiving weight]]/grand[[#This Row],[received]]</f>
        <v>379.16666666666669</v>
      </c>
      <c r="R1743" s="7">
        <f>grand[[#This Row],[transportation loss ]]/grand[[#This Row],[received]]</f>
        <v>24.933333333333334</v>
      </c>
      <c r="S1743" s="7">
        <f>grand[[#This Row],[ carcass weight]]/grand[[#This Row],[received]]</f>
        <v>250.49666666666664</v>
      </c>
      <c r="T1743" s="7">
        <f>grand[[#This Row],[ kidneys fat quantity]]/grand[[#This Row],[received]]</f>
        <v>0</v>
      </c>
      <c r="U1743" s="4">
        <v>24.7</v>
      </c>
      <c r="V1743" s="4">
        <v>0</v>
      </c>
      <c r="W1743" s="4">
        <v>49.9</v>
      </c>
      <c r="X1743" s="4">
        <v>10</v>
      </c>
      <c r="Y1743" s="8">
        <v>8.5</v>
      </c>
      <c r="Z1743" s="3">
        <f>grand[[#This Row],[av. Transportation loss]]/grand[[#This Row],[av.total weight]]</f>
        <v>6.1700899117380185E-2</v>
      </c>
      <c r="AA1743" s="12">
        <f>AVERAGE((grand[[#This Row],[am]]/25),(grand[[#This Row],[pm]]/50))</f>
        <v>0.99299999999999999</v>
      </c>
      <c r="AB1743" s="3">
        <f>grand[[#This Row],[ carcass weight]]/grand[[#This Row],[total weight]]</f>
        <v>0.61988781654705927</v>
      </c>
      <c r="AC1743" s="6">
        <f>SUM(grand[[#This Row],[am]:[meat transportation]])/100</f>
        <v>0.93099999999999994</v>
      </c>
      <c r="AD1743" s="4"/>
      <c r="AE1743" s="4">
        <v>1</v>
      </c>
      <c r="AF1743" s="4"/>
      <c r="AG1743" s="4">
        <v>4</v>
      </c>
      <c r="AH1743" s="4"/>
      <c r="AI1743" s="4"/>
      <c r="AJ1743" s="2"/>
      <c r="AK1743" s="4"/>
    </row>
    <row r="1744" spans="1:37" hidden="1" x14ac:dyDescent="0.2">
      <c r="A1744" s="11">
        <v>43907</v>
      </c>
      <c r="B1744" s="53" t="s">
        <v>1433</v>
      </c>
      <c r="C1744" s="52" t="str">
        <f>IF(MID(B1744,4,2)="09","Ramadan",IF(AND(MID(B1744,4,2)="12",VALUE(LEFT(B1744,2))&lt;=9),"Adha Season","Normal"))</f>
        <v>Normal</v>
      </c>
      <c r="D1744" s="1" t="s">
        <v>45</v>
      </c>
      <c r="F1744" s="4" t="s">
        <v>50</v>
      </c>
      <c r="G1744" s="4">
        <v>80</v>
      </c>
      <c r="H1744" s="4">
        <v>79</v>
      </c>
      <c r="I1744" s="2">
        <f>grand[[#This Row],[number]]-grand[[#This Row],[received]]</f>
        <v>1</v>
      </c>
      <c r="J1744" s="30" t="s">
        <v>64</v>
      </c>
      <c r="K1744" s="4">
        <v>32113</v>
      </c>
      <c r="L1744" s="4">
        <v>32113</v>
      </c>
      <c r="M1744" s="2">
        <f>K1744-L1744</f>
        <v>0</v>
      </c>
      <c r="N1744" s="4">
        <v>19720.900000000001</v>
      </c>
      <c r="O1744" s="4"/>
      <c r="P1744" s="7">
        <f>grand[[#This Row],[total weight]]/grand[[#This Row],[received]]</f>
        <v>406.49367088607596</v>
      </c>
      <c r="Q1744" s="7">
        <f>grand[[#This Row],[receiving weight]]/grand[[#This Row],[received]]</f>
        <v>406.49367088607596</v>
      </c>
      <c r="R1744" s="7">
        <f>grand[[#This Row],[transportation loss ]]/grand[[#This Row],[received]]</f>
        <v>0</v>
      </c>
      <c r="S1744" s="7">
        <f>grand[[#This Row],[ carcass weight]]/grand[[#This Row],[received]]</f>
        <v>249.63164556962028</v>
      </c>
      <c r="T1744" s="7">
        <f>grand[[#This Row],[ kidneys fat quantity]]/grand[[#This Row],[received]]</f>
        <v>0</v>
      </c>
      <c r="U1744" s="4">
        <v>25</v>
      </c>
      <c r="V1744" s="4">
        <v>0</v>
      </c>
      <c r="W1744" s="4">
        <v>49.4</v>
      </c>
      <c r="X1744" s="4">
        <v>10</v>
      </c>
      <c r="Y1744" s="8">
        <v>8.5</v>
      </c>
      <c r="Z1744" s="3">
        <f>grand[[#This Row],[av. Transportation loss]]/grand[[#This Row],[av.total weight]]</f>
        <v>0</v>
      </c>
      <c r="AA1744" s="12">
        <f>AVERAGE((grand[[#This Row],[am]]/25),(grand[[#This Row],[pm]]/50))</f>
        <v>0.99399999999999999</v>
      </c>
      <c r="AB1744" s="3">
        <f>grand[[#This Row],[ carcass weight]]/grand[[#This Row],[total weight]]</f>
        <v>0.61410955064926986</v>
      </c>
      <c r="AC1744" s="6">
        <f>SUM(grand[[#This Row],[am]:[meat transportation]])/100</f>
        <v>0.92900000000000005</v>
      </c>
      <c r="AD1744" s="4"/>
      <c r="AE1744" s="4">
        <v>16</v>
      </c>
      <c r="AF1744" s="4"/>
      <c r="AG1744" s="4"/>
      <c r="AH1744" s="4"/>
      <c r="AI1744" s="4"/>
      <c r="AJ1744" s="2"/>
      <c r="AK1744" s="4"/>
    </row>
    <row r="1745" spans="1:38" hidden="1" x14ac:dyDescent="0.2">
      <c r="A1745" s="11">
        <v>43920</v>
      </c>
      <c r="B1745" s="53" t="s">
        <v>1444</v>
      </c>
      <c r="C1745" s="52" t="str">
        <f>IF(MID(B1745,4,2)="09","Ramadan",IF(AND(MID(B1745,4,2)="12",VALUE(LEFT(B1745,2))&lt;=9),"Adha Season","Normal"))</f>
        <v>Normal</v>
      </c>
      <c r="D1745" s="1" t="s">
        <v>45</v>
      </c>
      <c r="F1745" s="4" t="s">
        <v>46</v>
      </c>
      <c r="G1745" s="4">
        <v>35</v>
      </c>
      <c r="H1745" s="4">
        <v>34</v>
      </c>
      <c r="I1745" s="2">
        <f>grand[[#This Row],[number]]-grand[[#This Row],[received]]</f>
        <v>1</v>
      </c>
      <c r="J1745" s="30" t="s">
        <v>64</v>
      </c>
      <c r="K1745" s="4">
        <v>14502</v>
      </c>
      <c r="L1745" s="4">
        <v>14502</v>
      </c>
      <c r="M1745" s="2">
        <f>K1745-L1745</f>
        <v>0</v>
      </c>
      <c r="N1745" s="4">
        <v>8702.7000000000007</v>
      </c>
      <c r="O1745" s="4"/>
      <c r="P1745" s="7">
        <f>grand[[#This Row],[total weight]]/grand[[#This Row],[received]]</f>
        <v>426.52941176470586</v>
      </c>
      <c r="Q1745" s="7">
        <f>grand[[#This Row],[receiving weight]]/grand[[#This Row],[received]]</f>
        <v>426.52941176470586</v>
      </c>
      <c r="R1745" s="7">
        <f>grand[[#This Row],[transportation loss ]]/grand[[#This Row],[received]]</f>
        <v>0</v>
      </c>
      <c r="S1745" s="7">
        <f>grand[[#This Row],[ carcass weight]]/grand[[#This Row],[received]]</f>
        <v>255.96176470588239</v>
      </c>
      <c r="T1745" s="7">
        <f>grand[[#This Row],[ kidneys fat quantity]]/grand[[#This Row],[received]]</f>
        <v>0</v>
      </c>
      <c r="U1745" s="4">
        <v>22.7</v>
      </c>
      <c r="V1745" s="4">
        <v>0</v>
      </c>
      <c r="W1745" s="4">
        <v>50</v>
      </c>
      <c r="X1745" s="4">
        <v>10</v>
      </c>
      <c r="Y1745" s="8">
        <v>8.5</v>
      </c>
      <c r="Z1745" s="3">
        <f>grand[[#This Row],[av. Transportation loss]]/grand[[#This Row],[av.total weight]]</f>
        <v>0</v>
      </c>
      <c r="AA1745" s="12">
        <f>AVERAGE((grand[[#This Row],[am]]/25),(grand[[#This Row],[pm]]/50))</f>
        <v>0.95399999999999996</v>
      </c>
      <c r="AB1745" s="3">
        <f>grand[[#This Row],[ carcass weight]]/grand[[#This Row],[total weight]]</f>
        <v>0.60010343400910227</v>
      </c>
      <c r="AC1745" s="6">
        <f>SUM(grand[[#This Row],[am]:[meat transportation]])/100</f>
        <v>0.91200000000000003</v>
      </c>
      <c r="AD1745" s="4"/>
      <c r="AE1745" s="4"/>
      <c r="AF1745" s="4"/>
      <c r="AG1745" s="4">
        <v>4</v>
      </c>
      <c r="AH1745" s="4"/>
      <c r="AI1745" s="4"/>
      <c r="AJ1745" s="2">
        <v>2</v>
      </c>
      <c r="AK1745" s="4"/>
    </row>
    <row r="1746" spans="1:38" hidden="1" x14ac:dyDescent="0.2">
      <c r="A1746" s="11">
        <v>43923</v>
      </c>
      <c r="B1746" s="53" t="s">
        <v>1447</v>
      </c>
      <c r="C1746" s="52" t="str">
        <f>IF(MID(B1746,4,2)="09","Ramadan",IF(AND(MID(B1746,4,2)="12",VALUE(LEFT(B1746,2))&lt;=9),"Adha Season","Normal"))</f>
        <v>Normal</v>
      </c>
      <c r="D1746" s="1" t="s">
        <v>45</v>
      </c>
      <c r="F1746" s="4" t="s">
        <v>75</v>
      </c>
      <c r="G1746" s="4">
        <v>24</v>
      </c>
      <c r="H1746" s="4">
        <v>23</v>
      </c>
      <c r="I1746" s="2">
        <f>grand[[#This Row],[number]]-grand[[#This Row],[received]]</f>
        <v>1</v>
      </c>
      <c r="J1746" s="30" t="s">
        <v>64</v>
      </c>
      <c r="K1746" s="4">
        <v>10062</v>
      </c>
      <c r="L1746" s="4">
        <v>9937</v>
      </c>
      <c r="M1746" s="2">
        <f>K1746-L1746</f>
        <v>125</v>
      </c>
      <c r="N1746" s="4">
        <v>6036.7</v>
      </c>
      <c r="O1746" s="4"/>
      <c r="P1746" s="7">
        <f>grand[[#This Row],[total weight]]/grand[[#This Row],[received]]</f>
        <v>437.47826086956519</v>
      </c>
      <c r="Q1746" s="7">
        <f>grand[[#This Row],[receiving weight]]/grand[[#This Row],[received]]</f>
        <v>432.04347826086956</v>
      </c>
      <c r="R1746" s="7">
        <f>grand[[#This Row],[transportation loss ]]/grand[[#This Row],[received]]</f>
        <v>5.4347826086956523</v>
      </c>
      <c r="S1746" s="7">
        <f>grand[[#This Row],[ carcass weight]]/grand[[#This Row],[received]]</f>
        <v>262.46521739130435</v>
      </c>
      <c r="T1746" s="7">
        <f>grand[[#This Row],[ kidneys fat quantity]]/grand[[#This Row],[received]]</f>
        <v>0</v>
      </c>
      <c r="U1746" s="4">
        <v>25</v>
      </c>
      <c r="V1746" s="4">
        <v>0</v>
      </c>
      <c r="W1746" s="4">
        <v>50</v>
      </c>
      <c r="X1746" s="4">
        <v>10</v>
      </c>
      <c r="Y1746" s="8">
        <v>8.5</v>
      </c>
      <c r="Z1746" s="3">
        <f>grand[[#This Row],[av. Transportation loss]]/grand[[#This Row],[av.total weight]]</f>
        <v>1.242297753925661E-2</v>
      </c>
      <c r="AA1746" s="12">
        <f>AVERAGE((grand[[#This Row],[am]]/25),(grand[[#This Row],[pm]]/50))</f>
        <v>1</v>
      </c>
      <c r="AB1746" s="3">
        <f>grand[[#This Row],[ carcass weight]]/grand[[#This Row],[total weight]]</f>
        <v>0.59995030808984295</v>
      </c>
      <c r="AC1746" s="6">
        <f>SUM(grand[[#This Row],[am]:[meat transportation]])/100</f>
        <v>0.93500000000000005</v>
      </c>
      <c r="AD1746" s="4"/>
      <c r="AE1746" s="4"/>
      <c r="AF1746" s="4"/>
      <c r="AG1746" s="4"/>
      <c r="AH1746" s="4"/>
      <c r="AI1746" s="4"/>
      <c r="AJ1746" s="2"/>
      <c r="AK1746" s="4"/>
    </row>
    <row r="1747" spans="1:38" hidden="1" x14ac:dyDescent="0.2">
      <c r="A1747" s="11">
        <v>43925</v>
      </c>
      <c r="B1747" s="53" t="s">
        <v>1448</v>
      </c>
      <c r="C1747" s="52" t="str">
        <f>IF(MID(B1747,4,2)="09","Ramadan",IF(AND(MID(B1747,4,2)="12",VALUE(LEFT(B1747,2))&lt;=9),"Adha Season","Normal"))</f>
        <v>Normal</v>
      </c>
      <c r="D1747" s="1" t="s">
        <v>45</v>
      </c>
      <c r="F1747" s="4" t="s">
        <v>46</v>
      </c>
      <c r="G1747" s="4">
        <v>32</v>
      </c>
      <c r="H1747" s="4">
        <v>31</v>
      </c>
      <c r="I1747" s="2">
        <f>grand[[#This Row],[number]]-grand[[#This Row],[received]]</f>
        <v>1</v>
      </c>
      <c r="J1747" s="30" t="s">
        <v>64</v>
      </c>
      <c r="K1747" s="4">
        <v>16289</v>
      </c>
      <c r="L1747" s="4">
        <v>16289</v>
      </c>
      <c r="M1747" s="2">
        <f>K1747-L1747</f>
        <v>0</v>
      </c>
      <c r="N1747" s="4">
        <v>9873</v>
      </c>
      <c r="O1747" s="4"/>
      <c r="P1747" s="7">
        <f>grand[[#This Row],[total weight]]/grand[[#This Row],[received]]</f>
        <v>525.45161290322585</v>
      </c>
      <c r="Q1747" s="7">
        <f>grand[[#This Row],[receiving weight]]/grand[[#This Row],[received]]</f>
        <v>525.45161290322585</v>
      </c>
      <c r="R1747" s="7">
        <f>grand[[#This Row],[transportation loss ]]/grand[[#This Row],[received]]</f>
        <v>0</v>
      </c>
      <c r="S1747" s="7">
        <f>grand[[#This Row],[ carcass weight]]/grand[[#This Row],[received]]</f>
        <v>318.48387096774195</v>
      </c>
      <c r="T1747" s="7">
        <f>grand[[#This Row],[ kidneys fat quantity]]/grand[[#This Row],[received]]</f>
        <v>0</v>
      </c>
      <c r="U1747" s="4">
        <v>24.2</v>
      </c>
      <c r="V1747" s="4">
        <v>0</v>
      </c>
      <c r="W1747" s="4">
        <v>49.8</v>
      </c>
      <c r="X1747" s="4">
        <v>10</v>
      </c>
      <c r="Y1747" s="8">
        <v>8.5</v>
      </c>
      <c r="Z1747" s="3">
        <f>grand[[#This Row],[av. Transportation loss]]/grand[[#This Row],[av.total weight]]</f>
        <v>0</v>
      </c>
      <c r="AA1747" s="12">
        <f>AVERAGE((grand[[#This Row],[am]]/25),(grand[[#This Row],[pm]]/50))</f>
        <v>0.98199999999999998</v>
      </c>
      <c r="AB1747" s="3">
        <f>grand[[#This Row],[ carcass weight]]/grand[[#This Row],[total weight]]</f>
        <v>0.60611455583522622</v>
      </c>
      <c r="AC1747" s="6">
        <f>SUM(grand[[#This Row],[am]:[meat transportation]])/100</f>
        <v>0.92500000000000004</v>
      </c>
      <c r="AD1747" s="4"/>
      <c r="AE1747" s="4">
        <v>2</v>
      </c>
      <c r="AF1747" s="4"/>
      <c r="AG1747" s="4"/>
      <c r="AH1747" s="4"/>
      <c r="AI1747" s="4"/>
      <c r="AJ1747" s="2">
        <v>5</v>
      </c>
      <c r="AK1747" s="4"/>
    </row>
    <row r="1748" spans="1:38" hidden="1" x14ac:dyDescent="0.2">
      <c r="A1748" s="11">
        <v>43929</v>
      </c>
      <c r="B1748" s="53" t="s">
        <v>1452</v>
      </c>
      <c r="C1748" s="52" t="str">
        <f>IF(MID(B1748,4,2)="09","Ramadan",IF(AND(MID(B1748,4,2)="12",VALUE(LEFT(B1748,2))&lt;=9),"Adha Season","Normal"))</f>
        <v>Normal</v>
      </c>
      <c r="D1748" s="1" t="s">
        <v>45</v>
      </c>
      <c r="F1748" s="4" t="s">
        <v>47</v>
      </c>
      <c r="G1748" s="4">
        <v>35</v>
      </c>
      <c r="H1748" s="4">
        <v>34</v>
      </c>
      <c r="I1748" s="2">
        <f>grand[[#This Row],[number]]-grand[[#This Row],[received]]</f>
        <v>1</v>
      </c>
      <c r="J1748" s="30" t="s">
        <v>92</v>
      </c>
      <c r="K1748" s="4">
        <v>15797</v>
      </c>
      <c r="L1748" s="4">
        <v>15272</v>
      </c>
      <c r="M1748" s="2">
        <f>K1748-L1748</f>
        <v>525</v>
      </c>
      <c r="N1748" s="4">
        <v>9888.9</v>
      </c>
      <c r="O1748" s="4"/>
      <c r="P1748" s="7">
        <f>grand[[#This Row],[total weight]]/grand[[#This Row],[received]]</f>
        <v>464.61764705882354</v>
      </c>
      <c r="Q1748" s="7">
        <f>grand[[#This Row],[receiving weight]]/grand[[#This Row],[received]]</f>
        <v>449.1764705882353</v>
      </c>
      <c r="R1748" s="7">
        <f>grand[[#This Row],[transportation loss ]]/grand[[#This Row],[received]]</f>
        <v>15.441176470588236</v>
      </c>
      <c r="S1748" s="7">
        <f>grand[[#This Row],[ carcass weight]]/grand[[#This Row],[received]]</f>
        <v>290.84999999999997</v>
      </c>
      <c r="T1748" s="7">
        <f>grand[[#This Row],[ kidneys fat quantity]]/grand[[#This Row],[received]]</f>
        <v>0</v>
      </c>
      <c r="U1748" s="4">
        <v>25</v>
      </c>
      <c r="V1748" s="4">
        <v>0</v>
      </c>
      <c r="W1748" s="4">
        <v>49.8</v>
      </c>
      <c r="X1748" s="4">
        <v>10</v>
      </c>
      <c r="Y1748" s="8">
        <v>8.5</v>
      </c>
      <c r="Z1748" s="3">
        <f>grand[[#This Row],[av. Transportation loss]]/grand[[#This Row],[av.total weight]]</f>
        <v>3.3234158384503387E-2</v>
      </c>
      <c r="AA1748" s="12">
        <f>AVERAGE((grand[[#This Row],[am]]/25),(grand[[#This Row],[pm]]/50))</f>
        <v>0.998</v>
      </c>
      <c r="AB1748" s="3">
        <f>grand[[#This Row],[ carcass weight]]/grand[[#This Row],[total weight]]</f>
        <v>0.62599860733050572</v>
      </c>
      <c r="AC1748" s="6">
        <f>SUM(grand[[#This Row],[am]:[meat transportation]])/100</f>
        <v>0.93299999999999994</v>
      </c>
      <c r="AD1748" s="4"/>
      <c r="AE1748" s="4">
        <v>1</v>
      </c>
      <c r="AF1748" s="4" t="s">
        <v>88</v>
      </c>
      <c r="AG1748" s="4"/>
      <c r="AH1748" s="4"/>
      <c r="AI1748" s="4"/>
      <c r="AJ1748" s="2"/>
      <c r="AK1748" s="4"/>
    </row>
    <row r="1749" spans="1:38" hidden="1" x14ac:dyDescent="0.2">
      <c r="A1749" s="11">
        <v>43934</v>
      </c>
      <c r="B1749" s="53" t="s">
        <v>1456</v>
      </c>
      <c r="C1749" s="52" t="str">
        <f>IF(MID(B1749,4,2)="09","Ramadan",IF(AND(MID(B1749,4,2)="12",VALUE(LEFT(B1749,2))&lt;=9),"Adha Season","Normal"))</f>
        <v>Normal</v>
      </c>
      <c r="D1749" s="2" t="s">
        <v>294</v>
      </c>
      <c r="E1749" s="2"/>
      <c r="F1749" s="4" t="s">
        <v>68</v>
      </c>
      <c r="G1749" s="4">
        <v>11</v>
      </c>
      <c r="H1749" s="4">
        <v>10</v>
      </c>
      <c r="I1749" s="2">
        <f>grand[[#This Row],[number]]-grand[[#This Row],[received]]</f>
        <v>1</v>
      </c>
      <c r="J1749" s="30" t="s">
        <v>99</v>
      </c>
      <c r="K1749" s="4"/>
      <c r="L1749" s="4"/>
      <c r="M1749" s="2">
        <f>K1749-L1749</f>
        <v>0</v>
      </c>
      <c r="N1749" s="4"/>
      <c r="O1749" s="4"/>
      <c r="P1749" s="7">
        <f>grand[[#This Row],[total weight]]/grand[[#This Row],[received]]</f>
        <v>0</v>
      </c>
      <c r="Q1749" s="7">
        <f>grand[[#This Row],[receiving weight]]/grand[[#This Row],[received]]</f>
        <v>0</v>
      </c>
      <c r="R1749" s="7">
        <f>grand[[#This Row],[transportation loss ]]/grand[[#This Row],[received]]</f>
        <v>0</v>
      </c>
      <c r="S1749" s="7">
        <f>grand[[#This Row],[ carcass weight]]/grand[[#This Row],[received]]</f>
        <v>0</v>
      </c>
      <c r="T1749" s="7">
        <f>grand[[#This Row],[ kidneys fat quantity]]/grand[[#This Row],[received]]</f>
        <v>0</v>
      </c>
      <c r="U1749" s="4">
        <v>25</v>
      </c>
      <c r="V1749" s="4">
        <v>0</v>
      </c>
      <c r="W1749" s="4">
        <v>48.6</v>
      </c>
      <c r="X1749" s="4">
        <v>10</v>
      </c>
      <c r="Y1749" s="8">
        <v>8.5</v>
      </c>
      <c r="Z1749" s="3"/>
      <c r="AA1749" s="12">
        <f>AVERAGE((grand[[#This Row],[am]]/25),(grand[[#This Row],[pm]]/50))</f>
        <v>0.98599999999999999</v>
      </c>
      <c r="AB1749" s="3"/>
      <c r="AC1749" s="6">
        <f>SUM(grand[[#This Row],[am]:[meat transportation]])/100</f>
        <v>0.92099999999999993</v>
      </c>
      <c r="AD1749" s="4" t="s">
        <v>100</v>
      </c>
      <c r="AE1749" s="4"/>
      <c r="AF1749" s="4"/>
      <c r="AG1749" s="4"/>
      <c r="AH1749" s="4"/>
      <c r="AI1749" s="4"/>
      <c r="AJ1749" s="2"/>
      <c r="AK1749" s="4"/>
    </row>
    <row r="1750" spans="1:38" hidden="1" x14ac:dyDescent="0.2">
      <c r="A1750" s="11">
        <v>43935</v>
      </c>
      <c r="B1750" s="53" t="s">
        <v>1457</v>
      </c>
      <c r="C1750" s="52" t="str">
        <f>IF(MID(B1750,4,2)="09","Ramadan",IF(AND(MID(B1750,4,2)="12",VALUE(LEFT(B1750,2))&lt;=9),"Adha Season","Normal"))</f>
        <v>Normal</v>
      </c>
      <c r="D1750" s="1" t="s">
        <v>45</v>
      </c>
      <c r="F1750" s="4" t="s">
        <v>47</v>
      </c>
      <c r="G1750" s="4">
        <v>45</v>
      </c>
      <c r="H1750" s="4">
        <v>44</v>
      </c>
      <c r="I1750" s="2">
        <f>grand[[#This Row],[number]]-grand[[#This Row],[received]]</f>
        <v>1</v>
      </c>
      <c r="J1750" s="30" t="s">
        <v>102</v>
      </c>
      <c r="K1750" s="4">
        <v>17664</v>
      </c>
      <c r="L1750" s="4">
        <v>17505</v>
      </c>
      <c r="M1750" s="2">
        <f>K1750-L1750</f>
        <v>159</v>
      </c>
      <c r="N1750" s="4">
        <v>10812</v>
      </c>
      <c r="O1750" s="4"/>
      <c r="P1750" s="7">
        <f>grand[[#This Row],[total weight]]/grand[[#This Row],[received]]</f>
        <v>401.45454545454544</v>
      </c>
      <c r="Q1750" s="7">
        <f>grand[[#This Row],[receiving weight]]/grand[[#This Row],[received]]</f>
        <v>397.84090909090907</v>
      </c>
      <c r="R1750" s="7">
        <f>grand[[#This Row],[transportation loss ]]/grand[[#This Row],[received]]</f>
        <v>3.6136363636363638</v>
      </c>
      <c r="S1750" s="7">
        <f>grand[[#This Row],[ carcass weight]]/grand[[#This Row],[received]]</f>
        <v>245.72727272727272</v>
      </c>
      <c r="T1750" s="7">
        <f>grand[[#This Row],[ kidneys fat quantity]]/grand[[#This Row],[received]]</f>
        <v>0</v>
      </c>
      <c r="U1750" s="4">
        <v>25</v>
      </c>
      <c r="V1750" s="4">
        <v>0</v>
      </c>
      <c r="W1750" s="4">
        <v>49</v>
      </c>
      <c r="X1750" s="4">
        <v>10</v>
      </c>
      <c r="Y1750" s="8">
        <v>8.5</v>
      </c>
      <c r="Z1750" s="3">
        <f>grand[[#This Row],[av. Transportation loss]]/grand[[#This Row],[av.total weight]]</f>
        <v>9.001358695652174E-3</v>
      </c>
      <c r="AA1750" s="12">
        <f>AVERAGE((grand[[#This Row],[am]]/25),(grand[[#This Row],[pm]]/50))</f>
        <v>0.99</v>
      </c>
      <c r="AB1750" s="3">
        <f>grand[[#This Row],[ carcass weight]]/grand[[#This Row],[total weight]]</f>
        <v>0.61209239130434778</v>
      </c>
      <c r="AC1750" s="6">
        <f>SUM(grand[[#This Row],[am]:[meat transportation]])/100</f>
        <v>0.92500000000000004</v>
      </c>
      <c r="AD1750" s="4" t="s">
        <v>103</v>
      </c>
      <c r="AE1750" s="4"/>
      <c r="AF1750" s="4" t="s">
        <v>104</v>
      </c>
      <c r="AG1750" s="4"/>
      <c r="AH1750" s="4"/>
      <c r="AI1750" s="4">
        <v>3</v>
      </c>
      <c r="AJ1750" s="2"/>
      <c r="AK1750" s="4">
        <v>3</v>
      </c>
    </row>
    <row r="1751" spans="1:38" hidden="1" x14ac:dyDescent="0.2">
      <c r="A1751" s="11">
        <v>43943</v>
      </c>
      <c r="B1751" s="53" t="s">
        <v>1463</v>
      </c>
      <c r="C1751" s="52" t="str">
        <f>IF(MID(B1751,4,2)="09","Ramadan",IF(AND(MID(B1751,4,2)="12",VALUE(LEFT(B1751,2))&lt;=9),"Adha Season","Normal"))</f>
        <v>Normal</v>
      </c>
      <c r="D1751" s="1" t="s">
        <v>45</v>
      </c>
      <c r="F1751" s="4" t="s">
        <v>50</v>
      </c>
      <c r="G1751" s="4">
        <v>45</v>
      </c>
      <c r="H1751" s="4">
        <v>44</v>
      </c>
      <c r="I1751" s="2">
        <f>grand[[#This Row],[number]]-grand[[#This Row],[received]]</f>
        <v>1</v>
      </c>
      <c r="J1751" s="30" t="s">
        <v>112</v>
      </c>
      <c r="K1751" s="4">
        <v>18454</v>
      </c>
      <c r="L1751" s="4">
        <v>17173</v>
      </c>
      <c r="M1751" s="2">
        <f>K1751-L1751</f>
        <v>1281</v>
      </c>
      <c r="N1751" s="4">
        <v>11204.6</v>
      </c>
      <c r="O1751" s="4"/>
      <c r="P1751" s="7">
        <f>grand[[#This Row],[total weight]]/grand[[#This Row],[received]]</f>
        <v>419.40909090909093</v>
      </c>
      <c r="Q1751" s="7">
        <f>grand[[#This Row],[receiving weight]]/grand[[#This Row],[received]]</f>
        <v>390.29545454545456</v>
      </c>
      <c r="R1751" s="7">
        <f>grand[[#This Row],[transportation loss ]]/grand[[#This Row],[received]]</f>
        <v>29.113636363636363</v>
      </c>
      <c r="S1751" s="7">
        <f>grand[[#This Row],[ carcass weight]]/grand[[#This Row],[received]]</f>
        <v>254.65</v>
      </c>
      <c r="T1751" s="7">
        <f>grand[[#This Row],[ kidneys fat quantity]]/grand[[#This Row],[received]]</f>
        <v>0</v>
      </c>
      <c r="U1751" s="4">
        <v>25</v>
      </c>
      <c r="V1751" s="4">
        <v>0</v>
      </c>
      <c r="W1751" s="4">
        <v>49.7</v>
      </c>
      <c r="X1751" s="4">
        <v>10</v>
      </c>
      <c r="Y1751" s="8">
        <v>8.5</v>
      </c>
      <c r="Z1751" s="3">
        <f>grand[[#This Row],[av. Transportation loss]]/grand[[#This Row],[av.total weight]]</f>
        <v>6.9415844803294671E-2</v>
      </c>
      <c r="AA1751" s="12">
        <f>AVERAGE((grand[[#This Row],[am]]/25),(grand[[#This Row],[pm]]/50))</f>
        <v>0.99700000000000011</v>
      </c>
      <c r="AB1751" s="3">
        <f>grand[[#This Row],[ carcass weight]]/grand[[#This Row],[total weight]]</f>
        <v>0.60716375853473503</v>
      </c>
      <c r="AC1751" s="6">
        <f>SUM(grand[[#This Row],[am]:[meat transportation]])/100</f>
        <v>0.93200000000000005</v>
      </c>
      <c r="AD1751" s="4" t="s">
        <v>81</v>
      </c>
      <c r="AE1751" s="4"/>
      <c r="AF1751" s="4" t="s">
        <v>69</v>
      </c>
      <c r="AG1751" s="4"/>
      <c r="AH1751" s="4"/>
      <c r="AI1751" s="4"/>
      <c r="AJ1751" s="2"/>
      <c r="AK1751" s="4"/>
    </row>
    <row r="1752" spans="1:38" hidden="1" x14ac:dyDescent="0.2">
      <c r="A1752" s="11">
        <v>43960</v>
      </c>
      <c r="B1752" s="53" t="s">
        <v>2511</v>
      </c>
      <c r="C1752" s="52" t="str">
        <f>IF(MID(B1752,4,2)="09","Ramadan",IF(AND(MID(B1752,4,2)="12",VALUE(LEFT(B1752,2))&lt;=9),"Adha Season","Normal"))</f>
        <v>Ramadan</v>
      </c>
      <c r="D1752" s="1" t="s">
        <v>45</v>
      </c>
      <c r="F1752" s="4" t="s">
        <v>46</v>
      </c>
      <c r="G1752" s="4">
        <v>33</v>
      </c>
      <c r="H1752" s="4">
        <v>32</v>
      </c>
      <c r="I1752" s="2">
        <f>grand[[#This Row],[number]]-grand[[#This Row],[received]]</f>
        <v>1</v>
      </c>
      <c r="J1752" s="30" t="s">
        <v>123</v>
      </c>
      <c r="K1752" s="4">
        <v>15015</v>
      </c>
      <c r="L1752" s="4">
        <v>14392</v>
      </c>
      <c r="M1752" s="2">
        <f>K1752-L1752</f>
        <v>623</v>
      </c>
      <c r="N1752" s="4">
        <v>9008.2999999999993</v>
      </c>
      <c r="O1752" s="4"/>
      <c r="P1752" s="7">
        <f>grand[[#This Row],[total weight]]/grand[[#This Row],[received]]</f>
        <v>469.21875</v>
      </c>
      <c r="Q1752" s="7">
        <f>grand[[#This Row],[receiving weight]]/grand[[#This Row],[received]]</f>
        <v>449.75</v>
      </c>
      <c r="R1752" s="7">
        <f>grand[[#This Row],[transportation loss ]]/grand[[#This Row],[received]]</f>
        <v>19.46875</v>
      </c>
      <c r="S1752" s="7">
        <f>grand[[#This Row],[ carcass weight]]/grand[[#This Row],[received]]</f>
        <v>281.50937499999998</v>
      </c>
      <c r="T1752" s="7">
        <f>grand[[#This Row],[ kidneys fat quantity]]/grand[[#This Row],[received]]</f>
        <v>0</v>
      </c>
      <c r="U1752" s="4">
        <v>25</v>
      </c>
      <c r="V1752" s="4">
        <v>0</v>
      </c>
      <c r="W1752" s="4">
        <v>49.1</v>
      </c>
      <c r="X1752" s="4">
        <v>10</v>
      </c>
      <c r="Y1752" s="8">
        <v>8.5</v>
      </c>
      <c r="Z1752" s="3">
        <f>grand[[#This Row],[av. Transportation loss]]/grand[[#This Row],[av.total weight]]</f>
        <v>4.1491841491841493E-2</v>
      </c>
      <c r="AA1752" s="12">
        <f>AVERAGE((grand[[#This Row],[am]]/25),(grand[[#This Row],[pm]]/50))</f>
        <v>0.99099999999999999</v>
      </c>
      <c r="AB1752" s="3">
        <f>grand[[#This Row],[ carcass weight]]/grand[[#This Row],[total weight]]</f>
        <v>0.59995337995337994</v>
      </c>
      <c r="AC1752" s="6">
        <f>SUM(grand[[#This Row],[am]:[meat transportation]])/100</f>
        <v>0.92599999999999993</v>
      </c>
      <c r="AD1752" s="4" t="s">
        <v>124</v>
      </c>
      <c r="AE1752" s="4"/>
      <c r="AF1752" s="4"/>
      <c r="AG1752" s="4"/>
      <c r="AH1752" s="4"/>
      <c r="AI1752" s="4"/>
      <c r="AJ1752" s="2"/>
      <c r="AK1752" s="4"/>
    </row>
    <row r="1753" spans="1:38" hidden="1" x14ac:dyDescent="0.2">
      <c r="A1753" s="11">
        <v>43962</v>
      </c>
      <c r="B1753" s="53" t="s">
        <v>1471</v>
      </c>
      <c r="C1753" s="52" t="str">
        <f>IF(MID(B1753,4,2)="09","Ramadan",IF(AND(MID(B1753,4,2)="12",VALUE(LEFT(B1753,2))&lt;=9),"Adha Season","Normal"))</f>
        <v>Ramadan</v>
      </c>
      <c r="D1753" s="1" t="s">
        <v>45</v>
      </c>
      <c r="F1753" s="4" t="s">
        <v>47</v>
      </c>
      <c r="G1753" s="4">
        <v>28</v>
      </c>
      <c r="H1753" s="4">
        <v>27</v>
      </c>
      <c r="I1753" s="2">
        <f>grand[[#This Row],[number]]-grand[[#This Row],[received]]</f>
        <v>1</v>
      </c>
      <c r="J1753" s="30" t="s">
        <v>125</v>
      </c>
      <c r="K1753" s="4">
        <v>12774</v>
      </c>
      <c r="L1753" s="4">
        <v>12184</v>
      </c>
      <c r="M1753" s="2">
        <f>K1753-L1753</f>
        <v>590</v>
      </c>
      <c r="N1753" s="4">
        <v>7872</v>
      </c>
      <c r="O1753" s="4"/>
      <c r="P1753" s="7">
        <f>grand[[#This Row],[total weight]]/grand[[#This Row],[received]]</f>
        <v>473.11111111111109</v>
      </c>
      <c r="Q1753" s="7">
        <f>grand[[#This Row],[receiving weight]]/grand[[#This Row],[received]]</f>
        <v>451.25925925925924</v>
      </c>
      <c r="R1753" s="7">
        <f>grand[[#This Row],[transportation loss ]]/grand[[#This Row],[received]]</f>
        <v>21.851851851851851</v>
      </c>
      <c r="S1753" s="7">
        <f>grand[[#This Row],[ carcass weight]]/grand[[#This Row],[received]]</f>
        <v>291.55555555555554</v>
      </c>
      <c r="T1753" s="7">
        <f>grand[[#This Row],[ kidneys fat quantity]]/grand[[#This Row],[received]]</f>
        <v>0</v>
      </c>
      <c r="U1753" s="4">
        <v>24</v>
      </c>
      <c r="V1753" s="4">
        <v>0</v>
      </c>
      <c r="W1753" s="4">
        <v>49.1</v>
      </c>
      <c r="X1753" s="4">
        <v>10</v>
      </c>
      <c r="Y1753" s="8">
        <v>8.5</v>
      </c>
      <c r="Z1753" s="3">
        <f>grand[[#This Row],[av. Transportation loss]]/grand[[#This Row],[av.total weight]]</f>
        <v>4.6187568498512604E-2</v>
      </c>
      <c r="AA1753" s="12">
        <f>AVERAGE((grand[[#This Row],[am]]/25),(grand[[#This Row],[pm]]/50))</f>
        <v>0.97099999999999997</v>
      </c>
      <c r="AB1753" s="3">
        <f>grand[[#This Row],[ carcass weight]]/grand[[#This Row],[total weight]]</f>
        <v>0.61625176139032412</v>
      </c>
      <c r="AC1753" s="6">
        <f>SUM(grand[[#This Row],[am]:[meat transportation]])/100</f>
        <v>0.91599999999999993</v>
      </c>
      <c r="AD1753" s="4" t="s">
        <v>81</v>
      </c>
      <c r="AE1753" s="4">
        <v>2</v>
      </c>
      <c r="AF1753" s="4"/>
      <c r="AG1753" s="4"/>
      <c r="AH1753" s="4"/>
      <c r="AI1753" s="4">
        <v>2</v>
      </c>
      <c r="AJ1753" s="2"/>
      <c r="AK1753" s="4"/>
    </row>
    <row r="1754" spans="1:38" hidden="1" x14ac:dyDescent="0.2">
      <c r="A1754" s="11">
        <v>43963</v>
      </c>
      <c r="B1754" s="53" t="s">
        <v>1472</v>
      </c>
      <c r="C1754" s="52" t="str">
        <f>IF(MID(B1754,4,2)="09","Ramadan",IF(AND(MID(B1754,4,2)="12",VALUE(LEFT(B1754,2))&lt;=9),"Adha Season","Normal"))</f>
        <v>Ramadan</v>
      </c>
      <c r="D1754" s="1" t="s">
        <v>45</v>
      </c>
      <c r="F1754" s="4" t="s">
        <v>50</v>
      </c>
      <c r="G1754" s="4">
        <v>16</v>
      </c>
      <c r="H1754" s="4">
        <v>15</v>
      </c>
      <c r="I1754" s="2">
        <f>grand[[#This Row],[number]]-grand[[#This Row],[received]]</f>
        <v>1</v>
      </c>
      <c r="J1754" s="30" t="s">
        <v>112</v>
      </c>
      <c r="K1754" s="4">
        <v>5912</v>
      </c>
      <c r="L1754" s="4">
        <v>5589</v>
      </c>
      <c r="M1754" s="2">
        <f>K1754-L1754</f>
        <v>323</v>
      </c>
      <c r="N1754" s="4">
        <v>3701.2</v>
      </c>
      <c r="O1754" s="4"/>
      <c r="P1754" s="7">
        <f>grand[[#This Row],[total weight]]/grand[[#This Row],[received]]</f>
        <v>394.13333333333333</v>
      </c>
      <c r="Q1754" s="7">
        <f>grand[[#This Row],[receiving weight]]/grand[[#This Row],[received]]</f>
        <v>372.6</v>
      </c>
      <c r="R1754" s="7">
        <f>grand[[#This Row],[transportation loss ]]/grand[[#This Row],[received]]</f>
        <v>21.533333333333335</v>
      </c>
      <c r="S1754" s="7">
        <f>grand[[#This Row],[ carcass weight]]/grand[[#This Row],[received]]</f>
        <v>246.74666666666664</v>
      </c>
      <c r="T1754" s="7">
        <f>grand[[#This Row],[ kidneys fat quantity]]/grand[[#This Row],[received]]</f>
        <v>0</v>
      </c>
      <c r="U1754" s="4">
        <v>25</v>
      </c>
      <c r="V1754" s="4">
        <v>0</v>
      </c>
      <c r="W1754" s="4">
        <v>49.4</v>
      </c>
      <c r="X1754" s="4">
        <v>10</v>
      </c>
      <c r="Y1754" s="8">
        <v>8.5</v>
      </c>
      <c r="Z1754" s="3">
        <f>grand[[#This Row],[av. Transportation loss]]/grand[[#This Row],[av.total weight]]</f>
        <v>5.4634641407307179E-2</v>
      </c>
      <c r="AA1754" s="12">
        <f>AVERAGE((grand[[#This Row],[am]]/25),(grand[[#This Row],[pm]]/50))</f>
        <v>0.99399999999999999</v>
      </c>
      <c r="AB1754" s="3">
        <f>grand[[#This Row],[ carcass weight]]/grand[[#This Row],[total weight]]</f>
        <v>0.62604871447902566</v>
      </c>
      <c r="AC1754" s="6">
        <f>SUM(grand[[#This Row],[am]:[meat transportation]])/100</f>
        <v>0.92900000000000005</v>
      </c>
      <c r="AD1754" s="4" t="s">
        <v>117</v>
      </c>
      <c r="AE1754" s="4"/>
      <c r="AF1754" s="4" t="s">
        <v>55</v>
      </c>
      <c r="AG1754" s="4"/>
      <c r="AH1754" s="4"/>
      <c r="AI1754" s="4"/>
      <c r="AJ1754" s="2"/>
      <c r="AK1754" s="4"/>
    </row>
    <row r="1755" spans="1:38" hidden="1" x14ac:dyDescent="0.2">
      <c r="A1755" s="11">
        <v>43969</v>
      </c>
      <c r="B1755" s="53" t="s">
        <v>1474</v>
      </c>
      <c r="C1755" s="52" t="str">
        <f>IF(MID(B1755,4,2)="09","Ramadan",IF(AND(MID(B1755,4,2)="12",VALUE(LEFT(B1755,2))&lt;=9),"Adha Season","Normal"))</f>
        <v>Ramadan</v>
      </c>
      <c r="D1755" s="1" t="s">
        <v>45</v>
      </c>
      <c r="F1755" s="4" t="s">
        <v>50</v>
      </c>
      <c r="G1755" s="4">
        <v>26</v>
      </c>
      <c r="H1755" s="4">
        <v>25</v>
      </c>
      <c r="I1755" s="2">
        <f>grand[[#This Row],[number]]-grand[[#This Row],[received]]</f>
        <v>1</v>
      </c>
      <c r="J1755" s="30" t="s">
        <v>112</v>
      </c>
      <c r="K1755" s="4">
        <v>10179</v>
      </c>
      <c r="L1755" s="4">
        <v>9515</v>
      </c>
      <c r="M1755" s="2">
        <f>K1755-L1755</f>
        <v>664</v>
      </c>
      <c r="N1755" s="4">
        <v>6356.3</v>
      </c>
      <c r="O1755" s="4"/>
      <c r="P1755" s="7">
        <f>grand[[#This Row],[total weight]]/grand[[#This Row],[received]]</f>
        <v>407.16</v>
      </c>
      <c r="Q1755" s="7">
        <f>grand[[#This Row],[receiving weight]]/grand[[#This Row],[received]]</f>
        <v>380.6</v>
      </c>
      <c r="R1755" s="7">
        <f>grand[[#This Row],[transportation loss ]]/grand[[#This Row],[received]]</f>
        <v>26.56</v>
      </c>
      <c r="S1755" s="7">
        <f>grand[[#This Row],[ carcass weight]]/grand[[#This Row],[received]]</f>
        <v>254.25200000000001</v>
      </c>
      <c r="T1755" s="7">
        <f>grand[[#This Row],[ kidneys fat quantity]]/grand[[#This Row],[received]]</f>
        <v>0</v>
      </c>
      <c r="U1755" s="4">
        <v>25</v>
      </c>
      <c r="V1755" s="4">
        <v>0</v>
      </c>
      <c r="W1755" s="4">
        <v>49.5</v>
      </c>
      <c r="X1755" s="4">
        <v>10</v>
      </c>
      <c r="Y1755" s="8">
        <v>8.5</v>
      </c>
      <c r="Z1755" s="3">
        <f>grand[[#This Row],[av. Transportation loss]]/grand[[#This Row],[av.total weight]]</f>
        <v>6.5232341094410048E-2</v>
      </c>
      <c r="AA1755" s="12">
        <f>AVERAGE((grand[[#This Row],[am]]/25),(grand[[#This Row],[pm]]/50))</f>
        <v>0.995</v>
      </c>
      <c r="AB1755" s="3">
        <f>grand[[#This Row],[ carcass weight]]/grand[[#This Row],[total weight]]</f>
        <v>0.6244523037626486</v>
      </c>
      <c r="AC1755" s="6">
        <f>SUM(grand[[#This Row],[am]:[meat transportation]])/100</f>
        <v>0.93</v>
      </c>
      <c r="AD1755" s="4"/>
      <c r="AE1755" s="4">
        <v>3</v>
      </c>
      <c r="AF1755" s="4" t="s">
        <v>83</v>
      </c>
      <c r="AG1755" s="4"/>
      <c r="AH1755" s="4"/>
      <c r="AI1755" s="4"/>
      <c r="AJ1755" s="2"/>
      <c r="AK1755" s="4"/>
    </row>
    <row r="1756" spans="1:38" hidden="1" x14ac:dyDescent="0.2">
      <c r="A1756" s="11">
        <v>43984</v>
      </c>
      <c r="B1756" s="53" t="s">
        <v>1480</v>
      </c>
      <c r="C1756" s="52" t="str">
        <f>IF(MID(B1756,4,2)="09","Ramadan",IF(AND(MID(B1756,4,2)="12",VALUE(LEFT(B1756,2))&lt;=9),"Adha Season","Normal"))</f>
        <v>Normal</v>
      </c>
      <c r="D1756" s="1" t="s">
        <v>45</v>
      </c>
      <c r="F1756" s="4" t="s">
        <v>50</v>
      </c>
      <c r="G1756" s="4">
        <v>21</v>
      </c>
      <c r="H1756" s="4">
        <v>20</v>
      </c>
      <c r="I1756" s="2">
        <f>grand[[#This Row],[number]]-grand[[#This Row],[received]]</f>
        <v>1</v>
      </c>
      <c r="J1756" s="30" t="s">
        <v>112</v>
      </c>
      <c r="K1756" s="4">
        <v>8430</v>
      </c>
      <c r="L1756" s="4">
        <v>8041</v>
      </c>
      <c r="M1756" s="2">
        <f>K1756-L1756</f>
        <v>389</v>
      </c>
      <c r="N1756" s="4">
        <v>5302.9</v>
      </c>
      <c r="O1756" s="4"/>
      <c r="P1756" s="7">
        <f>grand[[#This Row],[total weight]]/grand[[#This Row],[received]]</f>
        <v>421.5</v>
      </c>
      <c r="Q1756" s="7">
        <f>grand[[#This Row],[receiving weight]]/grand[[#This Row],[received]]</f>
        <v>402.05</v>
      </c>
      <c r="R1756" s="7">
        <f>grand[[#This Row],[transportation loss ]]/grand[[#This Row],[received]]</f>
        <v>19.45</v>
      </c>
      <c r="S1756" s="7">
        <f>grand[[#This Row],[ carcass weight]]/grand[[#This Row],[received]]</f>
        <v>265.14499999999998</v>
      </c>
      <c r="T1756" s="7">
        <f>grand[[#This Row],[ kidneys fat quantity]]/grand[[#This Row],[received]]</f>
        <v>0</v>
      </c>
      <c r="U1756" s="4">
        <v>25</v>
      </c>
      <c r="V1756" s="4">
        <v>0</v>
      </c>
      <c r="W1756" s="4">
        <v>49.5</v>
      </c>
      <c r="X1756" s="4">
        <v>10</v>
      </c>
      <c r="Y1756" s="8">
        <v>8.5</v>
      </c>
      <c r="Z1756" s="3">
        <f>grand[[#This Row],[av. Transportation loss]]/grand[[#This Row],[av.total weight]]</f>
        <v>4.6144721233689207E-2</v>
      </c>
      <c r="AA1756" s="12">
        <f>AVERAGE((grand[[#This Row],[am]]/25),(grand[[#This Row],[pm]]/50))</f>
        <v>0.995</v>
      </c>
      <c r="AB1756" s="3">
        <f>grand[[#This Row],[ carcass weight]]/grand[[#This Row],[total weight]]</f>
        <v>0.62905100830367733</v>
      </c>
      <c r="AC1756" s="6">
        <f>SUM(grand[[#This Row],[am]:[meat transportation]])/100</f>
        <v>0.93</v>
      </c>
      <c r="AD1756" s="4"/>
      <c r="AE1756" s="4"/>
      <c r="AF1756" s="4" t="s">
        <v>139</v>
      </c>
      <c r="AG1756" s="4"/>
      <c r="AH1756" s="4"/>
      <c r="AI1756" s="4">
        <v>2</v>
      </c>
      <c r="AJ1756" s="2"/>
      <c r="AK1756" s="4"/>
      <c r="AL1756" s="2">
        <v>422.5</v>
      </c>
    </row>
    <row r="1757" spans="1:38" hidden="1" x14ac:dyDescent="0.2">
      <c r="A1757" s="11">
        <v>43985</v>
      </c>
      <c r="B1757" s="53" t="s">
        <v>1481</v>
      </c>
      <c r="C1757" s="52" t="str">
        <f>IF(MID(B1757,4,2)="09","Ramadan",IF(AND(MID(B1757,4,2)="12",VALUE(LEFT(B1757,2))&lt;=9),"Adha Season","Normal"))</f>
        <v>Normal</v>
      </c>
      <c r="D1757" s="1" t="s">
        <v>45</v>
      </c>
      <c r="F1757" s="4" t="s">
        <v>50</v>
      </c>
      <c r="G1757" s="4">
        <v>30</v>
      </c>
      <c r="H1757" s="4">
        <v>29</v>
      </c>
      <c r="I1757" s="2">
        <f>grand[[#This Row],[number]]-grand[[#This Row],[received]]</f>
        <v>1</v>
      </c>
      <c r="J1757" s="30" t="s">
        <v>112</v>
      </c>
      <c r="K1757" s="4">
        <v>11689</v>
      </c>
      <c r="L1757" s="4">
        <v>10896</v>
      </c>
      <c r="M1757" s="2">
        <f>K1757-L1757</f>
        <v>793</v>
      </c>
      <c r="N1757" s="4">
        <v>7192</v>
      </c>
      <c r="O1757" s="4"/>
      <c r="P1757" s="7">
        <f>grand[[#This Row],[total weight]]/grand[[#This Row],[received]]</f>
        <v>403.06896551724139</v>
      </c>
      <c r="Q1757" s="7">
        <f>grand[[#This Row],[receiving weight]]/grand[[#This Row],[received]]</f>
        <v>375.72413793103448</v>
      </c>
      <c r="R1757" s="7">
        <f>grand[[#This Row],[transportation loss ]]/grand[[#This Row],[received]]</f>
        <v>27.344827586206897</v>
      </c>
      <c r="S1757" s="7">
        <f>grand[[#This Row],[ carcass weight]]/grand[[#This Row],[received]]</f>
        <v>248</v>
      </c>
      <c r="T1757" s="7">
        <f>grand[[#This Row],[ kidneys fat quantity]]/grand[[#This Row],[received]]</f>
        <v>0</v>
      </c>
      <c r="U1757" s="4">
        <v>25</v>
      </c>
      <c r="V1757" s="4">
        <v>0</v>
      </c>
      <c r="W1757" s="4">
        <v>49.1</v>
      </c>
      <c r="X1757" s="4">
        <v>10</v>
      </c>
      <c r="Y1757" s="8">
        <v>8.5</v>
      </c>
      <c r="Z1757" s="3">
        <f>grand[[#This Row],[av. Transportation loss]]/grand[[#This Row],[av.total weight]]</f>
        <v>6.7841560441440671E-2</v>
      </c>
      <c r="AA1757" s="12">
        <f>AVERAGE((grand[[#This Row],[am]]/25),(grand[[#This Row],[pm]]/50))</f>
        <v>0.99099999999999999</v>
      </c>
      <c r="AB1757" s="3">
        <f>grand[[#This Row],[ carcass weight]]/grand[[#This Row],[total weight]]</f>
        <v>0.6152793224399008</v>
      </c>
      <c r="AC1757" s="6">
        <f>SUM(grand[[#This Row],[am]:[meat transportation]])/100</f>
        <v>0.92599999999999993</v>
      </c>
      <c r="AD1757" s="4" t="s">
        <v>140</v>
      </c>
      <c r="AE1757" s="4">
        <v>6</v>
      </c>
      <c r="AF1757" s="4"/>
      <c r="AG1757" s="4"/>
      <c r="AH1757" s="4"/>
      <c r="AI1757" s="4"/>
      <c r="AJ1757" s="2"/>
      <c r="AK1757" s="4"/>
      <c r="AL1757" s="2">
        <f>403+7.5</f>
        <v>410.5</v>
      </c>
    </row>
    <row r="1758" spans="1:38" hidden="1" x14ac:dyDescent="0.2">
      <c r="A1758" s="11">
        <v>43986</v>
      </c>
      <c r="B1758" s="53" t="s">
        <v>1482</v>
      </c>
      <c r="C1758" s="52" t="str">
        <f>IF(MID(B1758,4,2)="09","Ramadan",IF(AND(MID(B1758,4,2)="12",VALUE(LEFT(B1758,2))&lt;=9),"Adha Season","Normal"))</f>
        <v>Normal</v>
      </c>
      <c r="D1758" s="1" t="s">
        <v>45</v>
      </c>
      <c r="F1758" s="4" t="s">
        <v>46</v>
      </c>
      <c r="G1758" s="4">
        <v>56</v>
      </c>
      <c r="H1758" s="4">
        <v>55</v>
      </c>
      <c r="I1758" s="2">
        <f>grand[[#This Row],[number]]-grand[[#This Row],[received]]</f>
        <v>1</v>
      </c>
      <c r="J1758" s="30" t="s">
        <v>112</v>
      </c>
      <c r="K1758" s="4">
        <v>27680</v>
      </c>
      <c r="L1758" s="4">
        <v>25915</v>
      </c>
      <c r="M1758" s="2">
        <f>K1758-L1758</f>
        <v>1765</v>
      </c>
      <c r="N1758" s="4">
        <v>16631.400000000001</v>
      </c>
      <c r="O1758" s="4"/>
      <c r="P1758" s="7">
        <f>grand[[#This Row],[total weight]]/grand[[#This Row],[received]]</f>
        <v>503.27272727272725</v>
      </c>
      <c r="Q1758" s="7">
        <f>grand[[#This Row],[receiving weight]]/grand[[#This Row],[received]]</f>
        <v>471.18181818181819</v>
      </c>
      <c r="R1758" s="7">
        <f>grand[[#This Row],[transportation loss ]]/grand[[#This Row],[received]]</f>
        <v>32.090909090909093</v>
      </c>
      <c r="S1758" s="7">
        <f>grand[[#This Row],[ carcass weight]]/grand[[#This Row],[received]]</f>
        <v>302.38909090909095</v>
      </c>
      <c r="T1758" s="7">
        <f>grand[[#This Row],[ kidneys fat quantity]]/grand[[#This Row],[received]]</f>
        <v>0</v>
      </c>
      <c r="U1758" s="4">
        <v>25</v>
      </c>
      <c r="V1758" s="4">
        <v>0</v>
      </c>
      <c r="W1758" s="4">
        <v>49.7</v>
      </c>
      <c r="X1758" s="4">
        <v>10</v>
      </c>
      <c r="Y1758" s="8">
        <v>8.5</v>
      </c>
      <c r="Z1758" s="3">
        <f>grand[[#This Row],[av. Transportation loss]]/grand[[#This Row],[av.total weight]]</f>
        <v>6.3764450867052028E-2</v>
      </c>
      <c r="AA1758" s="12">
        <f>AVERAGE((grand[[#This Row],[am]]/25),(grand[[#This Row],[pm]]/50))</f>
        <v>0.99700000000000011</v>
      </c>
      <c r="AB1758" s="3">
        <f>grand[[#This Row],[ carcass weight]]/grand[[#This Row],[total weight]]</f>
        <v>0.60084537572254337</v>
      </c>
      <c r="AC1758" s="6">
        <f>SUM(grand[[#This Row],[am]:[meat transportation]])/100</f>
        <v>0.93200000000000005</v>
      </c>
      <c r="AD1758" s="4"/>
      <c r="AE1758" s="4">
        <v>5</v>
      </c>
      <c r="AF1758" s="4"/>
      <c r="AG1758" s="4"/>
      <c r="AH1758" s="4"/>
      <c r="AI1758" s="4"/>
      <c r="AJ1758" s="2"/>
      <c r="AK1758" s="4"/>
      <c r="AL1758" s="2">
        <v>503</v>
      </c>
    </row>
    <row r="1759" spans="1:38" hidden="1" x14ac:dyDescent="0.2">
      <c r="A1759" s="11">
        <v>43989</v>
      </c>
      <c r="B1759" s="53" t="s">
        <v>1483</v>
      </c>
      <c r="C1759" s="52" t="str">
        <f>IF(MID(B1759,4,2)="09","Ramadan",IF(AND(MID(B1759,4,2)="12",VALUE(LEFT(B1759,2))&lt;=9),"Adha Season","Normal"))</f>
        <v>Normal</v>
      </c>
      <c r="D1759" s="1" t="s">
        <v>45</v>
      </c>
      <c r="F1759" s="4" t="s">
        <v>50</v>
      </c>
      <c r="G1759" s="4">
        <v>52</v>
      </c>
      <c r="H1759" s="4">
        <v>51</v>
      </c>
      <c r="I1759" s="2">
        <f>grand[[#This Row],[number]]-grand[[#This Row],[received]]</f>
        <v>1</v>
      </c>
      <c r="J1759" s="30" t="s">
        <v>112</v>
      </c>
      <c r="K1759" s="4">
        <v>21769</v>
      </c>
      <c r="L1759" s="4">
        <v>20431</v>
      </c>
      <c r="M1759" s="2">
        <f>K1759-L1759</f>
        <v>1338</v>
      </c>
      <c r="N1759" s="4">
        <v>13355.6</v>
      </c>
      <c r="O1759" s="4"/>
      <c r="P1759" s="7">
        <f>grand[[#This Row],[total weight]]/grand[[#This Row],[received]]</f>
        <v>426.84313725490193</v>
      </c>
      <c r="Q1759" s="7">
        <f>grand[[#This Row],[receiving weight]]/grand[[#This Row],[received]]</f>
        <v>400.60784313725492</v>
      </c>
      <c r="R1759" s="7">
        <f>grand[[#This Row],[transportation loss ]]/grand[[#This Row],[received]]</f>
        <v>26.235294117647058</v>
      </c>
      <c r="S1759" s="7">
        <f>grand[[#This Row],[ carcass weight]]/grand[[#This Row],[received]]</f>
        <v>261.87450980392157</v>
      </c>
      <c r="T1759" s="7">
        <f>grand[[#This Row],[ kidneys fat quantity]]/grand[[#This Row],[received]]</f>
        <v>0</v>
      </c>
      <c r="U1759" s="4">
        <v>25</v>
      </c>
      <c r="V1759" s="4">
        <v>0</v>
      </c>
      <c r="W1759" s="4">
        <v>49.7</v>
      </c>
      <c r="X1759" s="4">
        <v>9</v>
      </c>
      <c r="Y1759" s="8">
        <v>8.5</v>
      </c>
      <c r="Z1759" s="3">
        <f>grand[[#This Row],[av. Transportation loss]]/grand[[#This Row],[av.total weight]]</f>
        <v>6.1463549083559194E-2</v>
      </c>
      <c r="AA1759" s="12">
        <f>AVERAGE((grand[[#This Row],[am]]/25),(grand[[#This Row],[pm]]/50))</f>
        <v>0.99700000000000011</v>
      </c>
      <c r="AB1759" s="3">
        <f>grand[[#This Row],[ carcass weight]]/grand[[#This Row],[total weight]]</f>
        <v>0.61351463089714731</v>
      </c>
      <c r="AC1759" s="6">
        <f>SUM(grand[[#This Row],[am]:[meat transportation]])/100</f>
        <v>0.92200000000000004</v>
      </c>
      <c r="AD1759" s="4"/>
      <c r="AE1759" s="4"/>
      <c r="AF1759" s="4" t="s">
        <v>141</v>
      </c>
      <c r="AG1759" s="4"/>
      <c r="AH1759" s="4"/>
      <c r="AI1759" s="4">
        <v>3</v>
      </c>
      <c r="AJ1759" s="2"/>
      <c r="AK1759" s="4"/>
      <c r="AL1759" s="2">
        <v>428</v>
      </c>
    </row>
    <row r="1760" spans="1:38" hidden="1" x14ac:dyDescent="0.2">
      <c r="A1760" s="11">
        <v>43996</v>
      </c>
      <c r="B1760" s="53" t="s">
        <v>1484</v>
      </c>
      <c r="C1760" s="52" t="str">
        <f>IF(MID(B1760,4,2)="09","Ramadan",IF(AND(MID(B1760,4,2)="12",VALUE(LEFT(B1760,2))&lt;=9),"Adha Season","Normal"))</f>
        <v>Normal</v>
      </c>
      <c r="D1760" s="1" t="s">
        <v>45</v>
      </c>
      <c r="F1760" s="4" t="s">
        <v>50</v>
      </c>
      <c r="G1760" s="4">
        <v>42</v>
      </c>
      <c r="H1760" s="4">
        <v>41</v>
      </c>
      <c r="I1760" s="2">
        <f>grand[[#This Row],[number]]-grand[[#This Row],[received]]</f>
        <v>1</v>
      </c>
      <c r="J1760" s="30" t="s">
        <v>112</v>
      </c>
      <c r="K1760" s="4">
        <v>17373</v>
      </c>
      <c r="L1760" s="4">
        <v>16157</v>
      </c>
      <c r="M1760" s="2">
        <f>K1760-L1760</f>
        <v>1216</v>
      </c>
      <c r="N1760" s="4">
        <v>10638.3</v>
      </c>
      <c r="O1760" s="4"/>
      <c r="P1760" s="7">
        <f>grand[[#This Row],[total weight]]/grand[[#This Row],[received]]</f>
        <v>423.73170731707319</v>
      </c>
      <c r="Q1760" s="7">
        <f>grand[[#This Row],[receiving weight]]/grand[[#This Row],[received]]</f>
        <v>394.07317073170731</v>
      </c>
      <c r="R1760" s="7">
        <f>grand[[#This Row],[transportation loss ]]/grand[[#This Row],[received]]</f>
        <v>29.658536585365855</v>
      </c>
      <c r="S1760" s="7">
        <f>grand[[#This Row],[ carcass weight]]/grand[[#This Row],[received]]</f>
        <v>259.47073170731704</v>
      </c>
      <c r="T1760" s="7">
        <f>grand[[#This Row],[ kidneys fat quantity]]/grand[[#This Row],[received]]</f>
        <v>0</v>
      </c>
      <c r="U1760" s="4">
        <v>25</v>
      </c>
      <c r="V1760" s="4">
        <v>0</v>
      </c>
      <c r="W1760" s="4">
        <v>49.7</v>
      </c>
      <c r="X1760" s="4">
        <v>10</v>
      </c>
      <c r="Y1760" s="8">
        <v>8.5</v>
      </c>
      <c r="Z1760" s="3">
        <f>grand[[#This Row],[av. Transportation loss]]/grand[[#This Row],[av.total weight]]</f>
        <v>6.9993668335923562E-2</v>
      </c>
      <c r="AA1760" s="12">
        <f>AVERAGE((grand[[#This Row],[am]]/25),(grand[[#This Row],[pm]]/50))</f>
        <v>0.99700000000000011</v>
      </c>
      <c r="AB1760" s="3">
        <f>grand[[#This Row],[ carcass weight]]/grand[[#This Row],[total weight]]</f>
        <v>0.61234674494905883</v>
      </c>
      <c r="AC1760" s="6">
        <f>SUM(grand[[#This Row],[am]:[meat transportation]])/100</f>
        <v>0.93200000000000005</v>
      </c>
      <c r="AD1760" s="4" t="s">
        <v>94</v>
      </c>
      <c r="AE1760" s="4">
        <v>2</v>
      </c>
      <c r="AF1760" s="4"/>
      <c r="AG1760" s="4"/>
      <c r="AH1760" s="4"/>
      <c r="AI1760" s="4"/>
      <c r="AJ1760" s="2"/>
      <c r="AK1760" s="4"/>
      <c r="AL1760" s="2">
        <v>444</v>
      </c>
    </row>
    <row r="1761" spans="1:38" hidden="1" x14ac:dyDescent="0.2">
      <c r="A1761" s="11">
        <v>43998</v>
      </c>
      <c r="B1761" s="53" t="s">
        <v>2521</v>
      </c>
      <c r="C1761" s="52" t="str">
        <f>IF(MID(B1761,4,2)="09","Ramadan",IF(AND(MID(B1761,4,2)="12",VALUE(LEFT(B1761,2))&lt;=9),"Adha Season","Normal"))</f>
        <v>Normal</v>
      </c>
      <c r="D1761" s="1" t="s">
        <v>45</v>
      </c>
      <c r="F1761" s="4" t="s">
        <v>50</v>
      </c>
      <c r="G1761" s="4">
        <v>30</v>
      </c>
      <c r="H1761" s="4">
        <v>29</v>
      </c>
      <c r="I1761" s="2">
        <f>grand[[#This Row],[number]]-grand[[#This Row],[received]]</f>
        <v>1</v>
      </c>
      <c r="J1761" s="30" t="s">
        <v>112</v>
      </c>
      <c r="K1761" s="4">
        <v>12375</v>
      </c>
      <c r="L1761" s="4">
        <v>11614</v>
      </c>
      <c r="M1761" s="2">
        <f>K1761-L1761</f>
        <v>761</v>
      </c>
      <c r="N1761" s="4">
        <v>7693.4</v>
      </c>
      <c r="O1761" s="4"/>
      <c r="P1761" s="7">
        <f>grand[[#This Row],[total weight]]/grand[[#This Row],[received]]</f>
        <v>426.72413793103448</v>
      </c>
      <c r="Q1761" s="7">
        <f>grand[[#This Row],[receiving weight]]/grand[[#This Row],[received]]</f>
        <v>400.48275862068965</v>
      </c>
      <c r="R1761" s="7">
        <f>grand[[#This Row],[transportation loss ]]/grand[[#This Row],[received]]</f>
        <v>26.241379310344829</v>
      </c>
      <c r="S1761" s="7">
        <f>grand[[#This Row],[ carcass weight]]/grand[[#This Row],[received]]</f>
        <v>265.2896551724138</v>
      </c>
      <c r="T1761" s="7">
        <f>grand[[#This Row],[ kidneys fat quantity]]/grand[[#This Row],[received]]</f>
        <v>0</v>
      </c>
      <c r="U1761" s="4">
        <v>25</v>
      </c>
      <c r="V1761" s="4">
        <v>0</v>
      </c>
      <c r="W1761" s="4">
        <v>49.6</v>
      </c>
      <c r="X1761" s="4">
        <v>10</v>
      </c>
      <c r="Y1761" s="8">
        <v>8.5</v>
      </c>
      <c r="Z1761" s="3">
        <f>grand[[#This Row],[av. Transportation loss]]/grand[[#This Row],[av.total weight]]</f>
        <v>6.1494949494949498E-2</v>
      </c>
      <c r="AA1761" s="12">
        <f>AVERAGE((grand[[#This Row],[am]]/25),(grand[[#This Row],[pm]]/50))</f>
        <v>0.996</v>
      </c>
      <c r="AB1761" s="3">
        <f>grand[[#This Row],[ carcass weight]]/grand[[#This Row],[total weight]]</f>
        <v>0.62168888888888885</v>
      </c>
      <c r="AC1761" s="6">
        <f>SUM(grand[[#This Row],[am]:[meat transportation]])/100</f>
        <v>0.93099999999999994</v>
      </c>
      <c r="AD1761" s="4"/>
      <c r="AE1761" s="4">
        <v>4</v>
      </c>
      <c r="AF1761" s="4"/>
      <c r="AG1761" s="4"/>
      <c r="AH1761" s="4"/>
      <c r="AI1761" s="4"/>
      <c r="AJ1761" s="2"/>
      <c r="AK1761" s="4"/>
      <c r="AL1761" s="2">
        <v>451</v>
      </c>
    </row>
    <row r="1762" spans="1:38" hidden="1" x14ac:dyDescent="0.2">
      <c r="A1762" s="11">
        <v>43999</v>
      </c>
      <c r="B1762" s="53" t="s">
        <v>1485</v>
      </c>
      <c r="C1762" s="52" t="str">
        <f>IF(MID(B1762,4,2)="09","Ramadan",IF(AND(MID(B1762,4,2)="12",VALUE(LEFT(B1762,2))&lt;=9),"Adha Season","Normal"))</f>
        <v>Normal</v>
      </c>
      <c r="D1762" s="1" t="s">
        <v>45</v>
      </c>
      <c r="F1762" s="4" t="s">
        <v>50</v>
      </c>
      <c r="G1762" s="4">
        <v>20</v>
      </c>
      <c r="H1762" s="4">
        <v>19</v>
      </c>
      <c r="I1762" s="2">
        <f>grand[[#This Row],[number]]-grand[[#This Row],[received]]</f>
        <v>1</v>
      </c>
      <c r="J1762" s="30" t="s">
        <v>112</v>
      </c>
      <c r="K1762" s="4">
        <v>8126</v>
      </c>
      <c r="L1762" s="4">
        <v>7641</v>
      </c>
      <c r="M1762" s="2">
        <f>K1762-L1762</f>
        <v>485</v>
      </c>
      <c r="N1762" s="4">
        <v>5090.3999999999996</v>
      </c>
      <c r="O1762" s="4"/>
      <c r="P1762" s="7">
        <f>grand[[#This Row],[total weight]]/grand[[#This Row],[received]]</f>
        <v>427.68421052631578</v>
      </c>
      <c r="Q1762" s="7">
        <f>grand[[#This Row],[receiving weight]]/grand[[#This Row],[received]]</f>
        <v>402.15789473684208</v>
      </c>
      <c r="R1762" s="7">
        <f>grand[[#This Row],[transportation loss ]]/grand[[#This Row],[received]]</f>
        <v>25.526315789473685</v>
      </c>
      <c r="S1762" s="7">
        <f>grand[[#This Row],[ carcass weight]]/grand[[#This Row],[received]]</f>
        <v>267.91578947368419</v>
      </c>
      <c r="T1762" s="7">
        <f>grand[[#This Row],[ kidneys fat quantity]]/grand[[#This Row],[received]]</f>
        <v>0</v>
      </c>
      <c r="U1762" s="4">
        <v>25</v>
      </c>
      <c r="V1762" s="4">
        <v>0</v>
      </c>
      <c r="W1762" s="4">
        <v>50</v>
      </c>
      <c r="X1762" s="4">
        <v>10</v>
      </c>
      <c r="Y1762" s="8">
        <v>8.5</v>
      </c>
      <c r="Z1762" s="3">
        <f>grand[[#This Row],[av. Transportation loss]]/grand[[#This Row],[av.total weight]]</f>
        <v>5.9684961850849129E-2</v>
      </c>
      <c r="AA1762" s="12">
        <f>AVERAGE((grand[[#This Row],[am]]/25),(grand[[#This Row],[pm]]/50))</f>
        <v>1</v>
      </c>
      <c r="AB1762" s="3">
        <f>grand[[#This Row],[ carcass weight]]/grand[[#This Row],[total weight]]</f>
        <v>0.6264336697021905</v>
      </c>
      <c r="AC1762" s="6">
        <f>SUM(grand[[#This Row],[am]:[meat transportation]])/100</f>
        <v>0.93500000000000005</v>
      </c>
      <c r="AD1762" s="4"/>
      <c r="AE1762" s="4"/>
      <c r="AF1762" s="4" t="s">
        <v>146</v>
      </c>
      <c r="AG1762" s="4"/>
      <c r="AH1762" s="4"/>
      <c r="AI1762" s="4"/>
      <c r="AJ1762" s="2"/>
      <c r="AK1762" s="4"/>
      <c r="AL1762" s="2">
        <v>404.5</v>
      </c>
    </row>
    <row r="1763" spans="1:38" hidden="1" x14ac:dyDescent="0.2">
      <c r="A1763" s="11">
        <v>44002</v>
      </c>
      <c r="B1763" s="53" t="s">
        <v>2522</v>
      </c>
      <c r="C1763" s="52" t="str">
        <f>IF(MID(B1763,4,2)="09","Ramadan",IF(AND(MID(B1763,4,2)="12",VALUE(LEFT(B1763,2))&lt;=9),"Adha Season","Normal"))</f>
        <v>Normal</v>
      </c>
      <c r="D1763" s="1" t="s">
        <v>45</v>
      </c>
      <c r="F1763" s="4" t="s">
        <v>46</v>
      </c>
      <c r="G1763" s="4">
        <v>37</v>
      </c>
      <c r="H1763" s="4">
        <v>36</v>
      </c>
      <c r="I1763" s="2">
        <f>grand[[#This Row],[number]]-grand[[#This Row],[received]]</f>
        <v>1</v>
      </c>
      <c r="J1763" s="30" t="s">
        <v>112</v>
      </c>
      <c r="K1763" s="9">
        <v>17551</v>
      </c>
      <c r="L1763" s="9">
        <v>16206</v>
      </c>
      <c r="M1763" s="2">
        <f>K1763-L1763</f>
        <v>1345</v>
      </c>
      <c r="N1763" s="9">
        <v>10660.2</v>
      </c>
      <c r="O1763" s="4"/>
      <c r="P1763" s="7">
        <f>grand[[#This Row],[total weight]]/grand[[#This Row],[received]]</f>
        <v>487.52777777777777</v>
      </c>
      <c r="Q1763" s="7">
        <f>grand[[#This Row],[receiving weight]]/grand[[#This Row],[received]]</f>
        <v>450.16666666666669</v>
      </c>
      <c r="R1763" s="7">
        <f>grand[[#This Row],[transportation loss ]]/grand[[#This Row],[received]]</f>
        <v>37.361111111111114</v>
      </c>
      <c r="S1763" s="7">
        <f>grand[[#This Row],[ carcass weight]]/grand[[#This Row],[received]]</f>
        <v>296.11666666666667</v>
      </c>
      <c r="T1763" s="7">
        <f>grand[[#This Row],[ kidneys fat quantity]]/grand[[#This Row],[received]]</f>
        <v>0</v>
      </c>
      <c r="U1763" s="4">
        <v>25</v>
      </c>
      <c r="V1763" s="4">
        <v>0</v>
      </c>
      <c r="W1763" s="4">
        <v>49.6</v>
      </c>
      <c r="X1763" s="4">
        <v>10</v>
      </c>
      <c r="Y1763" s="8">
        <v>8.5</v>
      </c>
      <c r="Z1763" s="3">
        <f>grand[[#This Row],[av. Transportation loss]]/grand[[#This Row],[av.total weight]]</f>
        <v>7.6633810039314007E-2</v>
      </c>
      <c r="AA1763" s="12">
        <f>AVERAGE((grand[[#This Row],[am]]/25),(grand[[#This Row],[pm]]/50))</f>
        <v>0.996</v>
      </c>
      <c r="AB1763" s="3">
        <f>grand[[#This Row],[ carcass weight]]/grand[[#This Row],[total weight]]</f>
        <v>0.60738419463278448</v>
      </c>
      <c r="AC1763" s="6">
        <f>SUM(grand[[#This Row],[am]:[meat transportation]])/100</f>
        <v>0.93099999999999994</v>
      </c>
      <c r="AD1763" s="4"/>
      <c r="AE1763" s="4">
        <v>5</v>
      </c>
      <c r="AF1763" s="4"/>
      <c r="AG1763" s="4"/>
      <c r="AH1763" s="4"/>
      <c r="AI1763" s="4"/>
      <c r="AJ1763" s="2"/>
      <c r="AK1763" s="4"/>
      <c r="AL1763" s="2">
        <v>579</v>
      </c>
    </row>
    <row r="1764" spans="1:38" hidden="1" x14ac:dyDescent="0.2">
      <c r="A1764" s="11">
        <v>44003</v>
      </c>
      <c r="B1764" s="53" t="s">
        <v>1487</v>
      </c>
      <c r="C1764" s="52" t="str">
        <f>IF(MID(B1764,4,2)="09","Ramadan",IF(AND(MID(B1764,4,2)="12",VALUE(LEFT(B1764,2))&lt;=9),"Adha Season","Normal"))</f>
        <v>Normal</v>
      </c>
      <c r="D1764" s="1" t="s">
        <v>45</v>
      </c>
      <c r="F1764" s="4" t="s">
        <v>50</v>
      </c>
      <c r="G1764" s="4">
        <v>42</v>
      </c>
      <c r="H1764" s="4">
        <v>41</v>
      </c>
      <c r="I1764" s="2">
        <f>grand[[#This Row],[number]]-grand[[#This Row],[received]]</f>
        <v>1</v>
      </c>
      <c r="J1764" s="30" t="s">
        <v>112</v>
      </c>
      <c r="K1764" s="9">
        <v>17444</v>
      </c>
      <c r="L1764" s="9">
        <v>16310</v>
      </c>
      <c r="M1764" s="2">
        <f>K1764-L1764</f>
        <v>1134</v>
      </c>
      <c r="N1764" s="9">
        <v>10980.3</v>
      </c>
      <c r="O1764" s="4"/>
      <c r="P1764" s="7">
        <f>grand[[#This Row],[total weight]]/grand[[#This Row],[received]]</f>
        <v>425.46341463414632</v>
      </c>
      <c r="Q1764" s="7">
        <f>grand[[#This Row],[receiving weight]]/grand[[#This Row],[received]]</f>
        <v>397.80487804878049</v>
      </c>
      <c r="R1764" s="7">
        <f>grand[[#This Row],[transportation loss ]]/grand[[#This Row],[received]]</f>
        <v>27.658536585365855</v>
      </c>
      <c r="S1764" s="7">
        <f>grand[[#This Row],[ carcass weight]]/grand[[#This Row],[received]]</f>
        <v>267.81219512195122</v>
      </c>
      <c r="T1764" s="7">
        <f>grand[[#This Row],[ kidneys fat quantity]]/grand[[#This Row],[received]]</f>
        <v>0</v>
      </c>
      <c r="U1764" s="4">
        <v>25</v>
      </c>
      <c r="V1764" s="4">
        <v>0</v>
      </c>
      <c r="W1764" s="4">
        <v>49.6</v>
      </c>
      <c r="X1764" s="4">
        <v>10</v>
      </c>
      <c r="Y1764" s="8">
        <v>8.5</v>
      </c>
      <c r="Z1764" s="3">
        <f>grand[[#This Row],[av. Transportation loss]]/grand[[#This Row],[av.total weight]]</f>
        <v>6.5008025682182988E-2</v>
      </c>
      <c r="AA1764" s="12">
        <f>AVERAGE((grand[[#This Row],[am]]/25),(grand[[#This Row],[pm]]/50))</f>
        <v>0.996</v>
      </c>
      <c r="AB1764" s="3">
        <f>grand[[#This Row],[ carcass weight]]/grand[[#This Row],[total weight]]</f>
        <v>0.62945998624168764</v>
      </c>
      <c r="AC1764" s="6">
        <f>SUM(grand[[#This Row],[am]:[meat transportation]])/100</f>
        <v>0.93099999999999994</v>
      </c>
      <c r="AD1764" s="4" t="s">
        <v>148</v>
      </c>
      <c r="AE1764" s="4">
        <v>2</v>
      </c>
      <c r="AF1764" s="4"/>
      <c r="AG1764" s="4"/>
      <c r="AH1764" s="4"/>
      <c r="AI1764" s="4"/>
      <c r="AJ1764" s="2"/>
      <c r="AK1764" s="4"/>
      <c r="AL1764" s="2">
        <v>445</v>
      </c>
    </row>
    <row r="1765" spans="1:38" hidden="1" x14ac:dyDescent="0.2">
      <c r="A1765" s="11">
        <v>44017</v>
      </c>
      <c r="B1765" s="53" t="s">
        <v>1493</v>
      </c>
      <c r="C1765" s="52" t="str">
        <f>IF(MID(B1765,4,2)="09","Ramadan",IF(AND(MID(B1765,4,2)="12",VALUE(LEFT(B1765,2))&lt;=9),"Adha Season","Normal"))</f>
        <v>Normal</v>
      </c>
      <c r="D1765" s="1" t="s">
        <v>45</v>
      </c>
      <c r="F1765" s="4" t="s">
        <v>50</v>
      </c>
      <c r="G1765" s="4">
        <v>46</v>
      </c>
      <c r="H1765" s="4">
        <v>45</v>
      </c>
      <c r="I1765" s="2">
        <f>grand[[#This Row],[number]]-grand[[#This Row],[received]]</f>
        <v>1</v>
      </c>
      <c r="J1765" s="30" t="s">
        <v>112</v>
      </c>
      <c r="K1765" s="9">
        <v>18265</v>
      </c>
      <c r="L1765" s="9">
        <v>17443</v>
      </c>
      <c r="M1765" s="2">
        <f>K1765-L1765</f>
        <v>822</v>
      </c>
      <c r="N1765" s="9">
        <v>11307.9</v>
      </c>
      <c r="O1765" s="4"/>
      <c r="P1765" s="7">
        <f>grand[[#This Row],[total weight]]/grand[[#This Row],[received]]</f>
        <v>405.88888888888891</v>
      </c>
      <c r="Q1765" s="7">
        <f>grand[[#This Row],[receiving weight]]/grand[[#This Row],[received]]</f>
        <v>387.62222222222221</v>
      </c>
      <c r="R1765" s="7">
        <f>grand[[#This Row],[transportation loss ]]/grand[[#This Row],[received]]</f>
        <v>18.266666666666666</v>
      </c>
      <c r="S1765" s="7">
        <f>grand[[#This Row],[ carcass weight]]/grand[[#This Row],[received]]</f>
        <v>251.28666666666666</v>
      </c>
      <c r="T1765" s="7">
        <f>grand[[#This Row],[ kidneys fat quantity]]/grand[[#This Row],[received]]</f>
        <v>0</v>
      </c>
      <c r="U1765" s="4">
        <v>25</v>
      </c>
      <c r="V1765" s="4">
        <v>0</v>
      </c>
      <c r="W1765" s="4">
        <v>49.2</v>
      </c>
      <c r="X1765" s="4">
        <v>10</v>
      </c>
      <c r="Y1765" s="8">
        <v>8.5</v>
      </c>
      <c r="Z1765" s="3">
        <f>grand[[#This Row],[av. Transportation loss]]/grand[[#This Row],[av.total weight]]</f>
        <v>4.5004106214070624E-2</v>
      </c>
      <c r="AA1765" s="12">
        <f>AVERAGE((grand[[#This Row],[am]]/25),(grand[[#This Row],[pm]]/50))</f>
        <v>0.99199999999999999</v>
      </c>
      <c r="AB1765" s="3">
        <f>grand[[#This Row],[ carcass weight]]/grand[[#This Row],[total weight]]</f>
        <v>0.61910210785655628</v>
      </c>
      <c r="AC1765" s="6">
        <f>SUM(grand[[#This Row],[am]:[meat transportation]])/100</f>
        <v>0.92700000000000005</v>
      </c>
      <c r="AD1765" s="9" t="s">
        <v>158</v>
      </c>
      <c r="AE1765" s="4">
        <v>4</v>
      </c>
      <c r="AF1765" s="4" t="s">
        <v>71</v>
      </c>
      <c r="AG1765" s="4"/>
      <c r="AH1765" s="4"/>
      <c r="AI1765" s="4"/>
      <c r="AJ1765" s="2"/>
      <c r="AK1765" s="4"/>
      <c r="AL1765" s="2">
        <f>407+16+3</f>
        <v>426</v>
      </c>
    </row>
    <row r="1766" spans="1:38" hidden="1" x14ac:dyDescent="0.2">
      <c r="A1766" s="11">
        <v>44019</v>
      </c>
      <c r="B1766" s="53" t="s">
        <v>2527</v>
      </c>
      <c r="C1766" s="52" t="str">
        <f>IF(MID(B1766,4,2)="09","Ramadan",IF(AND(MID(B1766,4,2)="12",VALUE(LEFT(B1766,2))&lt;=9),"Adha Season","Normal"))</f>
        <v>Normal</v>
      </c>
      <c r="D1766" s="1" t="s">
        <v>45</v>
      </c>
      <c r="F1766" s="4" t="s">
        <v>50</v>
      </c>
      <c r="G1766" s="4">
        <v>28</v>
      </c>
      <c r="H1766" s="4">
        <v>27</v>
      </c>
      <c r="I1766" s="2">
        <f>grand[[#This Row],[number]]-grand[[#This Row],[received]]</f>
        <v>1</v>
      </c>
      <c r="J1766" s="30" t="s">
        <v>112</v>
      </c>
      <c r="K1766" s="9">
        <v>11393</v>
      </c>
      <c r="L1766" s="9">
        <v>10651</v>
      </c>
      <c r="M1766" s="2">
        <f>K1766-L1766</f>
        <v>742</v>
      </c>
      <c r="N1766" s="9">
        <v>7067.3</v>
      </c>
      <c r="O1766" s="4"/>
      <c r="P1766" s="7">
        <f>grand[[#This Row],[total weight]]/grand[[#This Row],[received]]</f>
        <v>421.96296296296299</v>
      </c>
      <c r="Q1766" s="7">
        <f>grand[[#This Row],[receiving weight]]/grand[[#This Row],[received]]</f>
        <v>394.48148148148147</v>
      </c>
      <c r="R1766" s="7">
        <f>grand[[#This Row],[transportation loss ]]/grand[[#This Row],[received]]</f>
        <v>27.481481481481481</v>
      </c>
      <c r="S1766" s="7">
        <f>grand[[#This Row],[ carcass weight]]/grand[[#This Row],[received]]</f>
        <v>261.75185185185188</v>
      </c>
      <c r="T1766" s="7">
        <f>grand[[#This Row],[ kidneys fat quantity]]/grand[[#This Row],[received]]</f>
        <v>0</v>
      </c>
      <c r="U1766" s="4">
        <v>25</v>
      </c>
      <c r="V1766" s="4">
        <v>0</v>
      </c>
      <c r="W1766" s="4">
        <v>48.7</v>
      </c>
      <c r="X1766" s="4">
        <v>10</v>
      </c>
      <c r="Y1766" s="8">
        <v>8.5</v>
      </c>
      <c r="Z1766" s="3">
        <f>grand[[#This Row],[av. Transportation loss]]/grand[[#This Row],[av.total weight]]</f>
        <v>6.5127709997366792E-2</v>
      </c>
      <c r="AA1766" s="12">
        <f>AVERAGE((grand[[#This Row],[am]]/25),(grand[[#This Row],[pm]]/50))</f>
        <v>0.9870000000000001</v>
      </c>
      <c r="AB1766" s="3">
        <f>grand[[#This Row],[ carcass weight]]/grand[[#This Row],[total weight]]</f>
        <v>0.62031949442640222</v>
      </c>
      <c r="AC1766" s="6">
        <f>SUM(grand[[#This Row],[am]:[meat transportation]])/100</f>
        <v>0.92200000000000004</v>
      </c>
      <c r="AD1766" s="9" t="s">
        <v>158</v>
      </c>
      <c r="AE1766" s="4">
        <v>2</v>
      </c>
      <c r="AF1766" s="4" t="s">
        <v>71</v>
      </c>
      <c r="AG1766" s="4"/>
      <c r="AH1766" s="4"/>
      <c r="AI1766" s="4"/>
      <c r="AJ1766" s="2"/>
      <c r="AK1766" s="4"/>
      <c r="AL1766" s="2">
        <f>419+14+1</f>
        <v>434</v>
      </c>
    </row>
    <row r="1767" spans="1:38" hidden="1" x14ac:dyDescent="0.2">
      <c r="A1767" s="11">
        <v>44020</v>
      </c>
      <c r="B1767" s="53" t="s">
        <v>1494</v>
      </c>
      <c r="C1767" s="52" t="str">
        <f>IF(MID(B1767,4,2)="09","Ramadan",IF(AND(MID(B1767,4,2)="12",VALUE(LEFT(B1767,2))&lt;=9),"Adha Season","Normal"))</f>
        <v>Normal</v>
      </c>
      <c r="D1767" s="1" t="s">
        <v>45</v>
      </c>
      <c r="F1767" s="4" t="s">
        <v>50</v>
      </c>
      <c r="G1767" s="4">
        <v>16</v>
      </c>
      <c r="H1767" s="4">
        <v>15</v>
      </c>
      <c r="I1767" s="2">
        <f>grand[[#This Row],[number]]-grand[[#This Row],[received]]</f>
        <v>1</v>
      </c>
      <c r="J1767" s="30" t="s">
        <v>112</v>
      </c>
      <c r="K1767" s="4">
        <v>6589</v>
      </c>
      <c r="L1767" s="4">
        <v>6080</v>
      </c>
      <c r="M1767" s="2">
        <f>K1767-L1767</f>
        <v>509</v>
      </c>
      <c r="N1767" s="4">
        <v>4074.5</v>
      </c>
      <c r="O1767" s="4"/>
      <c r="P1767" s="7">
        <f>grand[[#This Row],[total weight]]/grand[[#This Row],[received]]</f>
        <v>439.26666666666665</v>
      </c>
      <c r="Q1767" s="7">
        <f>grand[[#This Row],[receiving weight]]/grand[[#This Row],[received]]</f>
        <v>405.33333333333331</v>
      </c>
      <c r="R1767" s="7">
        <f>grand[[#This Row],[transportation loss ]]/grand[[#This Row],[received]]</f>
        <v>33.93333333333333</v>
      </c>
      <c r="S1767" s="7">
        <f>grand[[#This Row],[ carcass weight]]/grand[[#This Row],[received]]</f>
        <v>271.63333333333333</v>
      </c>
      <c r="T1767" s="7">
        <f>grand[[#This Row],[ kidneys fat quantity]]/grand[[#This Row],[received]]</f>
        <v>0</v>
      </c>
      <c r="U1767" s="4">
        <v>25</v>
      </c>
      <c r="V1767" s="4">
        <v>0</v>
      </c>
      <c r="W1767" s="4">
        <v>50</v>
      </c>
      <c r="X1767" s="4">
        <v>10</v>
      </c>
      <c r="Y1767" s="8">
        <v>8.5</v>
      </c>
      <c r="Z1767" s="3">
        <f>grand[[#This Row],[av. Transportation loss]]/grand[[#This Row],[av.total weight]]</f>
        <v>7.7249962057975408E-2</v>
      </c>
      <c r="AA1767" s="12">
        <f>AVERAGE((grand[[#This Row],[am]]/25),(grand[[#This Row],[pm]]/50))</f>
        <v>1</v>
      </c>
      <c r="AB1767" s="3">
        <f>grand[[#This Row],[ carcass weight]]/grand[[#This Row],[total weight]]</f>
        <v>0.61837911670966761</v>
      </c>
      <c r="AC1767" s="6">
        <f>SUM(grand[[#This Row],[am]:[meat transportation]])/100</f>
        <v>0.93500000000000005</v>
      </c>
      <c r="AD1767" s="9"/>
      <c r="AE1767" s="4"/>
      <c r="AF1767" s="4"/>
      <c r="AG1767" s="4"/>
      <c r="AH1767" s="4"/>
      <c r="AI1767" s="4"/>
      <c r="AJ1767" s="2"/>
      <c r="AK1767" s="4"/>
      <c r="AL1767" s="2">
        <v>415</v>
      </c>
    </row>
    <row r="1768" spans="1:38" hidden="1" x14ac:dyDescent="0.2">
      <c r="A1768" s="11">
        <v>44023</v>
      </c>
      <c r="B1768" s="53" t="s">
        <v>2528</v>
      </c>
      <c r="C1768" s="52" t="str">
        <f>IF(MID(B1768,4,2)="09","Ramadan",IF(AND(MID(B1768,4,2)="12",VALUE(LEFT(B1768,2))&lt;=9),"Adha Season","Normal"))</f>
        <v>Normal</v>
      </c>
      <c r="D1768" s="1" t="s">
        <v>45</v>
      </c>
      <c r="F1768" s="4" t="s">
        <v>46</v>
      </c>
      <c r="G1768" s="4">
        <v>30</v>
      </c>
      <c r="H1768" s="4">
        <v>29</v>
      </c>
      <c r="I1768" s="2">
        <f>grand[[#This Row],[number]]-grand[[#This Row],[received]]</f>
        <v>1</v>
      </c>
      <c r="J1768" s="30" t="s">
        <v>161</v>
      </c>
      <c r="K1768" s="4">
        <v>13650</v>
      </c>
      <c r="L1768" s="4">
        <v>12780</v>
      </c>
      <c r="M1768" s="2">
        <f>K1768-L1768</f>
        <v>870</v>
      </c>
      <c r="N1768" s="4">
        <v>8189.8</v>
      </c>
      <c r="O1768" s="4"/>
      <c r="P1768" s="7">
        <f>grand[[#This Row],[total weight]]/grand[[#This Row],[received]]</f>
        <v>470.68965517241378</v>
      </c>
      <c r="Q1768" s="7">
        <f>grand[[#This Row],[receiving weight]]/grand[[#This Row],[received]]</f>
        <v>440.68965517241378</v>
      </c>
      <c r="R1768" s="7">
        <f>grand[[#This Row],[transportation loss ]]/grand[[#This Row],[received]]</f>
        <v>30</v>
      </c>
      <c r="S1768" s="7">
        <f>grand[[#This Row],[ carcass weight]]/grand[[#This Row],[received]]</f>
        <v>282.40689655172412</v>
      </c>
      <c r="T1768" s="7">
        <f>grand[[#This Row],[ kidneys fat quantity]]/grand[[#This Row],[received]]</f>
        <v>0</v>
      </c>
      <c r="U1768" s="4">
        <v>25</v>
      </c>
      <c r="V1768" s="4">
        <v>0</v>
      </c>
      <c r="W1768" s="4">
        <v>49.2</v>
      </c>
      <c r="X1768" s="4">
        <v>10</v>
      </c>
      <c r="Y1768" s="8">
        <v>8.5</v>
      </c>
      <c r="Z1768" s="3">
        <f>grand[[#This Row],[av. Transportation loss]]/grand[[#This Row],[av.total weight]]</f>
        <v>6.3736263736263732E-2</v>
      </c>
      <c r="AA1768" s="12">
        <f>AVERAGE((grand[[#This Row],[am]]/25),(grand[[#This Row],[pm]]/50))</f>
        <v>0.99199999999999999</v>
      </c>
      <c r="AB1768" s="3">
        <f>grand[[#This Row],[ carcass weight]]/grand[[#This Row],[total weight]]</f>
        <v>0.59998534798534797</v>
      </c>
      <c r="AC1768" s="6">
        <f>SUM(grand[[#This Row],[am]:[meat transportation]])/100</f>
        <v>0.92700000000000005</v>
      </c>
      <c r="AD1768" s="9" t="s">
        <v>71</v>
      </c>
      <c r="AE1768" s="4"/>
      <c r="AF1768" s="4" t="s">
        <v>162</v>
      </c>
      <c r="AG1768" s="4"/>
      <c r="AH1768" s="4"/>
      <c r="AI1768" s="4"/>
      <c r="AJ1768" s="2"/>
      <c r="AK1768" s="4"/>
      <c r="AL1768" s="2">
        <f>471+17+0.3</f>
        <v>488.3</v>
      </c>
    </row>
    <row r="1769" spans="1:38" hidden="1" x14ac:dyDescent="0.2">
      <c r="A1769" s="11">
        <v>44026</v>
      </c>
      <c r="B1769" s="53" t="s">
        <v>2529</v>
      </c>
      <c r="C1769" s="52" t="str">
        <f>IF(MID(B1769,4,2)="09","Ramadan",IF(AND(MID(B1769,4,2)="12",VALUE(LEFT(B1769,2))&lt;=9),"Adha Season","Normal"))</f>
        <v>Normal</v>
      </c>
      <c r="D1769" s="1" t="s">
        <v>45</v>
      </c>
      <c r="F1769" s="4" t="s">
        <v>50</v>
      </c>
      <c r="G1769" s="4">
        <v>30</v>
      </c>
      <c r="H1769" s="4">
        <v>29</v>
      </c>
      <c r="I1769" s="2">
        <f>grand[[#This Row],[number]]-grand[[#This Row],[received]]</f>
        <v>1</v>
      </c>
      <c r="J1769" s="30" t="s">
        <v>112</v>
      </c>
      <c r="K1769" s="4">
        <v>12175</v>
      </c>
      <c r="L1769" s="4">
        <v>11193</v>
      </c>
      <c r="M1769" s="2">
        <f>K1769-L1769</f>
        <v>982</v>
      </c>
      <c r="N1769" s="4">
        <v>7532</v>
      </c>
      <c r="O1769" s="4"/>
      <c r="P1769" s="7">
        <f>grand[[#This Row],[total weight]]/grand[[#This Row],[received]]</f>
        <v>419.82758620689657</v>
      </c>
      <c r="Q1769" s="7">
        <f>grand[[#This Row],[receiving weight]]/grand[[#This Row],[received]]</f>
        <v>385.9655172413793</v>
      </c>
      <c r="R1769" s="7">
        <f>grand[[#This Row],[transportation loss ]]/grand[[#This Row],[received]]</f>
        <v>33.862068965517238</v>
      </c>
      <c r="S1769" s="7">
        <f>grand[[#This Row],[ carcass weight]]/grand[[#This Row],[received]]</f>
        <v>259.72413793103448</v>
      </c>
      <c r="T1769" s="7">
        <f>grand[[#This Row],[ kidneys fat quantity]]/grand[[#This Row],[received]]</f>
        <v>0</v>
      </c>
      <c r="U1769" s="4">
        <v>25</v>
      </c>
      <c r="V1769" s="4">
        <v>0</v>
      </c>
      <c r="W1769" s="4">
        <v>49.1</v>
      </c>
      <c r="X1769" s="4">
        <v>10</v>
      </c>
      <c r="Y1769" s="8">
        <v>8.5</v>
      </c>
      <c r="Z1769" s="3">
        <f>grand[[#This Row],[av. Transportation loss]]/grand[[#This Row],[av.total weight]]</f>
        <v>8.0657084188911696E-2</v>
      </c>
      <c r="AA1769" s="12">
        <f>AVERAGE((grand[[#This Row],[am]]/25),(grand[[#This Row],[pm]]/50))</f>
        <v>0.99099999999999999</v>
      </c>
      <c r="AB1769" s="3">
        <f>grand[[#This Row],[ carcass weight]]/grand[[#This Row],[total weight]]</f>
        <v>0.6186447638603696</v>
      </c>
      <c r="AC1769" s="6">
        <f>SUM(grand[[#This Row],[am]:[meat transportation]])/100</f>
        <v>0.92599999999999993</v>
      </c>
      <c r="AD1769" s="9" t="s">
        <v>117</v>
      </c>
      <c r="AE1769" s="4">
        <v>6</v>
      </c>
      <c r="AF1769" s="4" t="s">
        <v>55</v>
      </c>
      <c r="AG1769" s="4"/>
      <c r="AH1769" s="4"/>
      <c r="AI1769" s="4"/>
      <c r="AJ1769" s="2"/>
      <c r="AK1769" s="4"/>
      <c r="AL1769" s="2">
        <f>432+1</f>
        <v>433</v>
      </c>
    </row>
    <row r="1770" spans="1:38" hidden="1" x14ac:dyDescent="0.2">
      <c r="A1770" s="11">
        <v>44031</v>
      </c>
      <c r="B1770" s="53" t="s">
        <v>1499</v>
      </c>
      <c r="C1770" s="52" t="str">
        <f>IF(MID(B1770,4,2)="09","Ramadan",IF(AND(MID(B1770,4,2)="12",VALUE(LEFT(B1770,2))&lt;=9),"Adha Season","Normal"))</f>
        <v>Normal</v>
      </c>
      <c r="D1770" s="1" t="s">
        <v>45</v>
      </c>
      <c r="F1770" s="4" t="s">
        <v>50</v>
      </c>
      <c r="G1770" s="4">
        <v>45</v>
      </c>
      <c r="H1770" s="4">
        <v>44</v>
      </c>
      <c r="I1770" s="2">
        <f>grand[[#This Row],[number]]-grand[[#This Row],[received]]</f>
        <v>1</v>
      </c>
      <c r="J1770" s="30" t="s">
        <v>112</v>
      </c>
      <c r="K1770" s="4">
        <v>19122</v>
      </c>
      <c r="L1770" s="4">
        <v>17893</v>
      </c>
      <c r="M1770" s="2">
        <f>K1770-L1770</f>
        <v>1229</v>
      </c>
      <c r="N1770" s="4">
        <v>11982.8</v>
      </c>
      <c r="O1770" s="4"/>
      <c r="P1770" s="7">
        <f>grand[[#This Row],[total weight]]/grand[[#This Row],[received]]</f>
        <v>434.59090909090907</v>
      </c>
      <c r="Q1770" s="7">
        <f>grand[[#This Row],[receiving weight]]/grand[[#This Row],[received]]</f>
        <v>406.65909090909093</v>
      </c>
      <c r="R1770" s="7">
        <f>grand[[#This Row],[transportation loss ]]/grand[[#This Row],[received]]</f>
        <v>27.931818181818183</v>
      </c>
      <c r="S1770" s="7">
        <f>grand[[#This Row],[ carcass weight]]/grand[[#This Row],[received]]</f>
        <v>272.33636363636361</v>
      </c>
      <c r="T1770" s="7">
        <f>grand[[#This Row],[ kidneys fat quantity]]/grand[[#This Row],[received]]</f>
        <v>0</v>
      </c>
      <c r="U1770" s="4">
        <v>25</v>
      </c>
      <c r="V1770" s="4">
        <v>0</v>
      </c>
      <c r="W1770" s="4">
        <v>49.7</v>
      </c>
      <c r="X1770" s="4">
        <v>10</v>
      </c>
      <c r="Y1770" s="8">
        <v>8.5</v>
      </c>
      <c r="Z1770" s="3">
        <f>grand[[#This Row],[av. Transportation loss]]/grand[[#This Row],[av.total weight]]</f>
        <v>6.4271519715510941E-2</v>
      </c>
      <c r="AA1770" s="12">
        <f>AVERAGE((grand[[#This Row],[am]]/25),(grand[[#This Row],[pm]]/50))</f>
        <v>0.99700000000000011</v>
      </c>
      <c r="AB1770" s="3">
        <f>grand[[#This Row],[ carcass weight]]/grand[[#This Row],[total weight]]</f>
        <v>0.62664993201547947</v>
      </c>
      <c r="AC1770" s="6">
        <f>SUM(grand[[#This Row],[am]:[meat transportation]])/100</f>
        <v>0.93200000000000005</v>
      </c>
      <c r="AD1770" s="9" t="s">
        <v>117</v>
      </c>
      <c r="AE1770" s="4">
        <v>3</v>
      </c>
      <c r="AF1770" s="4" t="s">
        <v>55</v>
      </c>
      <c r="AG1770" s="4"/>
      <c r="AH1770" s="4"/>
      <c r="AI1770" s="4"/>
      <c r="AJ1770" s="2"/>
      <c r="AK1770" s="4"/>
      <c r="AL1770" s="2">
        <v>489</v>
      </c>
    </row>
    <row r="1771" spans="1:38" hidden="1" x14ac:dyDescent="0.2">
      <c r="A1771" s="11">
        <v>44034</v>
      </c>
      <c r="B1771" s="53" t="s">
        <v>1500</v>
      </c>
      <c r="C1771" s="52" t="str">
        <f>IF(MID(B1771,4,2)="09","Ramadan",IF(AND(MID(B1771,4,2)="12",VALUE(LEFT(B1771,2))&lt;=9),"Adha Season","Normal"))</f>
        <v>Adha Season</v>
      </c>
      <c r="D1771" s="1" t="s">
        <v>45</v>
      </c>
      <c r="F1771" s="4" t="s">
        <v>50</v>
      </c>
      <c r="G1771" s="4">
        <v>35</v>
      </c>
      <c r="H1771" s="4">
        <v>34</v>
      </c>
      <c r="I1771" s="2">
        <f>grand[[#This Row],[number]]-grand[[#This Row],[received]]</f>
        <v>1</v>
      </c>
      <c r="J1771" s="30" t="s">
        <v>112</v>
      </c>
      <c r="K1771" s="4">
        <v>14567</v>
      </c>
      <c r="L1771" s="4">
        <v>13658</v>
      </c>
      <c r="M1771" s="2">
        <f>K1771-L1771</f>
        <v>909</v>
      </c>
      <c r="N1771" s="4">
        <v>9221.1</v>
      </c>
      <c r="O1771" s="4"/>
      <c r="P1771" s="7">
        <f>grand[[#This Row],[total weight]]/grand[[#This Row],[received]]</f>
        <v>428.44117647058823</v>
      </c>
      <c r="Q1771" s="7">
        <f>grand[[#This Row],[receiving weight]]/grand[[#This Row],[received]]</f>
        <v>401.70588235294116</v>
      </c>
      <c r="R1771" s="7">
        <f>grand[[#This Row],[transportation loss ]]/grand[[#This Row],[received]]</f>
        <v>26.735294117647058</v>
      </c>
      <c r="S1771" s="7">
        <f>grand[[#This Row],[ carcass weight]]/grand[[#This Row],[received]]</f>
        <v>271.2088235294118</v>
      </c>
      <c r="T1771" s="7">
        <f>grand[[#This Row],[ kidneys fat quantity]]/grand[[#This Row],[received]]</f>
        <v>0</v>
      </c>
      <c r="U1771" s="4">
        <v>25</v>
      </c>
      <c r="V1771" s="4">
        <v>0</v>
      </c>
      <c r="W1771" s="4">
        <v>49.7</v>
      </c>
      <c r="X1771" s="4">
        <v>10</v>
      </c>
      <c r="Y1771" s="8">
        <v>8.5</v>
      </c>
      <c r="Z1771" s="3">
        <f>grand[[#This Row],[av. Transportation loss]]/grand[[#This Row],[av.total weight]]</f>
        <v>6.2401318047641929E-2</v>
      </c>
      <c r="AA1771" s="12">
        <f>AVERAGE((grand[[#This Row],[am]]/25),(grand[[#This Row],[pm]]/50))</f>
        <v>0.99700000000000011</v>
      </c>
      <c r="AB1771" s="3">
        <f>grand[[#This Row],[ carcass weight]]/grand[[#This Row],[total weight]]</f>
        <v>0.63301297453147531</v>
      </c>
      <c r="AC1771" s="6">
        <f>SUM(grand[[#This Row],[am]:[meat transportation]])/100</f>
        <v>0.93200000000000005</v>
      </c>
      <c r="AD1771" s="9" t="s">
        <v>117</v>
      </c>
      <c r="AE1771" s="4">
        <v>1</v>
      </c>
      <c r="AF1771" s="4"/>
      <c r="AG1771" s="4"/>
      <c r="AH1771" s="4"/>
      <c r="AI1771" s="4"/>
      <c r="AJ1771" s="2"/>
      <c r="AK1771" s="4"/>
      <c r="AL1771" s="2">
        <v>428</v>
      </c>
    </row>
    <row r="1772" spans="1:38" hidden="1" x14ac:dyDescent="0.2">
      <c r="A1772" s="11">
        <v>44047</v>
      </c>
      <c r="B1772" s="53" t="s">
        <v>2533</v>
      </c>
      <c r="C1772" s="52" t="str">
        <f>IF(MID(B1772,4,2)="09","Ramadan",IF(AND(MID(B1772,4,2)="12",VALUE(LEFT(B1772,2))&lt;=9),"Adha Season","Normal"))</f>
        <v>Normal</v>
      </c>
      <c r="D1772" s="1" t="s">
        <v>45</v>
      </c>
      <c r="F1772" s="4" t="s">
        <v>165</v>
      </c>
      <c r="G1772" s="4">
        <v>43</v>
      </c>
      <c r="H1772" s="4">
        <v>42</v>
      </c>
      <c r="I1772" s="2">
        <f>grand[[#This Row],[number]]-grand[[#This Row],[received]]</f>
        <v>1</v>
      </c>
      <c r="J1772" s="30" t="s">
        <v>112</v>
      </c>
      <c r="K1772" s="4">
        <v>18529</v>
      </c>
      <c r="L1772" s="4">
        <v>17700</v>
      </c>
      <c r="M1772" s="2">
        <f>K1772-L1772</f>
        <v>829</v>
      </c>
      <c r="N1772" s="4">
        <v>11116.6</v>
      </c>
      <c r="O1772" s="4"/>
      <c r="P1772" s="7">
        <f>grand[[#This Row],[total weight]]/grand[[#This Row],[received]]</f>
        <v>441.16666666666669</v>
      </c>
      <c r="Q1772" s="7">
        <f>grand[[#This Row],[receiving weight]]/grand[[#This Row],[received]]</f>
        <v>421.42857142857144</v>
      </c>
      <c r="R1772" s="7">
        <f>grand[[#This Row],[transportation loss ]]/grand[[#This Row],[received]]</f>
        <v>19.738095238095237</v>
      </c>
      <c r="S1772" s="7">
        <f>grand[[#This Row],[ carcass weight]]/grand[[#This Row],[received]]</f>
        <v>264.68095238095236</v>
      </c>
      <c r="T1772" s="7">
        <f>grand[[#This Row],[ kidneys fat quantity]]/grand[[#This Row],[received]]</f>
        <v>0</v>
      </c>
      <c r="U1772" s="4">
        <v>25</v>
      </c>
      <c r="V1772" s="4">
        <v>0</v>
      </c>
      <c r="W1772" s="4">
        <v>49.4</v>
      </c>
      <c r="X1772" s="4">
        <v>10</v>
      </c>
      <c r="Y1772" s="8">
        <v>8.5</v>
      </c>
      <c r="Z1772" s="3">
        <f>grand[[#This Row],[av. Transportation loss]]/grand[[#This Row],[av.total weight]]</f>
        <v>4.4740676776944245E-2</v>
      </c>
      <c r="AA1772" s="12">
        <f>AVERAGE((grand[[#This Row],[am]]/25),(grand[[#This Row],[pm]]/50))</f>
        <v>0.99399999999999999</v>
      </c>
      <c r="AB1772" s="3">
        <f>grand[[#This Row],[ carcass weight]]/grand[[#This Row],[total weight]]</f>
        <v>0.59995682443736842</v>
      </c>
      <c r="AC1772" s="6">
        <f>SUM(grand[[#This Row],[am]:[meat transportation]])/100</f>
        <v>0.92900000000000005</v>
      </c>
      <c r="AD1772" s="9" t="s">
        <v>176</v>
      </c>
      <c r="AE1772" s="4">
        <v>4</v>
      </c>
      <c r="AF1772" s="4"/>
      <c r="AG1772" s="4"/>
      <c r="AH1772" s="4"/>
      <c r="AI1772" s="4"/>
      <c r="AJ1772" s="2"/>
      <c r="AK1772" s="4"/>
      <c r="AL1772" s="2">
        <f>495+9</f>
        <v>504</v>
      </c>
    </row>
    <row r="1773" spans="1:38" hidden="1" x14ac:dyDescent="0.2">
      <c r="A1773" s="11">
        <v>44051</v>
      </c>
      <c r="B1773" s="53" t="s">
        <v>2535</v>
      </c>
      <c r="C1773" s="52" t="str">
        <f>IF(MID(B1773,4,2)="09","Ramadan",IF(AND(MID(B1773,4,2)="12",VALUE(LEFT(B1773,2))&lt;=9),"Adha Season","Normal"))</f>
        <v>Normal</v>
      </c>
      <c r="D1773" s="1" t="s">
        <v>45</v>
      </c>
      <c r="F1773" s="4" t="s">
        <v>44</v>
      </c>
      <c r="G1773" s="4">
        <v>29</v>
      </c>
      <c r="H1773" s="4">
        <v>28</v>
      </c>
      <c r="I1773" s="2">
        <f>grand[[#This Row],[number]]-grand[[#This Row],[received]]</f>
        <v>1</v>
      </c>
      <c r="J1773" s="30" t="s">
        <v>161</v>
      </c>
      <c r="K1773" s="4">
        <v>14004</v>
      </c>
      <c r="L1773" s="4">
        <v>13163</v>
      </c>
      <c r="M1773" s="2">
        <f>K1773-L1773</f>
        <v>841</v>
      </c>
      <c r="N1773" s="4">
        <v>8819.4</v>
      </c>
      <c r="O1773" s="4"/>
      <c r="P1773" s="7">
        <f>grand[[#This Row],[total weight]]/grand[[#This Row],[received]]</f>
        <v>500.14285714285717</v>
      </c>
      <c r="Q1773" s="7">
        <f>grand[[#This Row],[receiving weight]]/grand[[#This Row],[received]]</f>
        <v>470.10714285714283</v>
      </c>
      <c r="R1773" s="7">
        <f>grand[[#This Row],[transportation loss ]]/grand[[#This Row],[received]]</f>
        <v>30.035714285714285</v>
      </c>
      <c r="S1773" s="7">
        <f>grand[[#This Row],[ carcass weight]]/grand[[#This Row],[received]]</f>
        <v>314.9785714285714</v>
      </c>
      <c r="T1773" s="7">
        <f>grand[[#This Row],[ kidneys fat quantity]]/grand[[#This Row],[received]]</f>
        <v>0</v>
      </c>
      <c r="U1773" s="4">
        <v>20</v>
      </c>
      <c r="V1773" s="4">
        <v>0</v>
      </c>
      <c r="W1773" s="4">
        <v>49.6</v>
      </c>
      <c r="X1773" s="4">
        <v>10</v>
      </c>
      <c r="Y1773" s="8">
        <v>8.5</v>
      </c>
      <c r="Z1773" s="3">
        <f>grand[[#This Row],[av. Transportation loss]]/grand[[#This Row],[av.total weight]]</f>
        <v>6.0054270208511847E-2</v>
      </c>
      <c r="AA1773" s="12">
        <f>AVERAGE((grand[[#This Row],[am]]/25),(grand[[#This Row],[pm]]/50))</f>
        <v>0.89600000000000002</v>
      </c>
      <c r="AB1773" s="3">
        <f>grand[[#This Row],[ carcass weight]]/grand[[#This Row],[total weight]]</f>
        <v>0.62977720651242497</v>
      </c>
      <c r="AC1773" s="6">
        <f>SUM(grand[[#This Row],[am]:[meat transportation]])/100</f>
        <v>0.88099999999999989</v>
      </c>
      <c r="AD1773" s="9"/>
      <c r="AE1773" s="4">
        <v>3</v>
      </c>
      <c r="AF1773" s="4" t="s">
        <v>178</v>
      </c>
      <c r="AG1773" s="4"/>
      <c r="AH1773" s="4"/>
      <c r="AI1773" s="4"/>
      <c r="AJ1773" s="2"/>
      <c r="AK1773" s="4">
        <v>28</v>
      </c>
      <c r="AL1773" s="2">
        <v>512</v>
      </c>
    </row>
    <row r="1774" spans="1:38" hidden="1" x14ac:dyDescent="0.2">
      <c r="A1774" s="11">
        <v>44058</v>
      </c>
      <c r="B1774" s="53" t="s">
        <v>2538</v>
      </c>
      <c r="C1774" s="52" t="str">
        <f>IF(MID(B1774,4,2)="09","Ramadan",IF(AND(MID(B1774,4,2)="12",VALUE(LEFT(B1774,2))&lt;=9),"Adha Season","Normal"))</f>
        <v>Normal</v>
      </c>
      <c r="D1774" s="1" t="s">
        <v>45</v>
      </c>
      <c r="F1774" s="4" t="s">
        <v>44</v>
      </c>
      <c r="G1774" s="4">
        <v>16</v>
      </c>
      <c r="H1774" s="4">
        <v>15</v>
      </c>
      <c r="I1774" s="2">
        <f>grand[[#This Row],[number]]-grand[[#This Row],[received]]</f>
        <v>1</v>
      </c>
      <c r="J1774" s="30" t="s">
        <v>112</v>
      </c>
      <c r="K1774" s="4">
        <v>8065</v>
      </c>
      <c r="L1774" s="4">
        <v>7641</v>
      </c>
      <c r="M1774" s="2">
        <f>K1774-L1774</f>
        <v>424</v>
      </c>
      <c r="N1774" s="4">
        <v>5112.5</v>
      </c>
      <c r="O1774" s="4"/>
      <c r="P1774" s="7">
        <f>grand[[#This Row],[total weight]]/grand[[#This Row],[received]]</f>
        <v>537.66666666666663</v>
      </c>
      <c r="Q1774" s="7">
        <f>grand[[#This Row],[receiving weight]]/grand[[#This Row],[received]]</f>
        <v>509.4</v>
      </c>
      <c r="R1774" s="7">
        <f>grand[[#This Row],[transportation loss ]]/grand[[#This Row],[received]]</f>
        <v>28.266666666666666</v>
      </c>
      <c r="S1774" s="7">
        <f>grand[[#This Row],[ carcass weight]]/grand[[#This Row],[received]]</f>
        <v>340.83333333333331</v>
      </c>
      <c r="T1774" s="7">
        <f>grand[[#This Row],[ kidneys fat quantity]]/grand[[#This Row],[received]]</f>
        <v>0</v>
      </c>
      <c r="U1774" s="4">
        <v>25</v>
      </c>
      <c r="V1774" s="4">
        <v>0</v>
      </c>
      <c r="W1774" s="4">
        <v>49.2</v>
      </c>
      <c r="X1774" s="4">
        <v>10</v>
      </c>
      <c r="Y1774" s="8">
        <v>8.5</v>
      </c>
      <c r="Z1774" s="3">
        <f>grand[[#This Row],[av. Transportation loss]]/grand[[#This Row],[av.total weight]]</f>
        <v>5.2572845629262246E-2</v>
      </c>
      <c r="AA1774" s="12">
        <f>AVERAGE((grand[[#This Row],[am]]/25),(grand[[#This Row],[pm]]/50))</f>
        <v>0.99199999999999999</v>
      </c>
      <c r="AB1774" s="3">
        <f>grand[[#This Row],[ carcass weight]]/grand[[#This Row],[total weight]]</f>
        <v>0.63391196528208305</v>
      </c>
      <c r="AC1774" s="6">
        <f>SUM(grand[[#This Row],[am]:[meat transportation]])/100</f>
        <v>0.92700000000000005</v>
      </c>
      <c r="AD1774" s="9" t="s">
        <v>182</v>
      </c>
      <c r="AE1774" s="4"/>
      <c r="AF1774" s="4"/>
      <c r="AG1774" s="4"/>
      <c r="AH1774" s="4"/>
      <c r="AI1774" s="4"/>
      <c r="AJ1774" s="2"/>
      <c r="AK1774" s="4"/>
      <c r="AL1774" s="2">
        <f>519+2.5</f>
        <v>521.5</v>
      </c>
    </row>
    <row r="1775" spans="1:38" hidden="1" x14ac:dyDescent="0.2">
      <c r="A1775" s="11">
        <v>44066</v>
      </c>
      <c r="B1775" s="53" t="s">
        <v>1509</v>
      </c>
      <c r="C1775" s="52" t="str">
        <f>IF(MID(B1775,4,2)="09","Ramadan",IF(AND(MID(B1775,4,2)="12",VALUE(LEFT(B1775,2))&lt;=9),"Adha Season","Normal"))</f>
        <v>Normal</v>
      </c>
      <c r="D1775" s="1" t="s">
        <v>45</v>
      </c>
      <c r="F1775" s="4" t="s">
        <v>165</v>
      </c>
      <c r="G1775" s="4">
        <v>36</v>
      </c>
      <c r="H1775" s="4">
        <v>35</v>
      </c>
      <c r="I1775" s="2">
        <f>grand[[#This Row],[number]]-grand[[#This Row],[received]]</f>
        <v>1</v>
      </c>
      <c r="J1775" s="30" t="s">
        <v>187</v>
      </c>
      <c r="K1775" s="4">
        <v>14763</v>
      </c>
      <c r="L1775" s="4">
        <v>14077</v>
      </c>
      <c r="M1775" s="2">
        <f>K1775-L1775</f>
        <v>686</v>
      </c>
      <c r="N1775" s="4">
        <v>9256.2999999999993</v>
      </c>
      <c r="O1775" s="4"/>
      <c r="P1775" s="7">
        <f>grand[[#This Row],[total weight]]/grand[[#This Row],[received]]</f>
        <v>421.8</v>
      </c>
      <c r="Q1775" s="7">
        <f>grand[[#This Row],[receiving weight]]/grand[[#This Row],[received]]</f>
        <v>402.2</v>
      </c>
      <c r="R1775" s="7">
        <f>grand[[#This Row],[transportation loss ]]/grand[[#This Row],[received]]</f>
        <v>19.600000000000001</v>
      </c>
      <c r="S1775" s="7">
        <f>grand[[#This Row],[ carcass weight]]/grand[[#This Row],[received]]</f>
        <v>264.46571428571428</v>
      </c>
      <c r="T1775" s="7">
        <f>grand[[#This Row],[ kidneys fat quantity]]/grand[[#This Row],[received]]</f>
        <v>0</v>
      </c>
      <c r="U1775" s="4">
        <v>25</v>
      </c>
      <c r="V1775" s="4">
        <v>0</v>
      </c>
      <c r="W1775" s="4">
        <v>49.3</v>
      </c>
      <c r="X1775" s="4">
        <v>10</v>
      </c>
      <c r="Y1775" s="8">
        <v>8.5</v>
      </c>
      <c r="Z1775" s="3">
        <f>grand[[#This Row],[av. Transportation loss]]/grand[[#This Row],[av.total weight]]</f>
        <v>4.6467520151730682E-2</v>
      </c>
      <c r="AA1775" s="12">
        <f>AVERAGE((grand[[#This Row],[am]]/25),(grand[[#This Row],[pm]]/50))</f>
        <v>0.99299999999999999</v>
      </c>
      <c r="AB1775" s="3">
        <f>grand[[#This Row],[ carcass weight]]/grand[[#This Row],[total weight]]</f>
        <v>0.62699315857210591</v>
      </c>
      <c r="AC1775" s="6">
        <f>SUM(grand[[#This Row],[am]:[meat transportation]])/100</f>
        <v>0.92799999999999994</v>
      </c>
      <c r="AD1775" s="9" t="s">
        <v>71</v>
      </c>
      <c r="AE1775" s="4">
        <v>3</v>
      </c>
      <c r="AF1775" s="4"/>
      <c r="AG1775" s="4"/>
      <c r="AH1775" s="4"/>
      <c r="AI1775" s="4"/>
      <c r="AJ1775" s="2"/>
      <c r="AK1775" s="4"/>
      <c r="AL1775" s="2">
        <v>424</v>
      </c>
    </row>
    <row r="1776" spans="1:38" hidden="1" x14ac:dyDescent="0.2">
      <c r="A1776" s="11">
        <v>44073</v>
      </c>
      <c r="B1776" s="53" t="s">
        <v>1510</v>
      </c>
      <c r="C1776" s="52" t="str">
        <f>IF(MID(B1776,4,2)="09","Ramadan",IF(AND(MID(B1776,4,2)="12",VALUE(LEFT(B1776,2))&lt;=9),"Adha Season","Normal"))</f>
        <v>Normal</v>
      </c>
      <c r="D1776" s="1" t="s">
        <v>45</v>
      </c>
      <c r="F1776" s="4" t="s">
        <v>50</v>
      </c>
      <c r="G1776" s="4">
        <v>38</v>
      </c>
      <c r="H1776" s="4">
        <v>37</v>
      </c>
      <c r="I1776" s="2">
        <f>grand[[#This Row],[number]]-grand[[#This Row],[received]]</f>
        <v>1</v>
      </c>
      <c r="J1776" s="30" t="s">
        <v>112</v>
      </c>
      <c r="K1776" s="4">
        <v>16234</v>
      </c>
      <c r="L1776" s="4">
        <v>15423</v>
      </c>
      <c r="M1776" s="2">
        <f>K1776-L1776</f>
        <v>811</v>
      </c>
      <c r="N1776" s="4">
        <v>10243.5</v>
      </c>
      <c r="O1776" s="4"/>
      <c r="P1776" s="7">
        <f>grand[[#This Row],[total weight]]/grand[[#This Row],[received]]</f>
        <v>438.75675675675677</v>
      </c>
      <c r="Q1776" s="7">
        <f>grand[[#This Row],[receiving weight]]/grand[[#This Row],[received]]</f>
        <v>416.83783783783781</v>
      </c>
      <c r="R1776" s="7">
        <f>grand[[#This Row],[transportation loss ]]/grand[[#This Row],[received]]</f>
        <v>21.918918918918919</v>
      </c>
      <c r="S1776" s="7">
        <f>grand[[#This Row],[ carcass weight]]/grand[[#This Row],[received]]</f>
        <v>276.85135135135135</v>
      </c>
      <c r="T1776" s="7">
        <f>grand[[#This Row],[ kidneys fat quantity]]/grand[[#This Row],[received]]</f>
        <v>0</v>
      </c>
      <c r="U1776" s="4">
        <v>25</v>
      </c>
      <c r="V1776" s="4">
        <v>0</v>
      </c>
      <c r="W1776" s="4">
        <v>48.3</v>
      </c>
      <c r="X1776" s="4">
        <v>10</v>
      </c>
      <c r="Y1776" s="8">
        <v>8.5</v>
      </c>
      <c r="Z1776" s="3">
        <f>grand[[#This Row],[av. Transportation loss]]/grand[[#This Row],[av.total weight]]</f>
        <v>4.9956880620919061E-2</v>
      </c>
      <c r="AA1776" s="12">
        <f>AVERAGE((grand[[#This Row],[am]]/25),(grand[[#This Row],[pm]]/50))</f>
        <v>0.98299999999999998</v>
      </c>
      <c r="AB1776" s="3">
        <f>grand[[#This Row],[ carcass weight]]/grand[[#This Row],[total weight]]</f>
        <v>0.6309905137366022</v>
      </c>
      <c r="AC1776" s="6">
        <f>SUM(grand[[#This Row],[am]:[meat transportation]])/100</f>
        <v>0.91799999999999993</v>
      </c>
      <c r="AD1776" s="9" t="s">
        <v>190</v>
      </c>
      <c r="AE1776" s="4">
        <v>1</v>
      </c>
      <c r="AF1776" s="4" t="s">
        <v>191</v>
      </c>
      <c r="AG1776" s="4"/>
      <c r="AH1776" s="4"/>
      <c r="AI1776" s="4">
        <v>7</v>
      </c>
      <c r="AJ1776" s="2"/>
      <c r="AK1776" s="4"/>
      <c r="AL1776" s="2">
        <f>437+16</f>
        <v>453</v>
      </c>
    </row>
    <row r="1777" spans="1:38" hidden="1" x14ac:dyDescent="0.2">
      <c r="A1777" s="11">
        <v>44075</v>
      </c>
      <c r="B1777" s="53" t="s">
        <v>2545</v>
      </c>
      <c r="C1777" s="52" t="str">
        <f>IF(MID(B1777,4,2)="09","Ramadan",IF(AND(MID(B1777,4,2)="12",VALUE(LEFT(B1777,2))&lt;=9),"Adha Season","Normal"))</f>
        <v>Normal</v>
      </c>
      <c r="D1777" s="1" t="s">
        <v>45</v>
      </c>
      <c r="F1777" s="4" t="s">
        <v>46</v>
      </c>
      <c r="G1777" s="4">
        <v>33</v>
      </c>
      <c r="H1777" s="4">
        <v>32</v>
      </c>
      <c r="I1777" s="2">
        <f>grand[[#This Row],[number]]-grand[[#This Row],[received]]</f>
        <v>1</v>
      </c>
      <c r="J1777" s="30" t="s">
        <v>112</v>
      </c>
      <c r="K1777" s="4">
        <v>14532.5</v>
      </c>
      <c r="L1777" s="4">
        <v>13607.5</v>
      </c>
      <c r="M1777" s="2">
        <f>K1777-L1777</f>
        <v>925</v>
      </c>
      <c r="N1777" s="4">
        <v>8842.5</v>
      </c>
      <c r="O1777" s="4"/>
      <c r="P1777" s="7">
        <f>grand[[#This Row],[total weight]]/grand[[#This Row],[received]]</f>
        <v>454.140625</v>
      </c>
      <c r="Q1777" s="7">
        <f>grand[[#This Row],[receiving weight]]/grand[[#This Row],[received]]</f>
        <v>425.234375</v>
      </c>
      <c r="R1777" s="7">
        <f>grand[[#This Row],[transportation loss ]]/grand[[#This Row],[received]]</f>
        <v>28.90625</v>
      </c>
      <c r="S1777" s="7">
        <f>grand[[#This Row],[ carcass weight]]/grand[[#This Row],[received]]</f>
        <v>276.328125</v>
      </c>
      <c r="T1777" s="7">
        <f>grand[[#This Row],[ kidneys fat quantity]]/grand[[#This Row],[received]]</f>
        <v>0</v>
      </c>
      <c r="U1777" s="4">
        <v>25</v>
      </c>
      <c r="V1777" s="4">
        <v>0</v>
      </c>
      <c r="W1777" s="4">
        <v>48.3</v>
      </c>
      <c r="X1777" s="4">
        <v>9.8000000000000007</v>
      </c>
      <c r="Y1777" s="8">
        <v>8.5</v>
      </c>
      <c r="Z1777" s="3">
        <f>grand[[#This Row],[av. Transportation loss]]/grand[[#This Row],[av.total weight]]</f>
        <v>6.36504386719422E-2</v>
      </c>
      <c r="AA1777" s="12">
        <f>AVERAGE((grand[[#This Row],[am]]/25),(grand[[#This Row],[pm]]/50))</f>
        <v>0.98299999999999998</v>
      </c>
      <c r="AB1777" s="3">
        <f>grand[[#This Row],[ carcass weight]]/grand[[#This Row],[total weight]]</f>
        <v>0.60846378806124202</v>
      </c>
      <c r="AC1777" s="6">
        <f>SUM(grand[[#This Row],[am]:[meat transportation]])/100</f>
        <v>0.91599999999999993</v>
      </c>
      <c r="AD1777" s="9" t="s">
        <v>192</v>
      </c>
      <c r="AE1777" s="4">
        <v>1</v>
      </c>
      <c r="AF1777" s="4" t="s">
        <v>193</v>
      </c>
      <c r="AG1777" s="4"/>
      <c r="AH1777" s="4"/>
      <c r="AI1777" s="4">
        <v>6</v>
      </c>
      <c r="AJ1777" s="2"/>
      <c r="AK1777" s="4"/>
      <c r="AL1777" s="2">
        <v>485</v>
      </c>
    </row>
    <row r="1778" spans="1:38" hidden="1" x14ac:dyDescent="0.2">
      <c r="A1778" s="11">
        <v>44079</v>
      </c>
      <c r="B1778" s="53" t="s">
        <v>2547</v>
      </c>
      <c r="C1778" s="52" t="str">
        <f>IF(MID(B1778,4,2)="09","Ramadan",IF(AND(MID(B1778,4,2)="12",VALUE(LEFT(B1778,2))&lt;=9),"Adha Season","Normal"))</f>
        <v>Normal</v>
      </c>
      <c r="D1778" s="1" t="s">
        <v>45</v>
      </c>
      <c r="F1778" s="4" t="s">
        <v>50</v>
      </c>
      <c r="G1778" s="4">
        <v>28</v>
      </c>
      <c r="H1778" s="4">
        <v>27</v>
      </c>
      <c r="I1778" s="2">
        <f>grand[[#This Row],[number]]-grand[[#This Row],[received]]</f>
        <v>1</v>
      </c>
      <c r="J1778" s="30" t="s">
        <v>112</v>
      </c>
      <c r="K1778" s="4">
        <v>11567</v>
      </c>
      <c r="L1778" s="4">
        <v>10833</v>
      </c>
      <c r="M1778" s="2">
        <f>K1778-L1778</f>
        <v>734</v>
      </c>
      <c r="N1778" s="4">
        <v>7197.4</v>
      </c>
      <c r="O1778" s="4"/>
      <c r="P1778" s="7">
        <f>grand[[#This Row],[total weight]]/grand[[#This Row],[received]]</f>
        <v>428.40740740740739</v>
      </c>
      <c r="Q1778" s="7">
        <f>grand[[#This Row],[receiving weight]]/grand[[#This Row],[received]]</f>
        <v>401.22222222222223</v>
      </c>
      <c r="R1778" s="7">
        <f>grand[[#This Row],[transportation loss ]]/grand[[#This Row],[received]]</f>
        <v>27.185185185185187</v>
      </c>
      <c r="S1778" s="7">
        <f>grand[[#This Row],[ carcass weight]]/grand[[#This Row],[received]]</f>
        <v>266.57037037037037</v>
      </c>
      <c r="T1778" s="7">
        <f>grand[[#This Row],[ kidneys fat quantity]]/grand[[#This Row],[received]]</f>
        <v>0</v>
      </c>
      <c r="U1778" s="4">
        <v>25</v>
      </c>
      <c r="V1778" s="4">
        <v>0</v>
      </c>
      <c r="W1778" s="4">
        <v>48.5</v>
      </c>
      <c r="X1778" s="4">
        <v>10</v>
      </c>
      <c r="Y1778" s="8">
        <v>8.5</v>
      </c>
      <c r="Z1778" s="3">
        <f>grand[[#This Row],[av. Transportation loss]]/grand[[#This Row],[av.total weight]]</f>
        <v>6.3456384542232222E-2</v>
      </c>
      <c r="AA1778" s="12">
        <f>AVERAGE((grand[[#This Row],[am]]/25),(grand[[#This Row],[pm]]/50))</f>
        <v>0.98499999999999999</v>
      </c>
      <c r="AB1778" s="3">
        <f>grand[[#This Row],[ carcass weight]]/grand[[#This Row],[total weight]]</f>
        <v>0.62223567044177397</v>
      </c>
      <c r="AC1778" s="6">
        <f>SUM(grand[[#This Row],[am]:[meat transportation]])/100</f>
        <v>0.92</v>
      </c>
      <c r="AD1778" s="9" t="s">
        <v>197</v>
      </c>
      <c r="AE1778" s="4"/>
      <c r="AF1778" s="4"/>
      <c r="AG1778" s="4"/>
      <c r="AH1778" s="4"/>
      <c r="AI1778" s="4"/>
      <c r="AJ1778" s="2"/>
      <c r="AK1778" s="4"/>
      <c r="AL1778" s="2">
        <f>457+35+1</f>
        <v>493</v>
      </c>
    </row>
    <row r="1779" spans="1:38" hidden="1" x14ac:dyDescent="0.2">
      <c r="A1779" s="11">
        <v>44082</v>
      </c>
      <c r="B1779" s="53" t="s">
        <v>2548</v>
      </c>
      <c r="C1779" s="52" t="str">
        <f>IF(MID(B1779,4,2)="09","Ramadan",IF(AND(MID(B1779,4,2)="12",VALUE(LEFT(B1779,2))&lt;=9),"Adha Season","Normal"))</f>
        <v>Normal</v>
      </c>
      <c r="D1779" s="1" t="s">
        <v>45</v>
      </c>
      <c r="F1779" s="4" t="s">
        <v>44</v>
      </c>
      <c r="G1779" s="4">
        <v>33</v>
      </c>
      <c r="H1779" s="4">
        <v>32</v>
      </c>
      <c r="I1779" s="2">
        <f>grand[[#This Row],[number]]-grand[[#This Row],[received]]</f>
        <v>1</v>
      </c>
      <c r="J1779" s="30" t="s">
        <v>112</v>
      </c>
      <c r="K1779" s="4">
        <v>15378</v>
      </c>
      <c r="L1779" s="4">
        <v>14641</v>
      </c>
      <c r="M1779" s="2">
        <f>K1779-L1779</f>
        <v>737</v>
      </c>
      <c r="N1779" s="4">
        <v>9792.5</v>
      </c>
      <c r="O1779" s="4"/>
      <c r="P1779" s="7">
        <f>grand[[#This Row],[total weight]]/grand[[#This Row],[received]]</f>
        <v>480.5625</v>
      </c>
      <c r="Q1779" s="7">
        <f>grand[[#This Row],[receiving weight]]/grand[[#This Row],[received]]</f>
        <v>457.53125</v>
      </c>
      <c r="R1779" s="7">
        <f>grand[[#This Row],[transportation loss ]]/grand[[#This Row],[received]]</f>
        <v>23.03125</v>
      </c>
      <c r="S1779" s="7">
        <f>grand[[#This Row],[ carcass weight]]/grand[[#This Row],[received]]</f>
        <v>306.015625</v>
      </c>
      <c r="T1779" s="7">
        <f>grand[[#This Row],[ kidneys fat quantity]]/grand[[#This Row],[received]]</f>
        <v>0</v>
      </c>
      <c r="U1779" s="4">
        <v>25</v>
      </c>
      <c r="V1779" s="4">
        <v>0</v>
      </c>
      <c r="W1779" s="4">
        <v>50</v>
      </c>
      <c r="X1779" s="4">
        <v>10</v>
      </c>
      <c r="Y1779" s="8">
        <v>8.5</v>
      </c>
      <c r="Z1779" s="3">
        <f>grand[[#This Row],[av. Transportation loss]]/grand[[#This Row],[av.total weight]]</f>
        <v>4.7925608011444923E-2</v>
      </c>
      <c r="AA1779" s="12">
        <f>AVERAGE((grand[[#This Row],[am]]/25),(grand[[#This Row],[pm]]/50))</f>
        <v>1</v>
      </c>
      <c r="AB1779" s="3">
        <f>grand[[#This Row],[ carcass weight]]/grand[[#This Row],[total weight]]</f>
        <v>0.63678631811679021</v>
      </c>
      <c r="AC1779" s="6">
        <f>SUM(grand[[#This Row],[am]:[meat transportation]])/100</f>
        <v>0.93500000000000005</v>
      </c>
      <c r="AD1779" s="9"/>
      <c r="AE1779" s="4"/>
      <c r="AF1779" s="4"/>
      <c r="AG1779" s="4"/>
      <c r="AH1779" s="4"/>
      <c r="AI1779" s="4"/>
      <c r="AJ1779" s="2"/>
      <c r="AK1779" s="4"/>
      <c r="AL1779" s="2">
        <v>499</v>
      </c>
    </row>
    <row r="1780" spans="1:38" hidden="1" x14ac:dyDescent="0.2">
      <c r="A1780" s="11">
        <v>44086</v>
      </c>
      <c r="B1780" s="53" t="s">
        <v>2550</v>
      </c>
      <c r="C1780" s="52" t="str">
        <f>IF(MID(B1780,4,2)="09","Ramadan",IF(AND(MID(B1780,4,2)="12",VALUE(LEFT(B1780,2))&lt;=9),"Adha Season","Normal"))</f>
        <v>Normal</v>
      </c>
      <c r="D1780" s="1" t="s">
        <v>45</v>
      </c>
      <c r="F1780" s="4" t="s">
        <v>165</v>
      </c>
      <c r="G1780" s="4">
        <v>26</v>
      </c>
      <c r="H1780" s="4">
        <v>25</v>
      </c>
      <c r="I1780" s="2">
        <f>grand[[#This Row],[number]]-grand[[#This Row],[received]]</f>
        <v>1</v>
      </c>
      <c r="J1780" s="30" t="s">
        <v>112</v>
      </c>
      <c r="K1780" s="4">
        <v>11027</v>
      </c>
      <c r="L1780" s="4">
        <v>10568</v>
      </c>
      <c r="M1780" s="2">
        <f>K1780-L1780</f>
        <v>459</v>
      </c>
      <c r="N1780" s="4">
        <v>6640.2</v>
      </c>
      <c r="O1780" s="4"/>
      <c r="P1780" s="7">
        <f>grand[[#This Row],[total weight]]/grand[[#This Row],[received]]</f>
        <v>441.08</v>
      </c>
      <c r="Q1780" s="7">
        <f>grand[[#This Row],[receiving weight]]/grand[[#This Row],[received]]</f>
        <v>422.72</v>
      </c>
      <c r="R1780" s="7">
        <f>grand[[#This Row],[transportation loss ]]/grand[[#This Row],[received]]</f>
        <v>18.36</v>
      </c>
      <c r="S1780" s="7">
        <f>grand[[#This Row],[ carcass weight]]/grand[[#This Row],[received]]</f>
        <v>265.608</v>
      </c>
      <c r="T1780" s="7">
        <f>grand[[#This Row],[ kidneys fat quantity]]/grand[[#This Row],[received]]</f>
        <v>0</v>
      </c>
      <c r="U1780" s="4">
        <v>25</v>
      </c>
      <c r="V1780" s="4">
        <v>0</v>
      </c>
      <c r="W1780" s="4">
        <v>49.8</v>
      </c>
      <c r="X1780" s="4">
        <v>10</v>
      </c>
      <c r="Y1780" s="8">
        <v>8.5</v>
      </c>
      <c r="Z1780" s="3">
        <f>grand[[#This Row],[av. Transportation loss]]/grand[[#This Row],[av.total weight]]</f>
        <v>4.1625102022308881E-2</v>
      </c>
      <c r="AA1780" s="12">
        <f>AVERAGE((grand[[#This Row],[am]]/25),(grand[[#This Row],[pm]]/50))</f>
        <v>0.998</v>
      </c>
      <c r="AB1780" s="3">
        <f>grand[[#This Row],[ carcass weight]]/grand[[#This Row],[total weight]]</f>
        <v>0.60217647592273504</v>
      </c>
      <c r="AC1780" s="6">
        <f>SUM(grand[[#This Row],[am]:[meat transportation]])/100</f>
        <v>0.93299999999999994</v>
      </c>
      <c r="AD1780" s="9"/>
      <c r="AE1780" s="4">
        <v>2</v>
      </c>
      <c r="AF1780" s="4"/>
      <c r="AG1780" s="4"/>
      <c r="AH1780" s="4"/>
      <c r="AI1780" s="4"/>
      <c r="AJ1780" s="2"/>
      <c r="AK1780" s="4"/>
      <c r="AL1780" s="2">
        <v>397</v>
      </c>
    </row>
    <row r="1781" spans="1:38" hidden="1" x14ac:dyDescent="0.2">
      <c r="A1781" s="11">
        <v>44088</v>
      </c>
      <c r="B1781" s="53" t="s">
        <v>1513</v>
      </c>
      <c r="C1781" s="52" t="str">
        <f>IF(MID(B1781,4,2)="09","Ramadan",IF(AND(MID(B1781,4,2)="12",VALUE(LEFT(B1781,2))&lt;=9),"Adha Season","Normal"))</f>
        <v>Normal</v>
      </c>
      <c r="D1781" s="1" t="s">
        <v>45</v>
      </c>
      <c r="F1781" s="4" t="s">
        <v>41</v>
      </c>
      <c r="G1781" s="4">
        <v>16</v>
      </c>
      <c r="H1781" s="4">
        <v>15</v>
      </c>
      <c r="I1781" s="2">
        <f>grand[[#This Row],[number]]-grand[[#This Row],[received]]</f>
        <v>1</v>
      </c>
      <c r="J1781" s="30" t="s">
        <v>112</v>
      </c>
      <c r="K1781" s="4">
        <v>6066</v>
      </c>
      <c r="L1781" s="4">
        <v>5950</v>
      </c>
      <c r="M1781" s="2">
        <f>K1781-L1781</f>
        <v>116</v>
      </c>
      <c r="N1781" s="4">
        <v>3678.7</v>
      </c>
      <c r="O1781" s="4"/>
      <c r="P1781" s="7">
        <f>grand[[#This Row],[total weight]]/grand[[#This Row],[received]]</f>
        <v>404.4</v>
      </c>
      <c r="Q1781" s="7">
        <f>grand[[#This Row],[receiving weight]]/grand[[#This Row],[received]]</f>
        <v>396.66666666666669</v>
      </c>
      <c r="R1781" s="7">
        <f>grand[[#This Row],[transportation loss ]]/grand[[#This Row],[received]]</f>
        <v>7.7333333333333334</v>
      </c>
      <c r="S1781" s="7">
        <f>grand[[#This Row],[ carcass weight]]/grand[[#This Row],[received]]</f>
        <v>245.24666666666664</v>
      </c>
      <c r="T1781" s="7">
        <f>grand[[#This Row],[ kidneys fat quantity]]/grand[[#This Row],[received]]</f>
        <v>0</v>
      </c>
      <c r="U1781" s="4">
        <v>25</v>
      </c>
      <c r="V1781" s="4">
        <v>0</v>
      </c>
      <c r="W1781" s="4">
        <v>48.8</v>
      </c>
      <c r="X1781" s="4">
        <v>10</v>
      </c>
      <c r="Y1781" s="8">
        <v>8.5</v>
      </c>
      <c r="Z1781" s="3">
        <f>grand[[#This Row],[av. Transportation loss]]/grand[[#This Row],[av.total weight]]</f>
        <v>1.9122980547312894E-2</v>
      </c>
      <c r="AA1781" s="12">
        <f>AVERAGE((grand[[#This Row],[am]]/25),(grand[[#This Row],[pm]]/50))</f>
        <v>0.98799999999999999</v>
      </c>
      <c r="AB1781" s="3">
        <f>grand[[#This Row],[ carcass weight]]/grand[[#This Row],[total weight]]</f>
        <v>0.60644576327068911</v>
      </c>
      <c r="AC1781" s="6">
        <f>SUM(grand[[#This Row],[am]:[meat transportation]])/100</f>
        <v>0.92299999999999993</v>
      </c>
      <c r="AD1781" s="9" t="s">
        <v>97</v>
      </c>
      <c r="AE1781" s="4">
        <v>2</v>
      </c>
      <c r="AF1781" s="4" t="s">
        <v>202</v>
      </c>
      <c r="AG1781" s="4"/>
      <c r="AH1781" s="4"/>
      <c r="AI1781" s="4"/>
      <c r="AJ1781" s="2"/>
      <c r="AK1781" s="4"/>
      <c r="AL1781" s="2">
        <f>381+8</f>
        <v>389</v>
      </c>
    </row>
    <row r="1782" spans="1:38" hidden="1" x14ac:dyDescent="0.2">
      <c r="A1782" s="11">
        <v>44091</v>
      </c>
      <c r="B1782" s="53" t="s">
        <v>2551</v>
      </c>
      <c r="C1782" s="52" t="str">
        <f>IF(MID(B1782,4,2)="09","Ramadan",IF(AND(MID(B1782,4,2)="12",VALUE(LEFT(B1782,2))&lt;=9),"Adha Season","Normal"))</f>
        <v>Normal</v>
      </c>
      <c r="D1782" s="1" t="s">
        <v>45</v>
      </c>
      <c r="F1782" s="4" t="s">
        <v>46</v>
      </c>
      <c r="G1782" s="4">
        <v>37</v>
      </c>
      <c r="H1782" s="4">
        <v>36</v>
      </c>
      <c r="I1782" s="2">
        <f>grand[[#This Row],[number]]-grand[[#This Row],[received]]</f>
        <v>1</v>
      </c>
      <c r="J1782" s="30" t="s">
        <v>112</v>
      </c>
      <c r="K1782" s="4">
        <v>17491</v>
      </c>
      <c r="L1782" s="4">
        <v>16906</v>
      </c>
      <c r="M1782" s="2">
        <f>K1782-L1782</f>
        <v>585</v>
      </c>
      <c r="N1782" s="4">
        <v>10725.5</v>
      </c>
      <c r="O1782" s="4"/>
      <c r="P1782" s="7">
        <f>grand[[#This Row],[total weight]]/grand[[#This Row],[received]]</f>
        <v>485.86111111111109</v>
      </c>
      <c r="Q1782" s="7">
        <f>grand[[#This Row],[receiving weight]]/grand[[#This Row],[received]]</f>
        <v>469.61111111111109</v>
      </c>
      <c r="R1782" s="7">
        <f>grand[[#This Row],[transportation loss ]]/grand[[#This Row],[received]]</f>
        <v>16.25</v>
      </c>
      <c r="S1782" s="7">
        <f>grand[[#This Row],[ carcass weight]]/grand[[#This Row],[received]]</f>
        <v>297.93055555555554</v>
      </c>
      <c r="T1782" s="7">
        <f>grand[[#This Row],[ kidneys fat quantity]]/grand[[#This Row],[received]]</f>
        <v>0</v>
      </c>
      <c r="U1782" s="4">
        <v>24.9</v>
      </c>
      <c r="V1782" s="4">
        <v>0</v>
      </c>
      <c r="W1782" s="4">
        <v>49.6</v>
      </c>
      <c r="X1782" s="4">
        <v>10</v>
      </c>
      <c r="Y1782" s="8">
        <v>8.5</v>
      </c>
      <c r="Z1782" s="3">
        <f>grand[[#This Row],[av. Transportation loss]]/grand[[#This Row],[av.total weight]]</f>
        <v>3.3445772111371563E-2</v>
      </c>
      <c r="AA1782" s="12">
        <f>AVERAGE((grand[[#This Row],[am]]/25),(grand[[#This Row],[pm]]/50))</f>
        <v>0.99399999999999999</v>
      </c>
      <c r="AB1782" s="3">
        <f>grand[[#This Row],[ carcass weight]]/grand[[#This Row],[total weight]]</f>
        <v>0.6132010748384884</v>
      </c>
      <c r="AC1782" s="6">
        <f>SUM(grand[[#This Row],[am]:[meat transportation]])/100</f>
        <v>0.93</v>
      </c>
      <c r="AD1782" s="9"/>
      <c r="AE1782" s="4">
        <v>1</v>
      </c>
      <c r="AF1782" s="4" t="s">
        <v>162</v>
      </c>
      <c r="AG1782" s="4"/>
      <c r="AH1782" s="4"/>
      <c r="AI1782" s="4">
        <v>2</v>
      </c>
      <c r="AJ1782" s="2"/>
      <c r="AK1782" s="4"/>
      <c r="AL1782" s="2">
        <v>409</v>
      </c>
    </row>
    <row r="1783" spans="1:38" hidden="1" x14ac:dyDescent="0.2">
      <c r="A1783" s="11">
        <v>44103</v>
      </c>
      <c r="B1783" s="53" t="s">
        <v>2556</v>
      </c>
      <c r="C1783" s="52" t="str">
        <f>IF(MID(B1783,4,2)="09","Ramadan",IF(AND(MID(B1783,4,2)="12",VALUE(LEFT(B1783,2))&lt;=9),"Adha Season","Normal"))</f>
        <v>Normal</v>
      </c>
      <c r="D1783" s="1" t="s">
        <v>45</v>
      </c>
      <c r="F1783" s="4" t="s">
        <v>44</v>
      </c>
      <c r="G1783" s="4">
        <v>16</v>
      </c>
      <c r="H1783" s="4">
        <v>15</v>
      </c>
      <c r="I1783" s="2">
        <f>grand[[#This Row],[number]]-grand[[#This Row],[received]]</f>
        <v>1</v>
      </c>
      <c r="J1783" s="30" t="s">
        <v>112</v>
      </c>
      <c r="K1783" s="4">
        <v>7668</v>
      </c>
      <c r="L1783" s="4">
        <v>7247</v>
      </c>
      <c r="M1783" s="2">
        <f>K1783-L1783</f>
        <v>421</v>
      </c>
      <c r="N1783" s="4">
        <v>4796</v>
      </c>
      <c r="O1783" s="4"/>
      <c r="P1783" s="7">
        <f>grand[[#This Row],[total weight]]/grand[[#This Row],[received]]</f>
        <v>511.2</v>
      </c>
      <c r="Q1783" s="7">
        <f>grand[[#This Row],[receiving weight]]/grand[[#This Row],[received]]</f>
        <v>483.13333333333333</v>
      </c>
      <c r="R1783" s="7">
        <f>grand[[#This Row],[transportation loss ]]/grand[[#This Row],[received]]</f>
        <v>28.066666666666666</v>
      </c>
      <c r="S1783" s="7">
        <f>grand[[#This Row],[ carcass weight]]/grand[[#This Row],[received]]</f>
        <v>319.73333333333335</v>
      </c>
      <c r="T1783" s="7">
        <f>grand[[#This Row],[ kidneys fat quantity]]/grand[[#This Row],[received]]</f>
        <v>0</v>
      </c>
      <c r="U1783" s="4">
        <v>25</v>
      </c>
      <c r="V1783" s="4">
        <v>0</v>
      </c>
      <c r="W1783" s="4">
        <v>50</v>
      </c>
      <c r="X1783" s="4">
        <v>10</v>
      </c>
      <c r="Y1783" s="8">
        <v>8.5</v>
      </c>
      <c r="Z1783" s="3">
        <f>grand[[#This Row],[av. Transportation loss]]/grand[[#This Row],[av.total weight]]</f>
        <v>5.4903495044340118E-2</v>
      </c>
      <c r="AA1783" s="12">
        <f>AVERAGE((grand[[#This Row],[am]]/25),(grand[[#This Row],[pm]]/50))</f>
        <v>1</v>
      </c>
      <c r="AB1783" s="3">
        <f>grand[[#This Row],[ carcass weight]]/grand[[#This Row],[total weight]]</f>
        <v>0.62545644235785081</v>
      </c>
      <c r="AC1783" s="6">
        <f>SUM(grand[[#This Row],[am]:[meat transportation]])/100</f>
        <v>0.93500000000000005</v>
      </c>
      <c r="AD1783" s="9"/>
      <c r="AE1783" s="4"/>
      <c r="AF1783" s="4"/>
      <c r="AG1783" s="4"/>
      <c r="AH1783" s="4"/>
      <c r="AI1783" s="4"/>
      <c r="AJ1783" s="2"/>
      <c r="AK1783" s="4"/>
      <c r="AL1783" s="2">
        <v>568</v>
      </c>
    </row>
    <row r="1784" spans="1:38" hidden="1" x14ac:dyDescent="0.2">
      <c r="A1784" s="11">
        <v>44105</v>
      </c>
      <c r="B1784" s="53" t="s">
        <v>2557</v>
      </c>
      <c r="C1784" s="52" t="str">
        <f>IF(MID(B1784,4,2)="09","Ramadan",IF(AND(MID(B1784,4,2)="12",VALUE(LEFT(B1784,2))&lt;=9),"Adha Season","Normal"))</f>
        <v>Normal</v>
      </c>
      <c r="D1784" s="1" t="s">
        <v>45</v>
      </c>
      <c r="F1784" s="4" t="s">
        <v>46</v>
      </c>
      <c r="G1784" s="4">
        <v>40</v>
      </c>
      <c r="H1784" s="4">
        <v>39</v>
      </c>
      <c r="I1784" s="2">
        <f>grand[[#This Row],[number]]-grand[[#This Row],[received]]</f>
        <v>1</v>
      </c>
      <c r="J1784" s="30" t="s">
        <v>112</v>
      </c>
      <c r="K1784" s="4">
        <v>19949</v>
      </c>
      <c r="L1784" s="4">
        <v>18635</v>
      </c>
      <c r="M1784" s="2">
        <f>K1784-L1784</f>
        <v>1314</v>
      </c>
      <c r="N1784" s="4">
        <v>11968.7</v>
      </c>
      <c r="O1784" s="4"/>
      <c r="P1784" s="7">
        <f>grand[[#This Row],[total weight]]/grand[[#This Row],[received]]</f>
        <v>511.5128205128205</v>
      </c>
      <c r="Q1784" s="7">
        <f>grand[[#This Row],[receiving weight]]/grand[[#This Row],[received]]</f>
        <v>477.82051282051282</v>
      </c>
      <c r="R1784" s="7">
        <f>grand[[#This Row],[transportation loss ]]/grand[[#This Row],[received]]</f>
        <v>33.692307692307693</v>
      </c>
      <c r="S1784" s="7">
        <f>grand[[#This Row],[ carcass weight]]/grand[[#This Row],[received]]</f>
        <v>306.8897435897436</v>
      </c>
      <c r="T1784" s="7">
        <f>grand[[#This Row],[ kidneys fat quantity]]/grand[[#This Row],[received]]</f>
        <v>0</v>
      </c>
      <c r="U1784" s="4">
        <v>24.6</v>
      </c>
      <c r="V1784" s="4">
        <v>0</v>
      </c>
      <c r="W1784" s="4">
        <v>49.4</v>
      </c>
      <c r="X1784" s="4">
        <v>10</v>
      </c>
      <c r="Y1784" s="8">
        <v>8.5</v>
      </c>
      <c r="Z1784" s="3">
        <f>grand[[#This Row],[av. Transportation loss]]/grand[[#This Row],[av.total weight]]</f>
        <v>6.586796330643141E-2</v>
      </c>
      <c r="AA1784" s="12">
        <f>AVERAGE((grand[[#This Row],[am]]/25),(grand[[#This Row],[pm]]/50))</f>
        <v>0.98599999999999999</v>
      </c>
      <c r="AB1784" s="3">
        <f>grand[[#This Row],[ carcass weight]]/grand[[#This Row],[total weight]]</f>
        <v>0.59996491052183065</v>
      </c>
      <c r="AC1784" s="6">
        <f>SUM(grand[[#This Row],[am]:[meat transportation]])/100</f>
        <v>0.92500000000000004</v>
      </c>
      <c r="AD1784" s="9" t="s">
        <v>89</v>
      </c>
      <c r="AE1784" s="4">
        <v>4</v>
      </c>
      <c r="AF1784" s="4" t="s">
        <v>209</v>
      </c>
      <c r="AG1784" s="4"/>
      <c r="AH1784" s="4"/>
      <c r="AI1784" s="4"/>
      <c r="AJ1784" s="2"/>
      <c r="AK1784" s="4"/>
      <c r="AL1784" s="2">
        <f>515+8</f>
        <v>523</v>
      </c>
    </row>
    <row r="1785" spans="1:38" hidden="1" x14ac:dyDescent="0.2">
      <c r="A1785" s="11">
        <v>44108</v>
      </c>
      <c r="B1785" s="53" t="s">
        <v>1517</v>
      </c>
      <c r="C1785" s="52" t="str">
        <f>IF(MID(B1785,4,2)="09","Ramadan",IF(AND(MID(B1785,4,2)="12",VALUE(LEFT(B1785,2))&lt;=9),"Adha Season","Normal"))</f>
        <v>Normal</v>
      </c>
      <c r="D1785" s="1" t="s">
        <v>45</v>
      </c>
      <c r="F1785" s="4" t="s">
        <v>50</v>
      </c>
      <c r="G1785" s="4">
        <v>42</v>
      </c>
      <c r="H1785" s="4">
        <v>41</v>
      </c>
      <c r="I1785" s="2">
        <f>grand[[#This Row],[number]]-grand[[#This Row],[received]]</f>
        <v>1</v>
      </c>
      <c r="J1785" s="30" t="s">
        <v>123</v>
      </c>
      <c r="K1785" s="4">
        <v>17528</v>
      </c>
      <c r="L1785" s="4">
        <v>16369</v>
      </c>
      <c r="M1785" s="2">
        <f>K1785-L1785</f>
        <v>1159</v>
      </c>
      <c r="N1785" s="4">
        <v>10742</v>
      </c>
      <c r="O1785" s="4"/>
      <c r="P1785" s="7">
        <f>grand[[#This Row],[total weight]]/grand[[#This Row],[received]]</f>
        <v>427.51219512195121</v>
      </c>
      <c r="Q1785" s="7">
        <f>grand[[#This Row],[receiving weight]]/grand[[#This Row],[received]]</f>
        <v>399.2439024390244</v>
      </c>
      <c r="R1785" s="7">
        <f>grand[[#This Row],[transportation loss ]]/grand[[#This Row],[received]]</f>
        <v>28.26829268292683</v>
      </c>
      <c r="S1785" s="7">
        <f>grand[[#This Row],[ carcass weight]]/grand[[#This Row],[received]]</f>
        <v>262</v>
      </c>
      <c r="T1785" s="7">
        <f>grand[[#This Row],[ kidneys fat quantity]]/grand[[#This Row],[received]]</f>
        <v>0</v>
      </c>
      <c r="U1785" s="4">
        <v>25</v>
      </c>
      <c r="V1785" s="4">
        <v>0</v>
      </c>
      <c r="W1785" s="4">
        <v>49.3</v>
      </c>
      <c r="X1785" s="4">
        <v>10</v>
      </c>
      <c r="Y1785" s="8">
        <v>8.5</v>
      </c>
      <c r="Z1785" s="3">
        <f>grand[[#This Row],[av. Transportation loss]]/grand[[#This Row],[av.total weight]]</f>
        <v>6.6122774988589691E-2</v>
      </c>
      <c r="AA1785" s="12">
        <f>AVERAGE((grand[[#This Row],[am]]/25),(grand[[#This Row],[pm]]/50))</f>
        <v>0.99299999999999999</v>
      </c>
      <c r="AB1785" s="3">
        <f>grand[[#This Row],[ carcass weight]]/grand[[#This Row],[total weight]]</f>
        <v>0.61284801460520311</v>
      </c>
      <c r="AC1785" s="6">
        <f>SUM(grand[[#This Row],[am]:[meat transportation]])/100</f>
        <v>0.92799999999999994</v>
      </c>
      <c r="AD1785" s="9" t="s">
        <v>192</v>
      </c>
      <c r="AE1785" s="4">
        <v>2</v>
      </c>
      <c r="AF1785" s="4" t="s">
        <v>211</v>
      </c>
      <c r="AG1785" s="4"/>
      <c r="AH1785" s="4"/>
      <c r="AI1785" s="4"/>
      <c r="AJ1785" s="2"/>
      <c r="AK1785" s="4"/>
      <c r="AL1785" s="2">
        <f>380+14</f>
        <v>394</v>
      </c>
    </row>
    <row r="1786" spans="1:38" hidden="1" x14ac:dyDescent="0.2">
      <c r="A1786" s="11">
        <v>44115</v>
      </c>
      <c r="B1786" s="53" t="s">
        <v>1518</v>
      </c>
      <c r="C1786" s="52" t="str">
        <f>IF(MID(B1786,4,2)="09","Ramadan",IF(AND(MID(B1786,4,2)="12",VALUE(LEFT(B1786,2))&lt;=9),"Adha Season","Normal"))</f>
        <v>Normal</v>
      </c>
      <c r="D1786" s="1" t="s">
        <v>45</v>
      </c>
      <c r="F1786" s="4" t="s">
        <v>50</v>
      </c>
      <c r="G1786" s="4">
        <v>40</v>
      </c>
      <c r="H1786" s="4">
        <v>39</v>
      </c>
      <c r="I1786" s="2">
        <f>grand[[#This Row],[number]]-grand[[#This Row],[received]]</f>
        <v>1</v>
      </c>
      <c r="J1786" s="30" t="s">
        <v>112</v>
      </c>
      <c r="K1786" s="4">
        <v>17782</v>
      </c>
      <c r="L1786" s="4">
        <v>16355</v>
      </c>
      <c r="M1786" s="2">
        <f>K1786-L1786</f>
        <v>1427</v>
      </c>
      <c r="N1786" s="4">
        <v>10815.7</v>
      </c>
      <c r="O1786" s="4"/>
      <c r="P1786" s="7">
        <f>grand[[#This Row],[total weight]]/grand[[#This Row],[received]]</f>
        <v>455.94871794871796</v>
      </c>
      <c r="Q1786" s="7">
        <f>grand[[#This Row],[receiving weight]]/grand[[#This Row],[received]]</f>
        <v>419.35897435897436</v>
      </c>
      <c r="R1786" s="7">
        <f>grand[[#This Row],[transportation loss ]]/grand[[#This Row],[received]]</f>
        <v>36.589743589743591</v>
      </c>
      <c r="S1786" s="7">
        <f>grand[[#This Row],[ carcass weight]]/grand[[#This Row],[received]]</f>
        <v>277.32564102564106</v>
      </c>
      <c r="T1786" s="7">
        <f>grand[[#This Row],[ kidneys fat quantity]]/grand[[#This Row],[received]]</f>
        <v>0</v>
      </c>
      <c r="U1786" s="4">
        <v>25</v>
      </c>
      <c r="V1786" s="4">
        <v>0</v>
      </c>
      <c r="W1786" s="4">
        <v>49.6</v>
      </c>
      <c r="X1786" s="4">
        <v>10</v>
      </c>
      <c r="Y1786" s="8">
        <v>8.5</v>
      </c>
      <c r="Z1786" s="3">
        <f>grand[[#This Row],[av. Transportation loss]]/grand[[#This Row],[av.total weight]]</f>
        <v>8.0249690698459122E-2</v>
      </c>
      <c r="AA1786" s="12">
        <f>AVERAGE((grand[[#This Row],[am]]/25),(grand[[#This Row],[pm]]/50))</f>
        <v>0.996</v>
      </c>
      <c r="AB1786" s="3">
        <f>grand[[#This Row],[ carcass weight]]/grand[[#This Row],[total weight]]</f>
        <v>0.60823866831627493</v>
      </c>
      <c r="AC1786" s="6">
        <f>SUM(grand[[#This Row],[am]:[meat transportation]])/100</f>
        <v>0.93099999999999994</v>
      </c>
      <c r="AD1786" s="9" t="s">
        <v>215</v>
      </c>
      <c r="AE1786" s="4"/>
      <c r="AF1786" s="4"/>
      <c r="AG1786" s="4"/>
      <c r="AH1786" s="4"/>
      <c r="AI1786" s="4"/>
      <c r="AJ1786" s="2"/>
      <c r="AK1786" s="4"/>
      <c r="AL1786" s="2">
        <f>455+9</f>
        <v>464</v>
      </c>
    </row>
    <row r="1787" spans="1:38" hidden="1" x14ac:dyDescent="0.2">
      <c r="A1787" s="11">
        <v>44119</v>
      </c>
      <c r="B1787" s="53" t="s">
        <v>2563</v>
      </c>
      <c r="C1787" s="52" t="str">
        <f>IF(MID(B1787,4,2)="09","Ramadan",IF(AND(MID(B1787,4,2)="12",VALUE(LEFT(B1787,2))&lt;=9),"Adha Season","Normal"))</f>
        <v>Normal</v>
      </c>
      <c r="D1787" s="1" t="s">
        <v>45</v>
      </c>
      <c r="F1787" s="4" t="s">
        <v>46</v>
      </c>
      <c r="G1787" s="4">
        <v>35</v>
      </c>
      <c r="H1787" s="4">
        <v>34</v>
      </c>
      <c r="I1787" s="2">
        <f>grand[[#This Row],[number]]-grand[[#This Row],[received]]</f>
        <v>1</v>
      </c>
      <c r="J1787" s="30" t="s">
        <v>112</v>
      </c>
      <c r="K1787" s="4">
        <v>16844</v>
      </c>
      <c r="L1787" s="4">
        <v>15749</v>
      </c>
      <c r="M1787" s="2">
        <f>K1787-L1787</f>
        <v>1095</v>
      </c>
      <c r="N1787" s="4">
        <v>10106.200000000001</v>
      </c>
      <c r="O1787" s="4"/>
      <c r="P1787" s="7">
        <f>grand[[#This Row],[total weight]]/grand[[#This Row],[received]]</f>
        <v>495.41176470588238</v>
      </c>
      <c r="Q1787" s="7">
        <f>grand[[#This Row],[receiving weight]]/grand[[#This Row],[received]]</f>
        <v>463.20588235294116</v>
      </c>
      <c r="R1787" s="7">
        <f>grand[[#This Row],[transportation loss ]]/grand[[#This Row],[received]]</f>
        <v>32.205882352941174</v>
      </c>
      <c r="S1787" s="7">
        <f>grand[[#This Row],[ carcass weight]]/grand[[#This Row],[received]]</f>
        <v>297.24117647058824</v>
      </c>
      <c r="T1787" s="7">
        <f>grand[[#This Row],[ kidneys fat quantity]]/grand[[#This Row],[received]]</f>
        <v>0</v>
      </c>
      <c r="U1787" s="4">
        <v>24.5</v>
      </c>
      <c r="V1787" s="4">
        <v>0</v>
      </c>
      <c r="W1787" s="4">
        <v>49.6</v>
      </c>
      <c r="X1787" s="4">
        <v>10</v>
      </c>
      <c r="Y1787" s="8">
        <v>8.5</v>
      </c>
      <c r="Z1787" s="3">
        <f>grand[[#This Row],[av. Transportation loss]]/grand[[#This Row],[av.total weight]]</f>
        <v>6.5008311564948934E-2</v>
      </c>
      <c r="AA1787" s="12">
        <f>AVERAGE((grand[[#This Row],[am]]/25),(grand[[#This Row],[pm]]/50))</f>
        <v>0.98599999999999999</v>
      </c>
      <c r="AB1787" s="3">
        <f>grand[[#This Row],[ carcass weight]]/grand[[#This Row],[total weight]]</f>
        <v>0.59998812633578724</v>
      </c>
      <c r="AC1787" s="6">
        <f>SUM(grand[[#This Row],[am]:[meat transportation]])/100</f>
        <v>0.92599999999999993</v>
      </c>
      <c r="AD1787" s="9" t="s">
        <v>81</v>
      </c>
      <c r="AE1787" s="4">
        <v>2</v>
      </c>
      <c r="AF1787" s="4"/>
      <c r="AG1787" s="4"/>
      <c r="AH1787" s="4"/>
      <c r="AI1787" s="4"/>
      <c r="AJ1787" s="2"/>
      <c r="AK1787" s="4"/>
      <c r="AL1787" s="2">
        <f>511+11</f>
        <v>522</v>
      </c>
    </row>
    <row r="1788" spans="1:38" hidden="1" x14ac:dyDescent="0.2">
      <c r="A1788" s="11">
        <v>44126</v>
      </c>
      <c r="B1788" s="53" t="s">
        <v>2566</v>
      </c>
      <c r="C1788" s="52" t="str">
        <f>IF(MID(B1788,4,2)="09","Ramadan",IF(AND(MID(B1788,4,2)="12",VALUE(LEFT(B1788,2))&lt;=9),"Adha Season","Normal"))</f>
        <v>Normal</v>
      </c>
      <c r="D1788" s="1" t="s">
        <v>45</v>
      </c>
      <c r="F1788" s="4" t="s">
        <v>46</v>
      </c>
      <c r="G1788" s="4">
        <v>40</v>
      </c>
      <c r="H1788" s="4">
        <v>39</v>
      </c>
      <c r="I1788" s="2">
        <f>grand[[#This Row],[number]]-grand[[#This Row],[received]]</f>
        <v>1</v>
      </c>
      <c r="J1788" s="30" t="s">
        <v>222</v>
      </c>
      <c r="K1788" s="4">
        <v>19298.5</v>
      </c>
      <c r="L1788" s="4">
        <v>18238.5</v>
      </c>
      <c r="M1788" s="2">
        <f>K1788-L1788</f>
        <v>1060</v>
      </c>
      <c r="N1788" s="4">
        <v>11626.7</v>
      </c>
      <c r="O1788" s="4"/>
      <c r="P1788" s="7">
        <f>grand[[#This Row],[total weight]]/grand[[#This Row],[received]]</f>
        <v>494.83333333333331</v>
      </c>
      <c r="Q1788" s="7">
        <f>grand[[#This Row],[receiving weight]]/grand[[#This Row],[received]]</f>
        <v>467.65384615384613</v>
      </c>
      <c r="R1788" s="7">
        <f>grand[[#This Row],[transportation loss ]]/grand[[#This Row],[received]]</f>
        <v>27.179487179487179</v>
      </c>
      <c r="S1788" s="7">
        <f>grand[[#This Row],[ carcass weight]]/grand[[#This Row],[received]]</f>
        <v>298.12051282051283</v>
      </c>
      <c r="T1788" s="7">
        <f>grand[[#This Row],[ kidneys fat quantity]]/grand[[#This Row],[received]]</f>
        <v>0</v>
      </c>
      <c r="U1788" s="4">
        <v>24.7</v>
      </c>
      <c r="V1788" s="4">
        <v>0</v>
      </c>
      <c r="W1788" s="4">
        <v>49.6</v>
      </c>
      <c r="X1788" s="4">
        <v>10</v>
      </c>
      <c r="Y1788" s="8">
        <v>8.5</v>
      </c>
      <c r="Z1788" s="3">
        <f>grand[[#This Row],[av. Transportation loss]]/grand[[#This Row],[av.total weight]]</f>
        <v>5.4926548695494466E-2</v>
      </c>
      <c r="AA1788" s="12">
        <f>AVERAGE((grand[[#This Row],[am]]/25),(grand[[#This Row],[pm]]/50))</f>
        <v>0.99</v>
      </c>
      <c r="AB1788" s="3">
        <f>grand[[#This Row],[ carcass weight]]/grand[[#This Row],[total weight]]</f>
        <v>0.6024665129414204</v>
      </c>
      <c r="AC1788" s="6">
        <f>SUM(grand[[#This Row],[am]:[meat transportation]])/100</f>
        <v>0.92799999999999994</v>
      </c>
      <c r="AD1788" s="9" t="s">
        <v>223</v>
      </c>
      <c r="AE1788" s="4"/>
      <c r="AF1788" s="4" t="s">
        <v>69</v>
      </c>
      <c r="AG1788" s="4"/>
      <c r="AH1788" s="4"/>
      <c r="AI1788" s="4"/>
      <c r="AJ1788" s="2"/>
      <c r="AK1788" s="4"/>
      <c r="AL1788" s="2">
        <f>671.5+59+2</f>
        <v>732.5</v>
      </c>
    </row>
    <row r="1789" spans="1:38" hidden="1" x14ac:dyDescent="0.2">
      <c r="A1789" s="11">
        <v>44135</v>
      </c>
      <c r="B1789" s="53" t="s">
        <v>2570</v>
      </c>
      <c r="C1789" s="52" t="str">
        <f>IF(MID(B1789,4,2)="09","Ramadan",IF(AND(MID(B1789,4,2)="12",VALUE(LEFT(B1789,2))&lt;=9),"Adha Season","Normal"))</f>
        <v>Normal</v>
      </c>
      <c r="D1789" s="1" t="s">
        <v>45</v>
      </c>
      <c r="F1789" s="4" t="s">
        <v>165</v>
      </c>
      <c r="G1789" s="4">
        <v>30</v>
      </c>
      <c r="H1789" s="4">
        <v>29</v>
      </c>
      <c r="I1789" s="2">
        <f>grand[[#This Row],[number]]-grand[[#This Row],[received]]</f>
        <v>1</v>
      </c>
      <c r="J1789" s="30" t="s">
        <v>222</v>
      </c>
      <c r="K1789" s="4">
        <v>13942</v>
      </c>
      <c r="L1789" s="4">
        <v>13614</v>
      </c>
      <c r="M1789" s="2">
        <f>K1789-L1789</f>
        <v>328</v>
      </c>
      <c r="N1789" s="4">
        <v>8684.9</v>
      </c>
      <c r="O1789" s="4"/>
      <c r="P1789" s="7">
        <f>grand[[#This Row],[total weight]]/grand[[#This Row],[received]]</f>
        <v>480.75862068965517</v>
      </c>
      <c r="Q1789" s="7">
        <f>grand[[#This Row],[receiving weight]]/grand[[#This Row],[received]]</f>
        <v>469.44827586206895</v>
      </c>
      <c r="R1789" s="7">
        <f>grand[[#This Row],[transportation loss ]]/grand[[#This Row],[received]]</f>
        <v>11.310344827586206</v>
      </c>
      <c r="S1789" s="7">
        <f>grand[[#This Row],[ carcass weight]]/grand[[#This Row],[received]]</f>
        <v>299.47931034482758</v>
      </c>
      <c r="T1789" s="7">
        <f>grand[[#This Row],[ kidneys fat quantity]]/grand[[#This Row],[received]]</f>
        <v>0</v>
      </c>
      <c r="U1789" s="4">
        <v>25</v>
      </c>
      <c r="V1789" s="4">
        <v>0</v>
      </c>
      <c r="W1789" s="4">
        <v>49.5</v>
      </c>
      <c r="X1789" s="4">
        <v>10</v>
      </c>
      <c r="Y1789" s="8">
        <v>8.5</v>
      </c>
      <c r="Z1789" s="3">
        <f>grand[[#This Row],[av. Transportation loss]]/grand[[#This Row],[av.total weight]]</f>
        <v>2.3526036436666186E-2</v>
      </c>
      <c r="AA1789" s="12">
        <f>AVERAGE((grand[[#This Row],[am]]/25),(grand[[#This Row],[pm]]/50))</f>
        <v>0.995</v>
      </c>
      <c r="AB1789" s="3">
        <f>grand[[#This Row],[ carcass weight]]/grand[[#This Row],[total weight]]</f>
        <v>0.6229307129536652</v>
      </c>
      <c r="AC1789" s="6">
        <f>SUM(grand[[#This Row],[am]:[meat transportation]])/100</f>
        <v>0.93</v>
      </c>
      <c r="AD1789" s="9" t="s">
        <v>94</v>
      </c>
      <c r="AE1789" s="4">
        <v>1</v>
      </c>
      <c r="AF1789" s="4" t="s">
        <v>226</v>
      </c>
      <c r="AG1789" s="4"/>
      <c r="AH1789" s="4"/>
      <c r="AI1789" s="4"/>
      <c r="AJ1789" s="2"/>
      <c r="AK1789" s="4"/>
      <c r="AL1789" s="2">
        <f>5+526</f>
        <v>531</v>
      </c>
    </row>
    <row r="1790" spans="1:38" hidden="1" x14ac:dyDescent="0.2">
      <c r="A1790" s="11">
        <v>44136</v>
      </c>
      <c r="B1790" s="53" t="s">
        <v>1521</v>
      </c>
      <c r="C1790" s="52" t="str">
        <f>IF(MID(B1790,4,2)="09","Ramadan",IF(AND(MID(B1790,4,2)="12",VALUE(LEFT(B1790,2))&lt;=9),"Adha Season","Normal"))</f>
        <v>Normal</v>
      </c>
      <c r="D1790" s="1" t="s">
        <v>45</v>
      </c>
      <c r="F1790" s="4" t="s">
        <v>50</v>
      </c>
      <c r="G1790" s="4">
        <v>44</v>
      </c>
      <c r="H1790" s="4">
        <v>43</v>
      </c>
      <c r="I1790" s="2">
        <f>grand[[#This Row],[number]]-grand[[#This Row],[received]]</f>
        <v>1</v>
      </c>
      <c r="J1790" s="30" t="s">
        <v>112</v>
      </c>
      <c r="K1790" s="4">
        <v>18393</v>
      </c>
      <c r="L1790" s="4">
        <v>16996</v>
      </c>
      <c r="M1790" s="2">
        <f>K1790-L1790</f>
        <v>1397</v>
      </c>
      <c r="N1790" s="4">
        <v>11172.9</v>
      </c>
      <c r="O1790" s="4"/>
      <c r="P1790" s="7">
        <f>grand[[#This Row],[total weight]]/grand[[#This Row],[received]]</f>
        <v>427.74418604651163</v>
      </c>
      <c r="Q1790" s="7">
        <f>grand[[#This Row],[receiving weight]]/grand[[#This Row],[received]]</f>
        <v>395.25581395348837</v>
      </c>
      <c r="R1790" s="7">
        <f>grand[[#This Row],[transportation loss ]]/grand[[#This Row],[received]]</f>
        <v>32.488372093023258</v>
      </c>
      <c r="S1790" s="7">
        <f>grand[[#This Row],[ carcass weight]]/grand[[#This Row],[received]]</f>
        <v>259.83488372093024</v>
      </c>
      <c r="T1790" s="7">
        <f>grand[[#This Row],[ kidneys fat quantity]]/grand[[#This Row],[received]]</f>
        <v>0</v>
      </c>
      <c r="U1790" s="4">
        <v>25</v>
      </c>
      <c r="V1790" s="4">
        <v>0</v>
      </c>
      <c r="W1790" s="4">
        <v>49.7</v>
      </c>
      <c r="X1790" s="4">
        <v>10</v>
      </c>
      <c r="Y1790" s="8">
        <v>8.5</v>
      </c>
      <c r="Z1790" s="3">
        <f>grand[[#This Row],[av. Transportation loss]]/grand[[#This Row],[av.total weight]]</f>
        <v>7.5952808133529059E-2</v>
      </c>
      <c r="AA1790" s="12">
        <f>AVERAGE((grand[[#This Row],[am]]/25),(grand[[#This Row],[pm]]/50))</f>
        <v>0.99700000000000011</v>
      </c>
      <c r="AB1790" s="3">
        <f>grand[[#This Row],[ carcass weight]]/grand[[#This Row],[total weight]]</f>
        <v>0.60745392268797915</v>
      </c>
      <c r="AC1790" s="6">
        <f>SUM(grand[[#This Row],[am]:[meat transportation]])/100</f>
        <v>0.93200000000000005</v>
      </c>
      <c r="AD1790" s="9" t="s">
        <v>81</v>
      </c>
      <c r="AE1790" s="4">
        <v>1</v>
      </c>
      <c r="AF1790" s="4" t="s">
        <v>55</v>
      </c>
      <c r="AG1790" s="4"/>
      <c r="AH1790" s="4"/>
      <c r="AI1790" s="4"/>
      <c r="AJ1790" s="2"/>
      <c r="AK1790" s="4"/>
      <c r="AL1790" s="2">
        <f>454+7.5</f>
        <v>461.5</v>
      </c>
    </row>
    <row r="1791" spans="1:38" hidden="1" x14ac:dyDescent="0.2">
      <c r="A1791" s="11">
        <v>44143</v>
      </c>
      <c r="B1791" s="53" t="s">
        <v>1522</v>
      </c>
      <c r="C1791" s="52" t="str">
        <f>IF(MID(B1791,4,2)="09","Ramadan",IF(AND(MID(B1791,4,2)="12",VALUE(LEFT(B1791,2))&lt;=9),"Adha Season","Normal"))</f>
        <v>Normal</v>
      </c>
      <c r="D1791" s="1" t="s">
        <v>45</v>
      </c>
      <c r="F1791" s="4" t="s">
        <v>50</v>
      </c>
      <c r="G1791" s="4">
        <v>42</v>
      </c>
      <c r="H1791" s="4">
        <v>41</v>
      </c>
      <c r="I1791" s="2">
        <f>grand[[#This Row],[number]]-grand[[#This Row],[received]]</f>
        <v>1</v>
      </c>
      <c r="J1791" s="30" t="s">
        <v>123</v>
      </c>
      <c r="K1791" s="4">
        <v>17862</v>
      </c>
      <c r="L1791" s="4">
        <v>16606</v>
      </c>
      <c r="M1791" s="2">
        <f>K1791-L1791</f>
        <v>1256</v>
      </c>
      <c r="N1791" s="4">
        <v>10863.6</v>
      </c>
      <c r="O1791" s="4"/>
      <c r="P1791" s="7">
        <f>grand[[#This Row],[total weight]]/grand[[#This Row],[received]]</f>
        <v>435.65853658536588</v>
      </c>
      <c r="Q1791" s="7">
        <f>grand[[#This Row],[receiving weight]]/grand[[#This Row],[received]]</f>
        <v>405.02439024390242</v>
      </c>
      <c r="R1791" s="7">
        <f>grand[[#This Row],[transportation loss ]]/grand[[#This Row],[received]]</f>
        <v>30.634146341463413</v>
      </c>
      <c r="S1791" s="7">
        <f>grand[[#This Row],[ carcass weight]]/grand[[#This Row],[received]]</f>
        <v>264.96585365853662</v>
      </c>
      <c r="T1791" s="7">
        <f>grand[[#This Row],[ kidneys fat quantity]]/grand[[#This Row],[received]]</f>
        <v>0</v>
      </c>
      <c r="U1791" s="4">
        <v>25</v>
      </c>
      <c r="V1791" s="4">
        <v>0</v>
      </c>
      <c r="W1791" s="4">
        <v>49.95</v>
      </c>
      <c r="X1791" s="4">
        <v>10</v>
      </c>
      <c r="Y1791" s="8">
        <v>8.5</v>
      </c>
      <c r="Z1791" s="3">
        <f>grand[[#This Row],[av. Transportation loss]]/grand[[#This Row],[av.total weight]]</f>
        <v>7.0316873810323588E-2</v>
      </c>
      <c r="AA1791" s="12">
        <f>AVERAGE((grand[[#This Row],[am]]/25),(grand[[#This Row],[pm]]/50))</f>
        <v>0.99950000000000006</v>
      </c>
      <c r="AB1791" s="3">
        <f>grand[[#This Row],[ carcass weight]]/grand[[#This Row],[total weight]]</f>
        <v>0.60819617064158549</v>
      </c>
      <c r="AC1791" s="6">
        <f>SUM(grand[[#This Row],[am]:[meat transportation]])/100</f>
        <v>0.9345</v>
      </c>
      <c r="AD1791" s="9"/>
      <c r="AE1791" s="4"/>
      <c r="AF1791" s="4" t="s">
        <v>55</v>
      </c>
      <c r="AG1791" s="4"/>
      <c r="AH1791" s="4"/>
      <c r="AI1791" s="4"/>
      <c r="AJ1791" s="2"/>
      <c r="AK1791" s="4"/>
      <c r="AL1791" s="2">
        <v>479</v>
      </c>
    </row>
    <row r="1792" spans="1:38" hidden="1" x14ac:dyDescent="0.2">
      <c r="A1792" s="11">
        <v>44147</v>
      </c>
      <c r="B1792" s="53" t="s">
        <v>2575</v>
      </c>
      <c r="C1792" s="52" t="str">
        <f>IF(MID(B1792,4,2)="09","Ramadan",IF(AND(MID(B1792,4,2)="12",VALUE(LEFT(B1792,2))&lt;=9),"Adha Season","Normal"))</f>
        <v>Normal</v>
      </c>
      <c r="D1792" s="1" t="s">
        <v>45</v>
      </c>
      <c r="F1792" s="4" t="s">
        <v>46</v>
      </c>
      <c r="G1792" s="4">
        <v>44</v>
      </c>
      <c r="H1792" s="4">
        <v>43</v>
      </c>
      <c r="I1792" s="2">
        <f>grand[[#This Row],[number]]-grand[[#This Row],[received]]</f>
        <v>1</v>
      </c>
      <c r="J1792" s="30" t="s">
        <v>112</v>
      </c>
      <c r="K1792" s="4">
        <v>20438</v>
      </c>
      <c r="L1792" s="4">
        <v>19785</v>
      </c>
      <c r="M1792" s="2">
        <f>K1792-L1792</f>
        <v>653</v>
      </c>
      <c r="N1792" s="4">
        <v>12353</v>
      </c>
      <c r="O1792" s="4"/>
      <c r="P1792" s="7">
        <f>grand[[#This Row],[total weight]]/grand[[#This Row],[received]]</f>
        <v>475.30232558139534</v>
      </c>
      <c r="Q1792" s="7">
        <f>grand[[#This Row],[receiving weight]]/grand[[#This Row],[received]]</f>
        <v>460.11627906976742</v>
      </c>
      <c r="R1792" s="7">
        <f>grand[[#This Row],[transportation loss ]]/grand[[#This Row],[received]]</f>
        <v>15.186046511627907</v>
      </c>
      <c r="S1792" s="7">
        <f>grand[[#This Row],[ carcass weight]]/grand[[#This Row],[received]]</f>
        <v>287.27906976744185</v>
      </c>
      <c r="T1792" s="7">
        <f>grand[[#This Row],[ kidneys fat quantity]]/grand[[#This Row],[received]]</f>
        <v>0</v>
      </c>
      <c r="U1792" s="4">
        <v>25</v>
      </c>
      <c r="V1792" s="4">
        <v>0</v>
      </c>
      <c r="W1792" s="4">
        <v>49.91</v>
      </c>
      <c r="X1792" s="4">
        <v>10</v>
      </c>
      <c r="Y1792" s="8">
        <v>8.5</v>
      </c>
      <c r="Z1792" s="3">
        <f>grand[[#This Row],[av. Transportation loss]]/grand[[#This Row],[av.total weight]]</f>
        <v>3.1950288677952833E-2</v>
      </c>
      <c r="AA1792" s="12">
        <f>AVERAGE((grand[[#This Row],[am]]/25),(grand[[#This Row],[pm]]/50))</f>
        <v>0.99909999999999999</v>
      </c>
      <c r="AB1792" s="3">
        <f>grand[[#This Row],[ carcass weight]]/grand[[#This Row],[total weight]]</f>
        <v>0.60441334768568356</v>
      </c>
      <c r="AC1792" s="6">
        <f>SUM(grand[[#This Row],[am]:[meat transportation]])/100</f>
        <v>0.93409999999999993</v>
      </c>
      <c r="AD1792" s="9" t="s">
        <v>228</v>
      </c>
      <c r="AE1792" s="4"/>
      <c r="AF1792" s="4"/>
      <c r="AG1792" s="4"/>
      <c r="AH1792" s="4"/>
      <c r="AI1792" s="4"/>
      <c r="AJ1792" s="2"/>
      <c r="AK1792" s="4"/>
      <c r="AL1792" s="2">
        <f>480+10</f>
        <v>490</v>
      </c>
    </row>
    <row r="1793" spans="1:38" hidden="1" x14ac:dyDescent="0.2">
      <c r="A1793" s="11">
        <v>44149</v>
      </c>
      <c r="B1793" s="53" t="s">
        <v>2576</v>
      </c>
      <c r="C1793" s="52" t="str">
        <f>IF(MID(B1793,4,2)="09","Ramadan",IF(AND(MID(B1793,4,2)="12",VALUE(LEFT(B1793,2))&lt;=9),"Adha Season","Normal"))</f>
        <v>Normal</v>
      </c>
      <c r="D1793" s="1" t="s">
        <v>45</v>
      </c>
      <c r="F1793" s="4" t="s">
        <v>165</v>
      </c>
      <c r="G1793" s="4">
        <v>27</v>
      </c>
      <c r="H1793" s="4">
        <v>26</v>
      </c>
      <c r="I1793" s="2">
        <f>grand[[#This Row],[number]]-grand[[#This Row],[received]]</f>
        <v>1</v>
      </c>
      <c r="J1793" s="30" t="s">
        <v>229</v>
      </c>
      <c r="K1793" s="4">
        <v>12108</v>
      </c>
      <c r="L1793" s="4">
        <v>11870</v>
      </c>
      <c r="M1793" s="2">
        <f>K1793-L1793</f>
        <v>238</v>
      </c>
      <c r="N1793" s="4">
        <v>7454.8</v>
      </c>
      <c r="O1793" s="4"/>
      <c r="P1793" s="7">
        <f>grand[[#This Row],[total weight]]/grand[[#This Row],[received]]</f>
        <v>465.69230769230768</v>
      </c>
      <c r="Q1793" s="7">
        <f>grand[[#This Row],[receiving weight]]/grand[[#This Row],[received]]</f>
        <v>456.53846153846155</v>
      </c>
      <c r="R1793" s="7">
        <f>grand[[#This Row],[transportation loss ]]/grand[[#This Row],[received]]</f>
        <v>9.1538461538461533</v>
      </c>
      <c r="S1793" s="7">
        <f>grand[[#This Row],[ carcass weight]]/grand[[#This Row],[received]]</f>
        <v>286.72307692307692</v>
      </c>
      <c r="T1793" s="7">
        <f>grand[[#This Row],[ kidneys fat quantity]]/grand[[#This Row],[received]]</f>
        <v>0</v>
      </c>
      <c r="U1793" s="4">
        <v>25</v>
      </c>
      <c r="V1793" s="4">
        <v>0</v>
      </c>
      <c r="W1793" s="4">
        <v>49.73</v>
      </c>
      <c r="X1793" s="4">
        <v>10</v>
      </c>
      <c r="Y1793" s="8">
        <v>8.5</v>
      </c>
      <c r="Z1793" s="3">
        <f>grand[[#This Row],[av. Transportation loss]]/grand[[#This Row],[av.total weight]]</f>
        <v>1.9656425503799139E-2</v>
      </c>
      <c r="AA1793" s="12">
        <f>AVERAGE((grand[[#This Row],[am]]/25),(grand[[#This Row],[pm]]/50))</f>
        <v>0.99729999999999996</v>
      </c>
      <c r="AB1793" s="3">
        <f>grand[[#This Row],[ carcass weight]]/grand[[#This Row],[total weight]]</f>
        <v>0.6156921043937893</v>
      </c>
      <c r="AC1793" s="6">
        <f>SUM(grand[[#This Row],[am]:[meat transportation]])/100</f>
        <v>0.93229999999999991</v>
      </c>
      <c r="AD1793" s="9" t="s">
        <v>117</v>
      </c>
      <c r="AE1793" s="4"/>
      <c r="AF1793" s="4"/>
      <c r="AG1793" s="4"/>
      <c r="AH1793" s="4"/>
      <c r="AI1793" s="4"/>
      <c r="AJ1793" s="2"/>
      <c r="AK1793" s="4"/>
      <c r="AL1793" s="2">
        <v>520</v>
      </c>
    </row>
    <row r="1794" spans="1:38" hidden="1" x14ac:dyDescent="0.2">
      <c r="A1794" s="11">
        <v>44152</v>
      </c>
      <c r="B1794" s="53" t="s">
        <v>2577</v>
      </c>
      <c r="C1794" s="52" t="str">
        <f>IF(MID(B1794,4,2)="09","Ramadan",IF(AND(MID(B1794,4,2)="12",VALUE(LEFT(B1794,2))&lt;=9),"Adha Season","Normal"))</f>
        <v>Normal</v>
      </c>
      <c r="D1794" s="1" t="s">
        <v>45</v>
      </c>
      <c r="F1794" s="4" t="s">
        <v>165</v>
      </c>
      <c r="G1794" s="4">
        <v>32</v>
      </c>
      <c r="H1794" s="4">
        <v>31</v>
      </c>
      <c r="I1794" s="2">
        <f>grand[[#This Row],[number]]-grand[[#This Row],[received]]</f>
        <v>1</v>
      </c>
      <c r="J1794" s="30" t="s">
        <v>112</v>
      </c>
      <c r="K1794" s="4">
        <v>14050</v>
      </c>
      <c r="L1794" s="4">
        <v>13735</v>
      </c>
      <c r="M1794" s="2">
        <f>K1794-L1794</f>
        <v>315</v>
      </c>
      <c r="N1794" s="4">
        <v>8591.7999999999993</v>
      </c>
      <c r="O1794" s="4"/>
      <c r="P1794" s="7">
        <f>grand[[#This Row],[total weight]]/grand[[#This Row],[received]]</f>
        <v>453.22580645161293</v>
      </c>
      <c r="Q1794" s="7">
        <f>grand[[#This Row],[receiving weight]]/grand[[#This Row],[received]]</f>
        <v>443.06451612903226</v>
      </c>
      <c r="R1794" s="7">
        <f>grand[[#This Row],[transportation loss ]]/grand[[#This Row],[received]]</f>
        <v>10.161290322580646</v>
      </c>
      <c r="S1794" s="7">
        <f>grand[[#This Row],[ carcass weight]]/grand[[#This Row],[received]]</f>
        <v>277.15483870967739</v>
      </c>
      <c r="T1794" s="7">
        <f>grand[[#This Row],[ kidneys fat quantity]]/grand[[#This Row],[received]]</f>
        <v>0</v>
      </c>
      <c r="U1794" s="4">
        <v>25</v>
      </c>
      <c r="V1794" s="4">
        <v>0</v>
      </c>
      <c r="W1794" s="4">
        <v>49.87</v>
      </c>
      <c r="X1794" s="4">
        <v>10</v>
      </c>
      <c r="Y1794" s="8">
        <v>8.5</v>
      </c>
      <c r="Z1794" s="3">
        <f>grand[[#This Row],[av. Transportation loss]]/grand[[#This Row],[av.total weight]]</f>
        <v>2.2419928825622777E-2</v>
      </c>
      <c r="AA1794" s="12">
        <f>AVERAGE((grand[[#This Row],[am]]/25),(grand[[#This Row],[pm]]/50))</f>
        <v>0.99869999999999992</v>
      </c>
      <c r="AB1794" s="3">
        <f>grand[[#This Row],[ carcass weight]]/grand[[#This Row],[total weight]]</f>
        <v>0.61151601423487534</v>
      </c>
      <c r="AC1794" s="6">
        <f>SUM(grand[[#This Row],[am]:[meat transportation]])/100</f>
        <v>0.93370000000000009</v>
      </c>
      <c r="AD1794" s="9"/>
      <c r="AE1794" s="4"/>
      <c r="AF1794" s="4" t="s">
        <v>216</v>
      </c>
      <c r="AG1794" s="4"/>
      <c r="AH1794" s="4"/>
      <c r="AI1794" s="4"/>
      <c r="AJ1794" s="2"/>
      <c r="AK1794" s="4"/>
      <c r="AL1794" s="2">
        <f>445+1</f>
        <v>446</v>
      </c>
    </row>
    <row r="1795" spans="1:38" hidden="1" x14ac:dyDescent="0.2">
      <c r="A1795" s="11">
        <v>44156</v>
      </c>
      <c r="B1795" s="53" t="s">
        <v>2579</v>
      </c>
      <c r="C1795" s="52" t="str">
        <f>IF(MID(B1795,4,2)="09","Ramadan",IF(AND(MID(B1795,4,2)="12",VALUE(LEFT(B1795,2))&lt;=9),"Adha Season","Normal"))</f>
        <v>Normal</v>
      </c>
      <c r="D1795" s="1" t="s">
        <v>45</v>
      </c>
      <c r="F1795" s="4" t="s">
        <v>165</v>
      </c>
      <c r="G1795" s="4">
        <v>30</v>
      </c>
      <c r="H1795" s="4">
        <v>29</v>
      </c>
      <c r="I1795" s="2">
        <f>grand[[#This Row],[number]]-grand[[#This Row],[received]]</f>
        <v>1</v>
      </c>
      <c r="J1795" s="30" t="s">
        <v>112</v>
      </c>
      <c r="K1795" s="4">
        <v>13825</v>
      </c>
      <c r="L1795" s="4">
        <v>13510</v>
      </c>
      <c r="M1795" s="2">
        <f>K1795-L1795</f>
        <v>315</v>
      </c>
      <c r="N1795" s="4">
        <v>8508.4</v>
      </c>
      <c r="O1795" s="4"/>
      <c r="P1795" s="7">
        <f>grand[[#This Row],[total weight]]/grand[[#This Row],[received]]</f>
        <v>476.72413793103448</v>
      </c>
      <c r="Q1795" s="7">
        <f>grand[[#This Row],[receiving weight]]/grand[[#This Row],[received]]</f>
        <v>465.86206896551727</v>
      </c>
      <c r="R1795" s="7">
        <f>grand[[#This Row],[transportation loss ]]/grand[[#This Row],[received]]</f>
        <v>10.862068965517242</v>
      </c>
      <c r="S1795" s="7">
        <f>grand[[#This Row],[ carcass weight]]/grand[[#This Row],[received]]</f>
        <v>293.39310344827584</v>
      </c>
      <c r="T1795" s="7">
        <f>grand[[#This Row],[ kidneys fat quantity]]/grand[[#This Row],[received]]</f>
        <v>0</v>
      </c>
      <c r="U1795" s="4">
        <v>25</v>
      </c>
      <c r="V1795" s="4">
        <v>0</v>
      </c>
      <c r="W1795" s="4">
        <v>50</v>
      </c>
      <c r="X1795" s="4">
        <v>10</v>
      </c>
      <c r="Y1795" s="8">
        <v>8.1999999999999993</v>
      </c>
      <c r="Z1795" s="3">
        <f>grand[[#This Row],[av. Transportation loss]]/grand[[#This Row],[av.total weight]]</f>
        <v>2.2784810126582278E-2</v>
      </c>
      <c r="AA1795" s="12">
        <f>AVERAGE((grand[[#This Row],[am]]/25),(grand[[#This Row],[pm]]/50))</f>
        <v>1</v>
      </c>
      <c r="AB1795" s="3">
        <f>grand[[#This Row],[ carcass weight]]/grand[[#This Row],[total weight]]</f>
        <v>0.61543580470162751</v>
      </c>
      <c r="AC1795" s="6">
        <f>SUM(grand[[#This Row],[am]:[meat transportation]])/100</f>
        <v>0.93200000000000005</v>
      </c>
      <c r="AD1795" s="9"/>
      <c r="AE1795" s="4"/>
      <c r="AF1795" s="4" t="s">
        <v>221</v>
      </c>
      <c r="AG1795" s="4"/>
      <c r="AH1795" s="4"/>
      <c r="AI1795" s="4"/>
      <c r="AJ1795" s="2"/>
      <c r="AK1795" s="4"/>
      <c r="AL1795" s="2">
        <v>440</v>
      </c>
    </row>
    <row r="1796" spans="1:38" hidden="1" x14ac:dyDescent="0.2">
      <c r="A1796" s="11">
        <v>44157</v>
      </c>
      <c r="B1796" s="53" t="s">
        <v>1524</v>
      </c>
      <c r="C1796" s="52" t="str">
        <f>IF(MID(B1796,4,2)="09","Ramadan",IF(AND(MID(B1796,4,2)="12",VALUE(LEFT(B1796,2))&lt;=9),"Adha Season","Normal"))</f>
        <v>Normal</v>
      </c>
      <c r="D1796" s="1" t="s">
        <v>45</v>
      </c>
      <c r="F1796" s="4" t="s">
        <v>50</v>
      </c>
      <c r="G1796" s="4">
        <v>45</v>
      </c>
      <c r="H1796" s="4">
        <v>44</v>
      </c>
      <c r="I1796" s="2">
        <f>grand[[#This Row],[number]]-grand[[#This Row],[received]]</f>
        <v>1</v>
      </c>
      <c r="J1796" s="30" t="s">
        <v>112</v>
      </c>
      <c r="K1796" s="4">
        <v>19143</v>
      </c>
      <c r="L1796" s="4">
        <v>17985</v>
      </c>
      <c r="M1796" s="2">
        <f>K1796-L1796</f>
        <v>1158</v>
      </c>
      <c r="N1796" s="4">
        <v>11798.2</v>
      </c>
      <c r="O1796" s="4"/>
      <c r="P1796" s="7">
        <f>grand[[#This Row],[total weight]]/grand[[#This Row],[received]]</f>
        <v>435.06818181818181</v>
      </c>
      <c r="Q1796" s="7">
        <f>grand[[#This Row],[receiving weight]]/grand[[#This Row],[received]]</f>
        <v>408.75</v>
      </c>
      <c r="R1796" s="7">
        <f>grand[[#This Row],[transportation loss ]]/grand[[#This Row],[received]]</f>
        <v>26.318181818181817</v>
      </c>
      <c r="S1796" s="7">
        <f>grand[[#This Row],[ carcass weight]]/grand[[#This Row],[received]]</f>
        <v>268.14090909090913</v>
      </c>
      <c r="T1796" s="7">
        <f>grand[[#This Row],[ kidneys fat quantity]]/grand[[#This Row],[received]]</f>
        <v>0</v>
      </c>
      <c r="U1796" s="4">
        <v>25</v>
      </c>
      <c r="V1796" s="4">
        <v>0</v>
      </c>
      <c r="W1796" s="4">
        <v>49.55</v>
      </c>
      <c r="X1796" s="4">
        <v>10</v>
      </c>
      <c r="Y1796" s="8">
        <v>8.5</v>
      </c>
      <c r="Z1796" s="3">
        <f>grand[[#This Row],[av. Transportation loss]]/grand[[#This Row],[av.total weight]]</f>
        <v>6.0492085879956116E-2</v>
      </c>
      <c r="AA1796" s="12">
        <f>AVERAGE((grand[[#This Row],[am]]/25),(grand[[#This Row],[pm]]/50))</f>
        <v>0.99550000000000005</v>
      </c>
      <c r="AB1796" s="3">
        <f>grand[[#This Row],[ carcass weight]]/grand[[#This Row],[total weight]]</f>
        <v>0.61631928119939405</v>
      </c>
      <c r="AC1796" s="6">
        <f>SUM(grand[[#This Row],[am]:[meat transportation]])/100</f>
        <v>0.93049999999999999</v>
      </c>
      <c r="AD1796" s="9" t="s">
        <v>228</v>
      </c>
      <c r="AE1796" s="4"/>
      <c r="AF1796" s="4" t="s">
        <v>69</v>
      </c>
      <c r="AG1796" s="4"/>
      <c r="AH1796" s="4"/>
      <c r="AI1796" s="4"/>
      <c r="AJ1796" s="2"/>
      <c r="AK1796" s="4"/>
      <c r="AL1796" s="2">
        <f>465+10</f>
        <v>475</v>
      </c>
    </row>
    <row r="1797" spans="1:38" hidden="1" x14ac:dyDescent="0.2">
      <c r="A1797" s="11">
        <v>44159</v>
      </c>
      <c r="B1797" s="53" t="s">
        <v>2580</v>
      </c>
      <c r="C1797" s="52" t="str">
        <f>IF(MID(B1797,4,2)="09","Ramadan",IF(AND(MID(B1797,4,2)="12",VALUE(LEFT(B1797,2))&lt;=9),"Adha Season","Normal"))</f>
        <v>Normal</v>
      </c>
      <c r="D1797" s="1" t="s">
        <v>45</v>
      </c>
      <c r="F1797" s="4" t="s">
        <v>165</v>
      </c>
      <c r="G1797" s="4">
        <v>32</v>
      </c>
      <c r="H1797" s="4">
        <v>31</v>
      </c>
      <c r="I1797" s="2">
        <f>grand[[#This Row],[number]]-grand[[#This Row],[received]]</f>
        <v>1</v>
      </c>
      <c r="J1797" s="30" t="s">
        <v>234</v>
      </c>
      <c r="K1797" s="4">
        <v>14783</v>
      </c>
      <c r="L1797" s="4">
        <v>14508</v>
      </c>
      <c r="M1797" s="2">
        <f>K1797-L1797</f>
        <v>275</v>
      </c>
      <c r="N1797" s="4">
        <v>9192.2000000000007</v>
      </c>
      <c r="O1797" s="4"/>
      <c r="P1797" s="7">
        <f>grand[[#This Row],[total weight]]/grand[[#This Row],[received]]</f>
        <v>476.87096774193549</v>
      </c>
      <c r="Q1797" s="7">
        <f>grand[[#This Row],[receiving weight]]/grand[[#This Row],[received]]</f>
        <v>468</v>
      </c>
      <c r="R1797" s="7">
        <f>grand[[#This Row],[transportation loss ]]/grand[[#This Row],[received]]</f>
        <v>8.870967741935484</v>
      </c>
      <c r="S1797" s="7">
        <f>grand[[#This Row],[ carcass weight]]/grand[[#This Row],[received]]</f>
        <v>296.52258064516133</v>
      </c>
      <c r="T1797" s="7">
        <f>grand[[#This Row],[ kidneys fat quantity]]/grand[[#This Row],[received]]</f>
        <v>0</v>
      </c>
      <c r="U1797" s="4">
        <v>25</v>
      </c>
      <c r="V1797" s="4">
        <v>0</v>
      </c>
      <c r="W1797" s="4">
        <v>49.71</v>
      </c>
      <c r="X1797" s="4">
        <v>10</v>
      </c>
      <c r="Y1797" s="8">
        <v>8.5</v>
      </c>
      <c r="Z1797" s="3">
        <f>grand[[#This Row],[av. Transportation loss]]/grand[[#This Row],[av.total weight]]</f>
        <v>1.8602448758709329E-2</v>
      </c>
      <c r="AA1797" s="12">
        <f>AVERAGE((grand[[#This Row],[am]]/25),(grand[[#This Row],[pm]]/50))</f>
        <v>0.99709999999999999</v>
      </c>
      <c r="AB1797" s="3">
        <f>grand[[#This Row],[ carcass weight]]/grand[[#This Row],[total weight]]</f>
        <v>0.62180883447202873</v>
      </c>
      <c r="AC1797" s="6">
        <f>SUM(grand[[#This Row],[am]:[meat transportation]])/100</f>
        <v>0.93210000000000004</v>
      </c>
      <c r="AD1797" s="9"/>
      <c r="AE1797" s="4">
        <v>3</v>
      </c>
      <c r="AF1797" s="4"/>
      <c r="AG1797" s="4"/>
      <c r="AH1797" s="4"/>
      <c r="AI1797" s="4"/>
      <c r="AJ1797" s="2"/>
      <c r="AK1797" s="4"/>
      <c r="AL1797" s="2">
        <v>447</v>
      </c>
    </row>
    <row r="1798" spans="1:38" hidden="1" x14ac:dyDescent="0.2">
      <c r="A1798" s="11">
        <v>44166</v>
      </c>
      <c r="B1798" s="53" t="s">
        <v>2583</v>
      </c>
      <c r="C1798" s="52" t="str">
        <f>IF(MID(B1798,4,2)="09","Ramadan",IF(AND(MID(B1798,4,2)="12",VALUE(LEFT(B1798,2))&lt;=9),"Adha Season","Normal"))</f>
        <v>Normal</v>
      </c>
      <c r="D1798" s="1" t="s">
        <v>45</v>
      </c>
      <c r="F1798" s="4" t="s">
        <v>46</v>
      </c>
      <c r="G1798" s="4">
        <v>35</v>
      </c>
      <c r="H1798" s="4">
        <v>34</v>
      </c>
      <c r="I1798" s="2">
        <f>grand[[#This Row],[number]]-grand[[#This Row],[received]]</f>
        <v>1</v>
      </c>
      <c r="J1798" s="30" t="s">
        <v>112</v>
      </c>
      <c r="K1798" s="4">
        <v>16470</v>
      </c>
      <c r="L1798" s="4">
        <v>15780</v>
      </c>
      <c r="M1798" s="2">
        <f>K1798-L1798</f>
        <v>690</v>
      </c>
      <c r="N1798" s="4">
        <v>10097.799999999999</v>
      </c>
      <c r="O1798" s="4"/>
      <c r="P1798" s="7">
        <f>grand[[#This Row],[total weight]]/grand[[#This Row],[received]]</f>
        <v>484.41176470588238</v>
      </c>
      <c r="Q1798" s="7">
        <f>grand[[#This Row],[receiving weight]]/grand[[#This Row],[received]]</f>
        <v>464.11764705882354</v>
      </c>
      <c r="R1798" s="7">
        <f>grand[[#This Row],[transportation loss ]]/grand[[#This Row],[received]]</f>
        <v>20.294117647058822</v>
      </c>
      <c r="S1798" s="7">
        <f>grand[[#This Row],[ carcass weight]]/grand[[#This Row],[received]]</f>
        <v>296.99411764705883</v>
      </c>
      <c r="T1798" s="7">
        <f>grand[[#This Row],[ kidneys fat quantity]]/grand[[#This Row],[received]]</f>
        <v>0</v>
      </c>
      <c r="U1798" s="4">
        <v>25</v>
      </c>
      <c r="V1798" s="4">
        <v>0</v>
      </c>
      <c r="W1798" s="4">
        <v>49.94</v>
      </c>
      <c r="X1798" s="4">
        <v>10</v>
      </c>
      <c r="Y1798" s="8">
        <v>8.5</v>
      </c>
      <c r="Z1798" s="3">
        <f>grand[[#This Row],[av. Transportation loss]]/grand[[#This Row],[av.total weight]]</f>
        <v>4.1894353369763201E-2</v>
      </c>
      <c r="AA1798" s="12">
        <f>AVERAGE((grand[[#This Row],[am]]/25),(grand[[#This Row],[pm]]/50))</f>
        <v>0.99939999999999996</v>
      </c>
      <c r="AB1798" s="3">
        <f>grand[[#This Row],[ carcass weight]]/grand[[#This Row],[total weight]]</f>
        <v>0.61310261080752881</v>
      </c>
      <c r="AC1798" s="6">
        <f>SUM(grand[[#This Row],[am]:[meat transportation]])/100</f>
        <v>0.93440000000000001</v>
      </c>
      <c r="AD1798" s="9" t="s">
        <v>89</v>
      </c>
      <c r="AE1798" s="4"/>
      <c r="AF1798" s="4"/>
      <c r="AG1798" s="4"/>
      <c r="AH1798" s="4"/>
      <c r="AI1798" s="4"/>
      <c r="AJ1798" s="2"/>
      <c r="AK1798" s="4"/>
      <c r="AL1798" s="2">
        <f>455+2</f>
        <v>457</v>
      </c>
    </row>
    <row r="1799" spans="1:38" hidden="1" x14ac:dyDescent="0.2">
      <c r="A1799" s="11">
        <v>44168</v>
      </c>
      <c r="B1799" s="53" t="s">
        <v>2584</v>
      </c>
      <c r="C1799" s="52" t="str">
        <f>IF(MID(B1799,4,2)="09","Ramadan",IF(AND(MID(B1799,4,2)="12",VALUE(LEFT(B1799,2))&lt;=9),"Adha Season","Normal"))</f>
        <v>Normal</v>
      </c>
      <c r="D1799" s="1" t="s">
        <v>45</v>
      </c>
      <c r="F1799" s="4" t="s">
        <v>46</v>
      </c>
      <c r="G1799" s="4">
        <v>50</v>
      </c>
      <c r="H1799" s="4">
        <v>49</v>
      </c>
      <c r="I1799" s="2">
        <f>grand[[#This Row],[number]]-grand[[#This Row],[received]]</f>
        <v>1</v>
      </c>
      <c r="J1799" s="30" t="s">
        <v>1118</v>
      </c>
      <c r="K1799" s="4">
        <v>22735</v>
      </c>
      <c r="L1799" s="4">
        <v>21830</v>
      </c>
      <c r="M1799" s="2">
        <f>K1799-L1799</f>
        <v>905</v>
      </c>
      <c r="N1799" s="4">
        <v>13742.8</v>
      </c>
      <c r="O1799" s="4"/>
      <c r="P1799" s="7">
        <f>grand[[#This Row],[total weight]]/grand[[#This Row],[received]]</f>
        <v>463.9795918367347</v>
      </c>
      <c r="Q1799" s="7">
        <f>grand[[#This Row],[receiving weight]]/grand[[#This Row],[received]]</f>
        <v>445.51020408163265</v>
      </c>
      <c r="R1799" s="7">
        <f>grand[[#This Row],[transportation loss ]]/grand[[#This Row],[received]]</f>
        <v>18.469387755102041</v>
      </c>
      <c r="S1799" s="7">
        <f>grand[[#This Row],[ carcass weight]]/grand[[#This Row],[received]]</f>
        <v>280.46530612244896</v>
      </c>
      <c r="T1799" s="7">
        <f>grand[[#This Row],[ kidneys fat quantity]]/grand[[#This Row],[received]]</f>
        <v>0</v>
      </c>
      <c r="U1799" s="4">
        <v>25</v>
      </c>
      <c r="V1799" s="4">
        <v>0</v>
      </c>
      <c r="W1799" s="4">
        <v>50</v>
      </c>
      <c r="X1799" s="4">
        <v>9.6999999999999993</v>
      </c>
      <c r="Y1799" s="8">
        <v>8.5</v>
      </c>
      <c r="Z1799" s="3">
        <f>grand[[#This Row],[av. Transportation loss]]/grand[[#This Row],[av.total weight]]</f>
        <v>3.9806465801627444E-2</v>
      </c>
      <c r="AA1799" s="12">
        <f>AVERAGE((grand[[#This Row],[am]]/25),(grand[[#This Row],[pm]]/50))</f>
        <v>1</v>
      </c>
      <c r="AB1799" s="3">
        <f>grand[[#This Row],[ carcass weight]]/grand[[#This Row],[total weight]]</f>
        <v>0.60447767758961946</v>
      </c>
      <c r="AC1799" s="6">
        <f>SUM(grand[[#This Row],[am]:[meat transportation]])/100</f>
        <v>0.93200000000000005</v>
      </c>
      <c r="AD1799" s="9"/>
      <c r="AE1799" s="4"/>
      <c r="AF1799" s="4" t="s">
        <v>238</v>
      </c>
      <c r="AG1799" s="4"/>
      <c r="AH1799" s="4"/>
      <c r="AI1799" s="4"/>
      <c r="AJ1799" s="2"/>
      <c r="AK1799" s="4"/>
      <c r="AL1799" s="2">
        <v>470</v>
      </c>
    </row>
    <row r="1800" spans="1:38" hidden="1" x14ac:dyDescent="0.2">
      <c r="A1800" s="11">
        <v>44173</v>
      </c>
      <c r="B1800" s="53" t="s">
        <v>2586</v>
      </c>
      <c r="C1800" s="52" t="str">
        <f>IF(MID(B1800,4,2)="09","Ramadan",IF(AND(MID(B1800,4,2)="12",VALUE(LEFT(B1800,2))&lt;=9),"Adha Season","Normal"))</f>
        <v>Normal</v>
      </c>
      <c r="D1800" s="1" t="s">
        <v>45</v>
      </c>
      <c r="F1800" s="4" t="s">
        <v>50</v>
      </c>
      <c r="G1800" s="4">
        <v>42</v>
      </c>
      <c r="H1800" s="4">
        <v>41</v>
      </c>
      <c r="I1800" s="2">
        <f>grand[[#This Row],[number]]-grand[[#This Row],[received]]</f>
        <v>1</v>
      </c>
      <c r="J1800" s="30" t="s">
        <v>112</v>
      </c>
      <c r="K1800" s="4">
        <v>18115</v>
      </c>
      <c r="L1800" s="4">
        <v>16945</v>
      </c>
      <c r="M1800" s="2">
        <f>K1800-L1800</f>
        <v>1170</v>
      </c>
      <c r="N1800" s="4">
        <v>11203.9</v>
      </c>
      <c r="O1800" s="4"/>
      <c r="P1800" s="7">
        <f>grand[[#This Row],[total weight]]/grand[[#This Row],[received]]</f>
        <v>441.82926829268291</v>
      </c>
      <c r="Q1800" s="7">
        <f>grand[[#This Row],[receiving weight]]/grand[[#This Row],[received]]</f>
        <v>413.29268292682929</v>
      </c>
      <c r="R1800" s="7">
        <f>grand[[#This Row],[transportation loss ]]/grand[[#This Row],[received]]</f>
        <v>28.536585365853657</v>
      </c>
      <c r="S1800" s="7">
        <f>grand[[#This Row],[ carcass weight]]/grand[[#This Row],[received]]</f>
        <v>273.26585365853657</v>
      </c>
      <c r="T1800" s="7">
        <f>grand[[#This Row],[ kidneys fat quantity]]/grand[[#This Row],[received]]</f>
        <v>0</v>
      </c>
      <c r="U1800" s="4">
        <v>25</v>
      </c>
      <c r="V1800" s="4">
        <v>0</v>
      </c>
      <c r="W1800" s="4">
        <v>49.9</v>
      </c>
      <c r="X1800" s="4">
        <v>10</v>
      </c>
      <c r="Y1800" s="8">
        <v>8.5</v>
      </c>
      <c r="Z1800" s="3">
        <f>grand[[#This Row],[av. Transportation loss]]/grand[[#This Row],[av.total weight]]</f>
        <v>6.4587358542644219E-2</v>
      </c>
      <c r="AA1800" s="12">
        <f>AVERAGE((grand[[#This Row],[am]]/25),(grand[[#This Row],[pm]]/50))</f>
        <v>0.999</v>
      </c>
      <c r="AB1800" s="3">
        <f>grand[[#This Row],[ carcass weight]]/grand[[#This Row],[total weight]]</f>
        <v>0.61848744134695</v>
      </c>
      <c r="AC1800" s="6">
        <f>SUM(grand[[#This Row],[am]:[meat transportation]])/100</f>
        <v>0.93400000000000005</v>
      </c>
      <c r="AD1800" s="9" t="s">
        <v>71</v>
      </c>
      <c r="AE1800" s="4"/>
      <c r="AF1800" s="4"/>
      <c r="AG1800" s="4"/>
      <c r="AH1800" s="4"/>
      <c r="AI1800" s="4"/>
      <c r="AJ1800" s="2"/>
      <c r="AK1800" s="4"/>
      <c r="AL1800" s="2">
        <f>434+2</f>
        <v>436</v>
      </c>
    </row>
    <row r="1801" spans="1:38" hidden="1" x14ac:dyDescent="0.2">
      <c r="A1801" s="11">
        <v>44177</v>
      </c>
      <c r="B1801" s="53" t="s">
        <v>2588</v>
      </c>
      <c r="C1801" s="52" t="str">
        <f>IF(MID(B1801,4,2)="09","Ramadan",IF(AND(MID(B1801,4,2)="12",VALUE(LEFT(B1801,2))&lt;=9),"Adha Season","Normal"))</f>
        <v>Normal</v>
      </c>
      <c r="D1801" s="2" t="s">
        <v>294</v>
      </c>
      <c r="E1801" s="2"/>
      <c r="F1801" s="4" t="s">
        <v>105</v>
      </c>
      <c r="G1801" s="4">
        <v>25</v>
      </c>
      <c r="H1801" s="4">
        <v>24</v>
      </c>
      <c r="I1801" s="2">
        <f>grand[[#This Row],[number]]-grand[[#This Row],[received]]</f>
        <v>1</v>
      </c>
      <c r="J1801" s="30" t="s">
        <v>241</v>
      </c>
      <c r="K1801" s="4">
        <v>1122</v>
      </c>
      <c r="L1801" s="4">
        <v>1087</v>
      </c>
      <c r="M1801" s="2">
        <f>K1801-L1801</f>
        <v>35</v>
      </c>
      <c r="N1801" s="4">
        <v>665.8</v>
      </c>
      <c r="O1801" s="4"/>
      <c r="P1801" s="7">
        <f>grand[[#This Row],[total weight]]/grand[[#This Row],[received]]</f>
        <v>46.75</v>
      </c>
      <c r="Q1801" s="7">
        <f>grand[[#This Row],[receiving weight]]/grand[[#This Row],[received]]</f>
        <v>45.291666666666664</v>
      </c>
      <c r="R1801" s="7">
        <f>grand[[#This Row],[transportation loss ]]/grand[[#This Row],[received]]</f>
        <v>1.4583333333333333</v>
      </c>
      <c r="S1801" s="7">
        <f>grand[[#This Row],[ carcass weight]]/grand[[#This Row],[received]]</f>
        <v>27.741666666666664</v>
      </c>
      <c r="T1801" s="7">
        <f>grand[[#This Row],[ kidneys fat quantity]]/grand[[#This Row],[received]]</f>
        <v>0</v>
      </c>
      <c r="U1801" s="4">
        <v>25</v>
      </c>
      <c r="V1801" s="4">
        <v>0</v>
      </c>
      <c r="W1801" s="4">
        <v>49.17</v>
      </c>
      <c r="X1801" s="4">
        <v>10</v>
      </c>
      <c r="Y1801" s="8">
        <v>8.5</v>
      </c>
      <c r="Z1801" s="3">
        <f>grand[[#This Row],[av. Transportation loss]]/grand[[#This Row],[av.total weight]]</f>
        <v>3.1194295900178252E-2</v>
      </c>
      <c r="AA1801" s="12">
        <f>AVERAGE((grand[[#This Row],[am]]/25),(grand[[#This Row],[pm]]/50))</f>
        <v>0.99170000000000003</v>
      </c>
      <c r="AB1801" s="3">
        <f>grand[[#This Row],[ carcass weight]]/grand[[#This Row],[total weight]]</f>
        <v>0.59340463458110515</v>
      </c>
      <c r="AC1801" s="6">
        <f>SUM(grand[[#This Row],[am]:[meat transportation]])/100</f>
        <v>0.92669999999999997</v>
      </c>
      <c r="AD1801" s="9" t="s">
        <v>71</v>
      </c>
      <c r="AE1801" s="4"/>
      <c r="AF1801" s="4" t="s">
        <v>70</v>
      </c>
      <c r="AG1801" s="4"/>
      <c r="AH1801" s="4"/>
      <c r="AI1801" s="4"/>
      <c r="AJ1801" s="2"/>
      <c r="AK1801" s="12">
        <f>grand[[#This Row],[accepted as exception]]/grand[[#This Row],[number]]</f>
        <v>0</v>
      </c>
      <c r="AL1801" s="2">
        <f>36.5+2</f>
        <v>38.5</v>
      </c>
    </row>
    <row r="1802" spans="1:38" hidden="1" x14ac:dyDescent="0.2">
      <c r="A1802" s="11">
        <v>44177</v>
      </c>
      <c r="B1802" s="53" t="s">
        <v>2588</v>
      </c>
      <c r="C1802" s="52" t="str">
        <f>IF(MID(B1802,4,2)="09","Ramadan",IF(AND(MID(B1802,4,2)="12",VALUE(LEFT(B1802,2))&lt;=9),"Adha Season","Normal"))</f>
        <v>Normal</v>
      </c>
      <c r="D1802" s="1" t="s">
        <v>45</v>
      </c>
      <c r="F1802" s="4" t="s">
        <v>165</v>
      </c>
      <c r="G1802" s="4">
        <v>30</v>
      </c>
      <c r="H1802" s="4">
        <v>29</v>
      </c>
      <c r="I1802" s="2">
        <f>grand[[#This Row],[number]]-grand[[#This Row],[received]]</f>
        <v>1</v>
      </c>
      <c r="J1802" s="30" t="s">
        <v>240</v>
      </c>
      <c r="K1802" s="4">
        <v>14041</v>
      </c>
      <c r="L1802" s="4">
        <v>13715</v>
      </c>
      <c r="M1802" s="2">
        <f>K1802-L1802</f>
        <v>326</v>
      </c>
      <c r="N1802" s="4">
        <v>8540.1</v>
      </c>
      <c r="O1802" s="4"/>
      <c r="P1802" s="7">
        <f>grand[[#This Row],[total weight]]/grand[[#This Row],[received]]</f>
        <v>484.17241379310343</v>
      </c>
      <c r="Q1802" s="7">
        <f>grand[[#This Row],[receiving weight]]/grand[[#This Row],[received]]</f>
        <v>472.93103448275861</v>
      </c>
      <c r="R1802" s="7">
        <f>grand[[#This Row],[transportation loss ]]/grand[[#This Row],[received]]</f>
        <v>11.241379310344827</v>
      </c>
      <c r="S1802" s="7">
        <f>grand[[#This Row],[ carcass weight]]/grand[[#This Row],[received]]</f>
        <v>294.48620689655172</v>
      </c>
      <c r="T1802" s="7">
        <f>grand[[#This Row],[ kidneys fat quantity]]/grand[[#This Row],[received]]</f>
        <v>0</v>
      </c>
      <c r="U1802" s="4">
        <v>25</v>
      </c>
      <c r="V1802" s="4">
        <v>0</v>
      </c>
      <c r="W1802" s="4">
        <v>49.69</v>
      </c>
      <c r="X1802" s="4">
        <v>10</v>
      </c>
      <c r="Y1802" s="8">
        <v>8.5</v>
      </c>
      <c r="Z1802" s="3">
        <f>grand[[#This Row],[av. Transportation loss]]/grand[[#This Row],[av.total weight]]</f>
        <v>2.3217719535645609E-2</v>
      </c>
      <c r="AA1802" s="12">
        <f>AVERAGE((grand[[#This Row],[am]]/25),(grand[[#This Row],[pm]]/50))</f>
        <v>0.9968999999999999</v>
      </c>
      <c r="AB1802" s="3">
        <f>grand[[#This Row],[ carcass weight]]/grand[[#This Row],[total weight]]</f>
        <v>0.60822590983548186</v>
      </c>
      <c r="AC1802" s="6">
        <f>SUM(grand[[#This Row],[am]:[meat transportation]])/100</f>
        <v>0.93189999999999995</v>
      </c>
      <c r="AD1802" s="9"/>
      <c r="AE1802" s="4">
        <v>3</v>
      </c>
      <c r="AF1802" s="4"/>
      <c r="AG1802" s="4"/>
      <c r="AH1802" s="4"/>
      <c r="AI1802" s="4"/>
      <c r="AJ1802" s="2">
        <v>1</v>
      </c>
      <c r="AK1802" s="12">
        <f>grand[[#This Row],[accepted as exception]]/grand[[#This Row],[number]]</f>
        <v>3.3333333333333333E-2</v>
      </c>
      <c r="AL1802" s="2">
        <v>575</v>
      </c>
    </row>
    <row r="1803" spans="1:38" hidden="1" x14ac:dyDescent="0.2">
      <c r="A1803" s="11">
        <v>44180</v>
      </c>
      <c r="B1803" s="53" t="s">
        <v>2589</v>
      </c>
      <c r="C1803" s="52" t="str">
        <f>IF(MID(B1803,4,2)="09","Ramadan",IF(AND(MID(B1803,4,2)="12",VALUE(LEFT(B1803,2))&lt;=9),"Adha Season","Normal"))</f>
        <v>Normal</v>
      </c>
      <c r="D1803" s="1" t="s">
        <v>45</v>
      </c>
      <c r="F1803" s="4" t="s">
        <v>165</v>
      </c>
      <c r="G1803" s="4">
        <v>30</v>
      </c>
      <c r="H1803" s="4">
        <v>29</v>
      </c>
      <c r="I1803" s="2">
        <f>grand[[#This Row],[number]]-grand[[#This Row],[received]]</f>
        <v>1</v>
      </c>
      <c r="J1803" s="30" t="s">
        <v>240</v>
      </c>
      <c r="K1803" s="4">
        <v>13425</v>
      </c>
      <c r="L1803" s="4">
        <v>13145</v>
      </c>
      <c r="M1803" s="2">
        <f>K1803-L1803</f>
        <v>280</v>
      </c>
      <c r="N1803" s="4">
        <v>8410.1</v>
      </c>
      <c r="O1803" s="4"/>
      <c r="P1803" s="7">
        <f>grand[[#This Row],[total weight]]/grand[[#This Row],[received]]</f>
        <v>462.93103448275861</v>
      </c>
      <c r="Q1803" s="7">
        <f>grand[[#This Row],[receiving weight]]/grand[[#This Row],[received]]</f>
        <v>453.27586206896552</v>
      </c>
      <c r="R1803" s="7">
        <f>grand[[#This Row],[transportation loss ]]/grand[[#This Row],[received]]</f>
        <v>9.6551724137931032</v>
      </c>
      <c r="S1803" s="7">
        <f>grand[[#This Row],[ carcass weight]]/grand[[#This Row],[received]]</f>
        <v>290.00344827586207</v>
      </c>
      <c r="T1803" s="7">
        <f>grand[[#This Row],[ kidneys fat quantity]]/grand[[#This Row],[received]]</f>
        <v>0</v>
      </c>
      <c r="U1803" s="4">
        <v>25</v>
      </c>
      <c r="V1803" s="4">
        <v>0</v>
      </c>
      <c r="W1803" s="4">
        <v>48.93</v>
      </c>
      <c r="X1803" s="4">
        <v>10</v>
      </c>
      <c r="Y1803" s="8">
        <v>8.5</v>
      </c>
      <c r="Z1803" s="3">
        <f>grand[[#This Row],[av. Transportation loss]]/grand[[#This Row],[av.total weight]]</f>
        <v>2.0856610800744878E-2</v>
      </c>
      <c r="AA1803" s="12">
        <f>AVERAGE((grand[[#This Row],[am]]/25),(grand[[#This Row],[pm]]/50))</f>
        <v>0.98930000000000007</v>
      </c>
      <c r="AB1803" s="3">
        <f>grand[[#This Row],[ carcass weight]]/grand[[#This Row],[total weight]]</f>
        <v>0.62645065176908754</v>
      </c>
      <c r="AC1803" s="6">
        <f>SUM(grand[[#This Row],[am]:[meat transportation]])/100</f>
        <v>0.92430000000000012</v>
      </c>
      <c r="AD1803" s="9" t="s">
        <v>242</v>
      </c>
      <c r="AE1803" s="4">
        <v>2</v>
      </c>
      <c r="AF1803" s="4" t="s">
        <v>243</v>
      </c>
      <c r="AG1803" s="4"/>
      <c r="AH1803" s="4"/>
      <c r="AI1803" s="4"/>
      <c r="AJ1803" s="2"/>
      <c r="AK1803" s="12">
        <f>grand[[#This Row],[accepted as exception]]/grand[[#This Row],[number]]</f>
        <v>0</v>
      </c>
      <c r="AL1803" s="2">
        <f>475+12.5</f>
        <v>487.5</v>
      </c>
    </row>
    <row r="1804" spans="1:38" hidden="1" x14ac:dyDescent="0.2">
      <c r="A1804" s="11">
        <v>44184</v>
      </c>
      <c r="B1804" s="53" t="s">
        <v>2591</v>
      </c>
      <c r="C1804" s="52" t="str">
        <f>IF(MID(B1804,4,2)="09","Ramadan",IF(AND(MID(B1804,4,2)="12",VALUE(LEFT(B1804,2))&lt;=9),"Adha Season","Normal"))</f>
        <v>Normal</v>
      </c>
      <c r="D1804" s="1" t="s">
        <v>45</v>
      </c>
      <c r="F1804" s="4" t="s">
        <v>165</v>
      </c>
      <c r="G1804" s="4">
        <v>30</v>
      </c>
      <c r="H1804" s="4">
        <v>29</v>
      </c>
      <c r="I1804" s="2">
        <f>grand[[#This Row],[number]]-grand[[#This Row],[received]]</f>
        <v>1</v>
      </c>
      <c r="J1804" s="30" t="s">
        <v>112</v>
      </c>
      <c r="K1804" s="4">
        <v>13329</v>
      </c>
      <c r="L1804" s="4">
        <v>13080</v>
      </c>
      <c r="M1804" s="2">
        <f>K1804-L1804</f>
        <v>249</v>
      </c>
      <c r="N1804" s="4">
        <v>8308.5</v>
      </c>
      <c r="O1804" s="4"/>
      <c r="P1804" s="7">
        <f>grand[[#This Row],[total weight]]/grand[[#This Row],[received]]</f>
        <v>459.62068965517244</v>
      </c>
      <c r="Q1804" s="7">
        <f>grand[[#This Row],[receiving weight]]/grand[[#This Row],[received]]</f>
        <v>451.0344827586207</v>
      </c>
      <c r="R1804" s="7">
        <f>grand[[#This Row],[transportation loss ]]/grand[[#This Row],[received]]</f>
        <v>8.5862068965517242</v>
      </c>
      <c r="S1804" s="7">
        <f>grand[[#This Row],[ carcass weight]]/grand[[#This Row],[received]]</f>
        <v>286.5</v>
      </c>
      <c r="T1804" s="7">
        <f>grand[[#This Row],[ kidneys fat quantity]]/grand[[#This Row],[received]]</f>
        <v>0</v>
      </c>
      <c r="U1804" s="4">
        <v>25</v>
      </c>
      <c r="V1804" s="4">
        <v>0</v>
      </c>
      <c r="W1804" s="4">
        <v>49.28</v>
      </c>
      <c r="X1804" s="4">
        <v>9.8000000000000007</v>
      </c>
      <c r="Y1804" s="8">
        <v>8.5</v>
      </c>
      <c r="Z1804" s="3">
        <f>grand[[#This Row],[av. Transportation loss]]/grand[[#This Row],[av.total weight]]</f>
        <v>1.8681071348188159E-2</v>
      </c>
      <c r="AA1804" s="12">
        <f>AVERAGE((grand[[#This Row],[am]]/25),(grand[[#This Row],[pm]]/50))</f>
        <v>0.99280000000000002</v>
      </c>
      <c r="AB1804" s="3">
        <f>grand[[#This Row],[ carcass weight]]/grand[[#This Row],[total weight]]</f>
        <v>0.62334008552779652</v>
      </c>
      <c r="AC1804" s="6">
        <f>SUM(grand[[#This Row],[am]:[meat transportation]])/100</f>
        <v>0.92579999999999996</v>
      </c>
      <c r="AD1804" s="9" t="s">
        <v>245</v>
      </c>
      <c r="AE1804" s="4"/>
      <c r="AF1804" s="4" t="s">
        <v>246</v>
      </c>
      <c r="AG1804" s="4"/>
      <c r="AH1804" s="4"/>
      <c r="AI1804" s="4"/>
      <c r="AJ1804" s="2">
        <v>9</v>
      </c>
      <c r="AK1804" s="12">
        <f>grand[[#This Row],[accepted as exception]]/grand[[#This Row],[number]]</f>
        <v>0.3</v>
      </c>
      <c r="AL1804" s="2">
        <f>470+6</f>
        <v>476</v>
      </c>
    </row>
    <row r="1805" spans="1:38" hidden="1" x14ac:dyDescent="0.2">
      <c r="A1805" s="11">
        <v>44189</v>
      </c>
      <c r="B1805" s="53" t="s">
        <v>2593</v>
      </c>
      <c r="C1805" s="52" t="str">
        <f>IF(MID(B1805,4,2)="09","Ramadan",IF(AND(MID(B1805,4,2)="12",VALUE(LEFT(B1805,2))&lt;=9),"Adha Season","Normal"))</f>
        <v>Normal</v>
      </c>
      <c r="D1805" s="1" t="s">
        <v>45</v>
      </c>
      <c r="F1805" s="4" t="s">
        <v>46</v>
      </c>
      <c r="G1805" s="4">
        <v>50</v>
      </c>
      <c r="H1805" s="4">
        <v>49</v>
      </c>
      <c r="I1805" s="2">
        <f>grand[[#This Row],[number]]-grand[[#This Row],[received]]</f>
        <v>1</v>
      </c>
      <c r="J1805" s="30" t="s">
        <v>234</v>
      </c>
      <c r="K1805" s="4">
        <v>22772</v>
      </c>
      <c r="L1805" s="4">
        <v>21509</v>
      </c>
      <c r="M1805" s="2">
        <f>K1805-L1805</f>
        <v>1263</v>
      </c>
      <c r="N1805" s="4">
        <v>13676.6</v>
      </c>
      <c r="O1805" s="4"/>
      <c r="P1805" s="7">
        <f>grand[[#This Row],[total weight]]/grand[[#This Row],[received]]</f>
        <v>464.73469387755102</v>
      </c>
      <c r="Q1805" s="7">
        <f>grand[[#This Row],[receiving weight]]/grand[[#This Row],[received]]</f>
        <v>438.9591836734694</v>
      </c>
      <c r="R1805" s="7">
        <f>grand[[#This Row],[transportation loss ]]/grand[[#This Row],[received]]</f>
        <v>25.775510204081634</v>
      </c>
      <c r="S1805" s="7">
        <f>grand[[#This Row],[ carcass weight]]/grand[[#This Row],[received]]</f>
        <v>279.1142857142857</v>
      </c>
      <c r="T1805" s="7">
        <f>grand[[#This Row],[ kidneys fat quantity]]/grand[[#This Row],[received]]</f>
        <v>0</v>
      </c>
      <c r="U1805" s="4">
        <v>22</v>
      </c>
      <c r="V1805" s="4">
        <v>0</v>
      </c>
      <c r="W1805" s="4">
        <v>49.43</v>
      </c>
      <c r="X1805" s="4">
        <v>10</v>
      </c>
      <c r="Y1805" s="8">
        <v>8.5</v>
      </c>
      <c r="Z1805" s="3">
        <f>grand[[#This Row],[av. Transportation loss]]/grand[[#This Row],[av.total weight]]</f>
        <v>5.5462849112945724E-2</v>
      </c>
      <c r="AA1805" s="12">
        <f>AVERAGE((grand[[#This Row],[am]]/25),(grand[[#This Row],[pm]]/50))</f>
        <v>0.93430000000000002</v>
      </c>
      <c r="AB1805" s="3">
        <f>grand[[#This Row],[ carcass weight]]/grand[[#This Row],[total weight]]</f>
        <v>0.60058844194624983</v>
      </c>
      <c r="AC1805" s="6">
        <f>SUM(grand[[#This Row],[am]:[meat transportation]])/100</f>
        <v>0.8993000000000001</v>
      </c>
      <c r="AD1805" s="9" t="s">
        <v>251</v>
      </c>
      <c r="AE1805" s="4"/>
      <c r="AF1805" s="4" t="s">
        <v>88</v>
      </c>
      <c r="AG1805" s="4"/>
      <c r="AH1805" s="4"/>
      <c r="AI1805" s="4"/>
      <c r="AJ1805" s="2">
        <v>2</v>
      </c>
      <c r="AK1805" s="12">
        <f>grand[[#This Row],[accepted as exception]]/grand[[#This Row],[number]]</f>
        <v>0.04</v>
      </c>
      <c r="AL1805" s="2">
        <f>461+61+15</f>
        <v>537</v>
      </c>
    </row>
    <row r="1806" spans="1:38" hidden="1" x14ac:dyDescent="0.2">
      <c r="A1806" s="11">
        <v>44191</v>
      </c>
      <c r="B1806" s="53" t="s">
        <v>2594</v>
      </c>
      <c r="C1806" s="52" t="str">
        <f>IF(MID(B1806,4,2)="09","Ramadan",IF(AND(MID(B1806,4,2)="12",VALUE(LEFT(B1806,2))&lt;=9),"Adha Season","Normal"))</f>
        <v>Normal</v>
      </c>
      <c r="D1806" s="1" t="s">
        <v>45</v>
      </c>
      <c r="F1806" s="4" t="s">
        <v>165</v>
      </c>
      <c r="G1806" s="4">
        <v>30</v>
      </c>
      <c r="H1806" s="4">
        <v>29</v>
      </c>
      <c r="I1806" s="2">
        <f>grand[[#This Row],[number]]-grand[[#This Row],[received]]</f>
        <v>1</v>
      </c>
      <c r="J1806" s="30" t="s">
        <v>112</v>
      </c>
      <c r="K1806" s="4">
        <v>12853</v>
      </c>
      <c r="L1806" s="4">
        <v>12380</v>
      </c>
      <c r="M1806" s="2">
        <f>K1806-L1806</f>
        <v>473</v>
      </c>
      <c r="N1806" s="4">
        <v>7768</v>
      </c>
      <c r="O1806" s="4"/>
      <c r="P1806" s="7">
        <f>grand[[#This Row],[total weight]]/grand[[#This Row],[received]]</f>
        <v>443.20689655172413</v>
      </c>
      <c r="Q1806" s="7">
        <f>grand[[#This Row],[receiving weight]]/grand[[#This Row],[received]]</f>
        <v>426.89655172413791</v>
      </c>
      <c r="R1806" s="7">
        <f>grand[[#This Row],[transportation loss ]]/grand[[#This Row],[received]]</f>
        <v>16.310344827586206</v>
      </c>
      <c r="S1806" s="7">
        <f>grand[[#This Row],[ carcass weight]]/grand[[#This Row],[received]]</f>
        <v>267.86206896551727</v>
      </c>
      <c r="T1806" s="7">
        <f>grand[[#This Row],[ kidneys fat quantity]]/grand[[#This Row],[received]]</f>
        <v>0</v>
      </c>
      <c r="U1806" s="4">
        <v>25</v>
      </c>
      <c r="V1806" s="4">
        <v>0</v>
      </c>
      <c r="W1806" s="4">
        <v>49.52</v>
      </c>
      <c r="X1806" s="4">
        <v>10</v>
      </c>
      <c r="Y1806" s="8">
        <v>8.5</v>
      </c>
      <c r="Z1806" s="3">
        <f>grand[[#This Row],[av. Transportation loss]]/grand[[#This Row],[av.total weight]]</f>
        <v>3.6800746907336805E-2</v>
      </c>
      <c r="AA1806" s="12">
        <f>AVERAGE((grand[[#This Row],[am]]/25),(grand[[#This Row],[pm]]/50))</f>
        <v>0.99520000000000008</v>
      </c>
      <c r="AB1806" s="3">
        <f>grand[[#This Row],[ carcass weight]]/grand[[#This Row],[total weight]]</f>
        <v>0.60437252003423325</v>
      </c>
      <c r="AC1806" s="6">
        <f>SUM(grand[[#This Row],[am]:[meat transportation]])/100</f>
        <v>0.93020000000000014</v>
      </c>
      <c r="AD1806" s="9" t="s">
        <v>228</v>
      </c>
      <c r="AE1806" s="4"/>
      <c r="AF1806" s="4"/>
      <c r="AG1806" s="4"/>
      <c r="AH1806" s="4"/>
      <c r="AI1806" s="4"/>
      <c r="AJ1806" s="2">
        <v>14</v>
      </c>
      <c r="AK1806" s="12">
        <f>grand[[#This Row],[accepted as exception]]/grand[[#This Row],[number]]</f>
        <v>0.46666666666666667</v>
      </c>
      <c r="AL1806" s="2">
        <f>465+9</f>
        <v>474</v>
      </c>
    </row>
    <row r="1807" spans="1:38" hidden="1" x14ac:dyDescent="0.2">
      <c r="A1807" s="11">
        <v>44192</v>
      </c>
      <c r="B1807" s="53" t="s">
        <v>1529</v>
      </c>
      <c r="C1807" s="52" t="str">
        <f>IF(MID(B1807,4,2)="09","Ramadan",IF(AND(MID(B1807,4,2)="12",VALUE(LEFT(B1807,2))&lt;=9),"Adha Season","Normal"))</f>
        <v>Normal</v>
      </c>
      <c r="D1807" s="1" t="s">
        <v>45</v>
      </c>
      <c r="F1807" s="4" t="s">
        <v>50</v>
      </c>
      <c r="G1807" s="4">
        <v>48</v>
      </c>
      <c r="H1807" s="4">
        <v>47</v>
      </c>
      <c r="I1807" s="2">
        <f>grand[[#This Row],[number]]-grand[[#This Row],[received]]</f>
        <v>1</v>
      </c>
      <c r="J1807" s="30" t="s">
        <v>112</v>
      </c>
      <c r="K1807" s="4">
        <v>19895</v>
      </c>
      <c r="L1807" s="4">
        <v>18728</v>
      </c>
      <c r="M1807" s="2">
        <f>K1807-L1807</f>
        <v>1167</v>
      </c>
      <c r="N1807" s="4">
        <v>12139.5</v>
      </c>
      <c r="O1807" s="4"/>
      <c r="P1807" s="7">
        <f>grand[[#This Row],[total weight]]/grand[[#This Row],[received]]</f>
        <v>423.29787234042556</v>
      </c>
      <c r="Q1807" s="7">
        <f>grand[[#This Row],[receiving weight]]/grand[[#This Row],[received]]</f>
        <v>398.468085106383</v>
      </c>
      <c r="R1807" s="7">
        <f>grand[[#This Row],[transportation loss ]]/grand[[#This Row],[received]]</f>
        <v>24.829787234042552</v>
      </c>
      <c r="S1807" s="7">
        <f>grand[[#This Row],[ carcass weight]]/grand[[#This Row],[received]]</f>
        <v>258.28723404255317</v>
      </c>
      <c r="T1807" s="7">
        <f>grand[[#This Row],[ kidneys fat quantity]]/grand[[#This Row],[received]]</f>
        <v>0</v>
      </c>
      <c r="U1807" s="4">
        <v>25</v>
      </c>
      <c r="V1807" s="4">
        <v>0</v>
      </c>
      <c r="W1807" s="4">
        <v>49.45</v>
      </c>
      <c r="X1807" s="4">
        <v>10</v>
      </c>
      <c r="Y1807" s="8">
        <v>8.5</v>
      </c>
      <c r="Z1807" s="3">
        <f>grand[[#This Row],[av. Transportation loss]]/grand[[#This Row],[av.total weight]]</f>
        <v>5.8657954259864281E-2</v>
      </c>
      <c r="AA1807" s="12">
        <f>AVERAGE((grand[[#This Row],[am]]/25),(grand[[#This Row],[pm]]/50))</f>
        <v>0.99450000000000005</v>
      </c>
      <c r="AB1807" s="3">
        <f>grand[[#This Row],[ carcass weight]]/grand[[#This Row],[total weight]]</f>
        <v>0.61017843679316408</v>
      </c>
      <c r="AC1807" s="6">
        <f>SUM(grand[[#This Row],[am]:[meat transportation]])/100</f>
        <v>0.92949999999999999</v>
      </c>
      <c r="AD1807" s="9" t="s">
        <v>253</v>
      </c>
      <c r="AE1807" s="4"/>
      <c r="AF1807" s="4"/>
      <c r="AG1807" s="4"/>
      <c r="AH1807" s="4"/>
      <c r="AI1807" s="4"/>
      <c r="AJ1807" s="2">
        <v>3</v>
      </c>
      <c r="AK1807" s="12">
        <f>grand[[#This Row],[accepted as exception]]/grand[[#This Row],[number]]</f>
        <v>6.25E-2</v>
      </c>
      <c r="AL1807" s="2">
        <f>402+22</f>
        <v>424</v>
      </c>
    </row>
    <row r="1808" spans="1:38" hidden="1" x14ac:dyDescent="0.2">
      <c r="A1808" s="11">
        <v>44196</v>
      </c>
      <c r="B1808" s="53" t="s">
        <v>2596</v>
      </c>
      <c r="C1808" s="52" t="str">
        <f>IF(MID(B1808,4,2)="09","Ramadan",IF(AND(MID(B1808,4,2)="12",VALUE(LEFT(B1808,2))&lt;=9),"Adha Season","Normal"))</f>
        <v>Normal</v>
      </c>
      <c r="D1808" s="1" t="s">
        <v>45</v>
      </c>
      <c r="F1808" s="4" t="s">
        <v>46</v>
      </c>
      <c r="G1808" s="4">
        <v>44</v>
      </c>
      <c r="H1808" s="4">
        <v>43</v>
      </c>
      <c r="I1808" s="2">
        <f>grand[[#This Row],[number]]-grand[[#This Row],[received]]</f>
        <v>1</v>
      </c>
      <c r="J1808" s="30" t="s">
        <v>112</v>
      </c>
      <c r="K1808" s="4">
        <v>20682</v>
      </c>
      <c r="L1808" s="4">
        <v>19381</v>
      </c>
      <c r="M1808" s="2">
        <f>K1808-L1808</f>
        <v>1301</v>
      </c>
      <c r="N1808" s="4">
        <v>12411.2</v>
      </c>
      <c r="O1808" s="4"/>
      <c r="P1808" s="7">
        <f>grand[[#This Row],[total weight]]/grand[[#This Row],[received]]</f>
        <v>480.97674418604652</v>
      </c>
      <c r="Q1808" s="7">
        <f>grand[[#This Row],[receiving weight]]/grand[[#This Row],[received]]</f>
        <v>450.72093023255815</v>
      </c>
      <c r="R1808" s="7">
        <f>grand[[#This Row],[transportation loss ]]/grand[[#This Row],[received]]</f>
        <v>30.255813953488371</v>
      </c>
      <c r="S1808" s="7">
        <f>grand[[#This Row],[ carcass weight]]/grand[[#This Row],[received]]</f>
        <v>288.63255813953492</v>
      </c>
      <c r="T1808" s="7">
        <f>grand[[#This Row],[ kidneys fat quantity]]/grand[[#This Row],[received]]</f>
        <v>0</v>
      </c>
      <c r="U1808" s="4">
        <v>25</v>
      </c>
      <c r="V1808" s="4">
        <v>0</v>
      </c>
      <c r="W1808" s="4">
        <v>49.84</v>
      </c>
      <c r="X1808" s="4">
        <v>10</v>
      </c>
      <c r="Y1808" s="8">
        <v>8.5</v>
      </c>
      <c r="Z1808" s="3">
        <f>grand[[#This Row],[av. Transportation loss]]/grand[[#This Row],[av.total weight]]</f>
        <v>6.2904941495019823E-2</v>
      </c>
      <c r="AA1808" s="12">
        <f>AVERAGE((grand[[#This Row],[am]]/25),(grand[[#This Row],[pm]]/50))</f>
        <v>0.99839999999999995</v>
      </c>
      <c r="AB1808" s="3">
        <f>grand[[#This Row],[ carcass weight]]/grand[[#This Row],[total weight]]</f>
        <v>0.60009670244657198</v>
      </c>
      <c r="AC1808" s="6">
        <f>SUM(grand[[#This Row],[am]:[meat transportation]])/100</f>
        <v>0.93340000000000001</v>
      </c>
      <c r="AD1808" s="9" t="s">
        <v>97</v>
      </c>
      <c r="AE1808" s="4"/>
      <c r="AF1808" s="4"/>
      <c r="AG1808" s="4"/>
      <c r="AH1808" s="4"/>
      <c r="AI1808" s="4"/>
      <c r="AJ1808" s="2">
        <v>3</v>
      </c>
      <c r="AK1808" s="12">
        <f>grand[[#This Row],[accepted as exception]]/grand[[#This Row],[number]]</f>
        <v>6.8181818181818177E-2</v>
      </c>
      <c r="AL1808" s="2">
        <f>479+7</f>
        <v>486</v>
      </c>
    </row>
    <row r="1809" spans="1:38" hidden="1" x14ac:dyDescent="0.2">
      <c r="A1809" s="11">
        <v>44198</v>
      </c>
      <c r="B1809" s="53" t="s">
        <v>2597</v>
      </c>
      <c r="C1809" s="52" t="str">
        <f>IF(MID(B1809,4,2)="09","Ramadan",IF(AND(MID(B1809,4,2)="12",VALUE(LEFT(B1809,2))&lt;=9),"Adha Season","Normal"))</f>
        <v>Normal</v>
      </c>
      <c r="D1809" s="1" t="s">
        <v>45</v>
      </c>
      <c r="F1809" s="4" t="s">
        <v>165</v>
      </c>
      <c r="G1809" s="4">
        <v>33</v>
      </c>
      <c r="H1809" s="4">
        <v>32</v>
      </c>
      <c r="I1809" s="2">
        <f>grand[[#This Row],[number]]-grand[[#This Row],[received]]</f>
        <v>1</v>
      </c>
      <c r="J1809" s="30" t="s">
        <v>112</v>
      </c>
      <c r="K1809" s="4">
        <v>14098</v>
      </c>
      <c r="L1809" s="4">
        <v>13552</v>
      </c>
      <c r="M1809" s="2">
        <f>K1809-L1809</f>
        <v>546</v>
      </c>
      <c r="N1809" s="4">
        <v>8764.4</v>
      </c>
      <c r="O1809" s="4"/>
      <c r="P1809" s="7">
        <f>grand[[#This Row],[total weight]]/grand[[#This Row],[received]]</f>
        <v>440.5625</v>
      </c>
      <c r="Q1809" s="7">
        <f>grand[[#This Row],[receiving weight]]/grand[[#This Row],[received]]</f>
        <v>423.5</v>
      </c>
      <c r="R1809" s="7">
        <f>grand[[#This Row],[transportation loss ]]/grand[[#This Row],[received]]</f>
        <v>17.0625</v>
      </c>
      <c r="S1809" s="7">
        <f>grand[[#This Row],[ carcass weight]]/grand[[#This Row],[received]]</f>
        <v>273.88749999999999</v>
      </c>
      <c r="T1809" s="7">
        <f>grand[[#This Row],[ kidneys fat quantity]]/grand[[#This Row],[received]]</f>
        <v>0</v>
      </c>
      <c r="U1809" s="4">
        <v>25</v>
      </c>
      <c r="V1809" s="4">
        <v>0</v>
      </c>
      <c r="W1809" s="4">
        <v>49.06</v>
      </c>
      <c r="X1809" s="4">
        <v>10</v>
      </c>
      <c r="Y1809" s="8">
        <v>8.5</v>
      </c>
      <c r="Z1809" s="3">
        <f>grand[[#This Row],[av. Transportation loss]]/grand[[#This Row],[av.total weight]]</f>
        <v>3.8728897715988087E-2</v>
      </c>
      <c r="AA1809" s="12">
        <f>AVERAGE((grand[[#This Row],[am]]/25),(grand[[#This Row],[pm]]/50))</f>
        <v>0.99060000000000004</v>
      </c>
      <c r="AB1809" s="3">
        <f>grand[[#This Row],[ carcass weight]]/grand[[#This Row],[total weight]]</f>
        <v>0.62167683359341752</v>
      </c>
      <c r="AC1809" s="6">
        <f>SUM(grand[[#This Row],[am]:[meat transportation]])/100</f>
        <v>0.92559999999999998</v>
      </c>
      <c r="AD1809" s="9"/>
      <c r="AE1809" s="4"/>
      <c r="AF1809" s="4"/>
      <c r="AG1809" s="4"/>
      <c r="AH1809" s="4"/>
      <c r="AI1809" s="4">
        <v>6</v>
      </c>
      <c r="AJ1809" s="2"/>
      <c r="AK1809" s="12">
        <f>grand[[#This Row],[accepted as exception]]/grand[[#This Row],[number]]</f>
        <v>0</v>
      </c>
      <c r="AL1809" s="2">
        <f>7+428</f>
        <v>435</v>
      </c>
    </row>
    <row r="1810" spans="1:38" hidden="1" x14ac:dyDescent="0.2">
      <c r="A1810" s="11">
        <v>44215</v>
      </c>
      <c r="B1810" s="53" t="s">
        <v>2604</v>
      </c>
      <c r="C1810" s="52" t="str">
        <f>IF(MID(B1810,4,2)="09","Ramadan",IF(AND(MID(B1810,4,2)="12",VALUE(LEFT(B1810,2))&lt;=9),"Adha Season","Normal"))</f>
        <v>Normal</v>
      </c>
      <c r="D1810" s="1" t="s">
        <v>45</v>
      </c>
      <c r="F1810" s="4" t="s">
        <v>46</v>
      </c>
      <c r="G1810" s="4">
        <v>38</v>
      </c>
      <c r="H1810" s="4">
        <v>37</v>
      </c>
      <c r="I1810" s="2">
        <f>grand[[#This Row],[number]]-grand[[#This Row],[received]]</f>
        <v>1</v>
      </c>
      <c r="J1810" s="30" t="s">
        <v>1118</v>
      </c>
      <c r="K1810" s="4">
        <v>17817</v>
      </c>
      <c r="L1810" s="4">
        <v>16532</v>
      </c>
      <c r="M1810" s="2">
        <f>K1810-L1810</f>
        <v>1285</v>
      </c>
      <c r="N1810" s="4">
        <v>10878.5</v>
      </c>
      <c r="O1810" s="4"/>
      <c r="P1810" s="7">
        <f>grand[[#This Row],[total weight]]/grand[[#This Row],[received]]</f>
        <v>481.54054054054052</v>
      </c>
      <c r="Q1810" s="7">
        <f>grand[[#This Row],[receiving weight]]/grand[[#This Row],[received]]</f>
        <v>446.81081081081084</v>
      </c>
      <c r="R1810" s="7">
        <f>grand[[#This Row],[transportation loss ]]/grand[[#This Row],[received]]</f>
        <v>34.729729729729726</v>
      </c>
      <c r="S1810" s="7">
        <f>grand[[#This Row],[ carcass weight]]/grand[[#This Row],[received]]</f>
        <v>294.01351351351349</v>
      </c>
      <c r="T1810" s="7">
        <f>grand[[#This Row],[ kidneys fat quantity]]/grand[[#This Row],[received]]</f>
        <v>0</v>
      </c>
      <c r="U1810" s="4">
        <v>25</v>
      </c>
      <c r="V1810" s="4">
        <v>0</v>
      </c>
      <c r="W1810" s="4">
        <v>49.13</v>
      </c>
      <c r="X1810" s="4">
        <v>9.9</v>
      </c>
      <c r="Y1810" s="8">
        <v>8.5</v>
      </c>
      <c r="Z1810" s="3">
        <f>grand[[#This Row],[av. Transportation loss]]/grand[[#This Row],[av.total weight]]</f>
        <v>7.2122130549475222E-2</v>
      </c>
      <c r="AA1810" s="12">
        <f>AVERAGE((grand[[#This Row],[am]]/25),(grand[[#This Row],[pm]]/50))</f>
        <v>0.99130000000000007</v>
      </c>
      <c r="AB1810" s="3">
        <f>grand[[#This Row],[ carcass weight]]/grand[[#This Row],[total weight]]</f>
        <v>0.61056855811865074</v>
      </c>
      <c r="AC1810" s="6">
        <f>SUM(grand[[#This Row],[am]:[meat transportation]])/100</f>
        <v>0.92530000000000001</v>
      </c>
      <c r="AD1810" s="9" t="s">
        <v>170</v>
      </c>
      <c r="AE1810" s="4"/>
      <c r="AF1810" s="4" t="s">
        <v>81</v>
      </c>
      <c r="AG1810" s="4"/>
      <c r="AH1810" s="4"/>
      <c r="AI1810" s="4">
        <v>3</v>
      </c>
      <c r="AJ1810" s="2">
        <v>7</v>
      </c>
      <c r="AK1810" s="12">
        <f>grand[[#This Row],[accepted as exception]]/grand[[#This Row],[number]]</f>
        <v>0.18421052631578946</v>
      </c>
      <c r="AL1810" s="2">
        <f>483+3+30</f>
        <v>516</v>
      </c>
    </row>
    <row r="1811" spans="1:38" hidden="1" x14ac:dyDescent="0.2">
      <c r="A1811" s="11">
        <v>44217</v>
      </c>
      <c r="B1811" s="53" t="s">
        <v>2605</v>
      </c>
      <c r="C1811" s="52" t="str">
        <f>IF(MID(B1811,4,2)="09","Ramadan",IF(AND(MID(B1811,4,2)="12",VALUE(LEFT(B1811,2))&lt;=9),"Adha Season","Normal"))</f>
        <v>Normal</v>
      </c>
      <c r="D1811" s="1" t="s">
        <v>45</v>
      </c>
      <c r="F1811" s="4" t="s">
        <v>46</v>
      </c>
      <c r="G1811" s="4">
        <v>36</v>
      </c>
      <c r="H1811" s="4">
        <v>35</v>
      </c>
      <c r="I1811" s="2">
        <f>grand[[#This Row],[number]]-grand[[#This Row],[received]]</f>
        <v>1</v>
      </c>
      <c r="J1811" s="30" t="s">
        <v>112</v>
      </c>
      <c r="K1811" s="4">
        <v>16925</v>
      </c>
      <c r="L1811" s="4">
        <v>16260</v>
      </c>
      <c r="M1811" s="2">
        <f>K1811-L1811</f>
        <v>665</v>
      </c>
      <c r="N1811" s="4">
        <v>10327.799999999999</v>
      </c>
      <c r="O1811" s="4"/>
      <c r="P1811" s="7">
        <f>grand[[#This Row],[total weight]]/grand[[#This Row],[received]]</f>
        <v>483.57142857142856</v>
      </c>
      <c r="Q1811" s="7">
        <f>grand[[#This Row],[receiving weight]]/grand[[#This Row],[received]]</f>
        <v>464.57142857142856</v>
      </c>
      <c r="R1811" s="7">
        <f>grand[[#This Row],[transportation loss ]]/grand[[#This Row],[received]]</f>
        <v>19</v>
      </c>
      <c r="S1811" s="7">
        <f>grand[[#This Row],[ carcass weight]]/grand[[#This Row],[received]]</f>
        <v>295.08</v>
      </c>
      <c r="T1811" s="7">
        <f>grand[[#This Row],[ kidneys fat quantity]]/grand[[#This Row],[received]]</f>
        <v>0</v>
      </c>
      <c r="U1811" s="4">
        <v>25</v>
      </c>
      <c r="V1811" s="4">
        <v>0</v>
      </c>
      <c r="W1811" s="4">
        <v>49.4</v>
      </c>
      <c r="X1811" s="4">
        <v>10</v>
      </c>
      <c r="Y1811" s="8">
        <v>8.5</v>
      </c>
      <c r="Z1811" s="3">
        <f>grand[[#This Row],[av. Transportation loss]]/grand[[#This Row],[av.total weight]]</f>
        <v>3.9290989660265882E-2</v>
      </c>
      <c r="AA1811" s="12">
        <f>AVERAGE((grand[[#This Row],[am]]/25),(grand[[#This Row],[pm]]/50))</f>
        <v>0.99399999999999999</v>
      </c>
      <c r="AB1811" s="3">
        <f>grand[[#This Row],[ carcass weight]]/grand[[#This Row],[total weight]]</f>
        <v>0.61020974889217128</v>
      </c>
      <c r="AC1811" s="6">
        <f>SUM(grand[[#This Row],[am]:[meat transportation]])/100</f>
        <v>0.92900000000000005</v>
      </c>
      <c r="AD1811" s="9"/>
      <c r="AE1811" s="4"/>
      <c r="AF1811" s="4" t="s">
        <v>81</v>
      </c>
      <c r="AG1811" s="4"/>
      <c r="AH1811" s="4"/>
      <c r="AI1811" s="4">
        <v>3</v>
      </c>
      <c r="AJ1811" s="2">
        <v>11</v>
      </c>
      <c r="AK1811" s="12">
        <f>grand[[#This Row],[accepted as exception]]/grand[[#This Row],[number]]</f>
        <v>0.30555555555555558</v>
      </c>
      <c r="AL1811" s="2">
        <f>485+3</f>
        <v>488</v>
      </c>
    </row>
    <row r="1812" spans="1:38" hidden="1" x14ac:dyDescent="0.2">
      <c r="A1812" s="11">
        <v>44219</v>
      </c>
      <c r="B1812" s="53" t="s">
        <v>2606</v>
      </c>
      <c r="C1812" s="52" t="str">
        <f>IF(MID(B1812,4,2)="09","Ramadan",IF(AND(MID(B1812,4,2)="12",VALUE(LEFT(B1812,2))&lt;=9),"Adha Season","Normal"))</f>
        <v>Normal</v>
      </c>
      <c r="D1812" s="1" t="s">
        <v>45</v>
      </c>
      <c r="F1812" s="4" t="s">
        <v>165</v>
      </c>
      <c r="G1812" s="4">
        <v>32</v>
      </c>
      <c r="H1812" s="4">
        <v>31</v>
      </c>
      <c r="I1812" s="2">
        <f>grand[[#This Row],[number]]-grand[[#This Row],[received]]</f>
        <v>1</v>
      </c>
      <c r="J1812" s="30" t="s">
        <v>1118</v>
      </c>
      <c r="K1812" s="4">
        <v>14513</v>
      </c>
      <c r="L1812" s="4">
        <v>14105</v>
      </c>
      <c r="M1812" s="2">
        <f>K1812-L1812</f>
        <v>408</v>
      </c>
      <c r="N1812" s="4">
        <v>8708</v>
      </c>
      <c r="O1812" s="4"/>
      <c r="P1812" s="7">
        <f>grand[[#This Row],[total weight]]/grand[[#This Row],[received]]</f>
        <v>468.16129032258067</v>
      </c>
      <c r="Q1812" s="7">
        <f>grand[[#This Row],[receiving weight]]/grand[[#This Row],[received]]</f>
        <v>455</v>
      </c>
      <c r="R1812" s="7">
        <f>grand[[#This Row],[transportation loss ]]/grand[[#This Row],[received]]</f>
        <v>13.161290322580646</v>
      </c>
      <c r="S1812" s="7">
        <f>grand[[#This Row],[ carcass weight]]/grand[[#This Row],[received]]</f>
        <v>280.90322580645159</v>
      </c>
      <c r="T1812" s="7">
        <f>grand[[#This Row],[ kidneys fat quantity]]/grand[[#This Row],[received]]</f>
        <v>0</v>
      </c>
      <c r="U1812" s="4">
        <v>25</v>
      </c>
      <c r="V1812" s="4">
        <v>0</v>
      </c>
      <c r="W1812" s="4">
        <v>49.35</v>
      </c>
      <c r="X1812" s="4">
        <v>10</v>
      </c>
      <c r="Y1812" s="8">
        <v>8.5</v>
      </c>
      <c r="Z1812" s="3">
        <f>grand[[#This Row],[av. Transportation loss]]/grand[[#This Row],[av.total weight]]</f>
        <v>2.8112726521050093E-2</v>
      </c>
      <c r="AA1812" s="12">
        <f>AVERAGE((grand[[#This Row],[am]]/25),(grand[[#This Row],[pm]]/50))</f>
        <v>0.99350000000000005</v>
      </c>
      <c r="AB1812" s="3">
        <f>grand[[#This Row],[ carcass weight]]/grand[[#This Row],[total weight]]</f>
        <v>0.60001378074829459</v>
      </c>
      <c r="AC1812" s="6">
        <f>SUM(grand[[#This Row],[am]:[meat transportation]])/100</f>
        <v>0.92849999999999999</v>
      </c>
      <c r="AD1812" s="9"/>
      <c r="AE1812" s="4"/>
      <c r="AF1812" s="4"/>
      <c r="AG1812" s="4"/>
      <c r="AH1812" s="4"/>
      <c r="AI1812" s="4">
        <v>1</v>
      </c>
      <c r="AJ1812" s="2">
        <v>10</v>
      </c>
      <c r="AK1812" s="12">
        <f>grand[[#This Row],[accepted as exception]]/grand[[#This Row],[number]]</f>
        <v>0.3125</v>
      </c>
      <c r="AL1812" s="2">
        <f>485+5</f>
        <v>490</v>
      </c>
    </row>
    <row r="1813" spans="1:38" hidden="1" x14ac:dyDescent="0.2">
      <c r="A1813" s="11">
        <v>44222</v>
      </c>
      <c r="B1813" s="53" t="s">
        <v>2607</v>
      </c>
      <c r="C1813" s="52" t="str">
        <f>IF(MID(B1813,4,2)="09","Ramadan",IF(AND(MID(B1813,4,2)="12",VALUE(LEFT(B1813,2))&lt;=9),"Adha Season","Normal"))</f>
        <v>Normal</v>
      </c>
      <c r="D1813" s="1" t="s">
        <v>45</v>
      </c>
      <c r="F1813" s="4" t="s">
        <v>46</v>
      </c>
      <c r="G1813" s="4">
        <v>34</v>
      </c>
      <c r="H1813" s="4">
        <v>33</v>
      </c>
      <c r="I1813" s="2">
        <f>grand[[#This Row],[number]]-grand[[#This Row],[received]]</f>
        <v>1</v>
      </c>
      <c r="J1813" s="30" t="s">
        <v>1118</v>
      </c>
      <c r="K1813" s="4">
        <v>15925</v>
      </c>
      <c r="L1813" s="4">
        <v>14935</v>
      </c>
      <c r="M1813" s="2">
        <f>K1813-L1813</f>
        <v>990</v>
      </c>
      <c r="N1813" s="4">
        <v>9607.2000000000007</v>
      </c>
      <c r="O1813" s="4"/>
      <c r="P1813" s="7">
        <f>grand[[#This Row],[total weight]]/grand[[#This Row],[received]]</f>
        <v>482.57575757575756</v>
      </c>
      <c r="Q1813" s="7">
        <f>grand[[#This Row],[receiving weight]]/grand[[#This Row],[received]]</f>
        <v>452.57575757575756</v>
      </c>
      <c r="R1813" s="7">
        <f>grand[[#This Row],[transportation loss ]]/grand[[#This Row],[received]]</f>
        <v>30</v>
      </c>
      <c r="S1813" s="7">
        <f>grand[[#This Row],[ carcass weight]]/grand[[#This Row],[received]]</f>
        <v>291.12727272727273</v>
      </c>
      <c r="T1813" s="7">
        <f>grand[[#This Row],[ kidneys fat quantity]]/grand[[#This Row],[received]]</f>
        <v>0</v>
      </c>
      <c r="U1813" s="4">
        <v>25</v>
      </c>
      <c r="V1813" s="4">
        <v>0</v>
      </c>
      <c r="W1813" s="4">
        <v>49.58</v>
      </c>
      <c r="X1813" s="4">
        <v>10</v>
      </c>
      <c r="Y1813" s="8">
        <v>8.5</v>
      </c>
      <c r="Z1813" s="3">
        <f>grand[[#This Row],[av. Transportation loss]]/grand[[#This Row],[av.total weight]]</f>
        <v>6.216640502354788E-2</v>
      </c>
      <c r="AA1813" s="12">
        <f>AVERAGE((grand[[#This Row],[am]]/25),(grand[[#This Row],[pm]]/50))</f>
        <v>0.99580000000000002</v>
      </c>
      <c r="AB1813" s="3">
        <f>grand[[#This Row],[ carcass weight]]/grand[[#This Row],[total weight]]</f>
        <v>0.60327786499215075</v>
      </c>
      <c r="AC1813" s="6">
        <f>SUM(grand[[#This Row],[am]:[meat transportation]])/100</f>
        <v>0.93079999999999996</v>
      </c>
      <c r="AD1813" s="9" t="s">
        <v>228</v>
      </c>
      <c r="AE1813" s="4"/>
      <c r="AF1813" s="4"/>
      <c r="AG1813" s="4"/>
      <c r="AH1813" s="4"/>
      <c r="AI1813" s="4"/>
      <c r="AJ1813" s="2">
        <v>8</v>
      </c>
      <c r="AK1813" s="12">
        <f>grand[[#This Row],[accepted as exception]]/grand[[#This Row],[number]]</f>
        <v>0.23529411764705882</v>
      </c>
      <c r="AL1813" s="2">
        <f>475+13</f>
        <v>488</v>
      </c>
    </row>
    <row r="1814" spans="1:38" hidden="1" x14ac:dyDescent="0.2">
      <c r="A1814" s="11">
        <v>44229</v>
      </c>
      <c r="B1814" s="53" t="s">
        <v>2610</v>
      </c>
      <c r="C1814" s="52" t="str">
        <f>IF(MID(B1814,4,2)="09","Ramadan",IF(AND(MID(B1814,4,2)="12",VALUE(LEFT(B1814,2))&lt;=9),"Adha Season","Normal"))</f>
        <v>Normal</v>
      </c>
      <c r="D1814" s="1" t="s">
        <v>45</v>
      </c>
      <c r="F1814" s="4" t="s">
        <v>41</v>
      </c>
      <c r="G1814" s="4">
        <v>8</v>
      </c>
      <c r="H1814" s="4">
        <v>7</v>
      </c>
      <c r="I1814" s="2">
        <f>grand[[#This Row],[number]]-grand[[#This Row],[received]]</f>
        <v>1</v>
      </c>
      <c r="J1814" s="30" t="s">
        <v>112</v>
      </c>
      <c r="K1814" s="9">
        <v>2945</v>
      </c>
      <c r="L1814" s="9">
        <v>2740</v>
      </c>
      <c r="M1814" s="2">
        <f>K1814-L1814</f>
        <v>205</v>
      </c>
      <c r="N1814" s="9">
        <v>1683.9</v>
      </c>
      <c r="O1814" s="4"/>
      <c r="P1814" s="7">
        <f>grand[[#This Row],[total weight]]/grand[[#This Row],[received]]</f>
        <v>420.71428571428572</v>
      </c>
      <c r="Q1814" s="7">
        <f>grand[[#This Row],[receiving weight]]/grand[[#This Row],[received]]</f>
        <v>391.42857142857144</v>
      </c>
      <c r="R1814" s="7">
        <f>grand[[#This Row],[transportation loss ]]/grand[[#This Row],[received]]</f>
        <v>29.285714285714285</v>
      </c>
      <c r="S1814" s="7">
        <f>grand[[#This Row],[ carcass weight]]/grand[[#This Row],[received]]</f>
        <v>240.55714285714288</v>
      </c>
      <c r="T1814" s="7">
        <f>grand[[#This Row],[ kidneys fat quantity]]/grand[[#This Row],[received]]</f>
        <v>0</v>
      </c>
      <c r="U1814" s="4">
        <v>25</v>
      </c>
      <c r="V1814" s="4">
        <v>0</v>
      </c>
      <c r="W1814" s="4">
        <v>50</v>
      </c>
      <c r="X1814" s="4">
        <v>10</v>
      </c>
      <c r="Y1814" s="8">
        <v>8.5</v>
      </c>
      <c r="Z1814" s="3">
        <f>grand[[#This Row],[av. Transportation loss]]/grand[[#This Row],[av.total weight]]</f>
        <v>6.9609507640067902E-2</v>
      </c>
      <c r="AA1814" s="12">
        <f>AVERAGE((grand[[#This Row],[am]]/25),(grand[[#This Row],[pm]]/50))</f>
        <v>1</v>
      </c>
      <c r="AB1814" s="3">
        <f>grand[[#This Row],[ carcass weight]]/grand[[#This Row],[total weight]]</f>
        <v>0.57178268251273345</v>
      </c>
      <c r="AC1814" s="6">
        <f>SUM(grand[[#This Row],[am]:[meat transportation]])/100</f>
        <v>0.93500000000000005</v>
      </c>
      <c r="AD1814" s="9"/>
      <c r="AE1814" s="4"/>
      <c r="AF1814" s="4"/>
      <c r="AG1814" s="4"/>
      <c r="AH1814" s="4"/>
      <c r="AI1814" s="4"/>
      <c r="AJ1814" s="2">
        <v>1</v>
      </c>
      <c r="AK1814" s="12">
        <f>grand[[#This Row],[accepted as exception]]/grand[[#This Row],[number]]</f>
        <v>0.125</v>
      </c>
      <c r="AL1814" s="2">
        <v>456</v>
      </c>
    </row>
    <row r="1815" spans="1:38" hidden="1" x14ac:dyDescent="0.2">
      <c r="A1815" s="11">
        <v>44229</v>
      </c>
      <c r="B1815" s="53" t="s">
        <v>2610</v>
      </c>
      <c r="C1815" s="52" t="str">
        <f>IF(MID(B1815,4,2)="09","Ramadan",IF(AND(MID(B1815,4,2)="12",VALUE(LEFT(B1815,2))&lt;=9),"Adha Season","Normal"))</f>
        <v>Normal</v>
      </c>
      <c r="D1815" s="1" t="s">
        <v>45</v>
      </c>
      <c r="F1815" s="4" t="s">
        <v>50</v>
      </c>
      <c r="G1815" s="4">
        <v>33</v>
      </c>
      <c r="H1815" s="4">
        <v>32</v>
      </c>
      <c r="I1815" s="2">
        <f>grand[[#This Row],[number]]-grand[[#This Row],[received]]</f>
        <v>1</v>
      </c>
      <c r="J1815" s="30" t="s">
        <v>112</v>
      </c>
      <c r="K1815" s="9">
        <v>14204</v>
      </c>
      <c r="L1815" s="9">
        <v>13624</v>
      </c>
      <c r="M1815" s="2">
        <f>K1815-L1815</f>
        <v>580</v>
      </c>
      <c r="N1815" s="9">
        <v>8725.2000000000007</v>
      </c>
      <c r="O1815" s="2"/>
      <c r="P1815" s="7">
        <f>grand[[#This Row],[total weight]]/grand[[#This Row],[received]]</f>
        <v>443.875</v>
      </c>
      <c r="Q1815" s="7">
        <f>grand[[#This Row],[receiving weight]]/grand[[#This Row],[received]]</f>
        <v>425.75</v>
      </c>
      <c r="R1815" s="7">
        <f>grand[[#This Row],[transportation loss ]]/grand[[#This Row],[received]]</f>
        <v>18.125</v>
      </c>
      <c r="S1815" s="7">
        <f>grand[[#This Row],[ carcass weight]]/grand[[#This Row],[received]]</f>
        <v>272.66250000000002</v>
      </c>
      <c r="T1815" s="7">
        <f>grand[[#This Row],[ kidneys fat quantity]]/grand[[#This Row],[received]]</f>
        <v>0</v>
      </c>
      <c r="U1815" s="4">
        <v>25</v>
      </c>
      <c r="V1815" s="4">
        <v>0</v>
      </c>
      <c r="W1815" s="4">
        <v>50</v>
      </c>
      <c r="X1815" s="4">
        <v>10</v>
      </c>
      <c r="Y1815" s="8">
        <v>8.5</v>
      </c>
      <c r="Z1815" s="3">
        <f>grand[[#This Row],[av. Transportation loss]]/grand[[#This Row],[av.total weight]]</f>
        <v>4.0833568009011549E-2</v>
      </c>
      <c r="AA1815" s="12">
        <f>AVERAGE((grand[[#This Row],[am]]/25),(grand[[#This Row],[pm]]/50))</f>
        <v>1</v>
      </c>
      <c r="AB1815" s="3">
        <f>grand[[#This Row],[ carcass weight]]/grand[[#This Row],[total weight]]</f>
        <v>0.61427766826246133</v>
      </c>
      <c r="AC1815" s="6">
        <f>SUM(grand[[#This Row],[am]:[meat transportation]])/100</f>
        <v>0.93500000000000005</v>
      </c>
      <c r="AD1815" s="2"/>
      <c r="AE1815" s="2"/>
      <c r="AF1815" s="2"/>
      <c r="AG1815" s="2"/>
      <c r="AH1815" s="2"/>
      <c r="AI1815" s="2"/>
      <c r="AJ1815" s="2">
        <v>4</v>
      </c>
      <c r="AK1815" s="12">
        <f>grand[[#This Row],[accepted as exception]]/grand[[#This Row],[number]]</f>
        <v>0.12121212121212122</v>
      </c>
      <c r="AL1815" s="2">
        <v>406</v>
      </c>
    </row>
    <row r="1816" spans="1:38" hidden="1" x14ac:dyDescent="0.2">
      <c r="A1816" s="11">
        <v>44238</v>
      </c>
      <c r="B1816" s="53" t="s">
        <v>2614</v>
      </c>
      <c r="C1816" s="52" t="str">
        <f>IF(MID(B1816,4,2)="09","Ramadan",IF(AND(MID(B1816,4,2)="12",VALUE(LEFT(B1816,2))&lt;=9),"Adha Season","Normal"))</f>
        <v>Normal</v>
      </c>
      <c r="D1816" s="1" t="s">
        <v>45</v>
      </c>
      <c r="F1816" s="4" t="s">
        <v>46</v>
      </c>
      <c r="G1816" s="4">
        <v>46</v>
      </c>
      <c r="H1816" s="4">
        <v>45</v>
      </c>
      <c r="I1816" s="2">
        <f>grand[[#This Row],[number]]-grand[[#This Row],[received]]</f>
        <v>1</v>
      </c>
      <c r="J1816" s="30" t="s">
        <v>1118</v>
      </c>
      <c r="K1816" s="4">
        <v>20893</v>
      </c>
      <c r="L1816" s="4">
        <v>19293</v>
      </c>
      <c r="M1816" s="2">
        <f>K1816-L1816</f>
        <v>1600</v>
      </c>
      <c r="N1816" s="4">
        <v>12535.6</v>
      </c>
      <c r="O1816" s="4"/>
      <c r="P1816" s="7">
        <f>grand[[#This Row],[total weight]]/grand[[#This Row],[received]]</f>
        <v>464.28888888888889</v>
      </c>
      <c r="Q1816" s="7">
        <f>grand[[#This Row],[receiving weight]]/grand[[#This Row],[received]]</f>
        <v>428.73333333333335</v>
      </c>
      <c r="R1816" s="7">
        <f>grand[[#This Row],[transportation loss ]]/grand[[#This Row],[received]]</f>
        <v>35.555555555555557</v>
      </c>
      <c r="S1816" s="7">
        <f>grand[[#This Row],[ carcass weight]]/grand[[#This Row],[received]]</f>
        <v>278.56888888888892</v>
      </c>
      <c r="T1816" s="7">
        <f>grand[[#This Row],[ kidneys fat quantity]]/grand[[#This Row],[received]]</f>
        <v>0</v>
      </c>
      <c r="U1816" s="4">
        <v>25</v>
      </c>
      <c r="V1816" s="4">
        <v>0</v>
      </c>
      <c r="W1816" s="4">
        <v>49.2</v>
      </c>
      <c r="X1816" s="4">
        <v>10</v>
      </c>
      <c r="Y1816" s="8">
        <v>8.5</v>
      </c>
      <c r="Z1816" s="3">
        <f>grand[[#This Row],[av. Transportation loss]]/grand[[#This Row],[av.total weight]]</f>
        <v>7.6580672952663575E-2</v>
      </c>
      <c r="AA1816" s="12">
        <f>AVERAGE((grand[[#This Row],[am]]/25),(grand[[#This Row],[pm]]/50))</f>
        <v>0.99199999999999999</v>
      </c>
      <c r="AB1816" s="3">
        <f>grand[[#This Row],[ carcass weight]]/grand[[#This Row],[total weight]]</f>
        <v>0.59999042741588093</v>
      </c>
      <c r="AC1816" s="6">
        <f>SUM(grand[[#This Row],[am]:[meat transportation]])/100</f>
        <v>0.92700000000000005</v>
      </c>
      <c r="AD1816" s="9" t="s">
        <v>81</v>
      </c>
      <c r="AE1816" s="4"/>
      <c r="AF1816" s="4" t="s">
        <v>71</v>
      </c>
      <c r="AG1816" s="4"/>
      <c r="AH1816" s="4"/>
      <c r="AI1816" s="4"/>
      <c r="AJ1816" s="2">
        <v>13</v>
      </c>
      <c r="AK1816" s="12">
        <f>grand[[#This Row],[accepted as exception]]/grand[[#This Row],[number]]</f>
        <v>0.28260869565217389</v>
      </c>
      <c r="AL1816" s="2">
        <f>492+10</f>
        <v>502</v>
      </c>
    </row>
    <row r="1817" spans="1:38" hidden="1" x14ac:dyDescent="0.2">
      <c r="A1817" s="11">
        <v>44240</v>
      </c>
      <c r="B1817" s="53" t="s">
        <v>2615</v>
      </c>
      <c r="C1817" s="52" t="str">
        <f>IF(MID(B1817,4,2)="09","Ramadan",IF(AND(MID(B1817,4,2)="12",VALUE(LEFT(B1817,2))&lt;=9),"Adha Season","Normal"))</f>
        <v>Normal</v>
      </c>
      <c r="D1817" s="1" t="s">
        <v>45</v>
      </c>
      <c r="F1817" s="4" t="s">
        <v>165</v>
      </c>
      <c r="G1817" s="4">
        <v>36</v>
      </c>
      <c r="H1817" s="4">
        <v>35</v>
      </c>
      <c r="I1817" s="2">
        <f>grand[[#This Row],[number]]-grand[[#This Row],[received]]</f>
        <v>1</v>
      </c>
      <c r="J1817" s="30" t="s">
        <v>112</v>
      </c>
      <c r="K1817" s="4">
        <v>17080</v>
      </c>
      <c r="L1817" s="4">
        <v>16490</v>
      </c>
      <c r="M1817" s="2">
        <f>K1817-L1817</f>
        <v>590</v>
      </c>
      <c r="N1817" s="4">
        <v>10247.799999999999</v>
      </c>
      <c r="O1817" s="4"/>
      <c r="P1817" s="7">
        <f>grand[[#This Row],[total weight]]/grand[[#This Row],[received]]</f>
        <v>488</v>
      </c>
      <c r="Q1817" s="7">
        <f>grand[[#This Row],[receiving weight]]/grand[[#This Row],[received]]</f>
        <v>471.14285714285717</v>
      </c>
      <c r="R1817" s="7">
        <f>grand[[#This Row],[transportation loss ]]/grand[[#This Row],[received]]</f>
        <v>16.857142857142858</v>
      </c>
      <c r="S1817" s="7">
        <f>grand[[#This Row],[ carcass weight]]/grand[[#This Row],[received]]</f>
        <v>292.79428571428571</v>
      </c>
      <c r="T1817" s="7">
        <f>grand[[#This Row],[ kidneys fat quantity]]/grand[[#This Row],[received]]</f>
        <v>0</v>
      </c>
      <c r="U1817" s="4">
        <v>25</v>
      </c>
      <c r="V1817" s="4">
        <v>0</v>
      </c>
      <c r="W1817" s="4">
        <v>49.51</v>
      </c>
      <c r="X1817" s="4">
        <v>10</v>
      </c>
      <c r="Y1817" s="8">
        <v>8.5</v>
      </c>
      <c r="Z1817" s="3">
        <f>grand[[#This Row],[av. Transportation loss]]/grand[[#This Row],[av.total weight]]</f>
        <v>3.4543325526932088E-2</v>
      </c>
      <c r="AA1817" s="12">
        <f>AVERAGE((grand[[#This Row],[am]]/25),(grand[[#This Row],[pm]]/50))</f>
        <v>0.99509999999999998</v>
      </c>
      <c r="AB1817" s="3">
        <f>grand[[#This Row],[ carcass weight]]/grand[[#This Row],[total weight]]</f>
        <v>0.5999882903981264</v>
      </c>
      <c r="AC1817" s="6">
        <f>SUM(grand[[#This Row],[am]:[meat transportation]])/100</f>
        <v>0.93009999999999993</v>
      </c>
      <c r="AD1817" s="9" t="s">
        <v>261</v>
      </c>
      <c r="AE1817" s="4"/>
      <c r="AF1817" s="4" t="s">
        <v>262</v>
      </c>
      <c r="AG1817" s="4"/>
      <c r="AH1817" s="4"/>
      <c r="AI1817" s="4"/>
      <c r="AJ1817" s="2">
        <v>21</v>
      </c>
      <c r="AK1817" s="12">
        <f>grand[[#This Row],[accepted as exception]]/grand[[#This Row],[number]]</f>
        <v>0.58333333333333337</v>
      </c>
      <c r="AL1817" s="2">
        <f>470+63</f>
        <v>533</v>
      </c>
    </row>
    <row r="1818" spans="1:38" hidden="1" x14ac:dyDescent="0.2">
      <c r="A1818" s="11">
        <v>44252</v>
      </c>
      <c r="B1818" s="53" t="s">
        <v>2620</v>
      </c>
      <c r="C1818" s="52" t="str">
        <f>IF(MID(B1818,4,2)="09","Ramadan",IF(AND(MID(B1818,4,2)="12",VALUE(LEFT(B1818,2))&lt;=9),"Adha Season","Normal"))</f>
        <v>Normal</v>
      </c>
      <c r="D1818" s="1" t="s">
        <v>45</v>
      </c>
      <c r="F1818" s="4" t="s">
        <v>46</v>
      </c>
      <c r="G1818" s="4">
        <v>42</v>
      </c>
      <c r="H1818" s="4">
        <v>41</v>
      </c>
      <c r="I1818" s="2">
        <f>grand[[#This Row],[number]]-grand[[#This Row],[received]]</f>
        <v>1</v>
      </c>
      <c r="J1818" s="30" t="s">
        <v>1118</v>
      </c>
      <c r="K1818" s="9">
        <v>19237</v>
      </c>
      <c r="L1818" s="9">
        <v>18440</v>
      </c>
      <c r="M1818" s="2">
        <f>K1818-L1818</f>
        <v>797</v>
      </c>
      <c r="N1818" s="9">
        <v>11541.4</v>
      </c>
      <c r="O1818" s="4"/>
      <c r="P1818" s="7">
        <f>grand[[#This Row],[total weight]]/grand[[#This Row],[received]]</f>
        <v>469.19512195121951</v>
      </c>
      <c r="Q1818" s="7">
        <f>grand[[#This Row],[receiving weight]]/grand[[#This Row],[received]]</f>
        <v>449.7560975609756</v>
      </c>
      <c r="R1818" s="7">
        <f>grand[[#This Row],[transportation loss ]]/grand[[#This Row],[received]]</f>
        <v>19.439024390243901</v>
      </c>
      <c r="S1818" s="7">
        <f>grand[[#This Row],[ carcass weight]]/grand[[#This Row],[received]]</f>
        <v>281.49756097560976</v>
      </c>
      <c r="T1818" s="7">
        <f>grand[[#This Row],[ kidneys fat quantity]]/grand[[#This Row],[received]]</f>
        <v>0</v>
      </c>
      <c r="U1818" s="4">
        <v>24.9</v>
      </c>
      <c r="V1818" s="4">
        <v>0</v>
      </c>
      <c r="W1818" s="4">
        <v>49.49</v>
      </c>
      <c r="X1818" s="4">
        <v>10</v>
      </c>
      <c r="Y1818" s="8">
        <v>8.5</v>
      </c>
      <c r="Z1818" s="3">
        <f>grand[[#This Row],[av. Transportation loss]]/grand[[#This Row],[av.total weight]]</f>
        <v>4.1430576493216194E-2</v>
      </c>
      <c r="AA1818" s="12">
        <f>AVERAGE((grand[[#This Row],[am]]/25),(grand[[#This Row],[pm]]/50))</f>
        <v>0.9929</v>
      </c>
      <c r="AB1818" s="3">
        <f>grand[[#This Row],[ carcass weight]]/grand[[#This Row],[total weight]]</f>
        <v>0.59995841347403445</v>
      </c>
      <c r="AC1818" s="6">
        <f>SUM(grand[[#This Row],[am]:[meat transportation]])/100</f>
        <v>0.92890000000000006</v>
      </c>
      <c r="AD1818" s="9"/>
      <c r="AE1818" s="4"/>
      <c r="AF1818" s="4" t="s">
        <v>170</v>
      </c>
      <c r="AG1818" s="4"/>
      <c r="AH1818" s="4"/>
      <c r="AI1818" s="4"/>
      <c r="AJ1818" s="2">
        <v>15</v>
      </c>
      <c r="AK1818" s="12">
        <f>grand[[#This Row],[accepted as exception]]/grand[[#This Row],[number]]</f>
        <v>0.35714285714285715</v>
      </c>
      <c r="AL1818" s="2">
        <f>498</f>
        <v>498</v>
      </c>
    </row>
    <row r="1819" spans="1:38" hidden="1" x14ac:dyDescent="0.2">
      <c r="A1819" s="11">
        <v>44255</v>
      </c>
      <c r="B1819" s="53" t="s">
        <v>1538</v>
      </c>
      <c r="C1819" s="52" t="str">
        <f>IF(MID(B1819,4,2)="09","Ramadan",IF(AND(MID(B1819,4,2)="12",VALUE(LEFT(B1819,2))&lt;=9),"Adha Season","Normal"))</f>
        <v>Normal</v>
      </c>
      <c r="D1819" s="1" t="s">
        <v>45</v>
      </c>
      <c r="F1819" s="4" t="s">
        <v>165</v>
      </c>
      <c r="G1819" s="4">
        <v>47</v>
      </c>
      <c r="H1819" s="4">
        <v>46</v>
      </c>
      <c r="I1819" s="2">
        <f>grand[[#This Row],[number]]-grand[[#This Row],[received]]</f>
        <v>1</v>
      </c>
      <c r="J1819" s="30" t="s">
        <v>112</v>
      </c>
      <c r="K1819" s="9">
        <v>22290</v>
      </c>
      <c r="L1819" s="9">
        <v>21715</v>
      </c>
      <c r="M1819" s="2">
        <f>K1819-L1819</f>
        <v>575</v>
      </c>
      <c r="N1819" s="9">
        <v>13459.1</v>
      </c>
      <c r="O1819" s="4"/>
      <c r="P1819" s="7">
        <f>grand[[#This Row],[total weight]]/grand[[#This Row],[received]]</f>
        <v>484.56521739130437</v>
      </c>
      <c r="Q1819" s="7">
        <f>grand[[#This Row],[receiving weight]]/grand[[#This Row],[received]]</f>
        <v>472.06521739130437</v>
      </c>
      <c r="R1819" s="7">
        <f>grand[[#This Row],[transportation loss ]]/grand[[#This Row],[received]]</f>
        <v>12.5</v>
      </c>
      <c r="S1819" s="7">
        <f>grand[[#This Row],[ carcass weight]]/grand[[#This Row],[received]]</f>
        <v>292.58913043478259</v>
      </c>
      <c r="T1819" s="7">
        <f>grand[[#This Row],[ kidneys fat quantity]]/grand[[#This Row],[received]]</f>
        <v>0</v>
      </c>
      <c r="U1819" s="4">
        <v>25</v>
      </c>
      <c r="V1819" s="4">
        <v>0</v>
      </c>
      <c r="W1819" s="4">
        <v>49.57</v>
      </c>
      <c r="X1819" s="4">
        <v>10</v>
      </c>
      <c r="Y1819" s="8">
        <v>8.5</v>
      </c>
      <c r="Z1819" s="3">
        <f>grand[[#This Row],[av. Transportation loss]]/grand[[#This Row],[av.total weight]]</f>
        <v>2.579632122027815E-2</v>
      </c>
      <c r="AA1819" s="12">
        <f>AVERAGE((grand[[#This Row],[am]]/25),(grand[[#This Row],[pm]]/50))</f>
        <v>0.99570000000000003</v>
      </c>
      <c r="AB1819" s="3">
        <f>grand[[#This Row],[ carcass weight]]/grand[[#This Row],[total weight]]</f>
        <v>0.60381785554060119</v>
      </c>
      <c r="AC1819" s="6">
        <f>SUM(grand[[#This Row],[am]:[meat transportation]])/100</f>
        <v>0.93069999999999997</v>
      </c>
      <c r="AD1819" s="9" t="s">
        <v>269</v>
      </c>
      <c r="AE1819" s="4"/>
      <c r="AF1819" s="4"/>
      <c r="AG1819" s="4"/>
      <c r="AH1819" s="4"/>
      <c r="AI1819" s="4"/>
      <c r="AJ1819" s="2">
        <v>19</v>
      </c>
      <c r="AK1819" s="12">
        <f>grand[[#This Row],[accepted as exception]]/grand[[#This Row],[number]]</f>
        <v>0.40425531914893614</v>
      </c>
      <c r="AL1819" s="2">
        <f>495+127.5</f>
        <v>622.5</v>
      </c>
    </row>
    <row r="1820" spans="1:38" hidden="1" x14ac:dyDescent="0.2">
      <c r="A1820" s="11">
        <v>44261</v>
      </c>
      <c r="B1820" s="53" t="s">
        <v>2624</v>
      </c>
      <c r="C1820" s="52" t="str">
        <f>IF(MID(B1820,4,2)="09","Ramadan",IF(AND(MID(B1820,4,2)="12",VALUE(LEFT(B1820,2))&lt;=9),"Adha Season","Normal"))</f>
        <v>Normal</v>
      </c>
      <c r="D1820" s="1" t="s">
        <v>45</v>
      </c>
      <c r="F1820" s="4" t="s">
        <v>165</v>
      </c>
      <c r="G1820" s="4">
        <v>32</v>
      </c>
      <c r="H1820" s="4">
        <v>31</v>
      </c>
      <c r="I1820" s="2">
        <f>grand[[#This Row],[number]]-grand[[#This Row],[received]]</f>
        <v>1</v>
      </c>
      <c r="J1820" s="30" t="s">
        <v>1118</v>
      </c>
      <c r="K1820" s="9">
        <v>14235</v>
      </c>
      <c r="L1820" s="9">
        <v>13960</v>
      </c>
      <c r="M1820" s="2">
        <f>K1820-L1820</f>
        <v>275</v>
      </c>
      <c r="N1820" s="9">
        <v>8540.4</v>
      </c>
      <c r="O1820" s="2"/>
      <c r="P1820" s="7">
        <f>grand[[#This Row],[total weight]]/grand[[#This Row],[received]]</f>
        <v>459.19354838709677</v>
      </c>
      <c r="Q1820" s="7">
        <f>grand[[#This Row],[receiving weight]]/grand[[#This Row],[received]]</f>
        <v>450.32258064516128</v>
      </c>
      <c r="R1820" s="7">
        <f>grand[[#This Row],[transportation loss ]]/grand[[#This Row],[received]]</f>
        <v>8.870967741935484</v>
      </c>
      <c r="S1820" s="7">
        <f>grand[[#This Row],[ carcass weight]]/grand[[#This Row],[received]]</f>
        <v>275.49677419354839</v>
      </c>
      <c r="T1820" s="7">
        <f>grand[[#This Row],[ kidneys fat quantity]]/grand[[#This Row],[received]]</f>
        <v>0</v>
      </c>
      <c r="U1820" s="4">
        <v>25</v>
      </c>
      <c r="V1820" s="4">
        <v>0</v>
      </c>
      <c r="W1820" s="4">
        <v>49.77</v>
      </c>
      <c r="X1820" s="4">
        <v>9.8000000000000007</v>
      </c>
      <c r="Y1820" s="8">
        <v>8.5</v>
      </c>
      <c r="Z1820" s="3">
        <f>grand[[#This Row],[av. Transportation loss]]/grand[[#This Row],[av.total weight]]</f>
        <v>1.9318580962416579E-2</v>
      </c>
      <c r="AA1820" s="12">
        <f>AVERAGE((grand[[#This Row],[am]]/25),(grand[[#This Row],[pm]]/50))</f>
        <v>0.99770000000000003</v>
      </c>
      <c r="AB1820" s="3">
        <f>grand[[#This Row],[ carcass weight]]/grand[[#This Row],[total weight]]</f>
        <v>0.59995785036880922</v>
      </c>
      <c r="AC1820" s="6">
        <f>SUM(grand[[#This Row],[am]:[meat transportation]])/100</f>
        <v>0.93070000000000008</v>
      </c>
      <c r="AD1820" s="9" t="s">
        <v>117</v>
      </c>
      <c r="AE1820" s="2"/>
      <c r="AF1820" s="4"/>
      <c r="AG1820" s="2"/>
      <c r="AH1820" s="2"/>
      <c r="AI1820" s="2"/>
      <c r="AJ1820" s="2">
        <v>15</v>
      </c>
      <c r="AK1820" s="12">
        <f>grand[[#This Row],[accepted as exception]]/grand[[#This Row],[number]]</f>
        <v>0.46875</v>
      </c>
      <c r="AL1820" s="2">
        <v>485</v>
      </c>
    </row>
    <row r="1821" spans="1:38" hidden="1" x14ac:dyDescent="0.2">
      <c r="A1821" s="11">
        <v>44262</v>
      </c>
      <c r="B1821" s="53" t="s">
        <v>1539</v>
      </c>
      <c r="C1821" s="52" t="str">
        <f>IF(MID(B1821,4,2)="09","Ramadan",IF(AND(MID(B1821,4,2)="12",VALUE(LEFT(B1821,2))&lt;=9),"Adha Season","Normal"))</f>
        <v>Normal</v>
      </c>
      <c r="D1821" s="1" t="s">
        <v>45</v>
      </c>
      <c r="F1821" s="4" t="s">
        <v>43</v>
      </c>
      <c r="G1821" s="4">
        <v>48</v>
      </c>
      <c r="H1821" s="4">
        <v>47</v>
      </c>
      <c r="I1821" s="2">
        <f>grand[[#This Row],[number]]-grand[[#This Row],[received]]</f>
        <v>1</v>
      </c>
      <c r="J1821" s="30" t="s">
        <v>112</v>
      </c>
      <c r="K1821" s="9">
        <v>23152</v>
      </c>
      <c r="L1821" s="9">
        <v>22480</v>
      </c>
      <c r="M1821" s="2">
        <f>K1821-L1821</f>
        <v>672</v>
      </c>
      <c r="N1821" s="9">
        <v>13891.8</v>
      </c>
      <c r="O1821" s="2"/>
      <c r="P1821" s="7">
        <f>grand[[#This Row],[total weight]]/grand[[#This Row],[received]]</f>
        <v>492.59574468085106</v>
      </c>
      <c r="Q1821" s="7">
        <f>grand[[#This Row],[receiving weight]]/grand[[#This Row],[received]]</f>
        <v>478.29787234042556</v>
      </c>
      <c r="R1821" s="7">
        <f>grand[[#This Row],[transportation loss ]]/grand[[#This Row],[received]]</f>
        <v>14.297872340425531</v>
      </c>
      <c r="S1821" s="7">
        <f>grand[[#This Row],[ carcass weight]]/grand[[#This Row],[received]]</f>
        <v>295.57021276595742</v>
      </c>
      <c r="T1821" s="7">
        <f>grand[[#This Row],[ kidneys fat quantity]]/grand[[#This Row],[received]]</f>
        <v>0</v>
      </c>
      <c r="U1821" s="4">
        <v>25</v>
      </c>
      <c r="V1821" s="4">
        <v>0</v>
      </c>
      <c r="W1821" s="4">
        <v>49.85</v>
      </c>
      <c r="X1821" s="4">
        <v>10</v>
      </c>
      <c r="Y1821" s="8">
        <v>8.5</v>
      </c>
      <c r="Z1821" s="3">
        <f>grand[[#This Row],[av. Transportation loss]]/grand[[#This Row],[av.total weight]]</f>
        <v>2.9025570145127851E-2</v>
      </c>
      <c r="AA1821" s="12">
        <f>AVERAGE((grand[[#This Row],[am]]/25),(grand[[#This Row],[pm]]/50))</f>
        <v>0.99849999999999994</v>
      </c>
      <c r="AB1821" s="3">
        <f>grand[[#This Row],[ carcass weight]]/grand[[#This Row],[total weight]]</f>
        <v>0.60002591568762953</v>
      </c>
      <c r="AC1821" s="6">
        <f>SUM(grand[[#This Row],[am]:[meat transportation]])/100</f>
        <v>0.9335</v>
      </c>
      <c r="AD1821" s="9" t="s">
        <v>94</v>
      </c>
      <c r="AE1821" s="2"/>
      <c r="AF1821" s="4"/>
      <c r="AG1821" s="2"/>
      <c r="AH1821" s="2"/>
      <c r="AI1821" s="2"/>
      <c r="AJ1821" s="2">
        <v>17</v>
      </c>
      <c r="AK1821" s="12">
        <f>grand[[#This Row],[accepted as exception]]/grand[[#This Row],[number]]</f>
        <v>0.35416666666666669</v>
      </c>
      <c r="AL1821" s="2">
        <v>500</v>
      </c>
    </row>
    <row r="1822" spans="1:38" hidden="1" x14ac:dyDescent="0.2">
      <c r="A1822" s="11">
        <v>44264</v>
      </c>
      <c r="B1822" s="53" t="s">
        <v>2625</v>
      </c>
      <c r="C1822" s="52" t="str">
        <f>IF(MID(B1822,4,2)="09","Ramadan",IF(AND(MID(B1822,4,2)="12",VALUE(LEFT(B1822,2))&lt;=9),"Adha Season","Normal"))</f>
        <v>Normal</v>
      </c>
      <c r="D1822" s="1" t="s">
        <v>45</v>
      </c>
      <c r="F1822" s="4" t="s">
        <v>39</v>
      </c>
      <c r="G1822" s="4">
        <v>41</v>
      </c>
      <c r="H1822" s="4">
        <v>40</v>
      </c>
      <c r="I1822" s="2">
        <f>grand[[#This Row],[number]]-grand[[#This Row],[received]]</f>
        <v>1</v>
      </c>
      <c r="J1822" s="30" t="s">
        <v>274</v>
      </c>
      <c r="K1822" s="9">
        <v>18055</v>
      </c>
      <c r="L1822" s="9">
        <v>17299</v>
      </c>
      <c r="M1822" s="2">
        <f>K1822-L1822</f>
        <v>756</v>
      </c>
      <c r="N1822" s="9">
        <v>11105.3</v>
      </c>
      <c r="O1822" s="2"/>
      <c r="P1822" s="7">
        <f>grand[[#This Row],[total weight]]/grand[[#This Row],[received]]</f>
        <v>451.375</v>
      </c>
      <c r="Q1822" s="7">
        <f>grand[[#This Row],[receiving weight]]/grand[[#This Row],[received]]</f>
        <v>432.47500000000002</v>
      </c>
      <c r="R1822" s="7">
        <f>grand[[#This Row],[transportation loss ]]/grand[[#This Row],[received]]</f>
        <v>18.899999999999999</v>
      </c>
      <c r="S1822" s="7">
        <f>grand[[#This Row],[ carcass weight]]/grand[[#This Row],[received]]</f>
        <v>277.63249999999999</v>
      </c>
      <c r="T1822" s="7">
        <f>grand[[#This Row],[ kidneys fat quantity]]/grand[[#This Row],[received]]</f>
        <v>0</v>
      </c>
      <c r="U1822" s="4">
        <v>25</v>
      </c>
      <c r="V1822" s="4">
        <v>0</v>
      </c>
      <c r="W1822" s="4">
        <v>49.74</v>
      </c>
      <c r="X1822" s="4">
        <v>10</v>
      </c>
      <c r="Y1822" s="8">
        <v>8.5</v>
      </c>
      <c r="Z1822" s="3">
        <f>grand[[#This Row],[av. Transportation loss]]/grand[[#This Row],[av.total weight]]</f>
        <v>4.1872057601772358E-2</v>
      </c>
      <c r="AA1822" s="12">
        <f>AVERAGE((grand[[#This Row],[am]]/25),(grand[[#This Row],[pm]]/50))</f>
        <v>0.99740000000000006</v>
      </c>
      <c r="AB1822" s="3">
        <f>grand[[#This Row],[ carcass weight]]/grand[[#This Row],[total weight]]</f>
        <v>0.61508169482137909</v>
      </c>
      <c r="AC1822" s="6">
        <f>SUM(grand[[#This Row],[am]:[meat transportation]])/100</f>
        <v>0.93240000000000012</v>
      </c>
      <c r="AD1822" s="9" t="s">
        <v>81</v>
      </c>
      <c r="AE1822" s="4"/>
      <c r="AF1822" s="4" t="s">
        <v>81</v>
      </c>
      <c r="AG1822" s="2"/>
      <c r="AH1822" s="2"/>
      <c r="AI1822" s="2"/>
      <c r="AJ1822" s="2">
        <v>3</v>
      </c>
      <c r="AK1822" s="12">
        <f>grand[[#This Row],[accepted as exception]]/grand[[#This Row],[number]]</f>
        <v>7.3170731707317069E-2</v>
      </c>
      <c r="AL1822" s="2">
        <f>441+8</f>
        <v>449</v>
      </c>
    </row>
    <row r="1823" spans="1:38" hidden="1" x14ac:dyDescent="0.2">
      <c r="A1823" s="11">
        <v>44268</v>
      </c>
      <c r="B1823" s="53" t="s">
        <v>2627</v>
      </c>
      <c r="C1823" s="52" t="str">
        <f>IF(MID(B1823,4,2)="09","Ramadan",IF(AND(MID(B1823,4,2)="12",VALUE(LEFT(B1823,2))&lt;=9),"Adha Season","Normal"))</f>
        <v>Normal</v>
      </c>
      <c r="D1823" s="1" t="s">
        <v>45</v>
      </c>
      <c r="F1823" s="4" t="s">
        <v>43</v>
      </c>
      <c r="G1823" s="4">
        <v>30</v>
      </c>
      <c r="H1823" s="4">
        <v>29</v>
      </c>
      <c r="I1823" s="2">
        <f>grand[[#This Row],[number]]-grand[[#This Row],[received]]</f>
        <v>1</v>
      </c>
      <c r="J1823" s="30" t="s">
        <v>112</v>
      </c>
      <c r="K1823" s="9">
        <v>13918</v>
      </c>
      <c r="L1823" s="9">
        <v>13483</v>
      </c>
      <c r="M1823" s="2">
        <f>K1823-L1823</f>
        <v>435</v>
      </c>
      <c r="N1823" s="9">
        <v>8350.5</v>
      </c>
      <c r="O1823" s="2"/>
      <c r="P1823" s="7">
        <f>grand[[#This Row],[total weight]]/grand[[#This Row],[received]]</f>
        <v>479.93103448275861</v>
      </c>
      <c r="Q1823" s="7">
        <f>grand[[#This Row],[receiving weight]]/grand[[#This Row],[received]]</f>
        <v>464.93103448275861</v>
      </c>
      <c r="R1823" s="7">
        <f>grand[[#This Row],[transportation loss ]]/grand[[#This Row],[received]]</f>
        <v>15</v>
      </c>
      <c r="S1823" s="7">
        <f>grand[[#This Row],[ carcass weight]]/grand[[#This Row],[received]]</f>
        <v>287.94827586206895</v>
      </c>
      <c r="T1823" s="7">
        <f>grand[[#This Row],[ kidneys fat quantity]]/grand[[#This Row],[received]]</f>
        <v>0</v>
      </c>
      <c r="U1823" s="4">
        <v>24.8</v>
      </c>
      <c r="V1823" s="4">
        <v>0</v>
      </c>
      <c r="W1823" s="4">
        <v>49.28</v>
      </c>
      <c r="X1823" s="4">
        <v>10</v>
      </c>
      <c r="Y1823" s="8">
        <v>8.5</v>
      </c>
      <c r="Z1823" s="3">
        <f>grand[[#This Row],[av. Transportation loss]]/grand[[#This Row],[av.total weight]]</f>
        <v>3.1254490587728126E-2</v>
      </c>
      <c r="AA1823" s="12">
        <f>AVERAGE((grand[[#This Row],[am]]/25),(grand[[#This Row],[pm]]/50))</f>
        <v>0.98880000000000001</v>
      </c>
      <c r="AB1823" s="3">
        <f>grand[[#This Row],[ carcass weight]]/grand[[#This Row],[total weight]]</f>
        <v>0.59997844517890497</v>
      </c>
      <c r="AC1823" s="6">
        <f>SUM(grand[[#This Row],[am]:[meat transportation]])/100</f>
        <v>0.92579999999999996</v>
      </c>
      <c r="AD1823" s="9" t="s">
        <v>277</v>
      </c>
      <c r="AE1823" s="4"/>
      <c r="AF1823" s="4"/>
      <c r="AG1823" s="2"/>
      <c r="AH1823" s="2"/>
      <c r="AI1823" s="2"/>
      <c r="AJ1823" s="2">
        <v>7</v>
      </c>
      <c r="AK1823" s="12">
        <f>grand[[#This Row],[accepted as exception]]/grand[[#This Row],[number]]</f>
        <v>0.23333333333333334</v>
      </c>
      <c r="AL1823" s="2">
        <f>467+16</f>
        <v>483</v>
      </c>
    </row>
    <row r="1824" spans="1:38" hidden="1" x14ac:dyDescent="0.2">
      <c r="A1824" s="11">
        <v>44269</v>
      </c>
      <c r="B1824" s="53" t="s">
        <v>1540</v>
      </c>
      <c r="C1824" s="52" t="str">
        <f>IF(MID(B1824,4,2)="09","Ramadan",IF(AND(MID(B1824,4,2)="12",VALUE(LEFT(B1824,2))&lt;=9),"Adha Season","Normal"))</f>
        <v>Normal</v>
      </c>
      <c r="D1824" s="1" t="s">
        <v>45</v>
      </c>
      <c r="F1824" s="4" t="s">
        <v>165</v>
      </c>
      <c r="G1824" s="4">
        <v>40</v>
      </c>
      <c r="H1824" s="4">
        <v>39</v>
      </c>
      <c r="I1824" s="2">
        <f>grand[[#This Row],[number]]-grand[[#This Row],[received]]</f>
        <v>1</v>
      </c>
      <c r="J1824" s="30" t="s">
        <v>1118</v>
      </c>
      <c r="K1824" s="9">
        <v>19515</v>
      </c>
      <c r="L1824" s="9">
        <v>19225</v>
      </c>
      <c r="M1824" s="2">
        <f>K1824-L1824</f>
        <v>290</v>
      </c>
      <c r="N1824" s="9">
        <v>12190.3</v>
      </c>
      <c r="O1824" s="2"/>
      <c r="P1824" s="7">
        <f>grand[[#This Row],[total weight]]/grand[[#This Row],[received]]</f>
        <v>500.38461538461536</v>
      </c>
      <c r="Q1824" s="7">
        <f>grand[[#This Row],[receiving weight]]/grand[[#This Row],[received]]</f>
        <v>492.94871794871796</v>
      </c>
      <c r="R1824" s="7">
        <f>grand[[#This Row],[transportation loss ]]/grand[[#This Row],[received]]</f>
        <v>7.4358974358974361</v>
      </c>
      <c r="S1824" s="7">
        <f>grand[[#This Row],[ carcass weight]]/grand[[#This Row],[received]]</f>
        <v>312.57179487179485</v>
      </c>
      <c r="T1824" s="7">
        <f>grand[[#This Row],[ kidneys fat quantity]]/grand[[#This Row],[received]]</f>
        <v>0</v>
      </c>
      <c r="U1824" s="4">
        <v>25</v>
      </c>
      <c r="V1824" s="4">
        <v>0</v>
      </c>
      <c r="W1824" s="4">
        <v>49.49</v>
      </c>
      <c r="X1824" s="4">
        <v>10</v>
      </c>
      <c r="Y1824" s="8">
        <v>8.5</v>
      </c>
      <c r="Z1824" s="3">
        <f>grand[[#This Row],[av. Transportation loss]]/grand[[#This Row],[av.total weight]]</f>
        <v>1.4860363822700487E-2</v>
      </c>
      <c r="AA1824" s="12">
        <f>AVERAGE((grand[[#This Row],[am]]/25),(grand[[#This Row],[pm]]/50))</f>
        <v>0.99490000000000001</v>
      </c>
      <c r="AB1824" s="3">
        <f>grand[[#This Row],[ carcass weight]]/grand[[#This Row],[total weight]]</f>
        <v>0.62466307968229562</v>
      </c>
      <c r="AC1824" s="6">
        <f>SUM(grand[[#This Row],[am]:[meat transportation]])/100</f>
        <v>0.92990000000000006</v>
      </c>
      <c r="AD1824" s="9" t="s">
        <v>278</v>
      </c>
      <c r="AE1824" s="2"/>
      <c r="AF1824" s="4" t="s">
        <v>170</v>
      </c>
      <c r="AG1824" s="2"/>
      <c r="AH1824" s="2"/>
      <c r="AI1824" s="2"/>
      <c r="AJ1824" s="2">
        <v>1</v>
      </c>
      <c r="AK1824" s="12">
        <f>grand[[#This Row],[accepted as exception]]/grand[[#This Row],[number]]</f>
        <v>2.5000000000000001E-2</v>
      </c>
      <c r="AL1824" s="2">
        <f>460</f>
        <v>460</v>
      </c>
    </row>
    <row r="1825" spans="1:38" hidden="1" x14ac:dyDescent="0.2">
      <c r="A1825" s="11">
        <v>44275</v>
      </c>
      <c r="B1825" s="53" t="s">
        <v>2630</v>
      </c>
      <c r="C1825" s="52" t="str">
        <f>IF(MID(B1825,4,2)="09","Ramadan",IF(AND(MID(B1825,4,2)="12",VALUE(LEFT(B1825,2))&lt;=9),"Adha Season","Normal"))</f>
        <v>Normal</v>
      </c>
      <c r="D1825" s="1" t="s">
        <v>45</v>
      </c>
      <c r="F1825" s="4" t="s">
        <v>43</v>
      </c>
      <c r="G1825" s="4">
        <v>27</v>
      </c>
      <c r="H1825" s="4">
        <v>26</v>
      </c>
      <c r="I1825" s="2">
        <f>grand[[#This Row],[number]]-grand[[#This Row],[received]]</f>
        <v>1</v>
      </c>
      <c r="J1825" s="30" t="s">
        <v>1118</v>
      </c>
      <c r="K1825" s="9">
        <v>12965</v>
      </c>
      <c r="L1825" s="9">
        <v>12305</v>
      </c>
      <c r="M1825" s="2">
        <f>K1825-L1825</f>
        <v>660</v>
      </c>
      <c r="N1825" s="9">
        <v>7865.9</v>
      </c>
      <c r="O1825" s="2"/>
      <c r="P1825" s="7">
        <f>grand[[#This Row],[total weight]]/grand[[#This Row],[received]]</f>
        <v>498.65384615384613</v>
      </c>
      <c r="Q1825" s="7">
        <f>grand[[#This Row],[receiving weight]]/grand[[#This Row],[received]]</f>
        <v>473.26923076923077</v>
      </c>
      <c r="R1825" s="7">
        <f>grand[[#This Row],[transportation loss ]]/grand[[#This Row],[received]]</f>
        <v>25.384615384615383</v>
      </c>
      <c r="S1825" s="7">
        <f>grand[[#This Row],[ carcass weight]]/grand[[#This Row],[received]]</f>
        <v>302.53461538461539</v>
      </c>
      <c r="T1825" s="7">
        <f>grand[[#This Row],[ kidneys fat quantity]]/grand[[#This Row],[received]]</f>
        <v>0</v>
      </c>
      <c r="U1825" s="4">
        <v>25</v>
      </c>
      <c r="V1825" s="4">
        <v>0</v>
      </c>
      <c r="W1825" s="4">
        <v>49.85</v>
      </c>
      <c r="X1825" s="4">
        <v>10</v>
      </c>
      <c r="Y1825" s="8">
        <v>8.5</v>
      </c>
      <c r="Z1825" s="3">
        <f>grand[[#This Row],[av. Transportation loss]]/grand[[#This Row],[av.total weight]]</f>
        <v>5.090628615503278E-2</v>
      </c>
      <c r="AA1825" s="12">
        <f>AVERAGE((grand[[#This Row],[am]]/25),(grand[[#This Row],[pm]]/50))</f>
        <v>0.99849999999999994</v>
      </c>
      <c r="AB1825" s="3">
        <f>grand[[#This Row],[ carcass weight]]/grand[[#This Row],[total weight]]</f>
        <v>0.60670266101041259</v>
      </c>
      <c r="AC1825" s="6">
        <f>SUM(grand[[#This Row],[am]:[meat transportation]])/100</f>
        <v>0.9335</v>
      </c>
      <c r="AD1825" s="9" t="s">
        <v>89</v>
      </c>
      <c r="AE1825" s="4"/>
      <c r="AF1825" s="4" t="s">
        <v>82</v>
      </c>
      <c r="AG1825" s="2"/>
      <c r="AH1825" s="2"/>
      <c r="AI1825" s="2"/>
      <c r="AJ1825" s="2">
        <v>11</v>
      </c>
      <c r="AK1825" s="12">
        <f>grand[[#This Row],[accepted as exception]]/grand[[#This Row],[number]]</f>
        <v>0.40740740740740738</v>
      </c>
      <c r="AL1825" s="2">
        <f>510+4</f>
        <v>514</v>
      </c>
    </row>
    <row r="1826" spans="1:38" hidden="1" x14ac:dyDescent="0.2">
      <c r="A1826" s="11">
        <v>44276</v>
      </c>
      <c r="B1826" s="53" t="s">
        <v>1541</v>
      </c>
      <c r="C1826" s="52" t="str">
        <f>IF(MID(B1826,4,2)="09","Ramadan",IF(AND(MID(B1826,4,2)="12",VALUE(LEFT(B1826,2))&lt;=9),"Adha Season","Normal"))</f>
        <v>Normal</v>
      </c>
      <c r="D1826" s="1" t="s">
        <v>45</v>
      </c>
      <c r="F1826" s="4" t="s">
        <v>280</v>
      </c>
      <c r="G1826" s="4">
        <v>38</v>
      </c>
      <c r="H1826" s="4">
        <v>37</v>
      </c>
      <c r="I1826" s="2">
        <f>grand[[#This Row],[number]]-grand[[#This Row],[received]]</f>
        <v>1</v>
      </c>
      <c r="J1826" s="30" t="s">
        <v>1118</v>
      </c>
      <c r="K1826" s="9">
        <v>18415</v>
      </c>
      <c r="L1826" s="9">
        <v>17690</v>
      </c>
      <c r="M1826" s="2">
        <f>K1826-L1826</f>
        <v>725</v>
      </c>
      <c r="N1826" s="9">
        <v>11071.4</v>
      </c>
      <c r="O1826" s="2"/>
      <c r="P1826" s="7">
        <f>grand[[#This Row],[total weight]]/grand[[#This Row],[received]]</f>
        <v>497.70270270270271</v>
      </c>
      <c r="Q1826" s="7">
        <f>grand[[#This Row],[receiving weight]]/grand[[#This Row],[received]]</f>
        <v>478.10810810810813</v>
      </c>
      <c r="R1826" s="7">
        <f>grand[[#This Row],[transportation loss ]]/grand[[#This Row],[received]]</f>
        <v>19.594594594594593</v>
      </c>
      <c r="S1826" s="7">
        <f>grand[[#This Row],[ carcass weight]]/grand[[#This Row],[received]]</f>
        <v>299.22702702702702</v>
      </c>
      <c r="T1826" s="7">
        <f>grand[[#This Row],[ kidneys fat quantity]]/grand[[#This Row],[received]]</f>
        <v>0</v>
      </c>
      <c r="U1826" s="4">
        <v>25</v>
      </c>
      <c r="V1826" s="4">
        <v>0</v>
      </c>
      <c r="W1826" s="4">
        <v>49.95</v>
      </c>
      <c r="X1826" s="4">
        <v>9.9</v>
      </c>
      <c r="Y1826" s="8">
        <v>8.5</v>
      </c>
      <c r="Z1826" s="3">
        <f>grand[[#This Row],[av. Transportation loss]]/grand[[#This Row],[av.total weight]]</f>
        <v>3.937007874015748E-2</v>
      </c>
      <c r="AA1826" s="12">
        <f>AVERAGE((grand[[#This Row],[am]]/25),(grand[[#This Row],[pm]]/50))</f>
        <v>0.99950000000000006</v>
      </c>
      <c r="AB1826" s="3">
        <f>grand[[#This Row],[ carcass weight]]/grand[[#This Row],[total weight]]</f>
        <v>0.60121639967417861</v>
      </c>
      <c r="AC1826" s="6">
        <f>SUM(grand[[#This Row],[am]:[meat transportation]])/100</f>
        <v>0.93350000000000011</v>
      </c>
      <c r="AD1826" s="9" t="s">
        <v>89</v>
      </c>
      <c r="AE1826" s="2"/>
      <c r="AF1826" s="4"/>
      <c r="AG1826" s="2"/>
      <c r="AH1826" s="2"/>
      <c r="AI1826" s="2"/>
      <c r="AJ1826" s="2">
        <v>17</v>
      </c>
      <c r="AK1826" s="12">
        <f>grand[[#This Row],[accepted as exception]]/grand[[#This Row],[number]]</f>
        <v>0.44736842105263158</v>
      </c>
      <c r="AL1826" s="2">
        <v>493</v>
      </c>
    </row>
    <row r="1827" spans="1:38" hidden="1" x14ac:dyDescent="0.2">
      <c r="A1827" s="11">
        <v>44283</v>
      </c>
      <c r="B1827" s="53" t="s">
        <v>1542</v>
      </c>
      <c r="C1827" s="52" t="str">
        <f>IF(MID(B1827,4,2)="09","Ramadan",IF(AND(MID(B1827,4,2)="12",VALUE(LEFT(B1827,2))&lt;=9),"Adha Season","Normal"))</f>
        <v>Normal</v>
      </c>
      <c r="D1827" s="1" t="s">
        <v>45</v>
      </c>
      <c r="F1827" s="4" t="s">
        <v>165</v>
      </c>
      <c r="G1827" s="4">
        <v>45</v>
      </c>
      <c r="H1827" s="4">
        <v>44</v>
      </c>
      <c r="I1827" s="2">
        <f>grand[[#This Row],[number]]-grand[[#This Row],[received]]</f>
        <v>1</v>
      </c>
      <c r="J1827" s="30" t="s">
        <v>1118</v>
      </c>
      <c r="K1827" s="9">
        <v>22645</v>
      </c>
      <c r="L1827" s="9">
        <v>21955</v>
      </c>
      <c r="M1827" s="2">
        <f>K1827-L1827</f>
        <v>690</v>
      </c>
      <c r="N1827" s="9">
        <v>13801.5</v>
      </c>
      <c r="O1827" s="2"/>
      <c r="P1827" s="7">
        <f>grand[[#This Row],[total weight]]/grand[[#This Row],[received]]</f>
        <v>514.65909090909088</v>
      </c>
      <c r="Q1827" s="7">
        <f>grand[[#This Row],[receiving weight]]/grand[[#This Row],[received]]</f>
        <v>498.97727272727275</v>
      </c>
      <c r="R1827" s="7">
        <f>grand[[#This Row],[transportation loss ]]/grand[[#This Row],[received]]</f>
        <v>15.681818181818182</v>
      </c>
      <c r="S1827" s="7">
        <f>grand[[#This Row],[ carcass weight]]/grand[[#This Row],[received]]</f>
        <v>313.67045454545456</v>
      </c>
      <c r="T1827" s="7">
        <f>grand[[#This Row],[ kidneys fat quantity]]/grand[[#This Row],[received]]</f>
        <v>0</v>
      </c>
      <c r="U1827" s="4">
        <v>25</v>
      </c>
      <c r="V1827" s="4">
        <v>0</v>
      </c>
      <c r="W1827" s="4">
        <v>49.48</v>
      </c>
      <c r="X1827" s="4">
        <v>9.9</v>
      </c>
      <c r="Y1827" s="8">
        <v>8.5</v>
      </c>
      <c r="Z1827" s="3">
        <f>grand[[#This Row],[av. Transportation loss]]/grand[[#This Row],[av.total weight]]</f>
        <v>3.0470302495032017E-2</v>
      </c>
      <c r="AA1827" s="12">
        <f>AVERAGE((grand[[#This Row],[am]]/25),(grand[[#This Row],[pm]]/50))</f>
        <v>0.99479999999999991</v>
      </c>
      <c r="AB1827" s="3">
        <f>grand[[#This Row],[ carcass weight]]/grand[[#This Row],[total weight]]</f>
        <v>0.60947228968867295</v>
      </c>
      <c r="AC1827" s="6">
        <f>SUM(grand[[#This Row],[am]:[meat transportation]])/100</f>
        <v>0.92879999999999996</v>
      </c>
      <c r="AD1827" s="9" t="s">
        <v>283</v>
      </c>
      <c r="AE1827" s="2"/>
      <c r="AF1827" s="4" t="s">
        <v>55</v>
      </c>
      <c r="AG1827" s="2"/>
      <c r="AH1827" s="2"/>
      <c r="AI1827" s="2"/>
      <c r="AJ1827" s="2">
        <v>21</v>
      </c>
      <c r="AK1827" s="12">
        <f>grand[[#This Row],[accepted as exception]]/grand[[#This Row],[number]]</f>
        <v>0.46666666666666667</v>
      </c>
      <c r="AL1827" s="2">
        <f>445+16</f>
        <v>461</v>
      </c>
    </row>
    <row r="1828" spans="1:38" hidden="1" x14ac:dyDescent="0.2">
      <c r="A1828" s="11">
        <v>44285</v>
      </c>
      <c r="B1828" s="53" t="s">
        <v>2634</v>
      </c>
      <c r="C1828" s="52" t="str">
        <f>IF(MID(B1828,4,2)="09","Ramadan",IF(AND(MID(B1828,4,2)="12",VALUE(LEFT(B1828,2))&lt;=9),"Adha Season","Normal"))</f>
        <v>Normal</v>
      </c>
      <c r="D1828" s="1" t="s">
        <v>45</v>
      </c>
      <c r="F1828" s="4" t="s">
        <v>50</v>
      </c>
      <c r="G1828" s="4">
        <v>43</v>
      </c>
      <c r="H1828" s="4">
        <v>42</v>
      </c>
      <c r="I1828" s="2">
        <f>grand[[#This Row],[number]]-grand[[#This Row],[received]]</f>
        <v>1</v>
      </c>
      <c r="J1828" s="30" t="s">
        <v>108</v>
      </c>
      <c r="K1828" s="9">
        <v>19135</v>
      </c>
      <c r="L1828" s="9">
        <v>18346</v>
      </c>
      <c r="M1828" s="2">
        <f>K1828-L1828</f>
        <v>789</v>
      </c>
      <c r="N1828" s="9">
        <v>12225.5</v>
      </c>
      <c r="O1828" s="2"/>
      <c r="P1828" s="7">
        <f>grand[[#This Row],[total weight]]/grand[[#This Row],[received]]</f>
        <v>455.59523809523807</v>
      </c>
      <c r="Q1828" s="7">
        <f>grand[[#This Row],[receiving weight]]/grand[[#This Row],[received]]</f>
        <v>436.8095238095238</v>
      </c>
      <c r="R1828" s="7">
        <f>grand[[#This Row],[transportation loss ]]/grand[[#This Row],[received]]</f>
        <v>18.785714285714285</v>
      </c>
      <c r="S1828" s="7">
        <f>grand[[#This Row],[ carcass weight]]/grand[[#This Row],[received]]</f>
        <v>291.08333333333331</v>
      </c>
      <c r="T1828" s="7">
        <f>grand[[#This Row],[ kidneys fat quantity]]/grand[[#This Row],[received]]</f>
        <v>0</v>
      </c>
      <c r="U1828" s="4">
        <v>25</v>
      </c>
      <c r="V1828" s="4">
        <v>0</v>
      </c>
      <c r="W1828" s="4">
        <v>49.83</v>
      </c>
      <c r="X1828" s="4">
        <v>9.6</v>
      </c>
      <c r="Y1828" s="8">
        <v>8.5</v>
      </c>
      <c r="Z1828" s="3">
        <f>grand[[#This Row],[av. Transportation loss]]/grand[[#This Row],[av.total weight]]</f>
        <v>4.123334204337601E-2</v>
      </c>
      <c r="AA1828" s="12">
        <f>AVERAGE((grand[[#This Row],[am]]/25),(grand[[#This Row],[pm]]/50))</f>
        <v>0.99829999999999997</v>
      </c>
      <c r="AB1828" s="3">
        <f>grand[[#This Row],[ carcass weight]]/grand[[#This Row],[total weight]]</f>
        <v>0.63890776064802712</v>
      </c>
      <c r="AC1828" s="6">
        <f>SUM(grand[[#This Row],[am]:[meat transportation]])/100</f>
        <v>0.9292999999999999</v>
      </c>
      <c r="AD1828" s="9" t="s">
        <v>97</v>
      </c>
      <c r="AE1828" s="4"/>
      <c r="AF1828" s="4" t="s">
        <v>121</v>
      </c>
      <c r="AG1828" s="2"/>
      <c r="AH1828" s="2"/>
      <c r="AI1828" s="2"/>
      <c r="AJ1828" s="2">
        <v>6</v>
      </c>
      <c r="AK1828" s="12">
        <f>grand[[#This Row],[accepted as exception]]/grand[[#This Row],[number]]</f>
        <v>0.13953488372093023</v>
      </c>
      <c r="AL1828" s="2">
        <f>477</f>
        <v>477</v>
      </c>
    </row>
    <row r="1829" spans="1:38" hidden="1" x14ac:dyDescent="0.2">
      <c r="A1829" s="11">
        <v>44297</v>
      </c>
      <c r="B1829" s="53" t="s">
        <v>1546</v>
      </c>
      <c r="C1829" s="52" t="str">
        <f>IF(MID(B1829,4,2)="09","Ramadan",IF(AND(MID(B1829,4,2)="12",VALUE(LEFT(B1829,2))&lt;=9),"Adha Season","Normal"))</f>
        <v>Normal</v>
      </c>
      <c r="D1829" s="1" t="s">
        <v>45</v>
      </c>
      <c r="F1829" s="4" t="s">
        <v>50</v>
      </c>
      <c r="G1829" s="4">
        <v>52</v>
      </c>
      <c r="H1829" s="4">
        <v>51</v>
      </c>
      <c r="I1829" s="2">
        <f>grand[[#This Row],[number]]-grand[[#This Row],[received]]</f>
        <v>1</v>
      </c>
      <c r="J1829" s="30" t="s">
        <v>112</v>
      </c>
      <c r="K1829" s="9">
        <v>23004</v>
      </c>
      <c r="L1829" s="9">
        <v>21870</v>
      </c>
      <c r="M1829" s="2">
        <f>K1829-L1829</f>
        <v>1134</v>
      </c>
      <c r="N1829" s="9">
        <v>14270.9</v>
      </c>
      <c r="O1829" s="2"/>
      <c r="P1829" s="7">
        <f>grand[[#This Row],[total weight]]/grand[[#This Row],[received]]</f>
        <v>451.05882352941177</v>
      </c>
      <c r="Q1829" s="7">
        <f>grand[[#This Row],[receiving weight]]/grand[[#This Row],[received]]</f>
        <v>428.8235294117647</v>
      </c>
      <c r="R1829" s="7">
        <f>grand[[#This Row],[transportation loss ]]/grand[[#This Row],[received]]</f>
        <v>22.235294117647058</v>
      </c>
      <c r="S1829" s="7">
        <f>grand[[#This Row],[ carcass weight]]/grand[[#This Row],[received]]</f>
        <v>279.82156862745097</v>
      </c>
      <c r="T1829" s="7">
        <f>grand[[#This Row],[ kidneys fat quantity]]/grand[[#This Row],[received]]</f>
        <v>0</v>
      </c>
      <c r="U1829" s="4">
        <v>25</v>
      </c>
      <c r="V1829" s="4">
        <v>0</v>
      </c>
      <c r="W1829" s="4">
        <v>49.88</v>
      </c>
      <c r="X1829" s="4">
        <v>10</v>
      </c>
      <c r="Y1829" s="8">
        <v>8.5</v>
      </c>
      <c r="Z1829" s="3">
        <f>grand[[#This Row],[av. Transportation loss]]/grand[[#This Row],[av.total weight]]</f>
        <v>4.9295774647887321E-2</v>
      </c>
      <c r="AA1829" s="12">
        <f>AVERAGE((grand[[#This Row],[am]]/25),(grand[[#This Row],[pm]]/50))</f>
        <v>0.99880000000000002</v>
      </c>
      <c r="AB1829" s="3">
        <f>grand[[#This Row],[ carcass weight]]/grand[[#This Row],[total weight]]</f>
        <v>0.62036602330029555</v>
      </c>
      <c r="AC1829" s="6">
        <f>SUM(grand[[#This Row],[am]:[meat transportation]])/100</f>
        <v>0.93379999999999996</v>
      </c>
      <c r="AD1829" s="9"/>
      <c r="AE1829" s="4"/>
      <c r="AF1829" s="4"/>
      <c r="AG1829" s="2"/>
      <c r="AH1829" s="2"/>
      <c r="AI1829" s="2"/>
      <c r="AJ1829" s="2">
        <v>8</v>
      </c>
      <c r="AK1829" s="12">
        <f>grand[[#This Row],[accepted as exception]]/grand[[#This Row],[number]]</f>
        <v>0.15384615384615385</v>
      </c>
      <c r="AL1829" s="2">
        <f>495+2</f>
        <v>497</v>
      </c>
    </row>
    <row r="1830" spans="1:38" hidden="1" x14ac:dyDescent="0.2">
      <c r="A1830" s="11">
        <v>44301</v>
      </c>
      <c r="B1830" s="53" t="s">
        <v>2639</v>
      </c>
      <c r="C1830" s="52" t="str">
        <f>IF(MID(B1830,4,2)="09","Ramadan",IF(AND(MID(B1830,4,2)="12",VALUE(LEFT(B1830,2))&lt;=9),"Adha Season","Normal"))</f>
        <v>Ramadan</v>
      </c>
      <c r="D1830" s="1" t="s">
        <v>45</v>
      </c>
      <c r="F1830" s="4" t="s">
        <v>47</v>
      </c>
      <c r="G1830" s="4">
        <v>24</v>
      </c>
      <c r="H1830" s="4">
        <v>23</v>
      </c>
      <c r="I1830" s="2">
        <f>grand[[#This Row],[number]]-grand[[#This Row],[received]]</f>
        <v>1</v>
      </c>
      <c r="J1830" s="30" t="s">
        <v>112</v>
      </c>
      <c r="K1830" s="9">
        <v>10046</v>
      </c>
      <c r="L1830" s="9">
        <v>9613</v>
      </c>
      <c r="M1830" s="2">
        <f>K1830-L1830</f>
        <v>433</v>
      </c>
      <c r="N1830" s="9">
        <v>6028</v>
      </c>
      <c r="O1830" s="2"/>
      <c r="P1830" s="7">
        <f>grand[[#This Row],[total weight]]/grand[[#This Row],[received]]</f>
        <v>436.78260869565219</v>
      </c>
      <c r="Q1830" s="7">
        <f>grand[[#This Row],[receiving weight]]/grand[[#This Row],[received]]</f>
        <v>417.95652173913044</v>
      </c>
      <c r="R1830" s="7">
        <f>grand[[#This Row],[transportation loss ]]/grand[[#This Row],[received]]</f>
        <v>18.826086956521738</v>
      </c>
      <c r="S1830" s="7">
        <f>grand[[#This Row],[ carcass weight]]/grand[[#This Row],[received]]</f>
        <v>262.08695652173913</v>
      </c>
      <c r="T1830" s="7">
        <f>grand[[#This Row],[ kidneys fat quantity]]/grand[[#This Row],[received]]</f>
        <v>0</v>
      </c>
      <c r="U1830" s="4">
        <v>25</v>
      </c>
      <c r="V1830" s="4">
        <v>0</v>
      </c>
      <c r="W1830" s="4">
        <v>49.57</v>
      </c>
      <c r="X1830" s="4">
        <v>9.8000000000000007</v>
      </c>
      <c r="Y1830" s="8">
        <v>8.5</v>
      </c>
      <c r="Z1830" s="3">
        <f>grand[[#This Row],[av. Transportation loss]]/grand[[#This Row],[av.total weight]]</f>
        <v>4.310173203264981E-2</v>
      </c>
      <c r="AA1830" s="12">
        <f>AVERAGE((grand[[#This Row],[am]]/25),(grand[[#This Row],[pm]]/50))</f>
        <v>0.99570000000000003</v>
      </c>
      <c r="AB1830" s="3">
        <f>grand[[#This Row],[ carcass weight]]/grand[[#This Row],[total weight]]</f>
        <v>0.60003981684252439</v>
      </c>
      <c r="AC1830" s="6">
        <f>SUM(grand[[#This Row],[am]:[meat transportation]])/100</f>
        <v>0.92869999999999986</v>
      </c>
      <c r="AD1830" s="9"/>
      <c r="AE1830" s="4"/>
      <c r="AF1830" s="4"/>
      <c r="AG1830" s="2"/>
      <c r="AH1830" s="2"/>
      <c r="AI1830" s="2"/>
      <c r="AJ1830" s="2">
        <v>5</v>
      </c>
      <c r="AK1830" s="12">
        <f>grand[[#This Row],[accepted as exception]]/grand[[#This Row],[number]]</f>
        <v>0.20833333333333334</v>
      </c>
      <c r="AL1830" s="2">
        <v>402</v>
      </c>
    </row>
    <row r="1831" spans="1:38" hidden="1" x14ac:dyDescent="0.2">
      <c r="A1831" s="11">
        <v>44306</v>
      </c>
      <c r="B1831" s="53" t="s">
        <v>2641</v>
      </c>
      <c r="C1831" s="52" t="str">
        <f>IF(MID(B1831,4,2)="09","Ramadan",IF(AND(MID(B1831,4,2)="12",VALUE(LEFT(B1831,2))&lt;=9),"Adha Season","Normal"))</f>
        <v>Ramadan</v>
      </c>
      <c r="D1831" s="1" t="s">
        <v>45</v>
      </c>
      <c r="F1831" s="4" t="s">
        <v>50</v>
      </c>
      <c r="G1831" s="4">
        <v>21</v>
      </c>
      <c r="H1831" s="4">
        <v>20</v>
      </c>
      <c r="I1831" s="2">
        <f>grand[[#This Row],[number]]-grand[[#This Row],[received]]</f>
        <v>1</v>
      </c>
      <c r="J1831" s="30" t="s">
        <v>287</v>
      </c>
      <c r="K1831" s="9">
        <v>9339</v>
      </c>
      <c r="L1831" s="9">
        <v>8686</v>
      </c>
      <c r="M1831" s="2">
        <f>K1831-L1831</f>
        <v>653</v>
      </c>
      <c r="N1831" s="9">
        <v>5810.3</v>
      </c>
      <c r="O1831" s="2"/>
      <c r="P1831" s="7">
        <f>grand[[#This Row],[total weight]]/grand[[#This Row],[received]]</f>
        <v>466.95</v>
      </c>
      <c r="Q1831" s="7">
        <f>grand[[#This Row],[receiving weight]]/grand[[#This Row],[received]]</f>
        <v>434.3</v>
      </c>
      <c r="R1831" s="7">
        <f>grand[[#This Row],[transportation loss ]]/grand[[#This Row],[received]]</f>
        <v>32.65</v>
      </c>
      <c r="S1831" s="7">
        <f>grand[[#This Row],[ carcass weight]]/grand[[#This Row],[received]]</f>
        <v>290.51499999999999</v>
      </c>
      <c r="T1831" s="7">
        <f>grand[[#This Row],[ kidneys fat quantity]]/grand[[#This Row],[received]]</f>
        <v>0</v>
      </c>
      <c r="U1831" s="4">
        <v>25</v>
      </c>
      <c r="V1831" s="4">
        <v>0</v>
      </c>
      <c r="W1831" s="4">
        <v>49.75</v>
      </c>
      <c r="X1831" s="4">
        <v>10</v>
      </c>
      <c r="Y1831" s="8">
        <v>8.5</v>
      </c>
      <c r="Z1831" s="3">
        <f>grand[[#This Row],[av. Transportation loss]]/grand[[#This Row],[av.total weight]]</f>
        <v>6.9921833172716566E-2</v>
      </c>
      <c r="AA1831" s="12">
        <f>AVERAGE((grand[[#This Row],[am]]/25),(grand[[#This Row],[pm]]/50))</f>
        <v>0.99750000000000005</v>
      </c>
      <c r="AB1831" s="3">
        <f>grand[[#This Row],[ carcass weight]]/grand[[#This Row],[total weight]]</f>
        <v>0.62215440625334617</v>
      </c>
      <c r="AC1831" s="6">
        <f>SUM(grand[[#This Row],[am]:[meat transportation]])/100</f>
        <v>0.9325</v>
      </c>
      <c r="AD1831" s="9"/>
      <c r="AE1831" s="4"/>
      <c r="AF1831" s="4"/>
      <c r="AG1831" s="2"/>
      <c r="AH1831" s="2"/>
      <c r="AI1831" s="2"/>
      <c r="AJ1831" s="2">
        <v>4</v>
      </c>
      <c r="AK1831" s="12">
        <f>grand[[#This Row],[accepted as exception]]/grand[[#This Row],[number]]</f>
        <v>0.19047619047619047</v>
      </c>
      <c r="AL1831" s="2">
        <v>420</v>
      </c>
    </row>
    <row r="1832" spans="1:38" hidden="1" x14ac:dyDescent="0.2">
      <c r="A1832" s="11">
        <v>44308</v>
      </c>
      <c r="B1832" s="53" t="s">
        <v>2642</v>
      </c>
      <c r="C1832" s="52" t="str">
        <f>IF(MID(B1832,4,2)="09","Ramadan",IF(AND(MID(B1832,4,2)="12",VALUE(LEFT(B1832,2))&lt;=9),"Adha Season","Normal"))</f>
        <v>Ramadan</v>
      </c>
      <c r="D1832" s="1" t="s">
        <v>45</v>
      </c>
      <c r="F1832" s="4" t="s">
        <v>50</v>
      </c>
      <c r="G1832" s="4">
        <v>33</v>
      </c>
      <c r="H1832" s="4">
        <v>32</v>
      </c>
      <c r="I1832" s="2">
        <f>grand[[#This Row],[number]]-grand[[#This Row],[received]]</f>
        <v>1</v>
      </c>
      <c r="J1832" s="30" t="s">
        <v>112</v>
      </c>
      <c r="K1832" s="9">
        <v>14901</v>
      </c>
      <c r="L1832" s="9">
        <v>14225</v>
      </c>
      <c r="M1832" s="2">
        <f>K1832-L1832</f>
        <v>676</v>
      </c>
      <c r="N1832" s="9">
        <v>9235.7999999999993</v>
      </c>
      <c r="O1832" s="2"/>
      <c r="P1832" s="7">
        <f>grand[[#This Row],[total weight]]/grand[[#This Row],[received]]</f>
        <v>465.65625</v>
      </c>
      <c r="Q1832" s="7">
        <f>grand[[#This Row],[receiving weight]]/grand[[#This Row],[received]]</f>
        <v>444.53125</v>
      </c>
      <c r="R1832" s="7">
        <f>grand[[#This Row],[transportation loss ]]/grand[[#This Row],[received]]</f>
        <v>21.125</v>
      </c>
      <c r="S1832" s="7">
        <f>grand[[#This Row],[ carcass weight]]/grand[[#This Row],[received]]</f>
        <v>288.61874999999998</v>
      </c>
      <c r="T1832" s="7">
        <f>grand[[#This Row],[ kidneys fat quantity]]/grand[[#This Row],[received]]</f>
        <v>0</v>
      </c>
      <c r="U1832" s="4">
        <v>25</v>
      </c>
      <c r="V1832" s="4">
        <v>0</v>
      </c>
      <c r="W1832" s="4">
        <v>49.94</v>
      </c>
      <c r="X1832" s="4">
        <v>10</v>
      </c>
      <c r="Y1832" s="8">
        <v>8.5</v>
      </c>
      <c r="Z1832" s="3">
        <f>grand[[#This Row],[av. Transportation loss]]/grand[[#This Row],[av.total weight]]</f>
        <v>4.536608281323401E-2</v>
      </c>
      <c r="AA1832" s="12">
        <f>AVERAGE((grand[[#This Row],[am]]/25),(grand[[#This Row],[pm]]/50))</f>
        <v>0.99939999999999996</v>
      </c>
      <c r="AB1832" s="3">
        <f>grand[[#This Row],[ carcass weight]]/grand[[#This Row],[total weight]]</f>
        <v>0.61981075095631166</v>
      </c>
      <c r="AC1832" s="6">
        <f>SUM(grand[[#This Row],[am]:[meat transportation]])/100</f>
        <v>0.93440000000000001</v>
      </c>
      <c r="AD1832" s="9"/>
      <c r="AE1832" s="4"/>
      <c r="AF1832" s="4"/>
      <c r="AG1832" s="2"/>
      <c r="AH1832" s="2"/>
      <c r="AI1832" s="2"/>
      <c r="AJ1832" s="2">
        <v>10</v>
      </c>
      <c r="AK1832" s="12">
        <f>grand[[#This Row],[accepted as exception]]/grand[[#This Row],[number]]</f>
        <v>0.30303030303030304</v>
      </c>
      <c r="AL1832" s="2">
        <v>428</v>
      </c>
    </row>
    <row r="1833" spans="1:38" hidden="1" x14ac:dyDescent="0.2">
      <c r="A1833" s="11">
        <v>44311</v>
      </c>
      <c r="B1833" s="53" t="s">
        <v>1549</v>
      </c>
      <c r="C1833" s="52" t="str">
        <f>IF(MID(B1833,4,2)="09","Ramadan",IF(AND(MID(B1833,4,2)="12",VALUE(LEFT(B1833,2))&lt;=9),"Adha Season","Normal"))</f>
        <v>Ramadan</v>
      </c>
      <c r="D1833" s="1" t="s">
        <v>45</v>
      </c>
      <c r="F1833" s="4" t="s">
        <v>46</v>
      </c>
      <c r="G1833" s="4">
        <v>35</v>
      </c>
      <c r="H1833" s="4">
        <v>34</v>
      </c>
      <c r="I1833" s="2">
        <f>grand[[#This Row],[number]]-grand[[#This Row],[received]]</f>
        <v>1</v>
      </c>
      <c r="J1833" s="30" t="s">
        <v>1118</v>
      </c>
      <c r="K1833" s="9">
        <v>17607</v>
      </c>
      <c r="L1833" s="9">
        <v>16340</v>
      </c>
      <c r="M1833" s="2">
        <f>K1833-L1833</f>
        <v>1267</v>
      </c>
      <c r="N1833" s="9">
        <v>10572.3</v>
      </c>
      <c r="O1833" s="2"/>
      <c r="P1833" s="7">
        <f>grand[[#This Row],[total weight]]/grand[[#This Row],[received]]</f>
        <v>517.85294117647061</v>
      </c>
      <c r="Q1833" s="7">
        <f>grand[[#This Row],[receiving weight]]/grand[[#This Row],[received]]</f>
        <v>480.58823529411762</v>
      </c>
      <c r="R1833" s="7">
        <f>grand[[#This Row],[transportation loss ]]/grand[[#This Row],[received]]</f>
        <v>37.264705882352942</v>
      </c>
      <c r="S1833" s="7">
        <f>grand[[#This Row],[ carcass weight]]/grand[[#This Row],[received]]</f>
        <v>310.95</v>
      </c>
      <c r="T1833" s="7">
        <f>grand[[#This Row],[ kidneys fat quantity]]/grand[[#This Row],[received]]</f>
        <v>0</v>
      </c>
      <c r="U1833" s="4">
        <v>25</v>
      </c>
      <c r="V1833" s="4">
        <v>0</v>
      </c>
      <c r="W1833" s="4">
        <v>49.65</v>
      </c>
      <c r="X1833" s="4">
        <v>10</v>
      </c>
      <c r="Y1833" s="8">
        <v>8.5</v>
      </c>
      <c r="Z1833" s="3">
        <f>grand[[#This Row],[av. Transportation loss]]/grand[[#This Row],[av.total weight]]</f>
        <v>7.1960015902765948E-2</v>
      </c>
      <c r="AA1833" s="12">
        <f>AVERAGE((grand[[#This Row],[am]]/25),(grand[[#This Row],[pm]]/50))</f>
        <v>0.99649999999999994</v>
      </c>
      <c r="AB1833" s="3">
        <f>grand[[#This Row],[ carcass weight]]/grand[[#This Row],[total weight]]</f>
        <v>0.60046004430056221</v>
      </c>
      <c r="AC1833" s="6">
        <f>SUM(grand[[#This Row],[am]:[meat transportation]])/100</f>
        <v>0.93150000000000011</v>
      </c>
      <c r="AD1833" s="9"/>
      <c r="AE1833" s="4"/>
      <c r="AF1833" s="4"/>
      <c r="AG1833" s="2"/>
      <c r="AH1833" s="2"/>
      <c r="AI1833" s="2"/>
      <c r="AJ1833" s="2">
        <v>14</v>
      </c>
      <c r="AK1833" s="12">
        <f>grand[[#This Row],[accepted as exception]]/grand[[#This Row],[number]]</f>
        <v>0.4</v>
      </c>
      <c r="AL1833" s="2">
        <f>522+2</f>
        <v>524</v>
      </c>
    </row>
    <row r="1834" spans="1:38" hidden="1" x14ac:dyDescent="0.2">
      <c r="A1834" s="11">
        <v>44313</v>
      </c>
      <c r="B1834" s="53" t="s">
        <v>2644</v>
      </c>
      <c r="C1834" s="52" t="str">
        <f>IF(MID(B1834,4,2)="09","Ramadan",IF(AND(MID(B1834,4,2)="12",VALUE(LEFT(B1834,2))&lt;=9),"Adha Season","Normal"))</f>
        <v>Ramadan</v>
      </c>
      <c r="D1834" s="1" t="s">
        <v>45</v>
      </c>
      <c r="F1834" s="4" t="s">
        <v>165</v>
      </c>
      <c r="G1834" s="4">
        <v>32</v>
      </c>
      <c r="H1834" s="4">
        <v>31</v>
      </c>
      <c r="I1834" s="2">
        <f>grand[[#This Row],[number]]-grand[[#This Row],[received]]</f>
        <v>1</v>
      </c>
      <c r="J1834" s="30" t="s">
        <v>112</v>
      </c>
      <c r="K1834" s="9">
        <v>13710</v>
      </c>
      <c r="L1834" s="9">
        <v>13121</v>
      </c>
      <c r="M1834" s="2">
        <f>K1834-L1834</f>
        <v>589</v>
      </c>
      <c r="N1834" s="9">
        <v>8380.7000000000007</v>
      </c>
      <c r="O1834" s="2"/>
      <c r="P1834" s="7">
        <f>grand[[#This Row],[total weight]]/grand[[#This Row],[received]]</f>
        <v>442.25806451612902</v>
      </c>
      <c r="Q1834" s="7">
        <f>grand[[#This Row],[receiving weight]]/grand[[#This Row],[received]]</f>
        <v>423.25806451612902</v>
      </c>
      <c r="R1834" s="7">
        <f>grand[[#This Row],[transportation loss ]]/grand[[#This Row],[received]]</f>
        <v>19</v>
      </c>
      <c r="S1834" s="7">
        <f>grand[[#This Row],[ carcass weight]]/grand[[#This Row],[received]]</f>
        <v>270.34516129032261</v>
      </c>
      <c r="T1834" s="7">
        <f>grand[[#This Row],[ kidneys fat quantity]]/grand[[#This Row],[received]]</f>
        <v>0</v>
      </c>
      <c r="U1834" s="4">
        <v>25</v>
      </c>
      <c r="V1834" s="4">
        <v>0</v>
      </c>
      <c r="W1834" s="4">
        <v>49.95</v>
      </c>
      <c r="X1834" s="4">
        <v>9.9</v>
      </c>
      <c r="Y1834" s="8">
        <v>8.5</v>
      </c>
      <c r="Z1834" s="3">
        <f>grand[[#This Row],[av. Transportation loss]]/grand[[#This Row],[av.total weight]]</f>
        <v>4.2961342086068562E-2</v>
      </c>
      <c r="AA1834" s="12">
        <f>AVERAGE((grand[[#This Row],[am]]/25),(grand[[#This Row],[pm]]/50))</f>
        <v>0.99950000000000006</v>
      </c>
      <c r="AB1834" s="3">
        <f>grand[[#This Row],[ carcass weight]]/grand[[#This Row],[total weight]]</f>
        <v>0.61128373450036477</v>
      </c>
      <c r="AC1834" s="6">
        <f>SUM(grand[[#This Row],[am]:[meat transportation]])/100</f>
        <v>0.93350000000000011</v>
      </c>
      <c r="AD1834" s="9"/>
      <c r="AE1834" s="4"/>
      <c r="AF1834" s="4"/>
      <c r="AG1834" s="2"/>
      <c r="AH1834" s="2"/>
      <c r="AI1834" s="2"/>
      <c r="AJ1834" s="2">
        <v>4</v>
      </c>
      <c r="AK1834" s="12">
        <f>grand[[#This Row],[accepted as exception]]/grand[[#This Row],[number]]</f>
        <v>0.125</v>
      </c>
      <c r="AL1834" s="2">
        <v>474</v>
      </c>
    </row>
    <row r="1835" spans="1:38" hidden="1" x14ac:dyDescent="0.2">
      <c r="A1835" s="11">
        <v>44315</v>
      </c>
      <c r="B1835" s="53" t="s">
        <v>2645</v>
      </c>
      <c r="C1835" s="52" t="str">
        <f>IF(MID(B1835,4,2)="09","Ramadan",IF(AND(MID(B1835,4,2)="12",VALUE(LEFT(B1835,2))&lt;=9),"Adha Season","Normal"))</f>
        <v>Ramadan</v>
      </c>
      <c r="D1835" s="1" t="s">
        <v>45</v>
      </c>
      <c r="F1835" s="4" t="s">
        <v>46</v>
      </c>
      <c r="G1835" s="4">
        <v>40</v>
      </c>
      <c r="H1835" s="4">
        <v>39</v>
      </c>
      <c r="I1835" s="2">
        <f>grand[[#This Row],[number]]-grand[[#This Row],[received]]</f>
        <v>1</v>
      </c>
      <c r="J1835" s="30" t="s">
        <v>112</v>
      </c>
      <c r="K1835" s="9">
        <v>20105</v>
      </c>
      <c r="L1835" s="9">
        <v>18477</v>
      </c>
      <c r="M1835" s="2">
        <f>K1835-L1835</f>
        <v>1628</v>
      </c>
      <c r="N1835" s="9">
        <v>12136.9</v>
      </c>
      <c r="O1835" s="2"/>
      <c r="P1835" s="7">
        <f>grand[[#This Row],[total weight]]/grand[[#This Row],[received]]</f>
        <v>515.51282051282055</v>
      </c>
      <c r="Q1835" s="7">
        <f>grand[[#This Row],[receiving weight]]/grand[[#This Row],[received]]</f>
        <v>473.76923076923077</v>
      </c>
      <c r="R1835" s="7">
        <f>grand[[#This Row],[transportation loss ]]/grand[[#This Row],[received]]</f>
        <v>41.743589743589745</v>
      </c>
      <c r="S1835" s="7">
        <f>grand[[#This Row],[ carcass weight]]/grand[[#This Row],[received]]</f>
        <v>311.20256410256411</v>
      </c>
      <c r="T1835" s="7">
        <f>grand[[#This Row],[ kidneys fat quantity]]/grand[[#This Row],[received]]</f>
        <v>0</v>
      </c>
      <c r="U1835" s="4">
        <v>25</v>
      </c>
      <c r="V1835" s="4">
        <v>0</v>
      </c>
      <c r="W1835" s="4">
        <v>50</v>
      </c>
      <c r="X1835" s="4">
        <v>10</v>
      </c>
      <c r="Y1835" s="8">
        <v>8.5</v>
      </c>
      <c r="Z1835" s="3">
        <f>grand[[#This Row],[av. Transportation loss]]/grand[[#This Row],[av.total weight]]</f>
        <v>8.0974881870181536E-2</v>
      </c>
      <c r="AA1835" s="12">
        <f>AVERAGE((grand[[#This Row],[am]]/25),(grand[[#This Row],[pm]]/50))</f>
        <v>1</v>
      </c>
      <c r="AB1835" s="3">
        <f>grand[[#This Row],[ carcass weight]]/grand[[#This Row],[total weight]]</f>
        <v>0.60367570256155179</v>
      </c>
      <c r="AC1835" s="6">
        <f>SUM(grand[[#This Row],[am]:[meat transportation]])/100</f>
        <v>0.93500000000000005</v>
      </c>
      <c r="AD1835" s="9"/>
      <c r="AE1835" s="4"/>
      <c r="AF1835" s="4"/>
      <c r="AG1835" s="2"/>
      <c r="AH1835" s="2"/>
      <c r="AI1835" s="2"/>
      <c r="AJ1835" s="2">
        <v>10</v>
      </c>
      <c r="AK1835" s="12">
        <f>grand[[#This Row],[accepted as exception]]/grand[[#This Row],[number]]</f>
        <v>0.25</v>
      </c>
      <c r="AL1835" s="2">
        <v>539</v>
      </c>
    </row>
    <row r="1836" spans="1:38" hidden="1" x14ac:dyDescent="0.2">
      <c r="A1836" s="11">
        <v>44325</v>
      </c>
      <c r="B1836" s="53" t="s">
        <v>1551</v>
      </c>
      <c r="C1836" s="52" t="str">
        <f>IF(MID(B1836,4,2)="09","Ramadan",IF(AND(MID(B1836,4,2)="12",VALUE(LEFT(B1836,2))&lt;=9),"Adha Season","Normal"))</f>
        <v>Ramadan</v>
      </c>
      <c r="D1836" s="1" t="s">
        <v>45</v>
      </c>
      <c r="F1836" s="4" t="s">
        <v>290</v>
      </c>
      <c r="G1836" s="4">
        <v>8</v>
      </c>
      <c r="H1836" s="4">
        <v>7</v>
      </c>
      <c r="I1836" s="2">
        <f>grand[[#This Row],[number]]-grand[[#This Row],[received]]</f>
        <v>1</v>
      </c>
      <c r="J1836" s="30" t="s">
        <v>291</v>
      </c>
      <c r="K1836" s="9">
        <v>3258</v>
      </c>
      <c r="L1836" s="9">
        <v>3110.5</v>
      </c>
      <c r="M1836" s="2">
        <f>K1836-L1836</f>
        <v>147.5</v>
      </c>
      <c r="N1836" s="9">
        <v>1954.8</v>
      </c>
      <c r="O1836" s="2"/>
      <c r="P1836" s="7">
        <f>grand[[#This Row],[total weight]]/grand[[#This Row],[received]]</f>
        <v>465.42857142857144</v>
      </c>
      <c r="Q1836" s="7">
        <f>grand[[#This Row],[receiving weight]]/grand[[#This Row],[received]]</f>
        <v>444.35714285714283</v>
      </c>
      <c r="R1836" s="7">
        <f>grand[[#This Row],[transportation loss ]]/grand[[#This Row],[received]]</f>
        <v>21.071428571428573</v>
      </c>
      <c r="S1836" s="7">
        <f>grand[[#This Row],[ carcass weight]]/grand[[#This Row],[received]]</f>
        <v>279.25714285714287</v>
      </c>
      <c r="T1836" s="7">
        <f>grand[[#This Row],[ kidneys fat quantity]]/grand[[#This Row],[received]]</f>
        <v>0</v>
      </c>
      <c r="U1836" s="4">
        <v>25</v>
      </c>
      <c r="V1836" s="4">
        <v>0</v>
      </c>
      <c r="W1836" s="4">
        <v>50</v>
      </c>
      <c r="X1836" s="4">
        <v>10</v>
      </c>
      <c r="Y1836" s="8">
        <v>8.5</v>
      </c>
      <c r="Z1836" s="3">
        <f>grand[[#This Row],[av. Transportation loss]]/grand[[#This Row],[av.total weight]]</f>
        <v>4.5273173726212403E-2</v>
      </c>
      <c r="AA1836" s="12">
        <f>AVERAGE((grand[[#This Row],[am]]/25),(grand[[#This Row],[pm]]/50))</f>
        <v>1</v>
      </c>
      <c r="AB1836" s="3">
        <f>grand[[#This Row],[ carcass weight]]/grand[[#This Row],[total weight]]</f>
        <v>0.6</v>
      </c>
      <c r="AC1836" s="6">
        <f>SUM(grand[[#This Row],[am]:[meat transportation]])/100</f>
        <v>0.93500000000000005</v>
      </c>
      <c r="AD1836" s="2"/>
      <c r="AE1836" s="2"/>
      <c r="AF1836" s="2"/>
      <c r="AG1836" s="2"/>
      <c r="AH1836" s="2"/>
      <c r="AI1836" s="2"/>
      <c r="AJ1836" s="2">
        <v>0</v>
      </c>
      <c r="AK1836" s="12">
        <f>grand[[#This Row],[accepted as exception]]/grand[[#This Row],[number]]</f>
        <v>0</v>
      </c>
      <c r="AL1836" s="2">
        <v>374.5</v>
      </c>
    </row>
    <row r="1837" spans="1:38" hidden="1" x14ac:dyDescent="0.2">
      <c r="A1837" s="11">
        <v>44325</v>
      </c>
      <c r="B1837" s="53" t="s">
        <v>1551</v>
      </c>
      <c r="C1837" s="52" t="str">
        <f>IF(MID(B1837,4,2)="09","Ramadan",IF(AND(MID(B1837,4,2)="12",VALUE(LEFT(B1837,2))&lt;=9),"Adha Season","Normal"))</f>
        <v>Ramadan</v>
      </c>
      <c r="D1837" s="1" t="s">
        <v>45</v>
      </c>
      <c r="F1837" s="4" t="s">
        <v>50</v>
      </c>
      <c r="G1837" s="4">
        <v>28</v>
      </c>
      <c r="H1837" s="4">
        <v>27</v>
      </c>
      <c r="I1837" s="2">
        <f>grand[[#This Row],[number]]-grand[[#This Row],[received]]</f>
        <v>1</v>
      </c>
      <c r="J1837" s="30" t="s">
        <v>292</v>
      </c>
      <c r="K1837" s="9">
        <v>12605</v>
      </c>
      <c r="L1837" s="9">
        <v>11195</v>
      </c>
      <c r="M1837" s="2">
        <f>K1837-L1837</f>
        <v>1410</v>
      </c>
      <c r="N1837" s="9">
        <v>7750.3</v>
      </c>
      <c r="O1837" s="2"/>
      <c r="P1837" s="7">
        <f>grand[[#This Row],[total weight]]/grand[[#This Row],[received]]</f>
        <v>466.85185185185185</v>
      </c>
      <c r="Q1837" s="7">
        <f>grand[[#This Row],[receiving weight]]/grand[[#This Row],[received]]</f>
        <v>414.62962962962962</v>
      </c>
      <c r="R1837" s="7">
        <f>grand[[#This Row],[transportation loss ]]/grand[[#This Row],[received]]</f>
        <v>52.222222222222221</v>
      </c>
      <c r="S1837" s="7">
        <f>grand[[#This Row],[ carcass weight]]/grand[[#This Row],[received]]</f>
        <v>287.04814814814813</v>
      </c>
      <c r="T1837" s="7">
        <f>grand[[#This Row],[ kidneys fat quantity]]/grand[[#This Row],[received]]</f>
        <v>0</v>
      </c>
      <c r="U1837" s="4">
        <v>25</v>
      </c>
      <c r="V1837" s="4">
        <v>0</v>
      </c>
      <c r="W1837" s="4">
        <v>49.75</v>
      </c>
      <c r="X1837" s="4">
        <v>10</v>
      </c>
      <c r="Y1837" s="8">
        <v>8.5</v>
      </c>
      <c r="Z1837" s="3">
        <f>grand[[#This Row],[av. Transportation loss]]/grand[[#This Row],[av.total weight]]</f>
        <v>0.11186037286790956</v>
      </c>
      <c r="AA1837" s="12">
        <f>AVERAGE((grand[[#This Row],[am]]/25),(grand[[#This Row],[pm]]/50))</f>
        <v>0.99750000000000005</v>
      </c>
      <c r="AB1837" s="3">
        <f>grand[[#This Row],[ carcass weight]]/grand[[#This Row],[total weight]]</f>
        <v>0.61485918286394292</v>
      </c>
      <c r="AC1837" s="6">
        <f>SUM(grand[[#This Row],[am]:[meat transportation]])/100</f>
        <v>0.9325</v>
      </c>
      <c r="AD1837" s="2"/>
      <c r="AE1837" s="2"/>
      <c r="AF1837" s="2"/>
      <c r="AG1837" s="2"/>
      <c r="AH1837" s="2"/>
      <c r="AI1837" s="2"/>
      <c r="AJ1837" s="2">
        <v>4</v>
      </c>
      <c r="AK1837" s="12">
        <f>grand[[#This Row],[accepted as exception]]/grand[[#This Row],[number]]</f>
        <v>0.14285714285714285</v>
      </c>
      <c r="AL1837" s="2">
        <f>517+7</f>
        <v>524</v>
      </c>
    </row>
    <row r="1838" spans="1:38" hidden="1" x14ac:dyDescent="0.2">
      <c r="A1838" s="11">
        <v>44336</v>
      </c>
      <c r="B1838" s="53" t="s">
        <v>2652</v>
      </c>
      <c r="C1838" s="52" t="str">
        <f>IF(MID(B1838,4,2)="09","Ramadan",IF(AND(MID(B1838,4,2)="12",VALUE(LEFT(B1838,2))&lt;=9),"Adha Season","Normal"))</f>
        <v>Normal</v>
      </c>
      <c r="D1838" s="1" t="s">
        <v>45</v>
      </c>
      <c r="F1838" s="4" t="s">
        <v>46</v>
      </c>
      <c r="G1838" s="4">
        <v>46</v>
      </c>
      <c r="H1838" s="4">
        <v>45</v>
      </c>
      <c r="I1838" s="2">
        <f>grand[[#This Row],[number]]-grand[[#This Row],[received]]</f>
        <v>1</v>
      </c>
      <c r="J1838" s="30" t="s">
        <v>112</v>
      </c>
      <c r="K1838" s="9">
        <v>19002</v>
      </c>
      <c r="L1838" s="9">
        <v>18462</v>
      </c>
      <c r="M1838" s="2">
        <f>K1838-L1838</f>
        <v>540</v>
      </c>
      <c r="N1838" s="9">
        <v>11401.9</v>
      </c>
      <c r="O1838" s="2"/>
      <c r="P1838" s="7">
        <f>grand[[#This Row],[total weight]]/grand[[#This Row],[received]]</f>
        <v>422.26666666666665</v>
      </c>
      <c r="Q1838" s="7">
        <f>grand[[#This Row],[receiving weight]]/grand[[#This Row],[received]]</f>
        <v>410.26666666666665</v>
      </c>
      <c r="R1838" s="7">
        <f>grand[[#This Row],[transportation loss ]]/grand[[#This Row],[received]]</f>
        <v>12</v>
      </c>
      <c r="S1838" s="7">
        <f>grand[[#This Row],[ carcass weight]]/grand[[#This Row],[received]]</f>
        <v>253.37555555555554</v>
      </c>
      <c r="T1838" s="7">
        <f>grand[[#This Row],[ kidneys fat quantity]]/grand[[#This Row],[received]]</f>
        <v>0</v>
      </c>
      <c r="U1838" s="4">
        <v>25</v>
      </c>
      <c r="V1838" s="4">
        <v>0</v>
      </c>
      <c r="W1838" s="4">
        <v>49.71</v>
      </c>
      <c r="X1838" s="4">
        <v>10</v>
      </c>
      <c r="Y1838" s="8">
        <v>8.5</v>
      </c>
      <c r="Z1838" s="3">
        <f>grand[[#This Row],[av. Transportation loss]]/grand[[#This Row],[av.total weight]]</f>
        <v>2.8418061256709821E-2</v>
      </c>
      <c r="AA1838" s="12">
        <f>AVERAGE((grand[[#This Row],[am]]/25),(grand[[#This Row],[pm]]/50))</f>
        <v>0.99709999999999999</v>
      </c>
      <c r="AB1838" s="3">
        <f>grand[[#This Row],[ carcass weight]]/grand[[#This Row],[total weight]]</f>
        <v>0.60003683822755494</v>
      </c>
      <c r="AC1838" s="6">
        <f>SUM(grand[[#This Row],[am]:[meat transportation]])/100</f>
        <v>0.93210000000000004</v>
      </c>
      <c r="AD1838" s="2"/>
      <c r="AE1838" s="2"/>
      <c r="AF1838" s="2"/>
      <c r="AG1838" s="2"/>
      <c r="AH1838" s="2"/>
      <c r="AI1838" s="2"/>
      <c r="AJ1838" s="2">
        <v>24</v>
      </c>
      <c r="AK1838" s="12">
        <f>grand[[#This Row],[accepted as exception]]/grand[[#This Row],[number]]</f>
        <v>0.52173913043478259</v>
      </c>
      <c r="AL1838" s="2">
        <f>460+11</f>
        <v>471</v>
      </c>
    </row>
    <row r="1839" spans="1:38" hidden="1" x14ac:dyDescent="0.2">
      <c r="A1839" s="11">
        <v>44343</v>
      </c>
      <c r="B1839" s="53" t="s">
        <v>2655</v>
      </c>
      <c r="C1839" s="52" t="str">
        <f>IF(MID(B1839,4,2)="09","Ramadan",IF(AND(MID(B1839,4,2)="12",VALUE(LEFT(B1839,2))&lt;=9),"Adha Season","Normal"))</f>
        <v>Normal</v>
      </c>
      <c r="D1839" s="1" t="s">
        <v>45</v>
      </c>
      <c r="F1839" s="4" t="s">
        <v>46</v>
      </c>
      <c r="G1839" s="4">
        <v>48</v>
      </c>
      <c r="H1839" s="4">
        <v>47</v>
      </c>
      <c r="I1839" s="2">
        <f>grand[[#This Row],[number]]-grand[[#This Row],[received]]</f>
        <v>1</v>
      </c>
      <c r="J1839" s="30" t="s">
        <v>112</v>
      </c>
      <c r="K1839" s="9">
        <v>21739</v>
      </c>
      <c r="L1839" s="9">
        <v>21190</v>
      </c>
      <c r="M1839" s="2">
        <f>K1839-L1839</f>
        <v>549</v>
      </c>
      <c r="N1839" s="9">
        <v>13363.4</v>
      </c>
      <c r="O1839" s="2"/>
      <c r="P1839" s="7">
        <f>grand[[#This Row],[total weight]]/grand[[#This Row],[received]]</f>
        <v>462.531914893617</v>
      </c>
      <c r="Q1839" s="7">
        <f>grand[[#This Row],[receiving weight]]/grand[[#This Row],[received]]</f>
        <v>450.85106382978722</v>
      </c>
      <c r="R1839" s="7">
        <f>grand[[#This Row],[transportation loss ]]/grand[[#This Row],[received]]</f>
        <v>11.680851063829786</v>
      </c>
      <c r="S1839" s="7">
        <f>grand[[#This Row],[ carcass weight]]/grand[[#This Row],[received]]</f>
        <v>284.3276595744681</v>
      </c>
      <c r="T1839" s="7">
        <f>grand[[#This Row],[ kidneys fat quantity]]/grand[[#This Row],[received]]</f>
        <v>0</v>
      </c>
      <c r="U1839" s="4">
        <v>25</v>
      </c>
      <c r="V1839" s="4">
        <v>0</v>
      </c>
      <c r="W1839" s="4">
        <v>49.43</v>
      </c>
      <c r="X1839" s="4">
        <v>10</v>
      </c>
      <c r="Y1839" s="8">
        <v>8.5</v>
      </c>
      <c r="Z1839" s="3">
        <f>grand[[#This Row],[av. Transportation loss]]/grand[[#This Row],[av.total weight]]</f>
        <v>2.525415152490915E-2</v>
      </c>
      <c r="AA1839" s="12">
        <f>AVERAGE((grand[[#This Row],[am]]/25),(grand[[#This Row],[pm]]/50))</f>
        <v>0.99429999999999996</v>
      </c>
      <c r="AB1839" s="3">
        <f>grand[[#This Row],[ carcass weight]]/grand[[#This Row],[total weight]]</f>
        <v>0.61472008832052993</v>
      </c>
      <c r="AC1839" s="6">
        <f>SUM(grand[[#This Row],[am]:[meat transportation]])/100</f>
        <v>0.92930000000000001</v>
      </c>
      <c r="AD1839" s="2"/>
      <c r="AE1839" s="2"/>
      <c r="AF1839" s="2"/>
      <c r="AG1839" s="2"/>
      <c r="AH1839" s="2"/>
      <c r="AI1839" s="2"/>
      <c r="AJ1839" s="2">
        <v>17</v>
      </c>
      <c r="AK1839" s="12">
        <f>grand[[#This Row],[accepted as exception]]/grand[[#This Row],[number]]</f>
        <v>0.35416666666666669</v>
      </c>
      <c r="AL1839" s="2">
        <f>490</f>
        <v>490</v>
      </c>
    </row>
    <row r="1840" spans="1:38" hidden="1" x14ac:dyDescent="0.2">
      <c r="A1840" s="11">
        <v>44352</v>
      </c>
      <c r="B1840" s="53" t="s">
        <v>2659</v>
      </c>
      <c r="C1840" s="52" t="str">
        <f>IF(MID(B1840,4,2)="09","Ramadan",IF(AND(MID(B1840,4,2)="12",VALUE(LEFT(B1840,2))&lt;=9),"Adha Season","Normal"))</f>
        <v>Normal</v>
      </c>
      <c r="D1840" s="1" t="s">
        <v>45</v>
      </c>
      <c r="F1840" s="4" t="s">
        <v>297</v>
      </c>
      <c r="G1840" s="4">
        <v>40</v>
      </c>
      <c r="H1840" s="4">
        <v>39</v>
      </c>
      <c r="I1840" s="2">
        <f>grand[[#This Row],[number]]-grand[[#This Row],[received]]</f>
        <v>1</v>
      </c>
      <c r="J1840" s="30" t="s">
        <v>298</v>
      </c>
      <c r="K1840" s="9">
        <v>18557</v>
      </c>
      <c r="L1840" s="9">
        <v>18155</v>
      </c>
      <c r="M1840" s="2">
        <f>K1840-L1840</f>
        <v>402</v>
      </c>
      <c r="N1840" s="9">
        <v>11134.6</v>
      </c>
      <c r="O1840" s="2"/>
      <c r="P1840" s="7">
        <f>grand[[#This Row],[total weight]]/grand[[#This Row],[received]]</f>
        <v>475.82051282051282</v>
      </c>
      <c r="Q1840" s="7">
        <f>grand[[#This Row],[receiving weight]]/grand[[#This Row],[received]]</f>
        <v>465.5128205128205</v>
      </c>
      <c r="R1840" s="7">
        <f>grand[[#This Row],[transportation loss ]]/grand[[#This Row],[received]]</f>
        <v>10.307692307692308</v>
      </c>
      <c r="S1840" s="7">
        <f>grand[[#This Row],[ carcass weight]]/grand[[#This Row],[received]]</f>
        <v>285.50256410256412</v>
      </c>
      <c r="T1840" s="7">
        <f>grand[[#This Row],[ kidneys fat quantity]]/grand[[#This Row],[received]]</f>
        <v>0</v>
      </c>
      <c r="U1840" s="4">
        <v>25</v>
      </c>
      <c r="V1840" s="4">
        <v>0</v>
      </c>
      <c r="W1840" s="4">
        <v>49.95</v>
      </c>
      <c r="X1840" s="4">
        <v>10</v>
      </c>
      <c r="Y1840" s="8">
        <v>8.5</v>
      </c>
      <c r="Z1840" s="3">
        <f>grand[[#This Row],[av. Transportation loss]]/grand[[#This Row],[av.total weight]]</f>
        <v>2.166298431858598E-2</v>
      </c>
      <c r="AA1840" s="12">
        <f>AVERAGE((grand[[#This Row],[am]]/25),(grand[[#This Row],[pm]]/50))</f>
        <v>0.99950000000000006</v>
      </c>
      <c r="AB1840" s="3">
        <f>grand[[#This Row],[ carcass weight]]/grand[[#This Row],[total weight]]</f>
        <v>0.60002155520827727</v>
      </c>
      <c r="AC1840" s="6">
        <f>SUM(grand[[#This Row],[am]:[meat transportation]])/100</f>
        <v>0.9345</v>
      </c>
      <c r="AD1840" s="2"/>
      <c r="AE1840" s="2"/>
      <c r="AF1840" s="2"/>
      <c r="AG1840" s="2"/>
      <c r="AH1840" s="2"/>
      <c r="AI1840" s="2"/>
      <c r="AJ1840" s="2">
        <v>13</v>
      </c>
      <c r="AK1840" s="12">
        <f>grand[[#This Row],[accepted as exception]]/grand[[#This Row],[number]]</f>
        <v>0.32500000000000001</v>
      </c>
      <c r="AL1840" s="2">
        <v>501</v>
      </c>
    </row>
    <row r="1841" spans="1:38" hidden="1" x14ac:dyDescent="0.2">
      <c r="A1841" s="11">
        <v>44360</v>
      </c>
      <c r="B1841" s="53" t="s">
        <v>1558</v>
      </c>
      <c r="C1841" s="52" t="str">
        <f>IF(MID(B1841,4,2)="09","Ramadan",IF(AND(MID(B1841,4,2)="12",VALUE(LEFT(B1841,2))&lt;=9),"Adha Season","Normal"))</f>
        <v>Normal</v>
      </c>
      <c r="D1841" s="1" t="s">
        <v>45</v>
      </c>
      <c r="F1841" s="4" t="s">
        <v>39</v>
      </c>
      <c r="G1841" s="4">
        <v>39</v>
      </c>
      <c r="H1841" s="4">
        <v>38</v>
      </c>
      <c r="I1841" s="2">
        <f>grand[[#This Row],[number]]-grand[[#This Row],[received]]</f>
        <v>1</v>
      </c>
      <c r="J1841" s="30" t="s">
        <v>302</v>
      </c>
      <c r="K1841" s="9">
        <v>16529</v>
      </c>
      <c r="L1841" s="9">
        <v>15506</v>
      </c>
      <c r="M1841" s="2">
        <f>K1841-L1841</f>
        <v>1023</v>
      </c>
      <c r="N1841" s="9">
        <v>10112.299999999999</v>
      </c>
      <c r="O1841" s="2"/>
      <c r="P1841" s="7">
        <f>grand[[#This Row],[total weight]]/grand[[#This Row],[received]]</f>
        <v>434.9736842105263</v>
      </c>
      <c r="Q1841" s="7">
        <f>grand[[#This Row],[receiving weight]]/grand[[#This Row],[received]]</f>
        <v>408.05263157894734</v>
      </c>
      <c r="R1841" s="7">
        <f>grand[[#This Row],[transportation loss ]]/grand[[#This Row],[received]]</f>
        <v>26.921052631578949</v>
      </c>
      <c r="S1841" s="7">
        <f>grand[[#This Row],[ carcass weight]]/grand[[#This Row],[received]]</f>
        <v>266.11315789473684</v>
      </c>
      <c r="T1841" s="7">
        <f>grand[[#This Row],[ kidneys fat quantity]]/grand[[#This Row],[received]]</f>
        <v>0</v>
      </c>
      <c r="U1841" s="4">
        <v>25</v>
      </c>
      <c r="V1841" s="4">
        <v>0</v>
      </c>
      <c r="W1841" s="4">
        <v>49.59</v>
      </c>
      <c r="X1841" s="4">
        <v>10</v>
      </c>
      <c r="Y1841" s="8">
        <v>8.5</v>
      </c>
      <c r="Z1841" s="3">
        <f>grand[[#This Row],[av. Transportation loss]]/grand[[#This Row],[av.total weight]]</f>
        <v>6.1891221489503302E-2</v>
      </c>
      <c r="AA1841" s="12">
        <f>AVERAGE((grand[[#This Row],[am]]/25),(grand[[#This Row],[pm]]/50))</f>
        <v>0.99590000000000001</v>
      </c>
      <c r="AB1841" s="3">
        <f>grand[[#This Row],[ carcass weight]]/grand[[#This Row],[total weight]]</f>
        <v>0.61179139693871376</v>
      </c>
      <c r="AC1841" s="6">
        <f>SUM(grand[[#This Row],[am]:[meat transportation]])/100</f>
        <v>0.93090000000000006</v>
      </c>
      <c r="AD1841" s="2"/>
      <c r="AE1841" s="2"/>
      <c r="AF1841" s="2"/>
      <c r="AG1841" s="2"/>
      <c r="AH1841" s="2"/>
      <c r="AI1841" s="2"/>
      <c r="AJ1841" s="2">
        <v>2</v>
      </c>
      <c r="AK1841" s="12">
        <f>grand[[#This Row],[accepted as exception]]/grand[[#This Row],[number]]</f>
        <v>5.128205128205128E-2</v>
      </c>
      <c r="AL1841" s="2">
        <f>18+419</f>
        <v>437</v>
      </c>
    </row>
    <row r="1842" spans="1:38" hidden="1" x14ac:dyDescent="0.2">
      <c r="A1842" s="11">
        <v>44369</v>
      </c>
      <c r="B1842" s="53" t="s">
        <v>2666</v>
      </c>
      <c r="C1842" s="52" t="str">
        <f>IF(MID(B1842,4,2)="09","Ramadan",IF(AND(MID(B1842,4,2)="12",VALUE(LEFT(B1842,2))&lt;=9),"Adha Season","Normal"))</f>
        <v>Normal</v>
      </c>
      <c r="D1842" s="1" t="s">
        <v>45</v>
      </c>
      <c r="F1842" s="4" t="s">
        <v>282</v>
      </c>
      <c r="G1842" s="4">
        <v>8</v>
      </c>
      <c r="H1842" s="4">
        <v>7</v>
      </c>
      <c r="I1842" s="2">
        <f>grand[[#This Row],[number]]-grand[[#This Row],[received]]</f>
        <v>1</v>
      </c>
      <c r="J1842" s="30" t="s">
        <v>302</v>
      </c>
      <c r="K1842" s="9">
        <v>2812</v>
      </c>
      <c r="L1842" s="9">
        <v>2732</v>
      </c>
      <c r="M1842" s="2">
        <f>K1842-L1842</f>
        <v>80</v>
      </c>
      <c r="N1842" s="9">
        <v>1687.2</v>
      </c>
      <c r="O1842" s="2"/>
      <c r="P1842" s="7">
        <f>grand[[#This Row],[total weight]]/grand[[#This Row],[received]]</f>
        <v>401.71428571428572</v>
      </c>
      <c r="Q1842" s="7">
        <f>grand[[#This Row],[receiving weight]]/grand[[#This Row],[received]]</f>
        <v>390.28571428571428</v>
      </c>
      <c r="R1842" s="7">
        <f>grand[[#This Row],[transportation loss ]]/grand[[#This Row],[received]]</f>
        <v>11.428571428571429</v>
      </c>
      <c r="S1842" s="7">
        <f>grand[[#This Row],[ carcass weight]]/grand[[#This Row],[received]]</f>
        <v>241.02857142857144</v>
      </c>
      <c r="T1842" s="7">
        <f>grand[[#This Row],[ kidneys fat quantity]]/grand[[#This Row],[received]]</f>
        <v>0</v>
      </c>
      <c r="U1842" s="4">
        <v>25</v>
      </c>
      <c r="V1842" s="4">
        <v>0</v>
      </c>
      <c r="W1842" s="4">
        <v>50</v>
      </c>
      <c r="X1842" s="4">
        <v>10</v>
      </c>
      <c r="Y1842" s="8">
        <v>8.5</v>
      </c>
      <c r="Z1842" s="3">
        <f>grand[[#This Row],[av. Transportation loss]]/grand[[#This Row],[av.total weight]]</f>
        <v>2.8449502133712661E-2</v>
      </c>
      <c r="AA1842" s="12">
        <f>AVERAGE((grand[[#This Row],[am]]/25),(grand[[#This Row],[pm]]/50))</f>
        <v>1</v>
      </c>
      <c r="AB1842" s="3">
        <f>grand[[#This Row],[ carcass weight]]/grand[[#This Row],[total weight]]</f>
        <v>0.6</v>
      </c>
      <c r="AC1842" s="6">
        <f>SUM(grand[[#This Row],[am]:[meat transportation]])/100</f>
        <v>0.93500000000000005</v>
      </c>
      <c r="AD1842" s="2"/>
      <c r="AE1842" s="2"/>
      <c r="AF1842" s="2"/>
      <c r="AG1842" s="2"/>
      <c r="AH1842" s="2"/>
      <c r="AI1842" s="2"/>
      <c r="AJ1842" s="2">
        <v>1</v>
      </c>
      <c r="AK1842" s="12">
        <f>grand[[#This Row],[accepted as exception]]/grand[[#This Row],[number]]</f>
        <v>0.125</v>
      </c>
      <c r="AL1842" s="2">
        <v>338</v>
      </c>
    </row>
    <row r="1843" spans="1:38" hidden="1" x14ac:dyDescent="0.2">
      <c r="A1843" s="11">
        <v>44371</v>
      </c>
      <c r="B1843" s="53" t="s">
        <v>2667</v>
      </c>
      <c r="C1843" s="52" t="str">
        <f>IF(MID(B1843,4,2)="09","Ramadan",IF(AND(MID(B1843,4,2)="12",VALUE(LEFT(B1843,2))&lt;=9),"Adha Season","Normal"))</f>
        <v>Normal</v>
      </c>
      <c r="D1843" s="1" t="s">
        <v>45</v>
      </c>
      <c r="F1843" s="4" t="s">
        <v>46</v>
      </c>
      <c r="G1843" s="4">
        <v>46</v>
      </c>
      <c r="H1843" s="4">
        <v>45</v>
      </c>
      <c r="I1843" s="2">
        <f>grand[[#This Row],[number]]-grand[[#This Row],[received]]</f>
        <v>1</v>
      </c>
      <c r="J1843" s="30" t="s">
        <v>302</v>
      </c>
      <c r="K1843" s="9">
        <v>21774</v>
      </c>
      <c r="L1843" s="9">
        <v>19748</v>
      </c>
      <c r="M1843" s="2">
        <f>K1843-L1843</f>
        <v>2026</v>
      </c>
      <c r="N1843" s="9">
        <v>13064.3</v>
      </c>
      <c r="O1843" s="2"/>
      <c r="P1843" s="7">
        <f>grand[[#This Row],[total weight]]/grand[[#This Row],[received]]</f>
        <v>483.86666666666667</v>
      </c>
      <c r="Q1843" s="7">
        <f>grand[[#This Row],[receiving weight]]/grand[[#This Row],[received]]</f>
        <v>438.84444444444443</v>
      </c>
      <c r="R1843" s="7">
        <f>grand[[#This Row],[transportation loss ]]/grand[[#This Row],[received]]</f>
        <v>45.022222222222226</v>
      </c>
      <c r="S1843" s="7">
        <f>grand[[#This Row],[ carcass weight]]/grand[[#This Row],[received]]</f>
        <v>290.31777777777774</v>
      </c>
      <c r="T1843" s="7">
        <f>grand[[#This Row],[ kidneys fat quantity]]/grand[[#This Row],[received]]</f>
        <v>0</v>
      </c>
      <c r="U1843" s="4">
        <v>25</v>
      </c>
      <c r="V1843" s="4">
        <v>0</v>
      </c>
      <c r="W1843" s="4">
        <v>49.73</v>
      </c>
      <c r="X1843" s="4">
        <v>10</v>
      </c>
      <c r="Y1843" s="8">
        <v>8.5</v>
      </c>
      <c r="Z1843" s="3">
        <f>grand[[#This Row],[av. Transportation loss]]/grand[[#This Row],[av.total weight]]</f>
        <v>9.3046753008174887E-2</v>
      </c>
      <c r="AA1843" s="12">
        <f>AVERAGE((grand[[#This Row],[am]]/25),(grand[[#This Row],[pm]]/50))</f>
        <v>0.99729999999999996</v>
      </c>
      <c r="AB1843" s="3">
        <f>grand[[#This Row],[ carcass weight]]/grand[[#This Row],[total weight]]</f>
        <v>0.59999540736658397</v>
      </c>
      <c r="AC1843" s="6">
        <f>SUM(grand[[#This Row],[am]:[meat transportation]])/100</f>
        <v>0.93229999999999991</v>
      </c>
      <c r="AD1843" s="2"/>
      <c r="AE1843" s="2"/>
      <c r="AF1843" s="2"/>
      <c r="AG1843" s="2"/>
      <c r="AH1843" s="2"/>
      <c r="AI1843" s="2"/>
      <c r="AJ1843" s="2">
        <v>16</v>
      </c>
      <c r="AK1843" s="12">
        <f>grand[[#This Row],[accepted as exception]]/grand[[#This Row],[number]]</f>
        <v>0.34782608695652173</v>
      </c>
      <c r="AL1843" s="2">
        <f>461+53.6+6</f>
        <v>520.6</v>
      </c>
    </row>
    <row r="1844" spans="1:38" hidden="1" x14ac:dyDescent="0.2">
      <c r="A1844" s="11">
        <v>44376</v>
      </c>
      <c r="B1844" s="53" t="s">
        <v>2669</v>
      </c>
      <c r="C1844" s="52" t="str">
        <f>IF(MID(B1844,4,2)="09","Ramadan",IF(AND(MID(B1844,4,2)="12",VALUE(LEFT(B1844,2))&lt;=9),"Adha Season","Normal"))</f>
        <v>Normal</v>
      </c>
      <c r="D1844" s="1" t="s">
        <v>45</v>
      </c>
      <c r="F1844" s="4" t="s">
        <v>39</v>
      </c>
      <c r="G1844" s="4">
        <v>30</v>
      </c>
      <c r="H1844" s="4">
        <v>29</v>
      </c>
      <c r="I1844" s="2">
        <f>grand[[#This Row],[number]]-grand[[#This Row],[received]]</f>
        <v>1</v>
      </c>
      <c r="J1844" s="30" t="s">
        <v>305</v>
      </c>
      <c r="K1844" s="9">
        <v>12623</v>
      </c>
      <c r="L1844" s="9">
        <v>12014</v>
      </c>
      <c r="M1844" s="2">
        <f>K1844-L1844</f>
        <v>609</v>
      </c>
      <c r="N1844" s="9">
        <v>7895.6</v>
      </c>
      <c r="O1844" s="2"/>
      <c r="P1844" s="7">
        <f>grand[[#This Row],[total weight]]/grand[[#This Row],[received]]</f>
        <v>435.27586206896552</v>
      </c>
      <c r="Q1844" s="7">
        <f>grand[[#This Row],[receiving weight]]/grand[[#This Row],[received]]</f>
        <v>414.27586206896552</v>
      </c>
      <c r="R1844" s="7">
        <f>grand[[#This Row],[transportation loss ]]/grand[[#This Row],[received]]</f>
        <v>21</v>
      </c>
      <c r="S1844" s="7">
        <f>grand[[#This Row],[ carcass weight]]/grand[[#This Row],[received]]</f>
        <v>272.26206896551724</v>
      </c>
      <c r="T1844" s="7">
        <f>grand[[#This Row],[ kidneys fat quantity]]/grand[[#This Row],[received]]</f>
        <v>0</v>
      </c>
      <c r="U1844" s="4">
        <v>25</v>
      </c>
      <c r="V1844" s="4">
        <v>0</v>
      </c>
      <c r="W1844" s="4">
        <v>49.69</v>
      </c>
      <c r="X1844" s="4">
        <v>9.8000000000000007</v>
      </c>
      <c r="Y1844" s="8">
        <v>8.5</v>
      </c>
      <c r="Z1844" s="3">
        <f>grand[[#This Row],[av. Transportation loss]]/grand[[#This Row],[av.total weight]]</f>
        <v>4.8245266576883467E-2</v>
      </c>
      <c r="AA1844" s="12">
        <f>AVERAGE((grand[[#This Row],[am]]/25),(grand[[#This Row],[pm]]/50))</f>
        <v>0.9968999999999999</v>
      </c>
      <c r="AB1844" s="3">
        <f>grand[[#This Row],[ carcass weight]]/grand[[#This Row],[total weight]]</f>
        <v>0.62549314742929574</v>
      </c>
      <c r="AC1844" s="6">
        <f>SUM(grand[[#This Row],[am]:[meat transportation]])/100</f>
        <v>0.92989999999999995</v>
      </c>
      <c r="AD1844" s="2"/>
      <c r="AE1844" s="2"/>
      <c r="AF1844" s="2"/>
      <c r="AG1844" s="2"/>
      <c r="AH1844" s="2"/>
      <c r="AI1844" s="2"/>
      <c r="AJ1844" s="2">
        <v>6</v>
      </c>
      <c r="AK1844" s="12">
        <f>grand[[#This Row],[accepted as exception]]/grand[[#This Row],[number]]</f>
        <v>0.2</v>
      </c>
      <c r="AL1844" s="2">
        <f>437+11</f>
        <v>448</v>
      </c>
    </row>
    <row r="1845" spans="1:38" hidden="1" x14ac:dyDescent="0.2">
      <c r="A1845" s="11">
        <v>44385</v>
      </c>
      <c r="B1845" s="53" t="s">
        <v>2673</v>
      </c>
      <c r="C1845" s="52" t="str">
        <f>IF(MID(B1845,4,2)="09","Ramadan",IF(AND(MID(B1845,4,2)="12",VALUE(LEFT(B1845,2))&lt;=9),"Adha Season","Normal"))</f>
        <v>Normal</v>
      </c>
      <c r="D1845" s="1" t="s">
        <v>45</v>
      </c>
      <c r="F1845" s="4" t="s">
        <v>46</v>
      </c>
      <c r="G1845" s="4">
        <v>46</v>
      </c>
      <c r="H1845" s="4">
        <v>45</v>
      </c>
      <c r="I1845" s="2">
        <f>grand[[#This Row],[number]]-grand[[#This Row],[received]]</f>
        <v>1</v>
      </c>
      <c r="J1845" s="30" t="s">
        <v>308</v>
      </c>
      <c r="K1845" s="2">
        <v>20469</v>
      </c>
      <c r="L1845" s="2">
        <v>19381</v>
      </c>
      <c r="M1845" s="2">
        <f>K1845-L1845</f>
        <v>1088</v>
      </c>
      <c r="N1845" s="2">
        <v>12282.1</v>
      </c>
      <c r="O1845" s="2"/>
      <c r="P1845" s="7">
        <f>grand[[#This Row],[total weight]]/grand[[#This Row],[received]]</f>
        <v>454.86666666666667</v>
      </c>
      <c r="Q1845" s="7">
        <f>grand[[#This Row],[receiving weight]]/grand[[#This Row],[received]]</f>
        <v>430.68888888888887</v>
      </c>
      <c r="R1845" s="7">
        <f>grand[[#This Row],[transportation loss ]]/grand[[#This Row],[received]]</f>
        <v>24.177777777777777</v>
      </c>
      <c r="S1845" s="7">
        <f>grand[[#This Row],[ carcass weight]]/grand[[#This Row],[received]]</f>
        <v>272.93555555555554</v>
      </c>
      <c r="T1845" s="7">
        <f>grand[[#This Row],[ kidneys fat quantity]]/grand[[#This Row],[received]]</f>
        <v>0</v>
      </c>
      <c r="U1845" s="4">
        <v>25</v>
      </c>
      <c r="V1845" s="4">
        <v>0</v>
      </c>
      <c r="W1845" s="4">
        <v>49.78</v>
      </c>
      <c r="X1845" s="4">
        <v>10</v>
      </c>
      <c r="Y1845" s="8">
        <v>8.5</v>
      </c>
      <c r="Z1845" s="3">
        <f>grand[[#This Row],[av. Transportation loss]]/grand[[#This Row],[av.total weight]]</f>
        <v>5.3153549269627239E-2</v>
      </c>
      <c r="AA1845" s="12">
        <f>AVERAGE((grand[[#This Row],[am]]/25),(grand[[#This Row],[pm]]/50))</f>
        <v>0.99780000000000002</v>
      </c>
      <c r="AB1845" s="3">
        <f>grand[[#This Row],[ carcass weight]]/grand[[#This Row],[total weight]]</f>
        <v>0.60003419805559632</v>
      </c>
      <c r="AC1845" s="6">
        <f>SUM(grand[[#This Row],[am]:[meat transportation]])/100</f>
        <v>0.93279999999999996</v>
      </c>
      <c r="AD1845" s="2"/>
      <c r="AE1845" s="2"/>
      <c r="AF1845" s="2"/>
      <c r="AG1845" s="2"/>
      <c r="AH1845" s="2"/>
      <c r="AI1845" s="2"/>
      <c r="AJ1845" s="2">
        <v>16</v>
      </c>
      <c r="AK1845" s="12">
        <f>grand[[#This Row],[accepted as exception]]/grand[[#This Row],[number]]</f>
        <v>0.34782608695652173</v>
      </c>
      <c r="AL1845" s="2">
        <v>444</v>
      </c>
    </row>
    <row r="1846" spans="1:38" hidden="1" x14ac:dyDescent="0.2">
      <c r="A1846" s="11">
        <v>44390</v>
      </c>
      <c r="B1846" s="53" t="s">
        <v>1564</v>
      </c>
      <c r="C1846" s="52" t="str">
        <f>IF(MID(B1846,4,2)="09","Ramadan",IF(AND(MID(B1846,4,2)="12",VALUE(LEFT(B1846,2))&lt;=9),"Adha Season","Normal"))</f>
        <v>Adha Season</v>
      </c>
      <c r="D1846" s="1" t="s">
        <v>45</v>
      </c>
      <c r="F1846" s="4" t="s">
        <v>39</v>
      </c>
      <c r="G1846" s="4">
        <v>39</v>
      </c>
      <c r="H1846" s="4">
        <v>38</v>
      </c>
      <c r="I1846" s="2">
        <f>grand[[#This Row],[number]]-grand[[#This Row],[received]]</f>
        <v>1</v>
      </c>
      <c r="J1846" s="30" t="s">
        <v>310</v>
      </c>
      <c r="K1846" s="2">
        <v>17003</v>
      </c>
      <c r="L1846" s="2">
        <v>17003</v>
      </c>
      <c r="M1846" s="2">
        <f>K1846-L1846</f>
        <v>0</v>
      </c>
      <c r="N1846" s="2">
        <v>10601.9</v>
      </c>
      <c r="O1846" s="2"/>
      <c r="P1846" s="7">
        <f>grand[[#This Row],[total weight]]/grand[[#This Row],[received]]</f>
        <v>447.44736842105266</v>
      </c>
      <c r="Q1846" s="7">
        <f>grand[[#This Row],[receiving weight]]/grand[[#This Row],[received]]</f>
        <v>447.44736842105266</v>
      </c>
      <c r="R1846" s="7">
        <f>grand[[#This Row],[transportation loss ]]/grand[[#This Row],[received]]</f>
        <v>0</v>
      </c>
      <c r="S1846" s="7">
        <f>grand[[#This Row],[ carcass weight]]/grand[[#This Row],[received]]</f>
        <v>278.99736842105261</v>
      </c>
      <c r="T1846" s="7">
        <f>grand[[#This Row],[ kidneys fat quantity]]/grand[[#This Row],[received]]</f>
        <v>0</v>
      </c>
      <c r="U1846" s="4">
        <v>25</v>
      </c>
      <c r="V1846" s="4">
        <v>0</v>
      </c>
      <c r="W1846" s="4">
        <v>50</v>
      </c>
      <c r="X1846" s="4">
        <v>10</v>
      </c>
      <c r="Y1846" s="8">
        <v>8.5</v>
      </c>
      <c r="Z1846" s="3">
        <f>grand[[#This Row],[av. Transportation loss]]/grand[[#This Row],[av.total weight]]</f>
        <v>0</v>
      </c>
      <c r="AA1846" s="12">
        <f>AVERAGE((grand[[#This Row],[am]]/25),(grand[[#This Row],[pm]]/50))</f>
        <v>1</v>
      </c>
      <c r="AB1846" s="3">
        <f>grand[[#This Row],[ carcass weight]]/grand[[#This Row],[total weight]]</f>
        <v>0.62353114156325351</v>
      </c>
      <c r="AC1846" s="6">
        <f>SUM(grand[[#This Row],[am]:[meat transportation]])/100</f>
        <v>0.93500000000000005</v>
      </c>
      <c r="AD1846" s="2"/>
      <c r="AE1846" s="2"/>
      <c r="AF1846" s="2"/>
      <c r="AG1846" s="2"/>
      <c r="AH1846" s="2"/>
      <c r="AI1846" s="2"/>
      <c r="AJ1846" s="2">
        <v>4</v>
      </c>
      <c r="AK1846" s="12">
        <f>grand[[#This Row],[accepted as exception]]/grand[[#This Row],[number]]</f>
        <v>0.10256410256410256</v>
      </c>
      <c r="AL1846" s="2">
        <v>437</v>
      </c>
    </row>
    <row r="1847" spans="1:38" hidden="1" x14ac:dyDescent="0.2">
      <c r="A1847" s="11">
        <v>44392</v>
      </c>
      <c r="B1847" s="53" t="s">
        <v>1566</v>
      </c>
      <c r="C1847" s="52" t="str">
        <f>IF(MID(B1847,4,2)="09","Ramadan",IF(AND(MID(B1847,4,2)="12",VALUE(LEFT(B1847,2))&lt;=9),"Adha Season","Normal"))</f>
        <v>Adha Season</v>
      </c>
      <c r="D1847" s="1" t="s">
        <v>45</v>
      </c>
      <c r="F1847" s="4" t="s">
        <v>280</v>
      </c>
      <c r="G1847" s="4">
        <v>31</v>
      </c>
      <c r="H1847" s="4">
        <v>30</v>
      </c>
      <c r="I1847" s="2">
        <f>grand[[#This Row],[number]]-grand[[#This Row],[received]]</f>
        <v>1</v>
      </c>
      <c r="J1847" s="30" t="s">
        <v>310</v>
      </c>
      <c r="K1847" s="2">
        <v>14296</v>
      </c>
      <c r="L1847" s="2">
        <v>14296</v>
      </c>
      <c r="M1847" s="2">
        <f>K1847-L1847</f>
        <v>0</v>
      </c>
      <c r="N1847" s="2">
        <v>8687.2999999999993</v>
      </c>
      <c r="O1847" s="2"/>
      <c r="P1847" s="7">
        <f>grand[[#This Row],[total weight]]/grand[[#This Row],[received]]</f>
        <v>476.53333333333336</v>
      </c>
      <c r="Q1847" s="7">
        <f>grand[[#This Row],[receiving weight]]/grand[[#This Row],[received]]</f>
        <v>476.53333333333336</v>
      </c>
      <c r="R1847" s="7">
        <f>grand[[#This Row],[transportation loss ]]/grand[[#This Row],[received]]</f>
        <v>0</v>
      </c>
      <c r="S1847" s="7">
        <f>grand[[#This Row],[ carcass weight]]/grand[[#This Row],[received]]</f>
        <v>289.57666666666665</v>
      </c>
      <c r="T1847" s="7">
        <f>grand[[#This Row],[ kidneys fat quantity]]/grand[[#This Row],[received]]</f>
        <v>0</v>
      </c>
      <c r="U1847" s="4">
        <v>25</v>
      </c>
      <c r="V1847" s="4">
        <v>0</v>
      </c>
      <c r="W1847" s="4">
        <v>49.77</v>
      </c>
      <c r="X1847" s="4">
        <v>10</v>
      </c>
      <c r="Y1847" s="8">
        <v>8.5</v>
      </c>
      <c r="Z1847" s="3">
        <f>grand[[#This Row],[av. Transportation loss]]/grand[[#This Row],[av.total weight]]</f>
        <v>0</v>
      </c>
      <c r="AA1847" s="12">
        <f>AVERAGE((grand[[#This Row],[am]]/25),(grand[[#This Row],[pm]]/50))</f>
        <v>0.99770000000000003</v>
      </c>
      <c r="AB1847" s="3">
        <f>grand[[#This Row],[ carcass weight]]/grand[[#This Row],[total weight]]</f>
        <v>0.60767347509792946</v>
      </c>
      <c r="AC1847" s="6">
        <f>SUM(grand[[#This Row],[am]:[meat transportation]])/100</f>
        <v>0.93270000000000008</v>
      </c>
      <c r="AD1847" s="2"/>
      <c r="AE1847" s="2"/>
      <c r="AF1847" s="2"/>
      <c r="AG1847" s="2"/>
      <c r="AH1847" s="2"/>
      <c r="AI1847" s="2"/>
      <c r="AJ1847" s="2">
        <v>3</v>
      </c>
      <c r="AK1847" s="12">
        <f>grand[[#This Row],[accepted as exception]]/grand[[#This Row],[number]]</f>
        <v>9.6774193548387094E-2</v>
      </c>
      <c r="AL1847" s="2">
        <v>415</v>
      </c>
    </row>
    <row r="1848" spans="1:38" hidden="1" x14ac:dyDescent="0.2">
      <c r="A1848" s="11">
        <v>44396</v>
      </c>
      <c r="B1848" s="53" t="s">
        <v>1570</v>
      </c>
      <c r="C1848" s="52" t="str">
        <f>IF(MID(B1848,4,2)="09","Ramadan",IF(AND(MID(B1848,4,2)="12",VALUE(LEFT(B1848,2))&lt;=9),"Adha Season","Normal"))</f>
        <v>Adha Season</v>
      </c>
      <c r="D1848" s="1" t="s">
        <v>45</v>
      </c>
      <c r="F1848" s="4" t="s">
        <v>46</v>
      </c>
      <c r="G1848" s="4">
        <v>44</v>
      </c>
      <c r="H1848" s="4">
        <v>43</v>
      </c>
      <c r="I1848" s="2">
        <f>grand[[#This Row],[number]]-grand[[#This Row],[received]]</f>
        <v>1</v>
      </c>
      <c r="J1848" s="30" t="s">
        <v>310</v>
      </c>
      <c r="K1848" s="2">
        <v>17770</v>
      </c>
      <c r="L1848" s="2">
        <v>17770</v>
      </c>
      <c r="M1848" s="2">
        <f>K1848-L1848</f>
        <v>0</v>
      </c>
      <c r="N1848" s="2">
        <v>10661.4</v>
      </c>
      <c r="O1848" s="2"/>
      <c r="P1848" s="7">
        <f>grand[[#This Row],[total weight]]/grand[[#This Row],[received]]</f>
        <v>413.25581395348837</v>
      </c>
      <c r="Q1848" s="7">
        <f>grand[[#This Row],[receiving weight]]/grand[[#This Row],[received]]</f>
        <v>413.25581395348837</v>
      </c>
      <c r="R1848" s="7">
        <f>grand[[#This Row],[transportation loss ]]/grand[[#This Row],[received]]</f>
        <v>0</v>
      </c>
      <c r="S1848" s="7">
        <f>grand[[#This Row],[ carcass weight]]/grand[[#This Row],[received]]</f>
        <v>247.93953488372091</v>
      </c>
      <c r="T1848" s="7">
        <f>grand[[#This Row],[ kidneys fat quantity]]/grand[[#This Row],[received]]</f>
        <v>0</v>
      </c>
      <c r="U1848" s="4">
        <v>25</v>
      </c>
      <c r="V1848" s="4">
        <v>0</v>
      </c>
      <c r="W1848" s="4">
        <v>49.84</v>
      </c>
      <c r="X1848" s="4">
        <v>10</v>
      </c>
      <c r="Y1848" s="8">
        <v>8.5</v>
      </c>
      <c r="Z1848" s="3">
        <f>grand[[#This Row],[av. Transportation loss]]/grand[[#This Row],[av.total weight]]</f>
        <v>0</v>
      </c>
      <c r="AA1848" s="12">
        <f>AVERAGE((grand[[#This Row],[am]]/25),(grand[[#This Row],[pm]]/50))</f>
        <v>0.99839999999999995</v>
      </c>
      <c r="AB1848" s="3">
        <f>grand[[#This Row],[ carcass weight]]/grand[[#This Row],[total weight]]</f>
        <v>0.59996623522791215</v>
      </c>
      <c r="AC1848" s="6">
        <f>SUM(grand[[#This Row],[am]:[meat transportation]])/100</f>
        <v>0.93340000000000001</v>
      </c>
      <c r="AD1848" s="2"/>
      <c r="AE1848" s="2"/>
      <c r="AF1848" s="2"/>
      <c r="AG1848" s="2"/>
      <c r="AH1848" s="2"/>
      <c r="AI1848" s="2"/>
      <c r="AJ1848" s="2">
        <v>9</v>
      </c>
      <c r="AK1848" s="12">
        <f>grand[[#This Row],[accepted as exception]]/grand[[#This Row],[number]]</f>
        <v>0.20454545454545456</v>
      </c>
      <c r="AL1848" s="2">
        <v>507</v>
      </c>
    </row>
    <row r="1849" spans="1:38" hidden="1" x14ac:dyDescent="0.2">
      <c r="A1849" s="11">
        <v>44404</v>
      </c>
      <c r="B1849" s="53" t="s">
        <v>1571</v>
      </c>
      <c r="C1849" s="52" t="str">
        <f>IF(MID(B1849,4,2)="09","Ramadan",IF(AND(MID(B1849,4,2)="12",VALUE(LEFT(B1849,2))&lt;=9),"Adha Season","Normal"))</f>
        <v>Normal</v>
      </c>
      <c r="D1849" s="1" t="s">
        <v>45</v>
      </c>
      <c r="F1849" s="4" t="s">
        <v>46</v>
      </c>
      <c r="G1849" s="4">
        <v>32</v>
      </c>
      <c r="H1849" s="4">
        <v>31</v>
      </c>
      <c r="I1849" s="2">
        <f>grand[[#This Row],[number]]-grand[[#This Row],[received]]</f>
        <v>1</v>
      </c>
      <c r="J1849" s="30" t="s">
        <v>310</v>
      </c>
      <c r="K1849" s="2">
        <v>12285</v>
      </c>
      <c r="L1849" s="2">
        <v>11719</v>
      </c>
      <c r="M1849" s="2">
        <f>K1849-L1849</f>
        <v>566</v>
      </c>
      <c r="N1849" s="2">
        <v>7371.2</v>
      </c>
      <c r="O1849" s="2"/>
      <c r="P1849" s="7">
        <f>grand[[#This Row],[total weight]]/grand[[#This Row],[received]]</f>
        <v>396.29032258064518</v>
      </c>
      <c r="Q1849" s="7">
        <f>grand[[#This Row],[receiving weight]]/grand[[#This Row],[received]]</f>
        <v>378.03225806451616</v>
      </c>
      <c r="R1849" s="7">
        <f>grand[[#This Row],[transportation loss ]]/grand[[#This Row],[received]]</f>
        <v>18.258064516129032</v>
      </c>
      <c r="S1849" s="7">
        <f>grand[[#This Row],[ carcass weight]]/grand[[#This Row],[received]]</f>
        <v>237.78064516129032</v>
      </c>
      <c r="T1849" s="7">
        <f>grand[[#This Row],[ kidneys fat quantity]]/grand[[#This Row],[received]]</f>
        <v>0</v>
      </c>
      <c r="U1849" s="4">
        <v>25</v>
      </c>
      <c r="V1849" s="4">
        <v>0</v>
      </c>
      <c r="W1849" s="4">
        <v>50</v>
      </c>
      <c r="X1849" s="4">
        <v>10</v>
      </c>
      <c r="Y1849" s="8">
        <v>8.5</v>
      </c>
      <c r="Z1849" s="3">
        <f>grand[[#This Row],[av. Transportation loss]]/grand[[#This Row],[av.total weight]]</f>
        <v>4.6072446072446073E-2</v>
      </c>
      <c r="AA1849" s="12">
        <f>AVERAGE((grand[[#This Row],[am]]/25),(grand[[#This Row],[pm]]/50))</f>
        <v>1</v>
      </c>
      <c r="AB1849" s="3">
        <f>grand[[#This Row],[ carcass weight]]/grand[[#This Row],[total weight]]</f>
        <v>0.60001628001628005</v>
      </c>
      <c r="AC1849" s="6">
        <f>SUM(grand[[#This Row],[am]:[meat transportation]])/100</f>
        <v>0.93500000000000005</v>
      </c>
      <c r="AD1849" s="2"/>
      <c r="AE1849" s="2"/>
      <c r="AF1849" s="2"/>
      <c r="AG1849" s="2"/>
      <c r="AH1849" s="2"/>
      <c r="AI1849" s="2"/>
      <c r="AJ1849" s="2">
        <v>15</v>
      </c>
      <c r="AK1849" s="12">
        <f>grand[[#This Row],[accepted as exception]]/grand[[#This Row],[number]]</f>
        <v>0.46875</v>
      </c>
      <c r="AL1849" s="2">
        <v>371</v>
      </c>
    </row>
    <row r="1850" spans="1:38" hidden="1" x14ac:dyDescent="0.2">
      <c r="A1850" s="11">
        <v>44409</v>
      </c>
      <c r="B1850" s="53" t="s">
        <v>1574</v>
      </c>
      <c r="C1850" s="52" t="str">
        <f>IF(MID(B1850,4,2)="09","Ramadan",IF(AND(MID(B1850,4,2)="12",VALUE(LEFT(B1850,2))&lt;=9),"Adha Season","Normal"))</f>
        <v>Normal</v>
      </c>
      <c r="D1850" s="1" t="s">
        <v>45</v>
      </c>
      <c r="F1850" s="4" t="s">
        <v>46</v>
      </c>
      <c r="G1850" s="4">
        <v>16</v>
      </c>
      <c r="H1850" s="4">
        <v>15</v>
      </c>
      <c r="I1850" s="2">
        <f>grand[[#This Row],[number]]-grand[[#This Row],[received]]</f>
        <v>1</v>
      </c>
      <c r="J1850" s="30" t="s">
        <v>310</v>
      </c>
      <c r="K1850" s="2">
        <v>5061</v>
      </c>
      <c r="L1850" s="13">
        <v>4979</v>
      </c>
      <c r="M1850" s="2">
        <f>K1850-L1850</f>
        <v>82</v>
      </c>
      <c r="N1850" s="2">
        <v>3036.7</v>
      </c>
      <c r="O1850" s="2"/>
      <c r="P1850" s="7">
        <f>grand[[#This Row],[total weight]]/grand[[#This Row],[received]]</f>
        <v>337.4</v>
      </c>
      <c r="Q1850" s="7">
        <f>grand[[#This Row],[receiving weight]]/grand[[#This Row],[received]]</f>
        <v>331.93333333333334</v>
      </c>
      <c r="R1850" s="7">
        <f>grand[[#This Row],[transportation loss ]]/grand[[#This Row],[received]]</f>
        <v>5.4666666666666668</v>
      </c>
      <c r="S1850" s="7">
        <f>grand[[#This Row],[ carcass weight]]/grand[[#This Row],[received]]</f>
        <v>202.44666666666666</v>
      </c>
      <c r="T1850" s="7">
        <f>grand[[#This Row],[ kidneys fat quantity]]/grand[[#This Row],[received]]</f>
        <v>0</v>
      </c>
      <c r="U1850" s="4">
        <v>25</v>
      </c>
      <c r="V1850" s="4">
        <v>0</v>
      </c>
      <c r="W1850" s="4">
        <v>49.81</v>
      </c>
      <c r="X1850" s="4">
        <v>10</v>
      </c>
      <c r="Y1850" s="8">
        <v>7</v>
      </c>
      <c r="Z1850" s="3">
        <f>grand[[#This Row],[av. Transportation loss]]/grand[[#This Row],[av.total weight]]</f>
        <v>1.6202331555028652E-2</v>
      </c>
      <c r="AA1850" s="12">
        <f>AVERAGE((grand[[#This Row],[am]]/25),(grand[[#This Row],[pm]]/50))</f>
        <v>0.99809999999999999</v>
      </c>
      <c r="AB1850" s="3">
        <f>grand[[#This Row],[ carcass weight]]/grand[[#This Row],[total weight]]</f>
        <v>0.60001975894092074</v>
      </c>
      <c r="AC1850" s="6">
        <f>SUM(grand[[#This Row],[am]:[meat transportation]])/100</f>
        <v>0.91810000000000003</v>
      </c>
      <c r="AD1850" s="2"/>
      <c r="AE1850" s="2"/>
      <c r="AF1850" s="2"/>
      <c r="AG1850" s="2"/>
      <c r="AH1850" s="2"/>
      <c r="AI1850" s="2"/>
      <c r="AJ1850" s="2">
        <v>1</v>
      </c>
      <c r="AK1850" s="12">
        <f>grand[[#This Row],[accepted as exception]]/grand[[#This Row],[number]]</f>
        <v>6.25E-2</v>
      </c>
      <c r="AL1850" s="2">
        <v>366</v>
      </c>
    </row>
    <row r="1851" spans="1:38" hidden="1" x14ac:dyDescent="0.2">
      <c r="A1851" s="11">
        <v>44413</v>
      </c>
      <c r="B1851" s="53" t="s">
        <v>1576</v>
      </c>
      <c r="C1851" s="52" t="str">
        <f>IF(MID(B1851,4,2)="09","Ramadan",IF(AND(MID(B1851,4,2)="12",VALUE(LEFT(B1851,2))&lt;=9),"Adha Season","Normal"))</f>
        <v>Normal</v>
      </c>
      <c r="D1851" s="1" t="s">
        <v>45</v>
      </c>
      <c r="F1851" s="4" t="s">
        <v>282</v>
      </c>
      <c r="G1851" s="4">
        <v>9</v>
      </c>
      <c r="H1851" s="4">
        <v>8</v>
      </c>
      <c r="I1851" s="2">
        <f>grand[[#This Row],[number]]-grand[[#This Row],[received]]</f>
        <v>1</v>
      </c>
      <c r="J1851" s="30" t="s">
        <v>310</v>
      </c>
      <c r="K1851" s="2">
        <v>3538</v>
      </c>
      <c r="L1851" s="2">
        <v>3341</v>
      </c>
      <c r="M1851" s="2">
        <f>K1851-L1851</f>
        <v>197</v>
      </c>
      <c r="N1851" s="2">
        <v>2123</v>
      </c>
      <c r="O1851" s="2"/>
      <c r="P1851" s="7">
        <f>grand[[#This Row],[total weight]]/grand[[#This Row],[received]]</f>
        <v>442.25</v>
      </c>
      <c r="Q1851" s="7">
        <f>grand[[#This Row],[receiving weight]]/grand[[#This Row],[received]]</f>
        <v>417.625</v>
      </c>
      <c r="R1851" s="7">
        <f>grand[[#This Row],[transportation loss ]]/grand[[#This Row],[received]]</f>
        <v>24.625</v>
      </c>
      <c r="S1851" s="7">
        <f>grand[[#This Row],[ carcass weight]]/grand[[#This Row],[received]]</f>
        <v>265.375</v>
      </c>
      <c r="T1851" s="7">
        <f>grand[[#This Row],[ kidneys fat quantity]]/grand[[#This Row],[received]]</f>
        <v>0</v>
      </c>
      <c r="U1851" s="4">
        <v>25</v>
      </c>
      <c r="V1851" s="4">
        <v>0</v>
      </c>
      <c r="W1851" s="4">
        <v>50</v>
      </c>
      <c r="X1851" s="4">
        <v>10</v>
      </c>
      <c r="Y1851" s="8">
        <v>8.5</v>
      </c>
      <c r="Z1851" s="3">
        <f>grand[[#This Row],[av. Transportation loss]]/grand[[#This Row],[av.total weight]]</f>
        <v>5.5681175805539856E-2</v>
      </c>
      <c r="AA1851" s="12">
        <f>AVERAGE((grand[[#This Row],[am]]/25),(grand[[#This Row],[pm]]/50))</f>
        <v>1</v>
      </c>
      <c r="AB1851" s="3">
        <f>grand[[#This Row],[ carcass weight]]/grand[[#This Row],[total weight]]</f>
        <v>0.60005652911249296</v>
      </c>
      <c r="AC1851" s="6">
        <f>SUM(grand[[#This Row],[am]:[meat transportation]])/100</f>
        <v>0.93500000000000005</v>
      </c>
      <c r="AD1851" s="2"/>
      <c r="AE1851" s="2"/>
      <c r="AF1851" s="2"/>
      <c r="AG1851" s="2"/>
      <c r="AH1851" s="2"/>
      <c r="AI1851" s="2"/>
      <c r="AJ1851" s="2">
        <v>0</v>
      </c>
      <c r="AK1851" s="12">
        <f>grand[[#This Row],[accepted as exception]]/grand[[#This Row],[number]]</f>
        <v>0</v>
      </c>
      <c r="AL1851" s="2">
        <v>359</v>
      </c>
    </row>
    <row r="1852" spans="1:38" hidden="1" x14ac:dyDescent="0.2">
      <c r="A1852" s="11">
        <v>44420</v>
      </c>
      <c r="B1852" s="53" t="s">
        <v>2681</v>
      </c>
      <c r="C1852" s="52" t="str">
        <f>IF(MID(B1852,4,2)="09","Ramadan",IF(AND(MID(B1852,4,2)="12",VALUE(LEFT(B1852,2))&lt;=9),"Adha Season","Normal"))</f>
        <v>Normal</v>
      </c>
      <c r="D1852" s="1" t="s">
        <v>45</v>
      </c>
      <c r="F1852" s="4" t="s">
        <v>46</v>
      </c>
      <c r="G1852" s="4">
        <v>52</v>
      </c>
      <c r="H1852" s="4">
        <v>51</v>
      </c>
      <c r="I1852" s="2">
        <f>grand[[#This Row],[number]]-grand[[#This Row],[received]]</f>
        <v>1</v>
      </c>
      <c r="J1852" s="30" t="s">
        <v>310</v>
      </c>
      <c r="K1852" s="2">
        <v>18457</v>
      </c>
      <c r="L1852" s="2">
        <v>18260</v>
      </c>
      <c r="M1852" s="2">
        <f>K1852-L1852</f>
        <v>197</v>
      </c>
      <c r="N1852" s="2">
        <v>11073.5</v>
      </c>
      <c r="O1852" s="2"/>
      <c r="P1852" s="7">
        <f>grand[[#This Row],[total weight]]/grand[[#This Row],[received]]</f>
        <v>361.9019607843137</v>
      </c>
      <c r="Q1852" s="7">
        <f>grand[[#This Row],[receiving weight]]/grand[[#This Row],[received]]</f>
        <v>358.03921568627453</v>
      </c>
      <c r="R1852" s="7">
        <f>grand[[#This Row],[transportation loss ]]/grand[[#This Row],[received]]</f>
        <v>3.8627450980392157</v>
      </c>
      <c r="S1852" s="7">
        <f>grand[[#This Row],[ carcass weight]]/grand[[#This Row],[received]]</f>
        <v>217.12745098039215</v>
      </c>
      <c r="T1852" s="7">
        <f>grand[[#This Row],[ kidneys fat quantity]]/grand[[#This Row],[received]]</f>
        <v>0</v>
      </c>
      <c r="U1852" s="4">
        <v>25</v>
      </c>
      <c r="V1852" s="4">
        <v>0</v>
      </c>
      <c r="W1852" s="4">
        <v>49.73</v>
      </c>
      <c r="X1852" s="4">
        <v>10</v>
      </c>
      <c r="Y1852" s="8">
        <v>8.5</v>
      </c>
      <c r="Z1852" s="3">
        <f>grand[[#This Row],[av. Transportation loss]]/grand[[#This Row],[av.total weight]]</f>
        <v>1.0673457224901123E-2</v>
      </c>
      <c r="AA1852" s="12">
        <f>AVERAGE((grand[[#This Row],[am]]/25),(grand[[#This Row],[pm]]/50))</f>
        <v>0.99729999999999996</v>
      </c>
      <c r="AB1852" s="3">
        <f>grand[[#This Row],[ carcass weight]]/grand[[#This Row],[total weight]]</f>
        <v>0.59996207400986079</v>
      </c>
      <c r="AC1852" s="6">
        <f>SUM(grand[[#This Row],[am]:[meat transportation]])/100</f>
        <v>0.93229999999999991</v>
      </c>
      <c r="AD1852" s="2"/>
      <c r="AE1852" s="2"/>
      <c r="AF1852" s="2"/>
      <c r="AG1852" s="2"/>
      <c r="AH1852" s="2"/>
      <c r="AI1852" s="2"/>
      <c r="AJ1852" s="2">
        <v>10</v>
      </c>
      <c r="AK1852" s="12">
        <f>grand[[#This Row],[accepted as exception]]/grand[[#This Row],[number]]</f>
        <v>0.19230769230769232</v>
      </c>
      <c r="AL1852" s="2">
        <v>489</v>
      </c>
    </row>
    <row r="1853" spans="1:38" hidden="1" x14ac:dyDescent="0.2">
      <c r="A1853" s="11">
        <v>44420</v>
      </c>
      <c r="B1853" s="53" t="s">
        <v>2681</v>
      </c>
      <c r="C1853" s="52" t="str">
        <f>IF(MID(B1853,4,2)="09","Ramadan",IF(AND(MID(B1853,4,2)="12",VALUE(LEFT(B1853,2))&lt;=9),"Adha Season","Normal"))</f>
        <v>Normal</v>
      </c>
      <c r="D1853" s="1" t="s">
        <v>45</v>
      </c>
      <c r="F1853" s="4" t="s">
        <v>282</v>
      </c>
      <c r="G1853" s="4">
        <v>9</v>
      </c>
      <c r="H1853" s="4">
        <v>8</v>
      </c>
      <c r="I1853" s="2">
        <f>grand[[#This Row],[number]]-grand[[#This Row],[received]]</f>
        <v>1</v>
      </c>
      <c r="J1853" s="30" t="s">
        <v>310</v>
      </c>
      <c r="K1853" s="9">
        <v>3190</v>
      </c>
      <c r="L1853" s="9">
        <v>3093</v>
      </c>
      <c r="M1853" s="2">
        <f>K1853-L1853</f>
        <v>97</v>
      </c>
      <c r="N1853" s="9">
        <v>1914.4</v>
      </c>
      <c r="O1853" s="9"/>
      <c r="P1853" s="7">
        <f>grand[[#This Row],[total weight]]/grand[[#This Row],[received]]</f>
        <v>398.75</v>
      </c>
      <c r="Q1853" s="7">
        <f>grand[[#This Row],[receiving weight]]/grand[[#This Row],[received]]</f>
        <v>386.625</v>
      </c>
      <c r="R1853" s="7">
        <f>grand[[#This Row],[transportation loss ]]/grand[[#This Row],[received]]</f>
        <v>12.125</v>
      </c>
      <c r="S1853" s="7">
        <f>grand[[#This Row],[ carcass weight]]/grand[[#This Row],[received]]</f>
        <v>239.3</v>
      </c>
      <c r="T1853" s="7">
        <f>grand[[#This Row],[ kidneys fat quantity]]/grand[[#This Row],[received]]</f>
        <v>0</v>
      </c>
      <c r="U1853" s="4">
        <v>25</v>
      </c>
      <c r="V1853" s="4">
        <v>0</v>
      </c>
      <c r="W1853" s="4">
        <v>50</v>
      </c>
      <c r="X1853" s="4">
        <v>10</v>
      </c>
      <c r="Y1853" s="8">
        <v>8.5</v>
      </c>
      <c r="Z1853" s="3">
        <f>grand[[#This Row],[av. Transportation loss]]/grand[[#This Row],[av.total weight]]</f>
        <v>3.0407523510971788E-2</v>
      </c>
      <c r="AA1853" s="12">
        <f>AVERAGE((grand[[#This Row],[am]]/25),(grand[[#This Row],[pm]]/50))</f>
        <v>1</v>
      </c>
      <c r="AB1853" s="3">
        <f>grand[[#This Row],[ carcass weight]]/grand[[#This Row],[total weight]]</f>
        <v>0.60012539184952984</v>
      </c>
      <c r="AC1853" s="6">
        <f>SUM(grand[[#This Row],[am]:[meat transportation]])/100</f>
        <v>0.93500000000000005</v>
      </c>
      <c r="AD1853" s="2"/>
      <c r="AE1853" s="2"/>
      <c r="AF1853" s="2"/>
      <c r="AG1853" s="2"/>
      <c r="AH1853" s="2"/>
      <c r="AI1853" s="2"/>
      <c r="AJ1853" s="2">
        <v>3</v>
      </c>
      <c r="AK1853" s="12">
        <f>grand[[#This Row],[accepted as exception]]/grand[[#This Row],[number]]</f>
        <v>0.33333333333333331</v>
      </c>
      <c r="AL1853" s="2">
        <v>417</v>
      </c>
    </row>
    <row r="1854" spans="1:38" hidden="1" x14ac:dyDescent="0.2">
      <c r="A1854" s="11">
        <v>44425</v>
      </c>
      <c r="B1854" s="53" t="s">
        <v>2683</v>
      </c>
      <c r="C1854" s="52" t="str">
        <f>IF(MID(B1854,4,2)="09","Ramadan",IF(AND(MID(B1854,4,2)="12",VALUE(LEFT(B1854,2))&lt;=9),"Adha Season","Normal"))</f>
        <v>Normal</v>
      </c>
      <c r="D1854" s="1" t="s">
        <v>45</v>
      </c>
      <c r="F1854" s="4" t="s">
        <v>39</v>
      </c>
      <c r="G1854" s="4">
        <v>47</v>
      </c>
      <c r="H1854" s="4">
        <v>46</v>
      </c>
      <c r="I1854" s="2">
        <f>grand[[#This Row],[number]]-grand[[#This Row],[received]]</f>
        <v>1</v>
      </c>
      <c r="J1854" s="30" t="s">
        <v>310</v>
      </c>
      <c r="K1854" s="9">
        <v>18874</v>
      </c>
      <c r="L1854" s="9">
        <v>17720</v>
      </c>
      <c r="M1854" s="2">
        <f>K1854-L1854</f>
        <v>1154</v>
      </c>
      <c r="N1854" s="9">
        <v>11547.4</v>
      </c>
      <c r="O1854" s="9"/>
      <c r="P1854" s="7">
        <f>grand[[#This Row],[total weight]]/grand[[#This Row],[received]]</f>
        <v>410.30434782608694</v>
      </c>
      <c r="Q1854" s="7">
        <f>grand[[#This Row],[receiving weight]]/grand[[#This Row],[received]]</f>
        <v>385.21739130434781</v>
      </c>
      <c r="R1854" s="7">
        <f>grand[[#This Row],[transportation loss ]]/grand[[#This Row],[received]]</f>
        <v>25.086956521739129</v>
      </c>
      <c r="S1854" s="7">
        <f>grand[[#This Row],[ carcass weight]]/grand[[#This Row],[received]]</f>
        <v>251.03043478260869</v>
      </c>
      <c r="T1854" s="7">
        <f>grand[[#This Row],[ kidneys fat quantity]]/grand[[#This Row],[received]]</f>
        <v>0</v>
      </c>
      <c r="U1854" s="4">
        <v>25</v>
      </c>
      <c r="V1854" s="4">
        <v>0</v>
      </c>
      <c r="W1854" s="4">
        <v>50</v>
      </c>
      <c r="X1854" s="4">
        <v>10</v>
      </c>
      <c r="Y1854" s="8">
        <v>8.5</v>
      </c>
      <c r="Z1854" s="3">
        <f>grand[[#This Row],[av. Transportation loss]]/grand[[#This Row],[av.total weight]]</f>
        <v>6.1142312175479496E-2</v>
      </c>
      <c r="AA1854" s="12">
        <f>AVERAGE((grand[[#This Row],[am]]/25),(grand[[#This Row],[pm]]/50))</f>
        <v>1</v>
      </c>
      <c r="AB1854" s="3">
        <f>grand[[#This Row],[ carcass weight]]/grand[[#This Row],[total weight]]</f>
        <v>0.61181519550704666</v>
      </c>
      <c r="AC1854" s="6">
        <f>SUM(grand[[#This Row],[am]:[meat transportation]])/100</f>
        <v>0.93500000000000005</v>
      </c>
      <c r="AD1854" s="2"/>
      <c r="AE1854" s="2"/>
      <c r="AF1854" s="2"/>
      <c r="AG1854" s="2"/>
      <c r="AH1854" s="2"/>
      <c r="AI1854" s="2"/>
      <c r="AJ1854" s="2">
        <v>8</v>
      </c>
      <c r="AK1854" s="12">
        <f>grand[[#This Row],[accepted as exception]]/grand[[#This Row],[number]]</f>
        <v>0.1702127659574468</v>
      </c>
      <c r="AL1854" s="2">
        <v>475</v>
      </c>
    </row>
    <row r="1855" spans="1:38" hidden="1" x14ac:dyDescent="0.2">
      <c r="A1855" s="11">
        <v>44432</v>
      </c>
      <c r="B1855" s="53" t="s">
        <v>2686</v>
      </c>
      <c r="C1855" s="52" t="str">
        <f>IF(MID(B1855,4,2)="09","Ramadan",IF(AND(MID(B1855,4,2)="12",VALUE(LEFT(B1855,2))&lt;=9),"Adha Season","Normal"))</f>
        <v>Normal</v>
      </c>
      <c r="D1855" s="1" t="s">
        <v>45</v>
      </c>
      <c r="F1855" s="4" t="s">
        <v>50</v>
      </c>
      <c r="G1855" s="4">
        <v>45</v>
      </c>
      <c r="H1855" s="4">
        <v>44</v>
      </c>
      <c r="I1855" s="2">
        <f>grand[[#This Row],[number]]-grand[[#This Row],[received]]</f>
        <v>1</v>
      </c>
      <c r="J1855" s="30" t="s">
        <v>310</v>
      </c>
      <c r="K1855" s="9">
        <v>19054</v>
      </c>
      <c r="L1855" s="9">
        <v>18395</v>
      </c>
      <c r="M1855" s="2">
        <f>K1855-L1855</f>
        <v>659</v>
      </c>
      <c r="N1855" s="9">
        <v>11948.1</v>
      </c>
      <c r="O1855" s="9"/>
      <c r="P1855" s="7">
        <f>grand[[#This Row],[total weight]]/grand[[#This Row],[received]]</f>
        <v>433.04545454545456</v>
      </c>
      <c r="Q1855" s="7">
        <f>grand[[#This Row],[receiving weight]]/grand[[#This Row],[received]]</f>
        <v>418.06818181818181</v>
      </c>
      <c r="R1855" s="7">
        <f>grand[[#This Row],[transportation loss ]]/grand[[#This Row],[received]]</f>
        <v>14.977272727272727</v>
      </c>
      <c r="S1855" s="7">
        <f>grand[[#This Row],[ carcass weight]]/grand[[#This Row],[received]]</f>
        <v>271.54772727272729</v>
      </c>
      <c r="T1855" s="7">
        <f>grand[[#This Row],[ kidneys fat quantity]]/grand[[#This Row],[received]]</f>
        <v>0</v>
      </c>
      <c r="U1855" s="4">
        <v>25</v>
      </c>
      <c r="V1855" s="4">
        <v>0</v>
      </c>
      <c r="W1855" s="4">
        <v>49.91</v>
      </c>
      <c r="X1855" s="4">
        <v>10</v>
      </c>
      <c r="Y1855" s="8">
        <v>8.5</v>
      </c>
      <c r="Z1855" s="3">
        <f>grand[[#This Row],[av. Transportation loss]]/grand[[#This Row],[av.total weight]]</f>
        <v>3.4585913718904161E-2</v>
      </c>
      <c r="AA1855" s="12">
        <f>AVERAGE((grand[[#This Row],[am]]/25),(grand[[#This Row],[pm]]/50))</f>
        <v>0.99909999999999999</v>
      </c>
      <c r="AB1855" s="3">
        <f>grand[[#This Row],[ carcass weight]]/grand[[#This Row],[total weight]]</f>
        <v>0.62706518316364024</v>
      </c>
      <c r="AC1855" s="6">
        <f>SUM(grand[[#This Row],[am]:[meat transportation]])/100</f>
        <v>0.93409999999999993</v>
      </c>
      <c r="AD1855" s="2"/>
      <c r="AE1855" s="2"/>
      <c r="AF1855" s="2"/>
      <c r="AG1855" s="2"/>
      <c r="AH1855" s="2"/>
      <c r="AI1855" s="2"/>
      <c r="AJ1855" s="2">
        <v>4</v>
      </c>
      <c r="AK1855" s="12">
        <f>grand[[#This Row],[accepted as exception]]/grand[[#This Row],[number]]</f>
        <v>8.8888888888888892E-2</v>
      </c>
      <c r="AL1855" s="2">
        <v>410</v>
      </c>
    </row>
    <row r="1856" spans="1:38" hidden="1" x14ac:dyDescent="0.2">
      <c r="A1856" s="11">
        <v>44437</v>
      </c>
      <c r="B1856" s="53" t="s">
        <v>1579</v>
      </c>
      <c r="C1856" s="52" t="str">
        <f>IF(MID(B1856,4,2)="09","Ramadan",IF(AND(MID(B1856,4,2)="12",VALUE(LEFT(B1856,2))&lt;=9),"Adha Season","Normal"))</f>
        <v>Normal</v>
      </c>
      <c r="D1856" s="1" t="s">
        <v>45</v>
      </c>
      <c r="F1856" s="4" t="s">
        <v>280</v>
      </c>
      <c r="G1856" s="4">
        <v>34</v>
      </c>
      <c r="H1856" s="4">
        <v>33</v>
      </c>
      <c r="I1856" s="2">
        <f>grand[[#This Row],[number]]-grand[[#This Row],[received]]</f>
        <v>1</v>
      </c>
      <c r="J1856" s="30" t="s">
        <v>310</v>
      </c>
      <c r="K1856" s="9">
        <v>13535</v>
      </c>
      <c r="L1856" s="9">
        <v>13190</v>
      </c>
      <c r="M1856" s="2">
        <f>K1856-L1856</f>
        <v>345</v>
      </c>
      <c r="N1856" s="9">
        <v>8120.9</v>
      </c>
      <c r="O1856" s="9"/>
      <c r="P1856" s="7">
        <f>grand[[#This Row],[total weight]]/grand[[#This Row],[received]]</f>
        <v>410.15151515151513</v>
      </c>
      <c r="Q1856" s="7">
        <f>grand[[#This Row],[receiving weight]]/grand[[#This Row],[received]]</f>
        <v>399.69696969696969</v>
      </c>
      <c r="R1856" s="7">
        <f>grand[[#This Row],[transportation loss ]]/grand[[#This Row],[received]]</f>
        <v>10.454545454545455</v>
      </c>
      <c r="S1856" s="7">
        <f>grand[[#This Row],[ carcass weight]]/grand[[#This Row],[received]]</f>
        <v>246.08787878787876</v>
      </c>
      <c r="T1856" s="7">
        <f>grand[[#This Row],[ kidneys fat quantity]]/grand[[#This Row],[received]]</f>
        <v>0</v>
      </c>
      <c r="U1856" s="4">
        <v>25</v>
      </c>
      <c r="V1856" s="4">
        <v>0</v>
      </c>
      <c r="W1856" s="4">
        <v>49.787878787878789</v>
      </c>
      <c r="X1856" s="4">
        <v>9.8484848484848477</v>
      </c>
      <c r="Y1856" s="8">
        <v>8.5</v>
      </c>
      <c r="Z1856" s="3">
        <f>grand[[#This Row],[av. Transportation loss]]/grand[[#This Row],[av.total weight]]</f>
        <v>2.548947173993351E-2</v>
      </c>
      <c r="AA1856" s="12">
        <f>AVERAGE((grand[[#This Row],[am]]/25),(grand[[#This Row],[pm]]/50))</f>
        <v>0.99787878787878781</v>
      </c>
      <c r="AB1856" s="3">
        <f>grand[[#This Row],[ carcass weight]]/grand[[#This Row],[total weight]]</f>
        <v>0.59999261174732177</v>
      </c>
      <c r="AC1856" s="6">
        <f>SUM(grand[[#This Row],[am]:[meat transportation]])/100</f>
        <v>0.93136363636363628</v>
      </c>
      <c r="AD1856" s="2"/>
      <c r="AE1856" s="2"/>
      <c r="AF1856" s="2"/>
      <c r="AG1856" s="2"/>
      <c r="AH1856" s="2"/>
      <c r="AI1856" s="2"/>
      <c r="AJ1856" s="2">
        <v>6</v>
      </c>
      <c r="AK1856" s="12">
        <f>grand[[#This Row],[accepted as exception]]/grand[[#This Row],[number]]</f>
        <v>0.17647058823529413</v>
      </c>
      <c r="AL1856" s="2">
        <v>420</v>
      </c>
    </row>
    <row r="1857" spans="1:38" hidden="1" x14ac:dyDescent="0.2">
      <c r="A1857" s="11">
        <v>44439</v>
      </c>
      <c r="B1857" s="53" t="s">
        <v>2689</v>
      </c>
      <c r="C1857" s="52" t="str">
        <f>IF(MID(B1857,4,2)="09","Ramadan",IF(AND(MID(B1857,4,2)="12",VALUE(LEFT(B1857,2))&lt;=9),"Adha Season","Normal"))</f>
        <v>Normal</v>
      </c>
      <c r="D1857" s="1" t="s">
        <v>45</v>
      </c>
      <c r="F1857" s="4" t="s">
        <v>39</v>
      </c>
      <c r="G1857" s="4">
        <v>40</v>
      </c>
      <c r="H1857" s="4">
        <v>39</v>
      </c>
      <c r="I1857" s="2">
        <f>grand[[#This Row],[number]]-grand[[#This Row],[received]]</f>
        <v>1</v>
      </c>
      <c r="J1857" s="30" t="s">
        <v>310</v>
      </c>
      <c r="K1857" s="9">
        <v>16069</v>
      </c>
      <c r="L1857" s="9">
        <v>15274</v>
      </c>
      <c r="M1857" s="2">
        <f>K1857-L1857</f>
        <v>795</v>
      </c>
      <c r="N1857" s="9">
        <v>9829</v>
      </c>
      <c r="O1857" s="9"/>
      <c r="P1857" s="7">
        <f>grand[[#This Row],[total weight]]/grand[[#This Row],[received]]</f>
        <v>412.02564102564105</v>
      </c>
      <c r="Q1857" s="7">
        <f>grand[[#This Row],[receiving weight]]/grand[[#This Row],[received]]</f>
        <v>391.64102564102564</v>
      </c>
      <c r="R1857" s="7">
        <f>grand[[#This Row],[transportation loss ]]/grand[[#This Row],[received]]</f>
        <v>20.384615384615383</v>
      </c>
      <c r="S1857" s="7">
        <f>grand[[#This Row],[ carcass weight]]/grand[[#This Row],[received]]</f>
        <v>252.02564102564102</v>
      </c>
      <c r="T1857" s="7">
        <f>grand[[#This Row],[ kidneys fat quantity]]/grand[[#This Row],[received]]</f>
        <v>0</v>
      </c>
      <c r="U1857" s="4">
        <v>25</v>
      </c>
      <c r="V1857" s="4">
        <v>0</v>
      </c>
      <c r="W1857" s="4">
        <v>49.87</v>
      </c>
      <c r="X1857" s="4">
        <v>9.6999999999999993</v>
      </c>
      <c r="Y1857" s="8">
        <v>8.5</v>
      </c>
      <c r="Z1857" s="3">
        <f>grand[[#This Row],[av. Transportation loss]]/grand[[#This Row],[av.total weight]]</f>
        <v>4.9474142759350297E-2</v>
      </c>
      <c r="AA1857" s="12">
        <f>AVERAGE((grand[[#This Row],[am]]/25),(grand[[#This Row],[pm]]/50))</f>
        <v>0.99869999999999992</v>
      </c>
      <c r="AB1857" s="3">
        <f>grand[[#This Row],[ carcass weight]]/grand[[#This Row],[total weight]]</f>
        <v>0.6116746530586844</v>
      </c>
      <c r="AC1857" s="6">
        <f>SUM(grand[[#This Row],[am]:[meat transportation]])/100</f>
        <v>0.93070000000000008</v>
      </c>
      <c r="AD1857" s="2"/>
      <c r="AE1857" s="2"/>
      <c r="AF1857" s="2"/>
      <c r="AG1857" s="2"/>
      <c r="AH1857" s="2"/>
      <c r="AI1857" s="2"/>
      <c r="AJ1857" s="2">
        <v>3</v>
      </c>
      <c r="AK1857" s="12">
        <f>grand[[#This Row],[accepted as exception]]/grand[[#This Row],[number]]</f>
        <v>7.4999999999999997E-2</v>
      </c>
      <c r="AL1857" s="2">
        <v>436</v>
      </c>
    </row>
    <row r="1858" spans="1:38" hidden="1" x14ac:dyDescent="0.2">
      <c r="A1858" s="11">
        <v>44446</v>
      </c>
      <c r="B1858" s="53" t="s">
        <v>2692</v>
      </c>
      <c r="C1858" s="52" t="str">
        <f>IF(MID(B1858,4,2)="09","Ramadan",IF(AND(MID(B1858,4,2)="12",VALUE(LEFT(B1858,2))&lt;=9),"Adha Season","Normal"))</f>
        <v>Normal</v>
      </c>
      <c r="D1858" s="1" t="s">
        <v>45</v>
      </c>
      <c r="F1858" s="4" t="s">
        <v>39</v>
      </c>
      <c r="G1858" s="4">
        <v>35</v>
      </c>
      <c r="H1858" s="4">
        <v>34</v>
      </c>
      <c r="I1858" s="2">
        <f>grand[[#This Row],[number]]-grand[[#This Row],[received]]</f>
        <v>1</v>
      </c>
      <c r="J1858" s="30" t="s">
        <v>310</v>
      </c>
      <c r="K1858" s="9">
        <v>14296</v>
      </c>
      <c r="L1858" s="9">
        <v>13554</v>
      </c>
      <c r="M1858" s="2">
        <f>K1858-L1858</f>
        <v>742</v>
      </c>
      <c r="N1858" s="9">
        <v>8705.7000000000007</v>
      </c>
      <c r="O1858" s="9"/>
      <c r="P1858" s="7">
        <f>grand[[#This Row],[total weight]]/grand[[#This Row],[received]]</f>
        <v>420.47058823529414</v>
      </c>
      <c r="Q1858" s="7">
        <f>grand[[#This Row],[receiving weight]]/grand[[#This Row],[received]]</f>
        <v>398.64705882352939</v>
      </c>
      <c r="R1858" s="7">
        <f>grand[[#This Row],[transportation loss ]]/grand[[#This Row],[received]]</f>
        <v>21.823529411764707</v>
      </c>
      <c r="S1858" s="7">
        <f>grand[[#This Row],[ carcass weight]]/grand[[#This Row],[received]]</f>
        <v>256.05</v>
      </c>
      <c r="T1858" s="7">
        <f>grand[[#This Row],[ kidneys fat quantity]]/grand[[#This Row],[received]]</f>
        <v>0</v>
      </c>
      <c r="U1858" s="4">
        <v>25</v>
      </c>
      <c r="V1858" s="4">
        <v>0</v>
      </c>
      <c r="W1858" s="4">
        <v>49.59</v>
      </c>
      <c r="X1858" s="4">
        <v>10</v>
      </c>
      <c r="Y1858" s="8">
        <v>8.5</v>
      </c>
      <c r="Z1858" s="3">
        <f>grand[[#This Row],[av. Transportation loss]]/grand[[#This Row],[av.total weight]]</f>
        <v>5.1902630106323448E-2</v>
      </c>
      <c r="AA1858" s="12">
        <f>AVERAGE((grand[[#This Row],[am]]/25),(grand[[#This Row],[pm]]/50))</f>
        <v>0.99590000000000001</v>
      </c>
      <c r="AB1858" s="3">
        <f>grand[[#This Row],[ carcass weight]]/grand[[#This Row],[total weight]]</f>
        <v>0.60896054840514835</v>
      </c>
      <c r="AC1858" s="6">
        <f>SUM(grand[[#This Row],[am]:[meat transportation]])/100</f>
        <v>0.93090000000000006</v>
      </c>
      <c r="AD1858" s="2"/>
      <c r="AE1858" s="2"/>
      <c r="AF1858" s="2"/>
      <c r="AG1858" s="2"/>
      <c r="AH1858" s="2"/>
      <c r="AI1858" s="2"/>
      <c r="AJ1858" s="2">
        <v>2</v>
      </c>
      <c r="AK1858" s="12">
        <f>grand[[#This Row],[accepted as exception]]/grand[[#This Row],[number]]</f>
        <v>5.7142857142857141E-2</v>
      </c>
      <c r="AL1858" s="2">
        <v>421</v>
      </c>
    </row>
    <row r="1859" spans="1:38" hidden="1" x14ac:dyDescent="0.2">
      <c r="A1859" s="11">
        <v>44448</v>
      </c>
      <c r="B1859" s="53" t="s">
        <v>2693</v>
      </c>
      <c r="C1859" s="52" t="str">
        <f>IF(MID(B1859,4,2)="09","Ramadan",IF(AND(MID(B1859,4,2)="12",VALUE(LEFT(B1859,2))&lt;=9),"Adha Season","Normal"))</f>
        <v>Normal</v>
      </c>
      <c r="D1859" s="1" t="s">
        <v>45</v>
      </c>
      <c r="F1859" s="4" t="s">
        <v>46</v>
      </c>
      <c r="G1859" s="4">
        <v>45</v>
      </c>
      <c r="H1859" s="4">
        <v>44</v>
      </c>
      <c r="I1859" s="2">
        <f>grand[[#This Row],[number]]-grand[[#This Row],[received]]</f>
        <v>1</v>
      </c>
      <c r="J1859" s="30" t="s">
        <v>310</v>
      </c>
      <c r="K1859" s="9">
        <v>19000</v>
      </c>
      <c r="L1859" s="9">
        <v>19000</v>
      </c>
      <c r="M1859" s="2">
        <f>K1859-L1859</f>
        <v>0</v>
      </c>
      <c r="N1859" s="9">
        <v>11400.5</v>
      </c>
      <c r="O1859" s="9"/>
      <c r="P1859" s="7">
        <f>grand[[#This Row],[total weight]]/grand[[#This Row],[received]]</f>
        <v>431.81818181818181</v>
      </c>
      <c r="Q1859" s="7">
        <f>grand[[#This Row],[receiving weight]]/grand[[#This Row],[received]]</f>
        <v>431.81818181818181</v>
      </c>
      <c r="R1859" s="7">
        <f>grand[[#This Row],[transportation loss ]]/grand[[#This Row],[received]]</f>
        <v>0</v>
      </c>
      <c r="S1859" s="7">
        <f>grand[[#This Row],[ carcass weight]]/grand[[#This Row],[received]]</f>
        <v>259.10227272727275</v>
      </c>
      <c r="T1859" s="7">
        <f>grand[[#This Row],[ kidneys fat quantity]]/grand[[#This Row],[received]]</f>
        <v>0</v>
      </c>
      <c r="U1859" s="4">
        <v>25</v>
      </c>
      <c r="V1859" s="4">
        <v>0</v>
      </c>
      <c r="W1859" s="4">
        <v>49.95</v>
      </c>
      <c r="X1859" s="4">
        <v>10</v>
      </c>
      <c r="Y1859" s="8">
        <v>8.5</v>
      </c>
      <c r="Z1859" s="3">
        <f>grand[[#This Row],[av. Transportation loss]]/grand[[#This Row],[av.total weight]]</f>
        <v>0</v>
      </c>
      <c r="AA1859" s="12">
        <f>AVERAGE((grand[[#This Row],[am]]/25),(grand[[#This Row],[pm]]/50))</f>
        <v>0.99950000000000006</v>
      </c>
      <c r="AB1859" s="3">
        <f>grand[[#This Row],[ carcass weight]]/grand[[#This Row],[total weight]]</f>
        <v>0.60002631578947363</v>
      </c>
      <c r="AC1859" s="6">
        <f>SUM(grand[[#This Row],[am]:[meat transportation]])/100</f>
        <v>0.9345</v>
      </c>
      <c r="AD1859" s="2"/>
      <c r="AE1859" s="2"/>
      <c r="AF1859" s="2"/>
      <c r="AG1859" s="2"/>
      <c r="AH1859" s="2"/>
      <c r="AI1859" s="2"/>
      <c r="AJ1859" s="2">
        <v>11</v>
      </c>
      <c r="AK1859" s="12">
        <f>grand[[#This Row],[accepted as exception]]/grand[[#This Row],[number]]</f>
        <v>0.24444444444444444</v>
      </c>
      <c r="AL1859" s="2">
        <v>459</v>
      </c>
    </row>
    <row r="1860" spans="1:38" hidden="1" x14ac:dyDescent="0.2">
      <c r="A1860" s="11">
        <v>44450</v>
      </c>
      <c r="B1860" s="53" t="s">
        <v>2694</v>
      </c>
      <c r="C1860" s="52" t="str">
        <f>IF(MID(B1860,4,2)="09","Ramadan",IF(AND(MID(B1860,4,2)="12",VALUE(LEFT(B1860,2))&lt;=9),"Adha Season","Normal"))</f>
        <v>Normal</v>
      </c>
      <c r="D1860" s="1" t="s">
        <v>45</v>
      </c>
      <c r="F1860" s="4" t="s">
        <v>39</v>
      </c>
      <c r="G1860" s="4">
        <v>22</v>
      </c>
      <c r="H1860" s="4">
        <v>21</v>
      </c>
      <c r="I1860" s="2">
        <f>grand[[#This Row],[number]]-grand[[#This Row],[received]]</f>
        <v>1</v>
      </c>
      <c r="J1860" s="30" t="s">
        <v>310</v>
      </c>
      <c r="K1860" s="9">
        <v>8641</v>
      </c>
      <c r="L1860" s="9">
        <v>8097</v>
      </c>
      <c r="M1860" s="2">
        <f>K1860-L1860</f>
        <v>544</v>
      </c>
      <c r="N1860" s="9">
        <v>5298</v>
      </c>
      <c r="O1860" s="9"/>
      <c r="P1860" s="7">
        <f>grand[[#This Row],[total weight]]/grand[[#This Row],[received]]</f>
        <v>411.47619047619048</v>
      </c>
      <c r="Q1860" s="7">
        <f>grand[[#This Row],[receiving weight]]/grand[[#This Row],[received]]</f>
        <v>385.57142857142856</v>
      </c>
      <c r="R1860" s="7">
        <f>grand[[#This Row],[transportation loss ]]/grand[[#This Row],[received]]</f>
        <v>25.904761904761905</v>
      </c>
      <c r="S1860" s="7">
        <f>grand[[#This Row],[ carcass weight]]/grand[[#This Row],[received]]</f>
        <v>252.28571428571428</v>
      </c>
      <c r="T1860" s="7">
        <f>grand[[#This Row],[ kidneys fat quantity]]/grand[[#This Row],[received]]</f>
        <v>0</v>
      </c>
      <c r="U1860" s="4">
        <v>25</v>
      </c>
      <c r="V1860" s="4">
        <v>0</v>
      </c>
      <c r="W1860" s="4">
        <v>50</v>
      </c>
      <c r="X1860" s="4">
        <v>9</v>
      </c>
      <c r="Y1860" s="8">
        <v>8.5</v>
      </c>
      <c r="Z1860" s="3">
        <f>grand[[#This Row],[av. Transportation loss]]/grand[[#This Row],[av.total weight]]</f>
        <v>6.2955676426339549E-2</v>
      </c>
      <c r="AA1860" s="12">
        <f>AVERAGE((grand[[#This Row],[am]]/25),(grand[[#This Row],[pm]]/50))</f>
        <v>1</v>
      </c>
      <c r="AB1860" s="3">
        <f>grand[[#This Row],[ carcass weight]]/grand[[#This Row],[total weight]]</f>
        <v>0.61312348107857884</v>
      </c>
      <c r="AC1860" s="6">
        <f>SUM(grand[[#This Row],[am]:[meat transportation]])/100</f>
        <v>0.92500000000000004</v>
      </c>
      <c r="AD1860" s="2"/>
      <c r="AE1860" s="2"/>
      <c r="AF1860" s="2"/>
      <c r="AG1860" s="2"/>
      <c r="AH1860" s="2"/>
      <c r="AI1860" s="2"/>
      <c r="AJ1860" s="2">
        <v>0</v>
      </c>
      <c r="AK1860" s="12">
        <f>grand[[#This Row],[accepted as exception]]/grand[[#This Row],[number]]</f>
        <v>0</v>
      </c>
      <c r="AL1860" s="2">
        <v>463</v>
      </c>
    </row>
    <row r="1861" spans="1:38" hidden="1" x14ac:dyDescent="0.2">
      <c r="A1861" s="11">
        <v>44451</v>
      </c>
      <c r="B1861" s="53" t="s">
        <v>1581</v>
      </c>
      <c r="C1861" s="52" t="str">
        <f>IF(MID(B1861,4,2)="09","Ramadan",IF(AND(MID(B1861,4,2)="12",VALUE(LEFT(B1861,2))&lt;=9),"Adha Season","Normal"))</f>
        <v>Normal</v>
      </c>
      <c r="D1861" s="1" t="s">
        <v>45</v>
      </c>
      <c r="F1861" s="4" t="s">
        <v>280</v>
      </c>
      <c r="G1861" s="4">
        <v>39</v>
      </c>
      <c r="H1861" s="4">
        <v>38</v>
      </c>
      <c r="I1861" s="2">
        <f>grand[[#This Row],[number]]-grand[[#This Row],[received]]</f>
        <v>1</v>
      </c>
      <c r="J1861" s="30" t="s">
        <v>310</v>
      </c>
      <c r="K1861" s="9">
        <v>14876</v>
      </c>
      <c r="L1861" s="9">
        <v>14625</v>
      </c>
      <c r="M1861" s="2">
        <f>K1861-L1861</f>
        <v>251</v>
      </c>
      <c r="N1861" s="9">
        <v>8925</v>
      </c>
      <c r="O1861" s="9"/>
      <c r="P1861" s="7">
        <f>grand[[#This Row],[total weight]]/grand[[#This Row],[received]]</f>
        <v>391.4736842105263</v>
      </c>
      <c r="Q1861" s="7">
        <f>grand[[#This Row],[receiving weight]]/grand[[#This Row],[received]]</f>
        <v>384.86842105263156</v>
      </c>
      <c r="R1861" s="7">
        <f>grand[[#This Row],[transportation loss ]]/grand[[#This Row],[received]]</f>
        <v>6.6052631578947372</v>
      </c>
      <c r="S1861" s="7">
        <f>grand[[#This Row],[ carcass weight]]/grand[[#This Row],[received]]</f>
        <v>234.86842105263159</v>
      </c>
      <c r="T1861" s="7">
        <f>grand[[#This Row],[ kidneys fat quantity]]/grand[[#This Row],[received]]</f>
        <v>0</v>
      </c>
      <c r="U1861" s="4">
        <v>25</v>
      </c>
      <c r="V1861" s="4">
        <v>0</v>
      </c>
      <c r="W1861" s="4">
        <v>49.76</v>
      </c>
      <c r="X1861" s="4">
        <v>9.9</v>
      </c>
      <c r="Y1861" s="8">
        <v>8.5</v>
      </c>
      <c r="Z1861" s="3">
        <f>grand[[#This Row],[av. Transportation loss]]/grand[[#This Row],[av.total weight]]</f>
        <v>1.687281527292283E-2</v>
      </c>
      <c r="AA1861" s="12">
        <f>AVERAGE((grand[[#This Row],[am]]/25),(grand[[#This Row],[pm]]/50))</f>
        <v>0.99760000000000004</v>
      </c>
      <c r="AB1861" s="3">
        <f>grand[[#This Row],[ carcass weight]]/grand[[#This Row],[total weight]]</f>
        <v>0.59995966657703681</v>
      </c>
      <c r="AC1861" s="6">
        <f>SUM(grand[[#This Row],[am]:[meat transportation]])/100</f>
        <v>0.93159999999999998</v>
      </c>
      <c r="AD1861" s="2"/>
      <c r="AE1861" s="2"/>
      <c r="AF1861" s="2"/>
      <c r="AG1861" s="2"/>
      <c r="AH1861" s="2"/>
      <c r="AI1861" s="2"/>
      <c r="AJ1861" s="2">
        <v>8</v>
      </c>
      <c r="AK1861" s="12">
        <f>grand[[#This Row],[accepted as exception]]/grand[[#This Row],[number]]</f>
        <v>0.20512820512820512</v>
      </c>
      <c r="AL1861" s="2">
        <v>420</v>
      </c>
    </row>
    <row r="1862" spans="1:38" hidden="1" x14ac:dyDescent="0.2">
      <c r="A1862" s="11">
        <v>44453</v>
      </c>
      <c r="B1862" s="53" t="s">
        <v>2695</v>
      </c>
      <c r="C1862" s="52" t="str">
        <f>IF(MID(B1862,4,2)="09","Ramadan",IF(AND(MID(B1862,4,2)="12",VALUE(LEFT(B1862,2))&lt;=9),"Adha Season","Normal"))</f>
        <v>Normal</v>
      </c>
      <c r="D1862" s="1" t="s">
        <v>45</v>
      </c>
      <c r="F1862" s="4" t="s">
        <v>39</v>
      </c>
      <c r="G1862" s="4">
        <v>41</v>
      </c>
      <c r="H1862" s="4">
        <v>40</v>
      </c>
      <c r="I1862" s="2">
        <f>grand[[#This Row],[number]]-grand[[#This Row],[received]]</f>
        <v>1</v>
      </c>
      <c r="J1862" s="30" t="s">
        <v>310</v>
      </c>
      <c r="K1862" s="9">
        <v>16751</v>
      </c>
      <c r="L1862" s="9">
        <v>16254</v>
      </c>
      <c r="M1862" s="2">
        <f>K1862-L1862</f>
        <v>497</v>
      </c>
      <c r="N1862" s="9">
        <v>10357</v>
      </c>
      <c r="O1862" s="9"/>
      <c r="P1862" s="7">
        <f>grand[[#This Row],[total weight]]/grand[[#This Row],[received]]</f>
        <v>418.77499999999998</v>
      </c>
      <c r="Q1862" s="7">
        <f>grand[[#This Row],[receiving weight]]/grand[[#This Row],[received]]</f>
        <v>406.35</v>
      </c>
      <c r="R1862" s="7">
        <f>grand[[#This Row],[transportation loss ]]/grand[[#This Row],[received]]</f>
        <v>12.425000000000001</v>
      </c>
      <c r="S1862" s="7">
        <f>grand[[#This Row],[ carcass weight]]/grand[[#This Row],[received]]</f>
        <v>258.92500000000001</v>
      </c>
      <c r="T1862" s="7">
        <f>grand[[#This Row],[ kidneys fat quantity]]/grand[[#This Row],[received]]</f>
        <v>0</v>
      </c>
      <c r="U1862" s="4">
        <v>25</v>
      </c>
      <c r="V1862" s="4">
        <v>0</v>
      </c>
      <c r="W1862" s="4">
        <v>49.63</v>
      </c>
      <c r="X1862" s="4">
        <v>10</v>
      </c>
      <c r="Y1862" s="8">
        <v>8.5</v>
      </c>
      <c r="Z1862" s="3">
        <f>grand[[#This Row],[av. Transportation loss]]/grand[[#This Row],[av.total weight]]</f>
        <v>2.9669870455495198E-2</v>
      </c>
      <c r="AA1862" s="12">
        <f>AVERAGE((grand[[#This Row],[am]]/25),(grand[[#This Row],[pm]]/50))</f>
        <v>0.99629999999999996</v>
      </c>
      <c r="AB1862" s="3">
        <f>grand[[#This Row],[ carcass weight]]/grand[[#This Row],[total weight]]</f>
        <v>0.61829144528684854</v>
      </c>
      <c r="AC1862" s="6">
        <f>SUM(grand[[#This Row],[am]:[meat transportation]])/100</f>
        <v>0.93129999999999991</v>
      </c>
      <c r="AD1862" s="2"/>
      <c r="AE1862" s="2"/>
      <c r="AF1862" s="2"/>
      <c r="AG1862" s="2"/>
      <c r="AH1862" s="2"/>
      <c r="AI1862" s="2"/>
      <c r="AJ1862" s="2">
        <v>3</v>
      </c>
      <c r="AK1862" s="12">
        <f>grand[[#This Row],[accepted as exception]]/grand[[#This Row],[number]]</f>
        <v>7.3170731707317069E-2</v>
      </c>
      <c r="AL1862" s="2">
        <v>429</v>
      </c>
    </row>
    <row r="1863" spans="1:38" hidden="1" x14ac:dyDescent="0.2">
      <c r="A1863" s="11">
        <v>44458</v>
      </c>
      <c r="B1863" s="53" t="s">
        <v>1582</v>
      </c>
      <c r="C1863" s="52" t="str">
        <f>IF(MID(B1863,4,2)="09","Ramadan",IF(AND(MID(B1863,4,2)="12",VALUE(LEFT(B1863,2))&lt;=9),"Adha Season","Normal"))</f>
        <v>Normal</v>
      </c>
      <c r="D1863" s="1" t="s">
        <v>45</v>
      </c>
      <c r="F1863" s="4" t="s">
        <v>328</v>
      </c>
      <c r="G1863" s="4">
        <v>5</v>
      </c>
      <c r="H1863" s="4">
        <v>4</v>
      </c>
      <c r="I1863" s="2">
        <f>grand[[#This Row],[number]]-grand[[#This Row],[received]]</f>
        <v>1</v>
      </c>
      <c r="J1863" s="30" t="s">
        <v>322</v>
      </c>
      <c r="K1863" s="9">
        <v>1246</v>
      </c>
      <c r="L1863" s="9">
        <v>1136</v>
      </c>
      <c r="M1863" s="2">
        <f>K1863-L1863</f>
        <v>110</v>
      </c>
      <c r="N1863" s="9">
        <v>748</v>
      </c>
      <c r="O1863" s="9"/>
      <c r="P1863" s="7">
        <f>grand[[#This Row],[total weight]]/grand[[#This Row],[received]]</f>
        <v>311.5</v>
      </c>
      <c r="Q1863" s="7">
        <f>grand[[#This Row],[receiving weight]]/grand[[#This Row],[received]]</f>
        <v>284</v>
      </c>
      <c r="R1863" s="7">
        <f>grand[[#This Row],[transportation loss ]]/grand[[#This Row],[received]]</f>
        <v>27.5</v>
      </c>
      <c r="S1863" s="7">
        <f>grand[[#This Row],[ carcass weight]]/grand[[#This Row],[received]]</f>
        <v>187</v>
      </c>
      <c r="T1863" s="7">
        <f>grand[[#This Row],[ kidneys fat quantity]]/grand[[#This Row],[received]]</f>
        <v>0</v>
      </c>
      <c r="U1863" s="4">
        <v>25</v>
      </c>
      <c r="V1863" s="4">
        <v>0</v>
      </c>
      <c r="W1863" s="4">
        <v>50</v>
      </c>
      <c r="X1863" s="4">
        <v>10</v>
      </c>
      <c r="Y1863" s="8">
        <v>8.5</v>
      </c>
      <c r="Z1863" s="3">
        <f>grand[[#This Row],[av. Transportation loss]]/grand[[#This Row],[av.total weight]]</f>
        <v>8.8282504012841087E-2</v>
      </c>
      <c r="AA1863" s="12">
        <f>AVERAGE((grand[[#This Row],[am]]/25),(grand[[#This Row],[pm]]/50))</f>
        <v>1</v>
      </c>
      <c r="AB1863" s="3">
        <f>grand[[#This Row],[ carcass weight]]/grand[[#This Row],[total weight]]</f>
        <v>0.6003210272873194</v>
      </c>
      <c r="AC1863" s="6">
        <f>SUM(grand[[#This Row],[am]:[meat transportation]])/100</f>
        <v>0.93500000000000005</v>
      </c>
      <c r="AD1863" s="2"/>
      <c r="AE1863" s="2"/>
      <c r="AF1863" s="2"/>
      <c r="AG1863" s="2"/>
      <c r="AH1863" s="2"/>
      <c r="AI1863" s="2"/>
      <c r="AJ1863" s="2">
        <v>0</v>
      </c>
      <c r="AK1863" s="12">
        <f>grand[[#This Row],[accepted as exception]]/grand[[#This Row],[number]]</f>
        <v>0</v>
      </c>
      <c r="AL1863" s="2">
        <v>406</v>
      </c>
    </row>
    <row r="1864" spans="1:38" hidden="1" x14ac:dyDescent="0.2">
      <c r="A1864" s="11">
        <v>44464</v>
      </c>
      <c r="B1864" s="53" t="s">
        <v>2700</v>
      </c>
      <c r="C1864" s="52" t="str">
        <f>IF(MID(B1864,4,2)="09","Ramadan",IF(AND(MID(B1864,4,2)="12",VALUE(LEFT(B1864,2))&lt;=9),"Adha Season","Normal"))</f>
        <v>Normal</v>
      </c>
      <c r="D1864" s="1" t="s">
        <v>45</v>
      </c>
      <c r="F1864" s="4" t="s">
        <v>39</v>
      </c>
      <c r="G1864" s="4">
        <v>32</v>
      </c>
      <c r="H1864" s="4">
        <v>31</v>
      </c>
      <c r="I1864" s="2">
        <f>grand[[#This Row],[number]]-grand[[#This Row],[received]]</f>
        <v>1</v>
      </c>
      <c r="J1864" s="30" t="s">
        <v>320</v>
      </c>
      <c r="K1864" s="9">
        <v>13593</v>
      </c>
      <c r="L1864" s="9">
        <v>12620</v>
      </c>
      <c r="M1864" s="2">
        <f>K1864-L1864</f>
        <v>973</v>
      </c>
      <c r="N1864" s="9">
        <v>8258</v>
      </c>
      <c r="O1864" s="9"/>
      <c r="P1864" s="7">
        <f>grand[[#This Row],[total weight]]/grand[[#This Row],[received]]</f>
        <v>438.48387096774195</v>
      </c>
      <c r="Q1864" s="7">
        <f>grand[[#This Row],[receiving weight]]/grand[[#This Row],[received]]</f>
        <v>407.09677419354841</v>
      </c>
      <c r="R1864" s="7">
        <f>grand[[#This Row],[transportation loss ]]/grand[[#This Row],[received]]</f>
        <v>31.387096774193548</v>
      </c>
      <c r="S1864" s="7">
        <f>grand[[#This Row],[ carcass weight]]/grand[[#This Row],[received]]</f>
        <v>266.38709677419354</v>
      </c>
      <c r="T1864" s="7">
        <f>grand[[#This Row],[ kidneys fat quantity]]/grand[[#This Row],[received]]</f>
        <v>0</v>
      </c>
      <c r="U1864" s="4">
        <v>25</v>
      </c>
      <c r="V1864" s="4">
        <v>0</v>
      </c>
      <c r="W1864" s="4">
        <v>49.94</v>
      </c>
      <c r="X1864" s="4">
        <v>10</v>
      </c>
      <c r="Y1864" s="8">
        <v>8.5</v>
      </c>
      <c r="Z1864" s="3">
        <f>grand[[#This Row],[av. Transportation loss]]/grand[[#This Row],[av.total weight]]</f>
        <v>7.1580960788641207E-2</v>
      </c>
      <c r="AA1864" s="12">
        <f>AVERAGE((grand[[#This Row],[am]]/25),(grand[[#This Row],[pm]]/50))</f>
        <v>0.99939999999999996</v>
      </c>
      <c r="AB1864" s="3">
        <f>grand[[#This Row],[ carcass weight]]/grand[[#This Row],[total weight]]</f>
        <v>0.607518575737512</v>
      </c>
      <c r="AC1864" s="6">
        <f>SUM(grand[[#This Row],[am]:[meat transportation]])/100</f>
        <v>0.93440000000000001</v>
      </c>
      <c r="AD1864" s="2"/>
      <c r="AE1864" s="2"/>
      <c r="AF1864" s="2"/>
      <c r="AG1864" s="2"/>
      <c r="AH1864" s="2"/>
      <c r="AI1864" s="2"/>
      <c r="AJ1864" s="2">
        <v>5</v>
      </c>
      <c r="AK1864" s="12">
        <f>grand[[#This Row],[accepted as exception]]/grand[[#This Row],[number]]</f>
        <v>0.15625</v>
      </c>
      <c r="AL1864" s="2">
        <v>420</v>
      </c>
    </row>
    <row r="1865" spans="1:38" hidden="1" x14ac:dyDescent="0.2">
      <c r="A1865" s="11">
        <v>44467</v>
      </c>
      <c r="B1865" s="53" t="s">
        <v>2701</v>
      </c>
      <c r="C1865" s="52" t="str">
        <f>IF(MID(B1865,4,2)="09","Ramadan",IF(AND(MID(B1865,4,2)="12",VALUE(LEFT(B1865,2))&lt;=9),"Adha Season","Normal"))</f>
        <v>Normal</v>
      </c>
      <c r="D1865" s="1" t="s">
        <v>45</v>
      </c>
      <c r="F1865" s="4" t="s">
        <v>39</v>
      </c>
      <c r="G1865" s="4">
        <v>38</v>
      </c>
      <c r="H1865" s="4">
        <v>37</v>
      </c>
      <c r="I1865" s="2">
        <f>grand[[#This Row],[number]]-grand[[#This Row],[received]]</f>
        <v>1</v>
      </c>
      <c r="J1865" s="30" t="s">
        <v>310</v>
      </c>
      <c r="K1865" s="9">
        <v>16222</v>
      </c>
      <c r="L1865" s="9">
        <v>16145</v>
      </c>
      <c r="M1865" s="2">
        <f>K1865-L1865</f>
        <v>77</v>
      </c>
      <c r="N1865" s="9">
        <v>10144.6</v>
      </c>
      <c r="O1865" s="9"/>
      <c r="P1865" s="7">
        <f>grand[[#This Row],[total weight]]/grand[[#This Row],[received]]</f>
        <v>438.43243243243245</v>
      </c>
      <c r="Q1865" s="7">
        <f>grand[[#This Row],[receiving weight]]/grand[[#This Row],[received]]</f>
        <v>436.35135135135135</v>
      </c>
      <c r="R1865" s="7">
        <f>grand[[#This Row],[transportation loss ]]/grand[[#This Row],[received]]</f>
        <v>2.0810810810810811</v>
      </c>
      <c r="S1865" s="7">
        <f>grand[[#This Row],[ carcass weight]]/grand[[#This Row],[received]]</f>
        <v>274.1783783783784</v>
      </c>
      <c r="T1865" s="7">
        <f>grand[[#This Row],[ kidneys fat quantity]]/grand[[#This Row],[received]]</f>
        <v>0</v>
      </c>
      <c r="U1865" s="4">
        <v>25</v>
      </c>
      <c r="V1865" s="4">
        <v>0</v>
      </c>
      <c r="W1865" s="4">
        <v>50</v>
      </c>
      <c r="X1865" s="4">
        <v>10</v>
      </c>
      <c r="Y1865" s="8">
        <v>8.5</v>
      </c>
      <c r="Z1865" s="3">
        <f>grand[[#This Row],[av. Transportation loss]]/grand[[#This Row],[av.total weight]]</f>
        <v>4.7466403649365062E-3</v>
      </c>
      <c r="AA1865" s="12">
        <f>AVERAGE((grand[[#This Row],[am]]/25),(grand[[#This Row],[pm]]/50))</f>
        <v>1</v>
      </c>
      <c r="AB1865" s="3">
        <f>grand[[#This Row],[ carcass weight]]/grand[[#This Row],[total weight]]</f>
        <v>0.62536062137837511</v>
      </c>
      <c r="AC1865" s="6">
        <f>SUM(grand[[#This Row],[am]:[meat transportation]])/100</f>
        <v>0.93500000000000005</v>
      </c>
      <c r="AD1865" s="2"/>
      <c r="AE1865" s="2"/>
      <c r="AF1865" s="2"/>
      <c r="AG1865" s="2"/>
      <c r="AH1865" s="2"/>
      <c r="AI1865" s="2"/>
      <c r="AJ1865" s="2">
        <v>6</v>
      </c>
      <c r="AK1865" s="12">
        <f>grand[[#This Row],[accepted as exception]]/grand[[#This Row],[number]]</f>
        <v>0.15789473684210525</v>
      </c>
      <c r="AL1865" s="2">
        <v>368</v>
      </c>
    </row>
    <row r="1866" spans="1:38" hidden="1" x14ac:dyDescent="0.2">
      <c r="A1866" s="11">
        <v>44474</v>
      </c>
      <c r="B1866" s="53" t="s">
        <v>2704</v>
      </c>
      <c r="C1866" s="52" t="str">
        <f>IF(MID(B1866,4,2)="09","Ramadan",IF(AND(MID(B1866,4,2)="12",VALUE(LEFT(B1866,2))&lt;=9),"Adha Season","Normal"))</f>
        <v>Normal</v>
      </c>
      <c r="D1866" s="1" t="s">
        <v>45</v>
      </c>
      <c r="F1866" s="4" t="s">
        <v>282</v>
      </c>
      <c r="G1866" s="4">
        <v>9</v>
      </c>
      <c r="H1866" s="4">
        <v>8</v>
      </c>
      <c r="I1866" s="2">
        <f>grand[[#This Row],[number]]-grand[[#This Row],[received]]</f>
        <v>1</v>
      </c>
      <c r="J1866" s="30" t="s">
        <v>310</v>
      </c>
      <c r="K1866" s="9">
        <v>3203</v>
      </c>
      <c r="L1866" s="9">
        <v>3149</v>
      </c>
      <c r="M1866" s="2">
        <f>K1866-L1866</f>
        <v>54</v>
      </c>
      <c r="N1866" s="9">
        <v>1922</v>
      </c>
      <c r="O1866" s="9">
        <v>56</v>
      </c>
      <c r="P1866" s="7">
        <f>grand[[#This Row],[total weight]]/grand[[#This Row],[received]]</f>
        <v>400.375</v>
      </c>
      <c r="Q1866" s="7">
        <f>grand[[#This Row],[receiving weight]]/grand[[#This Row],[received]]</f>
        <v>393.625</v>
      </c>
      <c r="R1866" s="7">
        <f>grand[[#This Row],[transportation loss ]]/grand[[#This Row],[received]]</f>
        <v>6.75</v>
      </c>
      <c r="S1866" s="7">
        <f>grand[[#This Row],[ carcass weight]]/grand[[#This Row],[received]]</f>
        <v>240.25</v>
      </c>
      <c r="T1866" s="7">
        <f>grand[[#This Row],[ kidneys fat quantity]]/grand[[#This Row],[received]]</f>
        <v>7</v>
      </c>
      <c r="U1866" s="4">
        <v>25</v>
      </c>
      <c r="V1866" s="4">
        <v>0</v>
      </c>
      <c r="W1866" s="4">
        <v>50</v>
      </c>
      <c r="X1866" s="4">
        <v>10</v>
      </c>
      <c r="Y1866" s="8">
        <v>8.5</v>
      </c>
      <c r="Z1866" s="3">
        <f>grand[[#This Row],[av. Transportation loss]]/grand[[#This Row],[av.total weight]]</f>
        <v>1.6859194505151422E-2</v>
      </c>
      <c r="AA1866" s="12">
        <f>AVERAGE((grand[[#This Row],[am]]/25),(grand[[#This Row],[pm]]/50))</f>
        <v>1</v>
      </c>
      <c r="AB1866" s="3">
        <f>grand[[#This Row],[ carcass weight]]/grand[[#This Row],[total weight]]</f>
        <v>0.60006244146113019</v>
      </c>
      <c r="AC1866" s="6">
        <f>SUM(grand[[#This Row],[am]:[meat transportation]])/100</f>
        <v>0.93500000000000005</v>
      </c>
      <c r="AD1866" s="2"/>
      <c r="AE1866" s="2"/>
      <c r="AF1866" s="2"/>
      <c r="AG1866" s="2"/>
      <c r="AH1866" s="2"/>
      <c r="AI1866" s="2"/>
      <c r="AJ1866" s="2">
        <v>8</v>
      </c>
      <c r="AK1866" s="12">
        <f>grand[[#This Row],[accepted as exception]]/grand[[#This Row],[number]]</f>
        <v>0.88888888888888884</v>
      </c>
      <c r="AL1866" s="2">
        <v>416</v>
      </c>
    </row>
    <row r="1867" spans="1:38" hidden="1" x14ac:dyDescent="0.2">
      <c r="A1867" s="11">
        <v>44474</v>
      </c>
      <c r="B1867" s="53" t="s">
        <v>2704</v>
      </c>
      <c r="C1867" s="52" t="str">
        <f>IF(MID(B1867,4,2)="09","Ramadan",IF(AND(MID(B1867,4,2)="12",VALUE(LEFT(B1867,2))&lt;=9),"Adha Season","Normal"))</f>
        <v>Normal</v>
      </c>
      <c r="D1867" s="1" t="s">
        <v>45</v>
      </c>
      <c r="F1867" s="4" t="s">
        <v>39</v>
      </c>
      <c r="G1867" s="4">
        <v>39</v>
      </c>
      <c r="H1867" s="4">
        <v>38</v>
      </c>
      <c r="I1867" s="2">
        <f>grand[[#This Row],[number]]-grand[[#This Row],[received]]</f>
        <v>1</v>
      </c>
      <c r="J1867" s="30" t="s">
        <v>310</v>
      </c>
      <c r="K1867" s="9">
        <v>16492</v>
      </c>
      <c r="L1867" s="9">
        <v>15412</v>
      </c>
      <c r="M1867" s="2">
        <f>K1867-L1867</f>
        <v>1080</v>
      </c>
      <c r="N1867" s="9">
        <v>10181</v>
      </c>
      <c r="O1867" s="9">
        <v>336</v>
      </c>
      <c r="P1867" s="7">
        <f>grand[[#This Row],[total weight]]/grand[[#This Row],[received]]</f>
        <v>434</v>
      </c>
      <c r="Q1867" s="7">
        <f>grand[[#This Row],[receiving weight]]/grand[[#This Row],[received]]</f>
        <v>405.57894736842104</v>
      </c>
      <c r="R1867" s="7">
        <f>grand[[#This Row],[transportation loss ]]/grand[[#This Row],[received]]</f>
        <v>28.421052631578949</v>
      </c>
      <c r="S1867" s="7">
        <f>grand[[#This Row],[ carcass weight]]/grand[[#This Row],[received]]</f>
        <v>267.92105263157896</v>
      </c>
      <c r="T1867" s="7">
        <f>grand[[#This Row],[ kidneys fat quantity]]/grand[[#This Row],[received]]</f>
        <v>8.8421052631578956</v>
      </c>
      <c r="U1867" s="4">
        <v>25</v>
      </c>
      <c r="V1867" s="4">
        <v>0</v>
      </c>
      <c r="W1867" s="4">
        <v>49.487179487179489</v>
      </c>
      <c r="X1867" s="4">
        <v>9.8717948717948723</v>
      </c>
      <c r="Y1867" s="8">
        <v>8.5</v>
      </c>
      <c r="Z1867" s="3">
        <f>grand[[#This Row],[av. Transportation loss]]/grand[[#This Row],[av.total weight]]</f>
        <v>6.5486296386126616E-2</v>
      </c>
      <c r="AA1867" s="12">
        <f>AVERAGE((grand[[#This Row],[am]]/25),(grand[[#This Row],[pm]]/50))</f>
        <v>0.99487179487179489</v>
      </c>
      <c r="AB1867" s="3">
        <f>grand[[#This Row],[ carcass weight]]/grand[[#This Row],[total weight]]</f>
        <v>0.61732961435847689</v>
      </c>
      <c r="AC1867" s="6">
        <f>SUM(grand[[#This Row],[am]:[meat transportation]])/100</f>
        <v>0.92858974358974367</v>
      </c>
      <c r="AD1867" s="2"/>
      <c r="AE1867" s="2"/>
      <c r="AF1867" s="2"/>
      <c r="AG1867" s="2"/>
      <c r="AH1867" s="2"/>
      <c r="AI1867" s="2"/>
      <c r="AJ1867" s="2">
        <v>5</v>
      </c>
      <c r="AK1867" s="12">
        <f>grand[[#This Row],[accepted as exception]]/grand[[#This Row],[number]]</f>
        <v>0.12820512820512819</v>
      </c>
      <c r="AL1867" s="2">
        <v>493</v>
      </c>
    </row>
    <row r="1868" spans="1:38" hidden="1" x14ac:dyDescent="0.2">
      <c r="A1868" s="11">
        <v>44476</v>
      </c>
      <c r="B1868" s="53" t="s">
        <v>2705</v>
      </c>
      <c r="C1868" s="52" t="str">
        <f>IF(MID(B1868,4,2)="09","Ramadan",IF(AND(MID(B1868,4,2)="12",VALUE(LEFT(B1868,2))&lt;=9),"Adha Season","Normal"))</f>
        <v>Normal</v>
      </c>
      <c r="D1868" s="1" t="s">
        <v>45</v>
      </c>
      <c r="F1868" s="4" t="s">
        <v>46</v>
      </c>
      <c r="G1868" s="4">
        <v>54</v>
      </c>
      <c r="H1868" s="4">
        <v>53</v>
      </c>
      <c r="I1868" s="2">
        <f>grand[[#This Row],[number]]-grand[[#This Row],[received]]</f>
        <v>1</v>
      </c>
      <c r="J1868" s="30" t="s">
        <v>310</v>
      </c>
      <c r="K1868" s="9">
        <v>21328</v>
      </c>
      <c r="L1868" s="9">
        <v>20445</v>
      </c>
      <c r="M1868" s="2">
        <f>K1868-L1868</f>
        <v>883</v>
      </c>
      <c r="N1868" s="9">
        <v>12796.2</v>
      </c>
      <c r="O1868" s="9">
        <v>302</v>
      </c>
      <c r="P1868" s="7">
        <f>grand[[#This Row],[total weight]]/grand[[#This Row],[received]]</f>
        <v>402.41509433962267</v>
      </c>
      <c r="Q1868" s="7">
        <f>grand[[#This Row],[receiving weight]]/grand[[#This Row],[received]]</f>
        <v>385.75471698113205</v>
      </c>
      <c r="R1868" s="7">
        <f>grand[[#This Row],[transportation loss ]]/grand[[#This Row],[received]]</f>
        <v>16.660377358490567</v>
      </c>
      <c r="S1868" s="7">
        <f>grand[[#This Row],[ carcass weight]]/grand[[#This Row],[received]]</f>
        <v>241.43773584905662</v>
      </c>
      <c r="T1868" s="7">
        <f>grand[[#This Row],[ kidneys fat quantity]]/grand[[#This Row],[received]]</f>
        <v>5.6981132075471699</v>
      </c>
      <c r="U1868" s="4">
        <v>25</v>
      </c>
      <c r="V1868" s="4">
        <v>0</v>
      </c>
      <c r="W1868" s="4">
        <v>49.867924528301884</v>
      </c>
      <c r="X1868" s="4">
        <v>9.9056603773584904</v>
      </c>
      <c r="Y1868" s="8">
        <v>8.5</v>
      </c>
      <c r="Z1868" s="3">
        <f>grand[[#This Row],[av. Transportation loss]]/grand[[#This Row],[av.total weight]]</f>
        <v>4.140097524381095E-2</v>
      </c>
      <c r="AA1868" s="12">
        <f>AVERAGE((grand[[#This Row],[am]]/25),(grand[[#This Row],[pm]]/50))</f>
        <v>0.99867924528301888</v>
      </c>
      <c r="AB1868" s="3">
        <f>grand[[#This Row],[ carcass weight]]/grand[[#This Row],[total weight]]</f>
        <v>0.59997186796699176</v>
      </c>
      <c r="AC1868" s="6">
        <f>SUM(grand[[#This Row],[am]:[meat transportation]])/100</f>
        <v>0.93273584905660367</v>
      </c>
      <c r="AD1868" s="2"/>
      <c r="AE1868" s="2"/>
      <c r="AF1868" s="2"/>
      <c r="AG1868" s="2"/>
      <c r="AH1868" s="2"/>
      <c r="AI1868" s="2"/>
      <c r="AJ1868" s="2">
        <v>13</v>
      </c>
      <c r="AK1868" s="12">
        <f>grand[[#This Row],[accepted as exception]]/grand[[#This Row],[number]]</f>
        <v>0.24074074074074073</v>
      </c>
      <c r="AL1868" s="2">
        <v>412</v>
      </c>
    </row>
    <row r="1869" spans="1:38" hidden="1" x14ac:dyDescent="0.2">
      <c r="A1869" s="11">
        <v>44481</v>
      </c>
      <c r="B1869" s="53" t="s">
        <v>2707</v>
      </c>
      <c r="C1869" s="52" t="str">
        <f>IF(MID(B1869,4,2)="09","Ramadan",IF(AND(MID(B1869,4,2)="12",VALUE(LEFT(B1869,2))&lt;=9),"Adha Season","Normal"))</f>
        <v>Normal</v>
      </c>
      <c r="D1869" s="1" t="s">
        <v>45</v>
      </c>
      <c r="F1869" s="4" t="s">
        <v>282</v>
      </c>
      <c r="G1869" s="4">
        <v>18</v>
      </c>
      <c r="H1869" s="4">
        <v>17</v>
      </c>
      <c r="I1869" s="2">
        <f>grand[[#This Row],[number]]-grand[[#This Row],[received]]</f>
        <v>1</v>
      </c>
      <c r="J1869" s="30" t="s">
        <v>310</v>
      </c>
      <c r="K1869" s="9">
        <v>6729</v>
      </c>
      <c r="L1869" s="9">
        <v>6602</v>
      </c>
      <c r="M1869" s="2">
        <f>K1869-L1869</f>
        <v>127</v>
      </c>
      <c r="N1869" s="9">
        <v>4037.1</v>
      </c>
      <c r="O1869" s="9">
        <v>109</v>
      </c>
      <c r="P1869" s="7">
        <f>grand[[#This Row],[total weight]]/grand[[#This Row],[received]]</f>
        <v>395.8235294117647</v>
      </c>
      <c r="Q1869" s="7">
        <f>grand[[#This Row],[receiving weight]]/grand[[#This Row],[received]]</f>
        <v>388.35294117647061</v>
      </c>
      <c r="R1869" s="7">
        <f>grand[[#This Row],[transportation loss ]]/grand[[#This Row],[received]]</f>
        <v>7.4705882352941178</v>
      </c>
      <c r="S1869" s="7">
        <f>grand[[#This Row],[ carcass weight]]/grand[[#This Row],[received]]</f>
        <v>237.47647058823529</v>
      </c>
      <c r="T1869" s="7">
        <f>grand[[#This Row],[ kidneys fat quantity]]/grand[[#This Row],[received]]</f>
        <v>6.4117647058823533</v>
      </c>
      <c r="U1869" s="4">
        <v>25</v>
      </c>
      <c r="V1869" s="4">
        <v>0</v>
      </c>
      <c r="W1869" s="4">
        <v>49.705882352941174</v>
      </c>
      <c r="X1869" s="4">
        <v>10</v>
      </c>
      <c r="Y1869" s="8">
        <v>8.5</v>
      </c>
      <c r="Z1869" s="3">
        <f>grand[[#This Row],[av. Transportation loss]]/grand[[#This Row],[av.total weight]]</f>
        <v>1.8873532471392482E-2</v>
      </c>
      <c r="AA1869" s="12">
        <f>AVERAGE((grand[[#This Row],[am]]/25),(grand[[#This Row],[pm]]/50))</f>
        <v>0.99705882352941178</v>
      </c>
      <c r="AB1869" s="3">
        <f>grand[[#This Row],[ carcass weight]]/grand[[#This Row],[total weight]]</f>
        <v>0.59995541685242981</v>
      </c>
      <c r="AC1869" s="6">
        <f>SUM(grand[[#This Row],[am]:[meat transportation]])/100</f>
        <v>0.93205882352941172</v>
      </c>
      <c r="AD1869" s="2"/>
      <c r="AE1869" s="2"/>
      <c r="AF1869" s="2"/>
      <c r="AG1869" s="2"/>
      <c r="AH1869" s="2"/>
      <c r="AI1869" s="2"/>
      <c r="AJ1869" s="2">
        <v>7</v>
      </c>
      <c r="AK1869" s="12">
        <f>grand[[#This Row],[accepted as exception]]/grand[[#This Row],[number]]</f>
        <v>0.3888888888888889</v>
      </c>
      <c r="AL1869" s="2">
        <v>603</v>
      </c>
    </row>
    <row r="1870" spans="1:38" hidden="1" x14ac:dyDescent="0.2">
      <c r="A1870" s="11">
        <v>44481</v>
      </c>
      <c r="B1870" s="53" t="s">
        <v>2707</v>
      </c>
      <c r="C1870" s="52" t="str">
        <f>IF(MID(B1870,4,2)="09","Ramadan",IF(AND(MID(B1870,4,2)="12",VALUE(LEFT(B1870,2))&lt;=9),"Adha Season","Normal"))</f>
        <v>Normal</v>
      </c>
      <c r="D1870" s="1" t="s">
        <v>45</v>
      </c>
      <c r="F1870" s="4" t="s">
        <v>39</v>
      </c>
      <c r="G1870" s="4">
        <v>18</v>
      </c>
      <c r="H1870" s="4">
        <v>17</v>
      </c>
      <c r="I1870" s="2">
        <f>grand[[#This Row],[number]]-grand[[#This Row],[received]]</f>
        <v>1</v>
      </c>
      <c r="J1870" s="30" t="s">
        <v>310</v>
      </c>
      <c r="K1870" s="9">
        <v>7267</v>
      </c>
      <c r="L1870" s="9">
        <v>6904</v>
      </c>
      <c r="M1870" s="2">
        <f>K1870-L1870</f>
        <v>363</v>
      </c>
      <c r="N1870" s="9">
        <v>4472.7</v>
      </c>
      <c r="O1870" s="9">
        <v>139</v>
      </c>
      <c r="P1870" s="7">
        <f>grand[[#This Row],[total weight]]/grand[[#This Row],[received]]</f>
        <v>427.47058823529414</v>
      </c>
      <c r="Q1870" s="7">
        <f>grand[[#This Row],[receiving weight]]/grand[[#This Row],[received]]</f>
        <v>406.11764705882354</v>
      </c>
      <c r="R1870" s="7">
        <f>grand[[#This Row],[transportation loss ]]/grand[[#This Row],[received]]</f>
        <v>21.352941176470587</v>
      </c>
      <c r="S1870" s="7">
        <f>grand[[#This Row],[ carcass weight]]/grand[[#This Row],[received]]</f>
        <v>263.09999999999997</v>
      </c>
      <c r="T1870" s="7">
        <f>grand[[#This Row],[ kidneys fat quantity]]/grand[[#This Row],[received]]</f>
        <v>8.1764705882352935</v>
      </c>
      <c r="U1870" s="4">
        <v>25</v>
      </c>
      <c r="V1870" s="4">
        <v>0</v>
      </c>
      <c r="W1870" s="4">
        <v>49.366013071895424</v>
      </c>
      <c r="X1870" s="4">
        <v>10</v>
      </c>
      <c r="Y1870" s="8">
        <v>8.5</v>
      </c>
      <c r="Z1870" s="3">
        <f>grand[[#This Row],[av. Transportation loss]]/grand[[#This Row],[av.total weight]]</f>
        <v>4.9951837071693955E-2</v>
      </c>
      <c r="AA1870" s="12">
        <f>AVERAGE((grand[[#This Row],[am]]/25),(grand[[#This Row],[pm]]/50))</f>
        <v>0.99366013071895432</v>
      </c>
      <c r="AB1870" s="3">
        <f>grand[[#This Row],[ carcass weight]]/grand[[#This Row],[total weight]]</f>
        <v>0.61548094124122743</v>
      </c>
      <c r="AC1870" s="6">
        <f>SUM(grand[[#This Row],[am]:[meat transportation]])/100</f>
        <v>0.92866013071895426</v>
      </c>
      <c r="AD1870" s="2"/>
      <c r="AE1870" s="2"/>
      <c r="AF1870" s="2"/>
      <c r="AG1870" s="2"/>
      <c r="AH1870" s="2"/>
      <c r="AI1870" s="2"/>
      <c r="AJ1870" s="2">
        <v>4</v>
      </c>
      <c r="AK1870" s="12">
        <f>grand[[#This Row],[accepted as exception]]/grand[[#This Row],[number]]</f>
        <v>0.22222222222222221</v>
      </c>
      <c r="AL1870" s="2">
        <v>406</v>
      </c>
    </row>
    <row r="1871" spans="1:38" hidden="1" x14ac:dyDescent="0.2">
      <c r="A1871" s="11">
        <v>44483</v>
      </c>
      <c r="B1871" s="53" t="s">
        <v>2708</v>
      </c>
      <c r="C1871" s="52" t="str">
        <f>IF(MID(B1871,4,2)="09","Ramadan",IF(AND(MID(B1871,4,2)="12",VALUE(LEFT(B1871,2))&lt;=9),"Adha Season","Normal"))</f>
        <v>Normal</v>
      </c>
      <c r="D1871" s="1" t="s">
        <v>45</v>
      </c>
      <c r="F1871" s="4" t="s">
        <v>46</v>
      </c>
      <c r="G1871" s="4">
        <v>43</v>
      </c>
      <c r="H1871" s="4">
        <v>42</v>
      </c>
      <c r="I1871" s="2">
        <f>grand[[#This Row],[number]]-grand[[#This Row],[received]]</f>
        <v>1</v>
      </c>
      <c r="J1871" s="30" t="s">
        <v>310</v>
      </c>
      <c r="K1871" s="9">
        <v>16731</v>
      </c>
      <c r="L1871" s="9">
        <v>16289</v>
      </c>
      <c r="M1871" s="2">
        <f>K1871-L1871</f>
        <v>442</v>
      </c>
      <c r="N1871" s="9">
        <v>10038.9</v>
      </c>
      <c r="O1871" s="9">
        <v>239</v>
      </c>
      <c r="P1871" s="7">
        <f>grand[[#This Row],[total weight]]/grand[[#This Row],[received]]</f>
        <v>398.35714285714283</v>
      </c>
      <c r="Q1871" s="7">
        <f>grand[[#This Row],[receiving weight]]/grand[[#This Row],[received]]</f>
        <v>387.83333333333331</v>
      </c>
      <c r="R1871" s="7">
        <f>grand[[#This Row],[transportation loss ]]/grand[[#This Row],[received]]</f>
        <v>10.523809523809524</v>
      </c>
      <c r="S1871" s="7">
        <f>grand[[#This Row],[ carcass weight]]/grand[[#This Row],[received]]</f>
        <v>239.02142857142857</v>
      </c>
      <c r="T1871" s="7">
        <f>grand[[#This Row],[ kidneys fat quantity]]/grand[[#This Row],[received]]</f>
        <v>5.6904761904761907</v>
      </c>
      <c r="U1871" s="4">
        <v>25</v>
      </c>
      <c r="V1871" s="4">
        <v>0</v>
      </c>
      <c r="W1871" s="4">
        <v>49.785714285714285</v>
      </c>
      <c r="X1871" s="4">
        <v>10</v>
      </c>
      <c r="Y1871" s="8">
        <v>8.5</v>
      </c>
      <c r="Z1871" s="3">
        <f>grand[[#This Row],[av. Transportation loss]]/grand[[#This Row],[av.total weight]]</f>
        <v>2.641802641802642E-2</v>
      </c>
      <c r="AA1871" s="12">
        <f>AVERAGE((grand[[#This Row],[am]]/25),(grand[[#This Row],[pm]]/50))</f>
        <v>0.99785714285714278</v>
      </c>
      <c r="AB1871" s="3">
        <f>grand[[#This Row],[ carcass weight]]/grand[[#This Row],[total weight]]</f>
        <v>0.60001793078716148</v>
      </c>
      <c r="AC1871" s="6">
        <f>SUM(grand[[#This Row],[am]:[meat transportation]])/100</f>
        <v>0.93285714285714283</v>
      </c>
      <c r="AD1871" s="2"/>
      <c r="AE1871" s="2"/>
      <c r="AF1871" s="2"/>
      <c r="AG1871" s="2"/>
      <c r="AH1871" s="2"/>
      <c r="AI1871" s="2"/>
      <c r="AJ1871" s="2">
        <f>1+2</f>
        <v>3</v>
      </c>
      <c r="AK1871" s="12">
        <f>grand[[#This Row],[accepted as exception]]/grand[[#This Row],[number]]</f>
        <v>6.9767441860465115E-2</v>
      </c>
      <c r="AL1871" s="2">
        <v>409</v>
      </c>
    </row>
    <row r="1872" spans="1:38" hidden="1" x14ac:dyDescent="0.2">
      <c r="A1872" s="11">
        <v>44486</v>
      </c>
      <c r="B1872" s="53" t="s">
        <v>1586</v>
      </c>
      <c r="C1872" s="52" t="str">
        <f>IF(MID(B1872,4,2)="09","Ramadan",IF(AND(MID(B1872,4,2)="12",VALUE(LEFT(B1872,2))&lt;=9),"Adha Season","Normal"))</f>
        <v>Normal</v>
      </c>
      <c r="D1872" s="1" t="s">
        <v>45</v>
      </c>
      <c r="F1872" s="4" t="s">
        <v>39</v>
      </c>
      <c r="G1872" s="4">
        <v>45</v>
      </c>
      <c r="H1872" s="4">
        <v>44</v>
      </c>
      <c r="I1872" s="2">
        <f>grand[[#This Row],[number]]-grand[[#This Row],[received]]</f>
        <v>1</v>
      </c>
      <c r="J1872" s="30" t="s">
        <v>310</v>
      </c>
      <c r="K1872" s="9">
        <v>19542</v>
      </c>
      <c r="L1872" s="9">
        <v>18405</v>
      </c>
      <c r="M1872" s="2">
        <f>K1872-L1872</f>
        <v>1137</v>
      </c>
      <c r="N1872" s="9">
        <v>12017.7</v>
      </c>
      <c r="O1872" s="9">
        <v>457</v>
      </c>
      <c r="P1872" s="7">
        <f>grand[[#This Row],[total weight]]/grand[[#This Row],[received]]</f>
        <v>444.13636363636363</v>
      </c>
      <c r="Q1872" s="7">
        <f>grand[[#This Row],[receiving weight]]/grand[[#This Row],[received]]</f>
        <v>418.29545454545456</v>
      </c>
      <c r="R1872" s="7">
        <f>grand[[#This Row],[transportation loss ]]/grand[[#This Row],[received]]</f>
        <v>25.84090909090909</v>
      </c>
      <c r="S1872" s="7">
        <f>grand[[#This Row],[ carcass weight]]/grand[[#This Row],[received]]</f>
        <v>273.12954545454545</v>
      </c>
      <c r="T1872" s="7">
        <f>grand[[#This Row],[ kidneys fat quantity]]/grand[[#This Row],[received]]</f>
        <v>10.386363636363637</v>
      </c>
      <c r="U1872" s="4">
        <v>25</v>
      </c>
      <c r="V1872" s="4">
        <v>0</v>
      </c>
      <c r="W1872" s="4">
        <v>49.954545454545453</v>
      </c>
      <c r="X1872" s="4">
        <v>10</v>
      </c>
      <c r="Y1872" s="8">
        <v>8.5</v>
      </c>
      <c r="Z1872" s="3">
        <f>grand[[#This Row],[av. Transportation loss]]/grand[[#This Row],[av.total weight]]</f>
        <v>5.8182376420018424E-2</v>
      </c>
      <c r="AA1872" s="12">
        <f>AVERAGE((grand[[#This Row],[am]]/25),(grand[[#This Row],[pm]]/50))</f>
        <v>0.99954545454545451</v>
      </c>
      <c r="AB1872" s="3">
        <f>grand[[#This Row],[ carcass weight]]/grand[[#This Row],[total weight]]</f>
        <v>0.61496776174393619</v>
      </c>
      <c r="AC1872" s="6">
        <f>SUM(grand[[#This Row],[am]:[meat transportation]])/100</f>
        <v>0.93454545454545457</v>
      </c>
      <c r="AD1872" s="2"/>
      <c r="AE1872" s="2"/>
      <c r="AF1872" s="2"/>
      <c r="AG1872" s="2"/>
      <c r="AH1872" s="2"/>
      <c r="AI1872" s="2"/>
      <c r="AJ1872" s="2">
        <v>9</v>
      </c>
      <c r="AK1872" s="12">
        <f>grand[[#This Row],[accepted as exception]]/grand[[#This Row],[number]]</f>
        <v>0.2</v>
      </c>
      <c r="AL1872" s="2">
        <v>476</v>
      </c>
    </row>
    <row r="1873" spans="1:38" hidden="1" x14ac:dyDescent="0.2">
      <c r="A1873" s="11">
        <v>44490</v>
      </c>
      <c r="B1873" s="53" t="s">
        <v>2711</v>
      </c>
      <c r="C1873" s="52" t="str">
        <f>IF(MID(B1873,4,2)="09","Ramadan",IF(AND(MID(B1873,4,2)="12",VALUE(LEFT(B1873,2))&lt;=9),"Adha Season","Normal"))</f>
        <v>Normal</v>
      </c>
      <c r="D1873" s="1" t="s">
        <v>45</v>
      </c>
      <c r="F1873" s="4" t="s">
        <v>41</v>
      </c>
      <c r="G1873" s="4">
        <v>8</v>
      </c>
      <c r="H1873" s="4">
        <v>7</v>
      </c>
      <c r="I1873" s="2">
        <f>grand[[#This Row],[number]]-grand[[#This Row],[received]]</f>
        <v>1</v>
      </c>
      <c r="J1873" s="30" t="s">
        <v>315</v>
      </c>
      <c r="K1873" s="9">
        <v>3272</v>
      </c>
      <c r="L1873" s="9">
        <v>3194</v>
      </c>
      <c r="M1873" s="2">
        <f>K1873-L1873</f>
        <v>78</v>
      </c>
      <c r="N1873" s="9">
        <v>1963.8</v>
      </c>
      <c r="O1873" s="9">
        <v>73</v>
      </c>
      <c r="P1873" s="7">
        <f>grand[[#This Row],[total weight]]/grand[[#This Row],[received]]</f>
        <v>467.42857142857144</v>
      </c>
      <c r="Q1873" s="7">
        <f>grand[[#This Row],[receiving weight]]/grand[[#This Row],[received]]</f>
        <v>456.28571428571428</v>
      </c>
      <c r="R1873" s="7">
        <f>grand[[#This Row],[transportation loss ]]/grand[[#This Row],[received]]</f>
        <v>11.142857142857142</v>
      </c>
      <c r="S1873" s="7">
        <f>grand[[#This Row],[ carcass weight]]/grand[[#This Row],[received]]</f>
        <v>280.54285714285714</v>
      </c>
      <c r="T1873" s="7">
        <f>grand[[#This Row],[ kidneys fat quantity]]/grand[[#This Row],[received]]</f>
        <v>10.428571428571429</v>
      </c>
      <c r="U1873" s="4">
        <v>24.875</v>
      </c>
      <c r="V1873" s="4">
        <v>0</v>
      </c>
      <c r="W1873" s="4">
        <v>48.5</v>
      </c>
      <c r="X1873" s="4">
        <v>10</v>
      </c>
      <c r="Y1873" s="8">
        <v>8.5</v>
      </c>
      <c r="Z1873" s="3">
        <f>grand[[#This Row],[av. Transportation loss]]/grand[[#This Row],[av.total weight]]</f>
        <v>2.3838630806845965E-2</v>
      </c>
      <c r="AA1873" s="12">
        <f>AVERAGE((grand[[#This Row],[am]]/25),(grand[[#This Row],[pm]]/50))</f>
        <v>0.98249999999999993</v>
      </c>
      <c r="AB1873" s="3">
        <f>grand[[#This Row],[ carcass weight]]/grand[[#This Row],[total weight]]</f>
        <v>0.60018337408312961</v>
      </c>
      <c r="AC1873" s="6">
        <f>SUM(grand[[#This Row],[am]:[meat transportation]])/100</f>
        <v>0.91874999999999996</v>
      </c>
      <c r="AD1873" s="2"/>
      <c r="AE1873" s="2"/>
      <c r="AF1873" s="2"/>
      <c r="AG1873" s="2"/>
      <c r="AH1873" s="2"/>
      <c r="AI1873" s="2"/>
      <c r="AJ1873" s="2">
        <f>3+1</f>
        <v>4</v>
      </c>
      <c r="AK1873" s="12">
        <f>grand[[#This Row],[accepted as exception]]/grand[[#This Row],[number]]</f>
        <v>0.5</v>
      </c>
      <c r="AL1873" s="2">
        <v>402</v>
      </c>
    </row>
    <row r="1874" spans="1:38" hidden="1" x14ac:dyDescent="0.2">
      <c r="A1874" s="11">
        <v>44495</v>
      </c>
      <c r="B1874" s="53" t="s">
        <v>2713</v>
      </c>
      <c r="C1874" s="52" t="str">
        <f>IF(MID(B1874,4,2)="09","Ramadan",IF(AND(MID(B1874,4,2)="12",VALUE(LEFT(B1874,2))&lt;=9),"Adha Season","Normal"))</f>
        <v>Normal</v>
      </c>
      <c r="D1874" s="1" t="s">
        <v>45</v>
      </c>
      <c r="F1874" s="4" t="s">
        <v>282</v>
      </c>
      <c r="G1874" s="4">
        <v>9</v>
      </c>
      <c r="H1874" s="4">
        <v>8</v>
      </c>
      <c r="I1874" s="2">
        <f>grand[[#This Row],[number]]-grand[[#This Row],[received]]</f>
        <v>1</v>
      </c>
      <c r="J1874" s="30" t="s">
        <v>310</v>
      </c>
      <c r="K1874" s="9">
        <v>3197</v>
      </c>
      <c r="L1874" s="9">
        <v>3039</v>
      </c>
      <c r="M1874" s="2">
        <f>K1874-L1874</f>
        <v>158</v>
      </c>
      <c r="N1874" s="9">
        <v>1918.1</v>
      </c>
      <c r="O1874" s="9">
        <v>57.8</v>
      </c>
      <c r="P1874" s="7">
        <f>grand[[#This Row],[total weight]]/grand[[#This Row],[received]]</f>
        <v>399.625</v>
      </c>
      <c r="Q1874" s="7">
        <f>grand[[#This Row],[receiving weight]]/grand[[#This Row],[received]]</f>
        <v>379.875</v>
      </c>
      <c r="R1874" s="7">
        <f>grand[[#This Row],[transportation loss ]]/grand[[#This Row],[received]]</f>
        <v>19.75</v>
      </c>
      <c r="S1874" s="7">
        <f>grand[[#This Row],[ carcass weight]]/grand[[#This Row],[received]]</f>
        <v>239.76249999999999</v>
      </c>
      <c r="T1874" s="7">
        <f>grand[[#This Row],[ kidneys fat quantity]]/grand[[#This Row],[received]]</f>
        <v>7.2249999999999996</v>
      </c>
      <c r="U1874" s="4">
        <v>25</v>
      </c>
      <c r="V1874" s="4">
        <v>0</v>
      </c>
      <c r="W1874" s="4">
        <v>49.444444444444443</v>
      </c>
      <c r="X1874" s="4">
        <v>10</v>
      </c>
      <c r="Y1874" s="8">
        <v>8.5</v>
      </c>
      <c r="Z1874" s="3">
        <f>grand[[#This Row],[av. Transportation loss]]/grand[[#This Row],[av.total weight]]</f>
        <v>4.9421332499218019E-2</v>
      </c>
      <c r="AA1874" s="12">
        <f>AVERAGE((grand[[#This Row],[am]]/25),(grand[[#This Row],[pm]]/50))</f>
        <v>0.99444444444444446</v>
      </c>
      <c r="AB1874" s="3">
        <f>grand[[#This Row],[ carcass weight]]/grand[[#This Row],[total weight]]</f>
        <v>0.59996872067563334</v>
      </c>
      <c r="AC1874" s="6">
        <f>SUM(grand[[#This Row],[am]:[meat transportation]])/100</f>
        <v>0.92944444444444441</v>
      </c>
      <c r="AD1874" s="2"/>
      <c r="AE1874" s="2"/>
      <c r="AF1874" s="2"/>
      <c r="AG1874" s="2"/>
      <c r="AH1874" s="2"/>
      <c r="AI1874" s="2"/>
      <c r="AJ1874" s="2">
        <v>2</v>
      </c>
      <c r="AK1874" s="12">
        <f>grand[[#This Row],[accepted as exception]]/grand[[#This Row],[number]]</f>
        <v>0.22222222222222221</v>
      </c>
      <c r="AL1874" s="2">
        <v>466</v>
      </c>
    </row>
    <row r="1875" spans="1:38" hidden="1" x14ac:dyDescent="0.2">
      <c r="A1875" s="11">
        <v>44506</v>
      </c>
      <c r="B1875" s="53" t="s">
        <v>2718</v>
      </c>
      <c r="C1875" s="52" t="str">
        <f>IF(MID(B1875,4,2)="09","Ramadan",IF(AND(MID(B1875,4,2)="12",VALUE(LEFT(B1875,2))&lt;=9),"Adha Season","Normal"))</f>
        <v>Normal</v>
      </c>
      <c r="D1875" s="1" t="s">
        <v>45</v>
      </c>
      <c r="F1875" s="15" t="s">
        <v>43</v>
      </c>
      <c r="G1875" s="1">
        <v>14</v>
      </c>
      <c r="H1875" s="15">
        <v>13</v>
      </c>
      <c r="I1875" s="1">
        <f>grand[[#This Row],[number]]-grand[[#This Row],[received]]</f>
        <v>1</v>
      </c>
      <c r="J1875" s="30" t="s">
        <v>310</v>
      </c>
      <c r="K1875" s="9">
        <v>6161</v>
      </c>
      <c r="L1875" s="9">
        <v>5830</v>
      </c>
      <c r="M1875" s="2">
        <f>K1875-L1875</f>
        <v>331</v>
      </c>
      <c r="N1875" s="9">
        <v>3699</v>
      </c>
      <c r="O1875" s="9">
        <v>125</v>
      </c>
      <c r="P1875" s="16">
        <f>grand[[#This Row],[total weight]]/grand[[#This Row],[received]]</f>
        <v>473.92307692307691</v>
      </c>
      <c r="Q1875" s="16">
        <f>grand[[#This Row],[receiving weight]]/grand[[#This Row],[received]]</f>
        <v>448.46153846153845</v>
      </c>
      <c r="R1875" s="16">
        <f>grand[[#This Row],[transportation loss ]]/grand[[#This Row],[received]]</f>
        <v>25.46153846153846</v>
      </c>
      <c r="S1875" s="16">
        <f>grand[[#This Row],[ carcass weight]]/grand[[#This Row],[received]]</f>
        <v>284.53846153846155</v>
      </c>
      <c r="T1875" s="16">
        <f>grand[[#This Row],[ kidneys fat quantity]]/grand[[#This Row],[received]]</f>
        <v>9.615384615384615</v>
      </c>
      <c r="U1875" s="15">
        <v>25</v>
      </c>
      <c r="V1875" s="15">
        <v>0</v>
      </c>
      <c r="W1875" s="15">
        <v>50</v>
      </c>
      <c r="X1875" s="15">
        <v>10</v>
      </c>
      <c r="Y1875" s="8">
        <v>8.5</v>
      </c>
      <c r="Z1875" s="18">
        <f>grand[[#This Row],[av. Transportation loss]]/grand[[#This Row],[av.total weight]]</f>
        <v>5.3725044635611098E-2</v>
      </c>
      <c r="AA1875" s="12">
        <f>AVERAGE((grand[[#This Row],[am]]/25),(grand[[#This Row],[pm]]/50))</f>
        <v>1</v>
      </c>
      <c r="AB1875" s="18">
        <f>grand[[#This Row],[ carcass weight]]/grand[[#This Row],[total weight]]</f>
        <v>0.60038954715143644</v>
      </c>
      <c r="AC1875" s="19">
        <f>SUM(grand[[#This Row],[am]:[meat transportation]])/100</f>
        <v>0.93500000000000005</v>
      </c>
      <c r="AJ1875" s="1">
        <v>6</v>
      </c>
      <c r="AK1875" s="20">
        <f>grand[[#This Row],[accepted as exception]]/grand[[#This Row],[number]]</f>
        <v>0.42857142857142855</v>
      </c>
      <c r="AL1875">
        <v>470</v>
      </c>
    </row>
    <row r="1876" spans="1:38" hidden="1" x14ac:dyDescent="0.2">
      <c r="A1876" s="11">
        <v>44509</v>
      </c>
      <c r="B1876" s="53" t="s">
        <v>2719</v>
      </c>
      <c r="C1876" s="52" t="str">
        <f>IF(MID(B1876,4,2)="09","Ramadan",IF(AND(MID(B1876,4,2)="12",VALUE(LEFT(B1876,2))&lt;=9),"Adha Season","Normal"))</f>
        <v>Normal</v>
      </c>
      <c r="D1876" s="1" t="s">
        <v>45</v>
      </c>
      <c r="F1876" s="15" t="s">
        <v>282</v>
      </c>
      <c r="G1876" s="1">
        <v>18</v>
      </c>
      <c r="H1876" s="15">
        <v>17</v>
      </c>
      <c r="I1876" s="1">
        <f>grand[[#This Row],[number]]-grand[[#This Row],[received]]</f>
        <v>1</v>
      </c>
      <c r="J1876" s="30" t="s">
        <v>310</v>
      </c>
      <c r="K1876" s="9">
        <v>6479</v>
      </c>
      <c r="L1876" s="9">
        <v>5995</v>
      </c>
      <c r="M1876" s="2">
        <f>K1876-L1876</f>
        <v>484</v>
      </c>
      <c r="N1876" s="9">
        <v>3887.3</v>
      </c>
      <c r="O1876" s="9">
        <v>109</v>
      </c>
      <c r="P1876" s="16">
        <f>grand[[#This Row],[total weight]]/grand[[#This Row],[received]]</f>
        <v>381.11764705882354</v>
      </c>
      <c r="Q1876" s="16">
        <f>grand[[#This Row],[receiving weight]]/grand[[#This Row],[received]]</f>
        <v>352.64705882352939</v>
      </c>
      <c r="R1876" s="16">
        <f>grand[[#This Row],[transportation loss ]]/grand[[#This Row],[received]]</f>
        <v>28.470588235294116</v>
      </c>
      <c r="S1876" s="16">
        <f>grand[[#This Row],[ carcass weight]]/grand[[#This Row],[received]]</f>
        <v>228.66470588235296</v>
      </c>
      <c r="T1876" s="16">
        <f>grand[[#This Row],[ kidneys fat quantity]]/grand[[#This Row],[received]]</f>
        <v>6.4117647058823533</v>
      </c>
      <c r="U1876" s="15">
        <v>25</v>
      </c>
      <c r="V1876" s="15">
        <v>0</v>
      </c>
      <c r="W1876" s="15">
        <v>49.705882352941174</v>
      </c>
      <c r="X1876" s="15">
        <v>10</v>
      </c>
      <c r="Y1876" s="8">
        <v>8.5</v>
      </c>
      <c r="Z1876" s="18">
        <f>grand[[#This Row],[av. Transportation loss]]/grand[[#This Row],[av.total weight]]</f>
        <v>7.4702886247877756E-2</v>
      </c>
      <c r="AA1876" s="12">
        <f>AVERAGE((grand[[#This Row],[am]]/25),(grand[[#This Row],[pm]]/50))</f>
        <v>0.99705882352941178</v>
      </c>
      <c r="AB1876" s="18">
        <f>grand[[#This Row],[ carcass weight]]/grand[[#This Row],[total weight]]</f>
        <v>0.59998456551937029</v>
      </c>
      <c r="AC1876" s="19">
        <f>SUM(grand[[#This Row],[am]:[meat transportation]])/100</f>
        <v>0.93205882352941172</v>
      </c>
      <c r="AJ1876" s="1">
        <v>2</v>
      </c>
      <c r="AK1876" s="20">
        <f>grand[[#This Row],[accepted as exception]]/grand[[#This Row],[number]]</f>
        <v>0.1111111111111111</v>
      </c>
      <c r="AL1876">
        <v>388</v>
      </c>
    </row>
    <row r="1877" spans="1:38" hidden="1" x14ac:dyDescent="0.2">
      <c r="A1877" s="11">
        <v>44509</v>
      </c>
      <c r="B1877" s="53" t="s">
        <v>2719</v>
      </c>
      <c r="C1877" s="52" t="str">
        <f>IF(MID(B1877,4,2)="09","Ramadan",IF(AND(MID(B1877,4,2)="12",VALUE(LEFT(B1877,2))&lt;=9),"Adha Season","Normal"))</f>
        <v>Normal</v>
      </c>
      <c r="D1877" s="1" t="s">
        <v>45</v>
      </c>
      <c r="F1877" s="15" t="s">
        <v>39</v>
      </c>
      <c r="G1877" s="1">
        <v>24</v>
      </c>
      <c r="H1877" s="15">
        <v>23</v>
      </c>
      <c r="I1877" s="1">
        <f>grand[[#This Row],[number]]-grand[[#This Row],[received]]</f>
        <v>1</v>
      </c>
      <c r="J1877" s="30" t="s">
        <v>310</v>
      </c>
      <c r="K1877" s="9">
        <v>10069</v>
      </c>
      <c r="L1877" s="9">
        <v>9368</v>
      </c>
      <c r="M1877" s="2">
        <f>K1877-L1877</f>
        <v>701</v>
      </c>
      <c r="N1877" s="9">
        <v>6148.6</v>
      </c>
      <c r="O1877" s="9">
        <v>194</v>
      </c>
      <c r="P1877" s="16">
        <f>grand[[#This Row],[total weight]]/grand[[#This Row],[received]]</f>
        <v>437.78260869565219</v>
      </c>
      <c r="Q1877" s="16">
        <f>grand[[#This Row],[receiving weight]]/grand[[#This Row],[received]]</f>
        <v>407.30434782608694</v>
      </c>
      <c r="R1877" s="16">
        <f>grand[[#This Row],[transportation loss ]]/grand[[#This Row],[received]]</f>
        <v>30.478260869565219</v>
      </c>
      <c r="S1877" s="16">
        <f>grand[[#This Row],[ carcass weight]]/grand[[#This Row],[received]]</f>
        <v>267.33043478260873</v>
      </c>
      <c r="T1877" s="16">
        <f>grand[[#This Row],[ kidneys fat quantity]]/grand[[#This Row],[received]]</f>
        <v>8.4347826086956523</v>
      </c>
      <c r="U1877" s="15">
        <v>25</v>
      </c>
      <c r="V1877" s="15">
        <v>0</v>
      </c>
      <c r="W1877" s="15">
        <v>50</v>
      </c>
      <c r="X1877" s="15">
        <v>9.7826086956521738</v>
      </c>
      <c r="Y1877" s="8">
        <v>8.5</v>
      </c>
      <c r="Z1877" s="18">
        <f>grand[[#This Row],[av. Transportation loss]]/grand[[#This Row],[av.total weight]]</f>
        <v>6.9619624590326751E-2</v>
      </c>
      <c r="AA1877" s="12">
        <f>AVERAGE((grand[[#This Row],[am]]/25),(grand[[#This Row],[pm]]/50))</f>
        <v>1</v>
      </c>
      <c r="AB1877" s="18">
        <f>grand[[#This Row],[ carcass weight]]/grand[[#This Row],[total weight]]</f>
        <v>0.61064653888171616</v>
      </c>
      <c r="AC1877" s="19">
        <f>SUM(grand[[#This Row],[am]:[meat transportation]])/100</f>
        <v>0.93282608695652169</v>
      </c>
      <c r="AJ1877" s="1">
        <v>4</v>
      </c>
      <c r="AK1877" s="20">
        <f>grand[[#This Row],[accepted as exception]]/grand[[#This Row],[number]]</f>
        <v>0.16666666666666666</v>
      </c>
      <c r="AL1877">
        <v>417</v>
      </c>
    </row>
    <row r="1878" spans="1:38" hidden="1" x14ac:dyDescent="0.2">
      <c r="A1878" s="11">
        <v>44513</v>
      </c>
      <c r="B1878" s="53" t="s">
        <v>2721</v>
      </c>
      <c r="C1878" s="52" t="str">
        <f>IF(MID(B1878,4,2)="09","Ramadan",IF(AND(MID(B1878,4,2)="12",VALUE(LEFT(B1878,2))&lt;=9),"Adha Season","Normal"))</f>
        <v>Normal</v>
      </c>
      <c r="D1878" s="1" t="s">
        <v>45</v>
      </c>
      <c r="F1878" s="15" t="s">
        <v>43</v>
      </c>
      <c r="G1878" s="1">
        <v>16</v>
      </c>
      <c r="H1878" s="15">
        <v>15</v>
      </c>
      <c r="I1878" s="1">
        <f>grand[[#This Row],[number]]-grand[[#This Row],[received]]</f>
        <v>1</v>
      </c>
      <c r="J1878" s="30" t="s">
        <v>330</v>
      </c>
      <c r="K1878" s="9">
        <v>7118</v>
      </c>
      <c r="L1878" s="9">
        <v>6901</v>
      </c>
      <c r="M1878" s="2">
        <f>K1878-L1878</f>
        <v>217</v>
      </c>
      <c r="N1878" s="9">
        <v>4271.1000000000004</v>
      </c>
      <c r="O1878" s="9">
        <v>155</v>
      </c>
      <c r="P1878" s="16">
        <f>grand[[#This Row],[total weight]]/grand[[#This Row],[received]]</f>
        <v>474.53333333333336</v>
      </c>
      <c r="Q1878" s="16">
        <f>grand[[#This Row],[receiving weight]]/grand[[#This Row],[received]]</f>
        <v>460.06666666666666</v>
      </c>
      <c r="R1878" s="16">
        <f>grand[[#This Row],[transportation loss ]]/grand[[#This Row],[received]]</f>
        <v>14.466666666666667</v>
      </c>
      <c r="S1878" s="16">
        <f>grand[[#This Row],[ carcass weight]]/grand[[#This Row],[received]]</f>
        <v>284.74</v>
      </c>
      <c r="T1878" s="16">
        <f>grand[[#This Row],[ kidneys fat quantity]]/grand[[#This Row],[received]]</f>
        <v>10.333333333333334</v>
      </c>
      <c r="U1878" s="15">
        <v>25</v>
      </c>
      <c r="V1878" s="15">
        <v>0</v>
      </c>
      <c r="W1878" s="15">
        <v>50</v>
      </c>
      <c r="X1878" s="15">
        <v>10</v>
      </c>
      <c r="Y1878" s="8">
        <v>8.5</v>
      </c>
      <c r="Z1878" s="18">
        <f>grand[[#This Row],[av. Transportation loss]]/grand[[#This Row],[av.total weight]]</f>
        <v>3.0486091598763695E-2</v>
      </c>
      <c r="AA1878" s="12">
        <f>AVERAGE((grand[[#This Row],[am]]/25),(grand[[#This Row],[pm]]/50))</f>
        <v>1</v>
      </c>
      <c r="AB1878" s="18">
        <f>grand[[#This Row],[ carcass weight]]/grand[[#This Row],[total weight]]</f>
        <v>0.60004214667041311</v>
      </c>
      <c r="AC1878" s="19">
        <f>SUM(grand[[#This Row],[am]:[meat transportation]])/100</f>
        <v>0.93500000000000005</v>
      </c>
      <c r="AJ1878" s="1">
        <v>10</v>
      </c>
      <c r="AK1878" s="20">
        <f>grand[[#This Row],[accepted as exception]]/grand[[#This Row],[number]]</f>
        <v>0.625</v>
      </c>
      <c r="AL1878">
        <v>439</v>
      </c>
    </row>
    <row r="1879" spans="1:38" hidden="1" x14ac:dyDescent="0.2">
      <c r="A1879" s="11">
        <v>44514</v>
      </c>
      <c r="B1879" s="53" t="s">
        <v>1590</v>
      </c>
      <c r="C1879" s="52" t="str">
        <f>IF(MID(B1879,4,2)="09","Ramadan",IF(AND(MID(B1879,4,2)="12",VALUE(LEFT(B1879,2))&lt;=9),"Adha Season","Normal"))</f>
        <v>Normal</v>
      </c>
      <c r="D1879" s="1" t="s">
        <v>45</v>
      </c>
      <c r="F1879" s="15" t="s">
        <v>280</v>
      </c>
      <c r="G1879" s="1">
        <v>40</v>
      </c>
      <c r="H1879" s="15">
        <v>39</v>
      </c>
      <c r="I1879" s="1">
        <f>grand[[#This Row],[number]]-grand[[#This Row],[received]]</f>
        <v>1</v>
      </c>
      <c r="J1879" s="30" t="s">
        <v>329</v>
      </c>
      <c r="K1879" s="9">
        <v>18329</v>
      </c>
      <c r="L1879" s="9">
        <v>17614</v>
      </c>
      <c r="M1879" s="2">
        <f>K1879-L1879</f>
        <v>715</v>
      </c>
      <c r="N1879" s="9">
        <v>10996.7</v>
      </c>
      <c r="O1879" s="9">
        <v>356</v>
      </c>
      <c r="P1879" s="16">
        <f>grand[[#This Row],[total weight]]/grand[[#This Row],[received]]</f>
        <v>469.97435897435895</v>
      </c>
      <c r="Q1879" s="16">
        <f>grand[[#This Row],[receiving weight]]/grand[[#This Row],[received]]</f>
        <v>451.64102564102564</v>
      </c>
      <c r="R1879" s="16">
        <f>grand[[#This Row],[transportation loss ]]/grand[[#This Row],[received]]</f>
        <v>18.333333333333332</v>
      </c>
      <c r="S1879" s="16">
        <f>grand[[#This Row],[ carcass weight]]/grand[[#This Row],[received]]</f>
        <v>281.9666666666667</v>
      </c>
      <c r="T1879" s="16">
        <f>grand[[#This Row],[ kidneys fat quantity]]/grand[[#This Row],[received]]</f>
        <v>9.1282051282051277</v>
      </c>
      <c r="U1879" s="15">
        <v>25</v>
      </c>
      <c r="V1879" s="15">
        <v>0</v>
      </c>
      <c r="W1879" s="15">
        <v>49.820512820512818</v>
      </c>
      <c r="X1879" s="15">
        <v>10</v>
      </c>
      <c r="Y1879" s="8">
        <v>8.5</v>
      </c>
      <c r="Z1879" s="18">
        <f>grand[[#This Row],[av. Transportation loss]]/grand[[#This Row],[av.total weight]]</f>
        <v>3.9009220361176281E-2</v>
      </c>
      <c r="AA1879" s="12">
        <f>AVERAGE((grand[[#This Row],[am]]/25),(grand[[#This Row],[pm]]/50))</f>
        <v>0.99820512820512819</v>
      </c>
      <c r="AB1879" s="18">
        <f>grand[[#This Row],[ carcass weight]]/grand[[#This Row],[total weight]]</f>
        <v>0.59996180915489117</v>
      </c>
      <c r="AC1879" s="19">
        <f>SUM(grand[[#This Row],[am]:[meat transportation]])/100</f>
        <v>0.93320512820512813</v>
      </c>
      <c r="AJ1879" s="1">
        <v>15</v>
      </c>
      <c r="AK1879" s="20">
        <f>grand[[#This Row],[accepted as exception]]/grand[[#This Row],[number]]</f>
        <v>0.375</v>
      </c>
      <c r="AL1879">
        <v>437</v>
      </c>
    </row>
    <row r="1880" spans="1:38" hidden="1" x14ac:dyDescent="0.2">
      <c r="A1880" s="11">
        <v>44516</v>
      </c>
      <c r="B1880" s="53" t="s">
        <v>2722</v>
      </c>
      <c r="C1880" s="52" t="str">
        <f>IF(MID(B1880,4,2)="09","Ramadan",IF(AND(MID(B1880,4,2)="12",VALUE(LEFT(B1880,2))&lt;=9),"Adha Season","Normal"))</f>
        <v>Normal</v>
      </c>
      <c r="D1880" s="1" t="s">
        <v>45</v>
      </c>
      <c r="F1880" s="15" t="s">
        <v>50</v>
      </c>
      <c r="G1880" s="1">
        <v>25</v>
      </c>
      <c r="H1880" s="15">
        <v>24</v>
      </c>
      <c r="I1880" s="1">
        <f>grand[[#This Row],[number]]-grand[[#This Row],[received]]</f>
        <v>1</v>
      </c>
      <c r="J1880" s="30" t="s">
        <v>310</v>
      </c>
      <c r="K1880" s="9">
        <v>10465</v>
      </c>
      <c r="L1880" s="9">
        <v>9816</v>
      </c>
      <c r="M1880" s="2">
        <f>K1880-L1880</f>
        <v>649</v>
      </c>
      <c r="N1880" s="9">
        <v>6515</v>
      </c>
      <c r="O1880" s="9">
        <v>215</v>
      </c>
      <c r="P1880" s="16">
        <f>grand[[#This Row],[total weight]]/grand[[#This Row],[received]]</f>
        <v>436.04166666666669</v>
      </c>
      <c r="Q1880" s="16">
        <f>grand[[#This Row],[receiving weight]]/grand[[#This Row],[received]]</f>
        <v>409</v>
      </c>
      <c r="R1880" s="16">
        <f>grand[[#This Row],[transportation loss ]]/grand[[#This Row],[received]]</f>
        <v>27.041666666666668</v>
      </c>
      <c r="S1880" s="16">
        <f>grand[[#This Row],[ carcass weight]]/grand[[#This Row],[received]]</f>
        <v>271.45833333333331</v>
      </c>
      <c r="T1880" s="16">
        <f>grand[[#This Row],[ kidneys fat quantity]]/grand[[#This Row],[received]]</f>
        <v>8.9583333333333339</v>
      </c>
      <c r="U1880" s="15">
        <v>25</v>
      </c>
      <c r="V1880" s="15">
        <v>0</v>
      </c>
      <c r="W1880" s="15">
        <v>49.535384615384615</v>
      </c>
      <c r="X1880" s="15">
        <v>10</v>
      </c>
      <c r="Y1880" s="8">
        <v>8.5</v>
      </c>
      <c r="Z1880" s="18">
        <f>grand[[#This Row],[av. Transportation loss]]/grand[[#This Row],[av.total weight]]</f>
        <v>6.2016244624940278E-2</v>
      </c>
      <c r="AA1880" s="12">
        <f>AVERAGE((grand[[#This Row],[am]]/25),(grand[[#This Row],[pm]]/50))</f>
        <v>0.99535384615384614</v>
      </c>
      <c r="AB1880" s="18">
        <f>grand[[#This Row],[ carcass weight]]/grand[[#This Row],[total weight]]</f>
        <v>0.62255136168179648</v>
      </c>
      <c r="AC1880" s="19">
        <f>SUM(grand[[#This Row],[am]:[meat transportation]])/100</f>
        <v>0.9303538461538462</v>
      </c>
      <c r="AJ1880" s="1">
        <v>4</v>
      </c>
      <c r="AK1880" s="20">
        <f>grand[[#This Row],[accepted as exception]]/grand[[#This Row],[number]]</f>
        <v>0.16</v>
      </c>
      <c r="AL1880">
        <v>519</v>
      </c>
    </row>
    <row r="1881" spans="1:38" hidden="1" x14ac:dyDescent="0.2">
      <c r="A1881" s="11">
        <v>44518</v>
      </c>
      <c r="B1881" s="53" t="s">
        <v>2723</v>
      </c>
      <c r="C1881" s="52" t="str">
        <f>IF(MID(B1881,4,2)="09","Ramadan",IF(AND(MID(B1881,4,2)="12",VALUE(LEFT(B1881,2))&lt;=9),"Adha Season","Normal"))</f>
        <v>Normal</v>
      </c>
      <c r="D1881" s="1" t="s">
        <v>45</v>
      </c>
      <c r="F1881" s="4" t="s">
        <v>46</v>
      </c>
      <c r="G1881" s="1">
        <v>33</v>
      </c>
      <c r="H1881" s="15">
        <v>32</v>
      </c>
      <c r="I1881" s="1">
        <f>grand[[#This Row],[number]]-grand[[#This Row],[received]]</f>
        <v>1</v>
      </c>
      <c r="J1881" s="30" t="s">
        <v>310</v>
      </c>
      <c r="K1881" s="9">
        <v>13461</v>
      </c>
      <c r="L1881" s="9">
        <v>12715</v>
      </c>
      <c r="M1881" s="2">
        <f>K1881-L1881</f>
        <v>746</v>
      </c>
      <c r="N1881" s="9">
        <v>8076.5</v>
      </c>
      <c r="O1881" s="9">
        <v>231</v>
      </c>
      <c r="P1881" s="16">
        <f>grand[[#This Row],[total weight]]/grand[[#This Row],[received]]</f>
        <v>420.65625</v>
      </c>
      <c r="Q1881" s="16">
        <f>grand[[#This Row],[receiving weight]]/grand[[#This Row],[received]]</f>
        <v>397.34375</v>
      </c>
      <c r="R1881" s="16">
        <f>grand[[#This Row],[transportation loss ]]/grand[[#This Row],[received]]</f>
        <v>23.3125</v>
      </c>
      <c r="S1881" s="16">
        <f>grand[[#This Row],[ carcass weight]]/grand[[#This Row],[received]]</f>
        <v>252.390625</v>
      </c>
      <c r="T1881" s="16">
        <f>grand[[#This Row],[ kidneys fat quantity]]/grand[[#This Row],[received]]</f>
        <v>7.21875</v>
      </c>
      <c r="U1881" s="15">
        <v>25</v>
      </c>
      <c r="V1881" s="15">
        <v>0</v>
      </c>
      <c r="W1881" s="15">
        <v>49.9375</v>
      </c>
      <c r="X1881" s="15">
        <v>10</v>
      </c>
      <c r="Y1881" s="8">
        <v>8.5</v>
      </c>
      <c r="Z1881" s="18">
        <f>grand[[#This Row],[av. Transportation loss]]/grand[[#This Row],[av.total weight]]</f>
        <v>5.5419359631528116E-2</v>
      </c>
      <c r="AA1881" s="12">
        <f>AVERAGE((grand[[#This Row],[am]]/25),(grand[[#This Row],[pm]]/50))</f>
        <v>0.99937500000000001</v>
      </c>
      <c r="AB1881" s="18">
        <f>grand[[#This Row],[ carcass weight]]/grand[[#This Row],[total weight]]</f>
        <v>0.59999257113141669</v>
      </c>
      <c r="AC1881" s="19">
        <f>SUM(grand[[#This Row],[am]:[meat transportation]])/100</f>
        <v>0.93437499999999996</v>
      </c>
      <c r="AJ1881" s="1">
        <v>6</v>
      </c>
      <c r="AK1881" s="20">
        <f>grand[[#This Row],[accepted as exception]]/grand[[#This Row],[number]]</f>
        <v>0.18181818181818182</v>
      </c>
      <c r="AL1881">
        <v>400.5</v>
      </c>
    </row>
    <row r="1882" spans="1:38" hidden="1" x14ac:dyDescent="0.2">
      <c r="A1882" s="11">
        <v>44518</v>
      </c>
      <c r="B1882" s="53" t="s">
        <v>2723</v>
      </c>
      <c r="C1882" s="52" t="str">
        <f>IF(MID(B1882,4,2)="09","Ramadan",IF(AND(MID(B1882,4,2)="12",VALUE(LEFT(B1882,2))&lt;=9),"Adha Season","Normal"))</f>
        <v>Normal</v>
      </c>
      <c r="D1882" s="2" t="s">
        <v>294</v>
      </c>
      <c r="E1882" s="2"/>
      <c r="F1882" s="15" t="s">
        <v>105</v>
      </c>
      <c r="G1882" s="1">
        <v>25</v>
      </c>
      <c r="H1882" s="15">
        <v>24</v>
      </c>
      <c r="I1882" s="1">
        <f>grand[[#This Row],[number]]-grand[[#This Row],[received]]</f>
        <v>1</v>
      </c>
      <c r="J1882" s="30" t="s">
        <v>331</v>
      </c>
      <c r="K1882" s="9">
        <v>1286</v>
      </c>
      <c r="L1882" s="9">
        <v>1285</v>
      </c>
      <c r="M1882" s="2">
        <f>K1882-L1882</f>
        <v>1</v>
      </c>
      <c r="N1882" s="9">
        <v>778.2</v>
      </c>
      <c r="O1882" s="9">
        <v>0</v>
      </c>
      <c r="P1882" s="16">
        <f>grand[[#This Row],[total weight]]/grand[[#This Row],[received]]</f>
        <v>53.583333333333336</v>
      </c>
      <c r="Q1882" s="16">
        <f>grand[[#This Row],[receiving weight]]/grand[[#This Row],[received]]</f>
        <v>53.541666666666664</v>
      </c>
      <c r="R1882" s="16">
        <f>grand[[#This Row],[transportation loss ]]/grand[[#This Row],[received]]</f>
        <v>4.1666666666666664E-2</v>
      </c>
      <c r="S1882" s="16">
        <f>grand[[#This Row],[ carcass weight]]/grand[[#This Row],[received]]</f>
        <v>32.425000000000004</v>
      </c>
      <c r="T1882" s="16">
        <f>grand[[#This Row],[ kidneys fat quantity]]/grand[[#This Row],[received]]</f>
        <v>0</v>
      </c>
      <c r="U1882" s="15">
        <v>25</v>
      </c>
      <c r="V1882" s="15">
        <v>0</v>
      </c>
      <c r="W1882" s="15">
        <v>49.124999999999993</v>
      </c>
      <c r="X1882" s="15">
        <v>10</v>
      </c>
      <c r="Y1882" s="8">
        <v>8.5</v>
      </c>
      <c r="Z1882" s="18">
        <f>grand[[#This Row],[av. Transportation loss]]/grand[[#This Row],[av.total weight]]</f>
        <v>7.7760497667185059E-4</v>
      </c>
      <c r="AA1882" s="12">
        <f>AVERAGE((grand[[#This Row],[am]]/25),(grand[[#This Row],[pm]]/50))</f>
        <v>0.99124999999999996</v>
      </c>
      <c r="AB1882" s="18">
        <f>grand[[#This Row],[ carcass weight]]/grand[[#This Row],[total weight]]</f>
        <v>0.60513219284603426</v>
      </c>
      <c r="AC1882" s="19">
        <f>SUM(grand[[#This Row],[am]:[meat transportation]])/100</f>
        <v>0.92625000000000002</v>
      </c>
      <c r="AJ1882" s="1">
        <v>0</v>
      </c>
      <c r="AK1882" s="20">
        <f>grand[[#This Row],[accepted as exception]]/grand[[#This Row],[number]]</f>
        <v>0</v>
      </c>
      <c r="AL1882" s="1">
        <v>1.8</v>
      </c>
    </row>
    <row r="1883" spans="1:38" hidden="1" x14ac:dyDescent="0.2">
      <c r="A1883" s="11">
        <v>44530</v>
      </c>
      <c r="B1883" s="53" t="s">
        <v>2728</v>
      </c>
      <c r="C1883" s="52" t="str">
        <f>IF(MID(B1883,4,2)="09","Ramadan",IF(AND(MID(B1883,4,2)="12",VALUE(LEFT(B1883,2))&lt;=9),"Adha Season","Normal"))</f>
        <v>Normal</v>
      </c>
      <c r="D1883" s="1" t="s">
        <v>45</v>
      </c>
      <c r="F1883" s="15" t="s">
        <v>39</v>
      </c>
      <c r="G1883" s="1">
        <v>32</v>
      </c>
      <c r="H1883" s="15">
        <v>31</v>
      </c>
      <c r="I1883" s="1">
        <f>grand[[#This Row],[number]]-grand[[#This Row],[received]]</f>
        <v>1</v>
      </c>
      <c r="J1883" s="30" t="s">
        <v>310</v>
      </c>
      <c r="K1883" s="9">
        <v>12725</v>
      </c>
      <c r="L1883" s="9">
        <v>11932</v>
      </c>
      <c r="M1883" s="2">
        <f>K1883-L1883</f>
        <v>793</v>
      </c>
      <c r="N1883" s="9">
        <v>7744.3</v>
      </c>
      <c r="O1883" s="9">
        <v>248</v>
      </c>
      <c r="P1883" s="16">
        <f>grand[[#This Row],[total weight]]/grand[[#This Row],[received]]</f>
        <v>410.48387096774195</v>
      </c>
      <c r="Q1883" s="16">
        <f>grand[[#This Row],[receiving weight]]/grand[[#This Row],[received]]</f>
        <v>384.90322580645159</v>
      </c>
      <c r="R1883" s="16">
        <f>grand[[#This Row],[transportation loss ]]/grand[[#This Row],[received]]</f>
        <v>25.580645161290324</v>
      </c>
      <c r="S1883" s="16">
        <f>grand[[#This Row],[ carcass weight]]/grand[[#This Row],[received]]</f>
        <v>249.81612903225806</v>
      </c>
      <c r="T1883" s="16">
        <f>grand[[#This Row],[ kidneys fat quantity]]/grand[[#This Row],[received]]</f>
        <v>8</v>
      </c>
      <c r="U1883" s="15">
        <v>25</v>
      </c>
      <c r="V1883" s="15">
        <v>0</v>
      </c>
      <c r="W1883" s="15">
        <v>49.774193548387096</v>
      </c>
      <c r="X1883" s="15">
        <v>10</v>
      </c>
      <c r="Y1883" s="8">
        <v>8.5</v>
      </c>
      <c r="Z1883" s="18">
        <f>grand[[#This Row],[av. Transportation loss]]/grand[[#This Row],[av.total weight]]</f>
        <v>6.2318271119842832E-2</v>
      </c>
      <c r="AA1883" s="12">
        <f>AVERAGE((grand[[#This Row],[am]]/25),(grand[[#This Row],[pm]]/50))</f>
        <v>0.99774193548387102</v>
      </c>
      <c r="AB1883" s="18">
        <f>grand[[#This Row],[ carcass weight]]/grand[[#This Row],[total weight]]</f>
        <v>0.60858939096267195</v>
      </c>
      <c r="AC1883" s="19">
        <f>SUM(grand[[#This Row],[am]:[meat transportation]])/100</f>
        <v>0.93274193548387108</v>
      </c>
      <c r="AJ1883" s="1">
        <v>4</v>
      </c>
      <c r="AK1883" s="20">
        <f>grand[[#This Row],[accepted as exception]]/grand[[#This Row],[number]]</f>
        <v>0.125</v>
      </c>
      <c r="AL1883">
        <v>354</v>
      </c>
    </row>
    <row r="1884" spans="1:38" hidden="1" x14ac:dyDescent="0.2">
      <c r="A1884" s="11">
        <v>44535</v>
      </c>
      <c r="B1884" s="53" t="s">
        <v>1593</v>
      </c>
      <c r="C1884" s="52" t="str">
        <f>IF(MID(B1884,4,2)="09","Ramadan",IF(AND(MID(B1884,4,2)="12",VALUE(LEFT(B1884,2))&lt;=9),"Adha Season","Normal"))</f>
        <v>Normal</v>
      </c>
      <c r="D1884" s="1" t="s">
        <v>45</v>
      </c>
      <c r="F1884" s="4" t="s">
        <v>280</v>
      </c>
      <c r="G1884" s="1">
        <v>48</v>
      </c>
      <c r="H1884" s="15">
        <v>47</v>
      </c>
      <c r="I1884" s="1">
        <f>grand[[#This Row],[number]]-grand[[#This Row],[received]]</f>
        <v>1</v>
      </c>
      <c r="J1884" s="30" t="s">
        <v>310</v>
      </c>
      <c r="K1884" s="9">
        <v>21094</v>
      </c>
      <c r="L1884" s="9">
        <v>20624</v>
      </c>
      <c r="M1884" s="2">
        <f>K1884-L1884</f>
        <v>470</v>
      </c>
      <c r="N1884" s="9">
        <v>12947.6</v>
      </c>
      <c r="O1884" s="9">
        <v>438</v>
      </c>
      <c r="P1884" s="7">
        <f>grand[[#This Row],[total weight]]/grand[[#This Row],[received]]</f>
        <v>448.80851063829789</v>
      </c>
      <c r="Q1884" s="7">
        <f>grand[[#This Row],[receiving weight]]/grand[[#This Row],[received]]</f>
        <v>438.80851063829789</v>
      </c>
      <c r="R1884" s="7">
        <f>grand[[#This Row],[transportation loss ]]/grand[[#This Row],[received]]</f>
        <v>10</v>
      </c>
      <c r="S1884" s="7">
        <f>grand[[#This Row],[ carcass weight]]/grand[[#This Row],[received]]</f>
        <v>275.48085106382979</v>
      </c>
      <c r="T1884" s="7">
        <f>grand[[#This Row],[ kidneys fat quantity]]/grand[[#This Row],[received]]</f>
        <v>9.3191489361702136</v>
      </c>
      <c r="U1884" s="15">
        <v>25</v>
      </c>
      <c r="V1884" s="15">
        <v>0</v>
      </c>
      <c r="W1884" s="15">
        <v>49.717391304347821</v>
      </c>
      <c r="X1884" s="15">
        <v>9.891304347826086</v>
      </c>
      <c r="Y1884" s="8">
        <v>8.5</v>
      </c>
      <c r="Z1884" s="18">
        <f>grand[[#This Row],[av. Transportation loss]]/grand[[#This Row],[av.total weight]]</f>
        <v>2.2281217407793683E-2</v>
      </c>
      <c r="AA1884" s="12">
        <f>AVERAGE((grand[[#This Row],[am]]/25),(grand[[#This Row],[pm]]/50))</f>
        <v>0.99717391304347824</v>
      </c>
      <c r="AB1884" s="3">
        <f>grand[[#This Row],[ carcass weight]]/grand[[#This Row],[total weight]]</f>
        <v>0.61380487342372236</v>
      </c>
      <c r="AC1884" s="19">
        <f>SUM(grand[[#This Row],[am]:[meat transportation]])/100</f>
        <v>0.93108695652173912</v>
      </c>
      <c r="AD1884" s="1" t="s">
        <v>97</v>
      </c>
      <c r="AF1884" s="1" t="s">
        <v>170</v>
      </c>
      <c r="AI1884" s="2" t="s">
        <v>335</v>
      </c>
      <c r="AJ1884" s="1">
        <v>18</v>
      </c>
      <c r="AK1884" s="20">
        <f>grand[[#This Row],[accepted as exception]]/grand[[#This Row],[number]]</f>
        <v>0.375</v>
      </c>
      <c r="AL1884" s="1">
        <f>511+9</f>
        <v>520</v>
      </c>
    </row>
    <row r="1885" spans="1:38" hidden="1" x14ac:dyDescent="0.2">
      <c r="A1885" s="11">
        <v>44541</v>
      </c>
      <c r="B1885" s="53" t="s">
        <v>2733</v>
      </c>
      <c r="C1885" s="52" t="str">
        <f>IF(MID(B1885,4,2)="09","Ramadan",IF(AND(MID(B1885,4,2)="12",VALUE(LEFT(B1885,2))&lt;=9),"Adha Season","Normal"))</f>
        <v>Normal</v>
      </c>
      <c r="D1885" s="1" t="s">
        <v>45</v>
      </c>
      <c r="F1885" s="4" t="s">
        <v>39</v>
      </c>
      <c r="G1885" s="1">
        <v>14</v>
      </c>
      <c r="H1885" s="15">
        <v>13</v>
      </c>
      <c r="I1885" s="1">
        <f>grand[[#This Row],[number]]-grand[[#This Row],[received]]</f>
        <v>1</v>
      </c>
      <c r="J1885" s="30" t="s">
        <v>310</v>
      </c>
      <c r="K1885" s="9">
        <v>5814</v>
      </c>
      <c r="L1885" s="9">
        <v>5527</v>
      </c>
      <c r="M1885" s="2">
        <f>K1885-L1885</f>
        <v>287</v>
      </c>
      <c r="N1885" s="9">
        <v>3599.5</v>
      </c>
      <c r="O1885" s="9">
        <v>139</v>
      </c>
      <c r="P1885" s="7">
        <f>grand[[#This Row],[total weight]]/grand[[#This Row],[received]]</f>
        <v>447.23076923076923</v>
      </c>
      <c r="Q1885" s="7">
        <f>grand[[#This Row],[receiving weight]]/grand[[#This Row],[received]]</f>
        <v>425.15384615384613</v>
      </c>
      <c r="R1885" s="7">
        <f>grand[[#This Row],[transportation loss ]]/grand[[#This Row],[received]]</f>
        <v>22.076923076923077</v>
      </c>
      <c r="S1885" s="7">
        <f>grand[[#This Row],[ carcass weight]]/grand[[#This Row],[received]]</f>
        <v>276.88461538461536</v>
      </c>
      <c r="T1885" s="7">
        <f>grand[[#This Row],[ kidneys fat quantity]]/grand[[#This Row],[received]]</f>
        <v>10.692307692307692</v>
      </c>
      <c r="U1885" s="15">
        <v>25</v>
      </c>
      <c r="V1885" s="15">
        <v>0</v>
      </c>
      <c r="W1885" s="15">
        <v>49.5</v>
      </c>
      <c r="X1885" s="15">
        <v>10</v>
      </c>
      <c r="Y1885" s="8">
        <v>8.5</v>
      </c>
      <c r="Z1885" s="18">
        <f>grand[[#This Row],[av. Transportation loss]]/grand[[#This Row],[av.total weight]]</f>
        <v>4.9363605091159272E-2</v>
      </c>
      <c r="AA1885" s="12">
        <f>AVERAGE((grand[[#This Row],[am]]/25),(grand[[#This Row],[pm]]/50))</f>
        <v>0.995</v>
      </c>
      <c r="AB1885" s="3">
        <f>grand[[#This Row],[ carcass weight]]/grand[[#This Row],[total weight]]</f>
        <v>0.61910904712762294</v>
      </c>
      <c r="AC1885" s="19">
        <f>SUM(grand[[#This Row],[am]:[meat transportation]])/100</f>
        <v>0.93</v>
      </c>
      <c r="AD1885" s="1" t="s">
        <v>89</v>
      </c>
      <c r="AJ1885" s="1">
        <v>0</v>
      </c>
      <c r="AK1885" s="20">
        <f>grand[[#This Row],[accepted as exception]]/grand[[#This Row],[number]]</f>
        <v>0</v>
      </c>
      <c r="AL1885" s="1">
        <f>1+413</f>
        <v>414</v>
      </c>
    </row>
    <row r="1886" spans="1:38" hidden="1" x14ac:dyDescent="0.2">
      <c r="A1886" s="11">
        <v>44546</v>
      </c>
      <c r="B1886" s="53" t="s">
        <v>2735</v>
      </c>
      <c r="C1886" s="52" t="str">
        <f>IF(MID(B1886,4,2)="09","Ramadan",IF(AND(MID(B1886,4,2)="12",VALUE(LEFT(B1886,2))&lt;=9),"Adha Season","Normal"))</f>
        <v>Normal</v>
      </c>
      <c r="D1886" s="1" t="s">
        <v>45</v>
      </c>
      <c r="F1886" s="4" t="s">
        <v>46</v>
      </c>
      <c r="G1886" s="1">
        <v>40</v>
      </c>
      <c r="H1886" s="15">
        <v>39</v>
      </c>
      <c r="I1886" s="1">
        <f>grand[[#This Row],[number]]-grand[[#This Row],[received]]</f>
        <v>1</v>
      </c>
      <c r="J1886" s="30" t="s">
        <v>310</v>
      </c>
      <c r="K1886" s="9">
        <v>16253</v>
      </c>
      <c r="L1886" s="9">
        <v>15270</v>
      </c>
      <c r="M1886" s="2">
        <f>K1886-L1886</f>
        <v>983</v>
      </c>
      <c r="N1886" s="9">
        <v>9819.1</v>
      </c>
      <c r="O1886" s="9">
        <v>255</v>
      </c>
      <c r="P1886" s="7">
        <f>grand[[#This Row],[total weight]]/grand[[#This Row],[received]]</f>
        <v>416.74358974358972</v>
      </c>
      <c r="Q1886" s="7">
        <f>grand[[#This Row],[receiving weight]]/grand[[#This Row],[received]]</f>
        <v>391.53846153846155</v>
      </c>
      <c r="R1886" s="7">
        <f>grand[[#This Row],[transportation loss ]]/grand[[#This Row],[received]]</f>
        <v>25.205128205128204</v>
      </c>
      <c r="S1886" s="7">
        <f>grand[[#This Row],[ carcass weight]]/grand[[#This Row],[received]]</f>
        <v>251.77179487179487</v>
      </c>
      <c r="T1886" s="7">
        <f>grand[[#This Row],[ kidneys fat quantity]]/grand[[#This Row],[received]]</f>
        <v>6.5384615384615383</v>
      </c>
      <c r="U1886" s="15">
        <v>25</v>
      </c>
      <c r="V1886" s="15">
        <v>0</v>
      </c>
      <c r="W1886" s="15">
        <v>50</v>
      </c>
      <c r="X1886" s="15">
        <v>10</v>
      </c>
      <c r="Y1886" s="8">
        <v>8.5</v>
      </c>
      <c r="Z1886" s="18">
        <f>grand[[#This Row],[av. Transportation loss]]/grand[[#This Row],[av.total weight]]</f>
        <v>6.0481141943025903E-2</v>
      </c>
      <c r="AA1886" s="12">
        <f>AVERAGE((grand[[#This Row],[am]]/25),(grand[[#This Row],[pm]]/50))</f>
        <v>1</v>
      </c>
      <c r="AB1886" s="3">
        <f>grand[[#This Row],[ carcass weight]]/grand[[#This Row],[total weight]]</f>
        <v>0.6041407740109519</v>
      </c>
      <c r="AC1886" s="19">
        <f>SUM(grand[[#This Row],[am]:[meat transportation]])/100</f>
        <v>0.93500000000000005</v>
      </c>
      <c r="AJ1886" s="1">
        <v>6</v>
      </c>
      <c r="AK1886" s="20">
        <f>grand[[#This Row],[accepted as exception]]/grand[[#This Row],[number]]</f>
        <v>0.15</v>
      </c>
      <c r="AL1886" s="1">
        <v>400</v>
      </c>
    </row>
    <row r="1887" spans="1:38" hidden="1" x14ac:dyDescent="0.2">
      <c r="A1887" s="11">
        <v>44548</v>
      </c>
      <c r="B1887" s="53" t="s">
        <v>2736</v>
      </c>
      <c r="C1887" s="52" t="str">
        <f>IF(MID(B1887,4,2)="09","Ramadan",IF(AND(MID(B1887,4,2)="12",VALUE(LEFT(B1887,2))&lt;=9),"Adha Season","Normal"))</f>
        <v>Normal</v>
      </c>
      <c r="D1887" s="1" t="s">
        <v>45</v>
      </c>
      <c r="F1887" s="4" t="s">
        <v>39</v>
      </c>
      <c r="G1887" s="1">
        <v>18</v>
      </c>
      <c r="H1887" s="15">
        <v>17</v>
      </c>
      <c r="I1887" s="1">
        <f>grand[[#This Row],[number]]-grand[[#This Row],[received]]</f>
        <v>1</v>
      </c>
      <c r="J1887" s="30" t="s">
        <v>310</v>
      </c>
      <c r="K1887" s="9">
        <v>7586</v>
      </c>
      <c r="L1887" s="9">
        <v>7280</v>
      </c>
      <c r="M1887" s="2">
        <f>K1887-L1887</f>
        <v>306</v>
      </c>
      <c r="N1887" s="9">
        <v>4790.7</v>
      </c>
      <c r="O1887" s="9">
        <v>171</v>
      </c>
      <c r="P1887" s="7">
        <f>grand[[#This Row],[total weight]]/grand[[#This Row],[received]]</f>
        <v>446.23529411764707</v>
      </c>
      <c r="Q1887" s="7">
        <f>grand[[#This Row],[receiving weight]]/grand[[#This Row],[received]]</f>
        <v>428.23529411764707</v>
      </c>
      <c r="R1887" s="7">
        <f>grand[[#This Row],[transportation loss ]]/grand[[#This Row],[received]]</f>
        <v>18</v>
      </c>
      <c r="S1887" s="7">
        <f>grand[[#This Row],[ carcass weight]]/grand[[#This Row],[received]]</f>
        <v>281.80588235294118</v>
      </c>
      <c r="T1887" s="7">
        <f>grand[[#This Row],[ kidneys fat quantity]]/grand[[#This Row],[received]]</f>
        <v>10.058823529411764</v>
      </c>
      <c r="U1887" s="15">
        <v>25</v>
      </c>
      <c r="V1887" s="15">
        <v>0</v>
      </c>
      <c r="W1887" s="15">
        <v>49.882352941176471</v>
      </c>
      <c r="X1887" s="15">
        <v>10</v>
      </c>
      <c r="Y1887" s="8">
        <v>8.5</v>
      </c>
      <c r="Z1887" s="18">
        <f>grand[[#This Row],[av. Transportation loss]]/grand[[#This Row],[av.total weight]]</f>
        <v>4.0337463749011336E-2</v>
      </c>
      <c r="AA1887" s="12">
        <f>AVERAGE((grand[[#This Row],[am]]/25),(grand[[#This Row],[pm]]/50))</f>
        <v>0.99882352941176467</v>
      </c>
      <c r="AB1887" s="3">
        <f>grand[[#This Row],[ carcass weight]]/grand[[#This Row],[total weight]]</f>
        <v>0.63151858687055096</v>
      </c>
      <c r="AC1887" s="19">
        <f>SUM(grand[[#This Row],[am]:[meat transportation]])/100</f>
        <v>0.93382352941176461</v>
      </c>
      <c r="AF1887" s="1" t="s">
        <v>55</v>
      </c>
      <c r="AJ1887" s="1">
        <v>0</v>
      </c>
      <c r="AK1887" s="20">
        <f>grand[[#This Row],[accepted as exception]]/grand[[#This Row],[number]]</f>
        <v>0</v>
      </c>
      <c r="AL1887" s="1">
        <v>451.5</v>
      </c>
    </row>
    <row r="1888" spans="1:38" hidden="1" x14ac:dyDescent="0.2">
      <c r="A1888" s="11">
        <v>44553</v>
      </c>
      <c r="B1888" s="53" t="s">
        <v>2738</v>
      </c>
      <c r="C1888" s="52" t="str">
        <f>IF(MID(B1888,4,2)="09","Ramadan",IF(AND(MID(B1888,4,2)="12",VALUE(LEFT(B1888,2))&lt;=9),"Adha Season","Normal"))</f>
        <v>Normal</v>
      </c>
      <c r="D1888" s="1" t="s">
        <v>45</v>
      </c>
      <c r="F1888" s="4" t="s">
        <v>46</v>
      </c>
      <c r="G1888" s="1">
        <v>40</v>
      </c>
      <c r="H1888" s="15">
        <v>39</v>
      </c>
      <c r="I1888" s="1">
        <f>grand[[#This Row],[number]]-grand[[#This Row],[received]]</f>
        <v>1</v>
      </c>
      <c r="J1888" s="30" t="s">
        <v>342</v>
      </c>
      <c r="K1888" s="9">
        <v>17317</v>
      </c>
      <c r="L1888" s="9">
        <v>16594</v>
      </c>
      <c r="M1888" s="2">
        <f>K1888-L1888</f>
        <v>723</v>
      </c>
      <c r="N1888" s="9">
        <v>10390.4</v>
      </c>
      <c r="O1888" s="9">
        <v>357</v>
      </c>
      <c r="P1888" s="7">
        <f>grand[[#This Row],[total weight]]/grand[[#This Row],[received]]</f>
        <v>444.02564102564105</v>
      </c>
      <c r="Q1888" s="7">
        <f>grand[[#This Row],[receiving weight]]/grand[[#This Row],[received]]</f>
        <v>425.4871794871795</v>
      </c>
      <c r="R1888" s="7">
        <f>grand[[#This Row],[transportation loss ]]/grand[[#This Row],[received]]</f>
        <v>18.53846153846154</v>
      </c>
      <c r="S1888" s="7">
        <f>grand[[#This Row],[ carcass weight]]/grand[[#This Row],[received]]</f>
        <v>266.42051282051278</v>
      </c>
      <c r="T1888" s="7">
        <f>grand[[#This Row],[ kidneys fat quantity]]/grand[[#This Row],[received]]</f>
        <v>9.1538461538461533</v>
      </c>
      <c r="U1888" s="15">
        <v>25</v>
      </c>
      <c r="V1888" s="15">
        <v>0</v>
      </c>
      <c r="W1888" s="15">
        <v>49.410256410256409</v>
      </c>
      <c r="X1888" s="15">
        <v>10</v>
      </c>
      <c r="Y1888" s="8">
        <v>8.5</v>
      </c>
      <c r="Z1888" s="18">
        <f>grand[[#This Row],[av. Transportation loss]]/grand[[#This Row],[av.total weight]]</f>
        <v>4.1750880637523823E-2</v>
      </c>
      <c r="AA1888" s="12">
        <f>AVERAGE((grand[[#This Row],[am]]/25),(grand[[#This Row],[pm]]/50))</f>
        <v>0.99410256410256403</v>
      </c>
      <c r="AB1888" s="3">
        <f>grand[[#This Row],[ carcass weight]]/grand[[#This Row],[total weight]]</f>
        <v>0.60001154934457468</v>
      </c>
      <c r="AC1888" s="19">
        <f>SUM(grand[[#This Row],[am]:[meat transportation]])/100</f>
        <v>0.92910256410256409</v>
      </c>
      <c r="AD1888" s="1" t="s">
        <v>343</v>
      </c>
      <c r="AF1888" s="1" t="s">
        <v>82</v>
      </c>
      <c r="AJ1888" s="1">
        <v>13</v>
      </c>
      <c r="AK1888" s="20">
        <f>grand[[#This Row],[accepted as exception]]/grand[[#This Row],[number]]</f>
        <v>0.32500000000000001</v>
      </c>
      <c r="AL1888" s="1">
        <f>3+431</f>
        <v>434</v>
      </c>
    </row>
    <row r="1889" spans="1:38" hidden="1" x14ac:dyDescent="0.2">
      <c r="A1889" s="11">
        <v>44555</v>
      </c>
      <c r="B1889" s="53" t="s">
        <v>2739</v>
      </c>
      <c r="C1889" s="52" t="str">
        <f>IF(MID(B1889,4,2)="09","Ramadan",IF(AND(MID(B1889,4,2)="12",VALUE(LEFT(B1889,2))&lt;=9),"Adha Season","Normal"))</f>
        <v>Normal</v>
      </c>
      <c r="D1889" s="1" t="s">
        <v>45</v>
      </c>
      <c r="F1889" s="4" t="s">
        <v>39</v>
      </c>
      <c r="G1889" s="1">
        <v>32</v>
      </c>
      <c r="H1889" s="15">
        <v>31</v>
      </c>
      <c r="I1889" s="1">
        <f>grand[[#This Row],[number]]-grand[[#This Row],[received]]</f>
        <v>1</v>
      </c>
      <c r="J1889" s="30" t="s">
        <v>310</v>
      </c>
      <c r="K1889" s="9">
        <v>14353</v>
      </c>
      <c r="L1889" s="9">
        <v>13557</v>
      </c>
      <c r="M1889" s="2">
        <f>K1889-L1889</f>
        <v>796</v>
      </c>
      <c r="N1889" s="9">
        <v>8942.6</v>
      </c>
      <c r="O1889" s="9">
        <v>345</v>
      </c>
      <c r="P1889" s="7">
        <f>grand[[#This Row],[total weight]]/grand[[#This Row],[received]]</f>
        <v>463</v>
      </c>
      <c r="Q1889" s="7">
        <f>grand[[#This Row],[receiving weight]]/grand[[#This Row],[received]]</f>
        <v>437.32258064516128</v>
      </c>
      <c r="R1889" s="7">
        <f>grand[[#This Row],[transportation loss ]]/grand[[#This Row],[received]]</f>
        <v>25.677419354838708</v>
      </c>
      <c r="S1889" s="7">
        <f>grand[[#This Row],[ carcass weight]]/grand[[#This Row],[received]]</f>
        <v>288.47096774193551</v>
      </c>
      <c r="T1889" s="7">
        <f>grand[[#This Row],[ kidneys fat quantity]]/grand[[#This Row],[received]]</f>
        <v>11.129032258064516</v>
      </c>
      <c r="U1889" s="15">
        <v>25</v>
      </c>
      <c r="V1889" s="15">
        <v>0</v>
      </c>
      <c r="W1889" s="15">
        <v>49.032258064516128</v>
      </c>
      <c r="X1889" s="15">
        <v>10</v>
      </c>
      <c r="Y1889" s="8">
        <v>8.5</v>
      </c>
      <c r="Z1889" s="18">
        <f>grand[[#This Row],[av. Transportation loss]]/grand[[#This Row],[av.total weight]]</f>
        <v>5.5458789103323344E-2</v>
      </c>
      <c r="AA1889" s="12">
        <f>AVERAGE((grand[[#This Row],[am]]/25),(grand[[#This Row],[pm]]/50))</f>
        <v>0.99032258064516121</v>
      </c>
      <c r="AB1889" s="3">
        <f>grand[[#This Row],[ carcass weight]]/grand[[#This Row],[total weight]]</f>
        <v>0.62304744652685851</v>
      </c>
      <c r="AC1889" s="19">
        <f>SUM(grand[[#This Row],[am]:[meat transportation]])/100</f>
        <v>0.92532258064516126</v>
      </c>
      <c r="AD1889" s="1" t="s">
        <v>344</v>
      </c>
      <c r="AF1889" s="1" t="s">
        <v>345</v>
      </c>
      <c r="AJ1889" s="1">
        <v>3</v>
      </c>
      <c r="AK1889" s="20">
        <f>grand[[#This Row],[accepted as exception]]/grand[[#This Row],[number]]</f>
        <v>9.375E-2</v>
      </c>
      <c r="AL1889" s="1">
        <f>3+438</f>
        <v>441</v>
      </c>
    </row>
    <row r="1890" spans="1:38" hidden="1" x14ac:dyDescent="0.2">
      <c r="A1890" s="11">
        <v>44556</v>
      </c>
      <c r="B1890" s="53" t="s">
        <v>1596</v>
      </c>
      <c r="C1890" s="52" t="str">
        <f>IF(MID(B1890,4,2)="09","Ramadan",IF(AND(MID(B1890,4,2)="12",VALUE(LEFT(B1890,2))&lt;=9),"Adha Season","Normal"))</f>
        <v>Normal</v>
      </c>
      <c r="D1890" s="1" t="s">
        <v>45</v>
      </c>
      <c r="F1890" s="4" t="s">
        <v>333</v>
      </c>
      <c r="G1890" s="1">
        <v>16</v>
      </c>
      <c r="H1890" s="15">
        <v>15</v>
      </c>
      <c r="I1890" s="1">
        <f>grand[[#This Row],[number]]-grand[[#This Row],[received]]</f>
        <v>1</v>
      </c>
      <c r="J1890" s="30" t="s">
        <v>310</v>
      </c>
      <c r="K1890" s="9">
        <v>6673</v>
      </c>
      <c r="L1890" s="9">
        <v>6374</v>
      </c>
      <c r="M1890" s="2">
        <f>K1890-L1890</f>
        <v>299</v>
      </c>
      <c r="N1890" s="9">
        <v>4052.4</v>
      </c>
      <c r="O1890" s="9">
        <v>126</v>
      </c>
      <c r="P1890" s="7">
        <f>grand[[#This Row],[total weight]]/grand[[#This Row],[received]]</f>
        <v>444.86666666666667</v>
      </c>
      <c r="Q1890" s="7">
        <f>grand[[#This Row],[receiving weight]]/grand[[#This Row],[received]]</f>
        <v>424.93333333333334</v>
      </c>
      <c r="R1890" s="7">
        <f>grand[[#This Row],[transportation loss ]]/grand[[#This Row],[received]]</f>
        <v>19.933333333333334</v>
      </c>
      <c r="S1890" s="7">
        <f>grand[[#This Row],[ carcass weight]]/grand[[#This Row],[received]]</f>
        <v>270.16000000000003</v>
      </c>
      <c r="T1890" s="7">
        <f>grand[[#This Row],[ kidneys fat quantity]]/grand[[#This Row],[received]]</f>
        <v>8.4</v>
      </c>
      <c r="U1890" s="15">
        <v>25</v>
      </c>
      <c r="V1890" s="15">
        <v>0</v>
      </c>
      <c r="W1890" s="15">
        <v>49.666666666666664</v>
      </c>
      <c r="X1890" s="15">
        <v>10</v>
      </c>
      <c r="Y1890" s="8">
        <v>8.5</v>
      </c>
      <c r="Z1890" s="18">
        <f>grand[[#This Row],[av. Transportation loss]]/grand[[#This Row],[av.total weight]]</f>
        <v>4.480743293870823E-2</v>
      </c>
      <c r="AA1890" s="12">
        <f>AVERAGE((grand[[#This Row],[am]]/25),(grand[[#This Row],[pm]]/50))</f>
        <v>0.99666666666666659</v>
      </c>
      <c r="AB1890" s="3">
        <f>grand[[#This Row],[ carcass weight]]/grand[[#This Row],[total weight]]</f>
        <v>0.60728308107298068</v>
      </c>
      <c r="AC1890" s="19">
        <f>SUM(grand[[#This Row],[am]:[meat transportation]])/100</f>
        <v>0.93166666666666653</v>
      </c>
      <c r="AD1890" s="9" t="s">
        <v>347</v>
      </c>
      <c r="AJ1890" s="1">
        <v>1</v>
      </c>
      <c r="AK1890" s="20">
        <f>grand[[#This Row],[accepted as exception]]/grand[[#This Row],[number]]</f>
        <v>6.25E-2</v>
      </c>
      <c r="AL1890" s="1">
        <f>376</f>
        <v>376</v>
      </c>
    </row>
    <row r="1891" spans="1:38" hidden="1" x14ac:dyDescent="0.2">
      <c r="A1891" s="11">
        <v>44563</v>
      </c>
      <c r="B1891" s="53" t="s">
        <v>1597</v>
      </c>
      <c r="C1891" s="52" t="str">
        <f>IF(MID(B1891,4,2)="09","Ramadan",IF(AND(MID(B1891,4,2)="12",VALUE(LEFT(B1891,2))&lt;=9),"Adha Season","Normal"))</f>
        <v>Normal</v>
      </c>
      <c r="D1891" s="1" t="s">
        <v>45</v>
      </c>
      <c r="F1891" s="4" t="s">
        <v>333</v>
      </c>
      <c r="G1891" s="1">
        <v>16</v>
      </c>
      <c r="H1891" s="15">
        <v>15</v>
      </c>
      <c r="I1891" s="1">
        <f>grand[[#This Row],[number]]-grand[[#This Row],[received]]</f>
        <v>1</v>
      </c>
      <c r="J1891" s="30" t="s">
        <v>310</v>
      </c>
      <c r="K1891" s="9">
        <v>6583</v>
      </c>
      <c r="L1891" s="9">
        <v>6271</v>
      </c>
      <c r="M1891" s="2">
        <f>K1891-L1891</f>
        <v>312</v>
      </c>
      <c r="N1891" s="9">
        <v>3950.1</v>
      </c>
      <c r="O1891" s="9">
        <v>145</v>
      </c>
      <c r="P1891" s="7">
        <f>grand[[#This Row],[total weight]]/grand[[#This Row],[received]]</f>
        <v>438.86666666666667</v>
      </c>
      <c r="Q1891" s="7">
        <f>grand[[#This Row],[receiving weight]]/grand[[#This Row],[received]]</f>
        <v>418.06666666666666</v>
      </c>
      <c r="R1891" s="7">
        <f>grand[[#This Row],[transportation loss ]]/grand[[#This Row],[received]]</f>
        <v>20.8</v>
      </c>
      <c r="S1891" s="7">
        <f>grand[[#This Row],[ carcass weight]]/grand[[#This Row],[received]]</f>
        <v>263.33999999999997</v>
      </c>
      <c r="T1891" s="7">
        <f>grand[[#This Row],[ kidneys fat quantity]]/grand[[#This Row],[received]]</f>
        <v>9.6666666666666661</v>
      </c>
      <c r="U1891" s="15">
        <v>25</v>
      </c>
      <c r="V1891" s="15">
        <v>0</v>
      </c>
      <c r="W1891" s="15">
        <v>49.533333333333331</v>
      </c>
      <c r="X1891" s="15">
        <v>10</v>
      </c>
      <c r="Y1891" s="8">
        <v>8.5</v>
      </c>
      <c r="Z1891" s="18">
        <f>grand[[#This Row],[av. Transportation loss]]/grand[[#This Row],[av.total weight]]</f>
        <v>4.7394804800243051E-2</v>
      </c>
      <c r="AA1891" s="12">
        <f>AVERAGE((grand[[#This Row],[am]]/25),(grand[[#This Row],[pm]]/50))</f>
        <v>0.99533333333333329</v>
      </c>
      <c r="AB1891" s="3">
        <f>grand[[#This Row],[ carcass weight]]/grand[[#This Row],[total weight]]</f>
        <v>0.60004557192769248</v>
      </c>
      <c r="AC1891" s="19">
        <f>SUM(grand[[#This Row],[am]:[meat transportation]])/100</f>
        <v>0.93033333333333335</v>
      </c>
      <c r="AD1891" s="9" t="s">
        <v>188</v>
      </c>
      <c r="AJ1891" s="1">
        <v>10</v>
      </c>
      <c r="AK1891" s="20">
        <f>grand[[#This Row],[accepted as exception]]/grand[[#This Row],[number]]</f>
        <v>0.625</v>
      </c>
      <c r="AL1891" s="1">
        <f>454+2</f>
        <v>456</v>
      </c>
    </row>
    <row r="1892" spans="1:38" hidden="1" x14ac:dyDescent="0.2">
      <c r="A1892" s="11">
        <v>44570</v>
      </c>
      <c r="B1892" s="53" t="s">
        <v>2745</v>
      </c>
      <c r="C1892" s="52" t="str">
        <f>IF(MID(B1892,4,2)="09","Ramadan",IF(AND(MID(B1892,4,2)="12",VALUE(LEFT(B1892,2))&lt;=9),"Adha Season","Normal"))</f>
        <v>Normal</v>
      </c>
      <c r="D1892" s="1" t="s">
        <v>45</v>
      </c>
      <c r="F1892" s="4" t="s">
        <v>280</v>
      </c>
      <c r="G1892" s="1">
        <v>30</v>
      </c>
      <c r="H1892" s="15">
        <v>29</v>
      </c>
      <c r="I1892" s="1">
        <f>grand[[#This Row],[number]]-grand[[#This Row],[received]]</f>
        <v>1</v>
      </c>
      <c r="J1892" s="30" t="s">
        <v>310</v>
      </c>
      <c r="K1892" s="9">
        <v>13068</v>
      </c>
      <c r="L1892" s="9">
        <v>12685</v>
      </c>
      <c r="M1892" s="2">
        <f>K1892-L1892</f>
        <v>383</v>
      </c>
      <c r="N1892" s="9">
        <v>7933.3</v>
      </c>
      <c r="O1892" s="9">
        <v>276</v>
      </c>
      <c r="P1892" s="7">
        <f>grand[[#This Row],[total weight]]/grand[[#This Row],[received]]</f>
        <v>450.62068965517244</v>
      </c>
      <c r="Q1892" s="7">
        <f>grand[[#This Row],[receiving weight]]/grand[[#This Row],[received]]</f>
        <v>437.41379310344826</v>
      </c>
      <c r="R1892" s="7">
        <f>grand[[#This Row],[transportation loss ]]/grand[[#This Row],[received]]</f>
        <v>13.206896551724139</v>
      </c>
      <c r="S1892" s="7">
        <f>grand[[#This Row],[ carcass weight]]/grand[[#This Row],[received]]</f>
        <v>273.56206896551726</v>
      </c>
      <c r="T1892" s="7">
        <f>grand[[#This Row],[ kidneys fat quantity]]/grand[[#This Row],[received]]</f>
        <v>9.5172413793103452</v>
      </c>
      <c r="U1892" s="15">
        <v>25</v>
      </c>
      <c r="V1892" s="15">
        <v>0</v>
      </c>
      <c r="W1892" s="15">
        <v>49.931034482758619</v>
      </c>
      <c r="X1892" s="15">
        <v>10</v>
      </c>
      <c r="Y1892" s="8">
        <v>8.5</v>
      </c>
      <c r="Z1892" s="18">
        <f>grand[[#This Row],[av. Transportation loss]]/grand[[#This Row],[av.total weight]]</f>
        <v>2.9308233853688401E-2</v>
      </c>
      <c r="AA1892" s="12">
        <f>AVERAGE((grand[[#This Row],[am]]/25),(grand[[#This Row],[pm]]/50))</f>
        <v>0.99931034482758618</v>
      </c>
      <c r="AB1892" s="3">
        <f>grand[[#This Row],[ carcass weight]]/grand[[#This Row],[total weight]]</f>
        <v>0.60707835935108667</v>
      </c>
      <c r="AC1892" s="19">
        <f>SUM(grand[[#This Row],[am]:[meat transportation]])/100</f>
        <v>0.93431034482758624</v>
      </c>
      <c r="AD1892" s="9"/>
      <c r="AF1892" s="1" t="s">
        <v>97</v>
      </c>
      <c r="AJ1892" s="1">
        <v>8</v>
      </c>
      <c r="AK1892" s="20">
        <f>grand[[#This Row],[accepted as exception]]/grand[[#This Row],[number]]</f>
        <v>0.26666666666666666</v>
      </c>
      <c r="AL1892" s="1">
        <v>486</v>
      </c>
    </row>
    <row r="1893" spans="1:38" hidden="1" x14ac:dyDescent="0.2">
      <c r="A1893" s="11">
        <v>44574</v>
      </c>
      <c r="B1893" s="53" t="s">
        <v>2747</v>
      </c>
      <c r="C1893" s="52" t="str">
        <f>IF(MID(B1893,4,2)="09","Ramadan",IF(AND(MID(B1893,4,2)="12",VALUE(LEFT(B1893,2))&lt;=9),"Adha Season","Normal"))</f>
        <v>Normal</v>
      </c>
      <c r="D1893" s="1" t="s">
        <v>45</v>
      </c>
      <c r="F1893" s="4" t="s">
        <v>46</v>
      </c>
      <c r="G1893" s="1">
        <v>40</v>
      </c>
      <c r="H1893" s="15">
        <v>39</v>
      </c>
      <c r="I1893" s="1">
        <f>grand[[#This Row],[number]]-grand[[#This Row],[received]]</f>
        <v>1</v>
      </c>
      <c r="J1893" s="30" t="s">
        <v>331</v>
      </c>
      <c r="K1893" s="9">
        <v>17627</v>
      </c>
      <c r="L1893" s="9">
        <v>16839</v>
      </c>
      <c r="M1893" s="2">
        <f>K1893-L1893</f>
        <v>788</v>
      </c>
      <c r="N1893" s="9">
        <v>10576.5</v>
      </c>
      <c r="O1893" s="9">
        <v>310</v>
      </c>
      <c r="P1893" s="7">
        <f>grand[[#This Row],[total weight]]/grand[[#This Row],[received]]</f>
        <v>451.97435897435895</v>
      </c>
      <c r="Q1893" s="7">
        <f>grand[[#This Row],[receiving weight]]/grand[[#This Row],[received]]</f>
        <v>431.76923076923077</v>
      </c>
      <c r="R1893" s="7">
        <f>grand[[#This Row],[transportation loss ]]/grand[[#This Row],[received]]</f>
        <v>20.205128205128204</v>
      </c>
      <c r="S1893" s="7">
        <f>grand[[#This Row],[ carcass weight]]/grand[[#This Row],[received]]</f>
        <v>271.19230769230768</v>
      </c>
      <c r="T1893" s="7">
        <f>grand[[#This Row],[ kidneys fat quantity]]/grand[[#This Row],[received]]</f>
        <v>7.9487179487179489</v>
      </c>
      <c r="U1893" s="15">
        <v>25</v>
      </c>
      <c r="V1893" s="15">
        <v>0</v>
      </c>
      <c r="W1893" s="15">
        <v>49.769230769230766</v>
      </c>
      <c r="X1893" s="15">
        <v>10</v>
      </c>
      <c r="Y1893" s="8">
        <v>8.5</v>
      </c>
      <c r="Z1893" s="18">
        <f>grand[[#This Row],[av. Transportation loss]]/grand[[#This Row],[av.total weight]]</f>
        <v>4.4704147047143587E-2</v>
      </c>
      <c r="AA1893" s="12">
        <f>AVERAGE((grand[[#This Row],[am]]/25),(grand[[#This Row],[pm]]/50))</f>
        <v>0.99769230769230766</v>
      </c>
      <c r="AB1893" s="3">
        <f>grand[[#This Row],[ carcass weight]]/grand[[#This Row],[total weight]]</f>
        <v>0.60001701934532248</v>
      </c>
      <c r="AC1893" s="19">
        <f>SUM(grand[[#This Row],[am]:[meat transportation]])/100</f>
        <v>0.93269230769230771</v>
      </c>
      <c r="AD1893" s="9" t="s">
        <v>97</v>
      </c>
      <c r="AJ1893" s="1">
        <v>16</v>
      </c>
      <c r="AK1893" s="20">
        <f>grand[[#This Row],[accepted as exception]]/grand[[#This Row],[number]]</f>
        <v>0.4</v>
      </c>
      <c r="AL1893" s="1">
        <f>351+8</f>
        <v>359</v>
      </c>
    </row>
    <row r="1894" spans="1:38" hidden="1" x14ac:dyDescent="0.2">
      <c r="A1894" s="11">
        <v>44579</v>
      </c>
      <c r="B1894" s="53" t="s">
        <v>2749</v>
      </c>
      <c r="C1894" s="52" t="str">
        <f>IF(MID(B1894,4,2)="09","Ramadan",IF(AND(MID(B1894,4,2)="12",VALUE(LEFT(B1894,2))&lt;=9),"Adha Season","Normal"))</f>
        <v>Normal</v>
      </c>
      <c r="D1894" s="1" t="s">
        <v>45</v>
      </c>
      <c r="F1894" s="4" t="s">
        <v>333</v>
      </c>
      <c r="G1894" s="1">
        <v>8</v>
      </c>
      <c r="H1894" s="15">
        <v>7</v>
      </c>
      <c r="I1894" s="1">
        <f>grand[[#This Row],[number]]-grand[[#This Row],[received]]</f>
        <v>1</v>
      </c>
      <c r="J1894" s="30" t="s">
        <v>342</v>
      </c>
      <c r="K1894" s="9">
        <v>2910</v>
      </c>
      <c r="L1894" s="9">
        <v>2829</v>
      </c>
      <c r="M1894" s="2">
        <f>K1894-L1894</f>
        <v>81</v>
      </c>
      <c r="N1894" s="9">
        <v>1746.2</v>
      </c>
      <c r="O1894" s="9">
        <v>54</v>
      </c>
      <c r="P1894" s="7">
        <f>grand[[#This Row],[total weight]]/grand[[#This Row],[received]]</f>
        <v>415.71428571428572</v>
      </c>
      <c r="Q1894" s="7">
        <f>grand[[#This Row],[receiving weight]]/grand[[#This Row],[received]]</f>
        <v>404.14285714285717</v>
      </c>
      <c r="R1894" s="7">
        <f>grand[[#This Row],[transportation loss ]]/grand[[#This Row],[received]]</f>
        <v>11.571428571428571</v>
      </c>
      <c r="S1894" s="7">
        <f>grand[[#This Row],[ carcass weight]]/grand[[#This Row],[received]]</f>
        <v>249.45714285714286</v>
      </c>
      <c r="T1894" s="7">
        <f>grand[[#This Row],[ kidneys fat quantity]]/grand[[#This Row],[received]]</f>
        <v>7.7142857142857144</v>
      </c>
      <c r="U1894" s="15">
        <v>20</v>
      </c>
      <c r="V1894" s="15">
        <v>0</v>
      </c>
      <c r="W1894" s="15">
        <v>50</v>
      </c>
      <c r="X1894" s="15">
        <v>10</v>
      </c>
      <c r="Y1894" s="8">
        <v>8.5</v>
      </c>
      <c r="Z1894" s="18">
        <f>grand[[#This Row],[av. Transportation loss]]/grand[[#This Row],[av.total weight]]</f>
        <v>2.7835051546391751E-2</v>
      </c>
      <c r="AA1894" s="12">
        <f>AVERAGE((grand[[#This Row],[am]]/25),(grand[[#This Row],[pm]]/50))</f>
        <v>0.9</v>
      </c>
      <c r="AB1894" s="3">
        <f>grand[[#This Row],[ carcass weight]]/grand[[#This Row],[total weight]]</f>
        <v>0.60006872852233684</v>
      </c>
      <c r="AC1894" s="19">
        <f>SUM(grand[[#This Row],[am]:[meat transportation]])/100</f>
        <v>0.88500000000000001</v>
      </c>
      <c r="AD1894" s="9"/>
      <c r="AJ1894" s="1">
        <v>2</v>
      </c>
      <c r="AK1894" s="20">
        <f>grand[[#This Row],[accepted as exception]]/grand[[#This Row],[number]]</f>
        <v>0.25</v>
      </c>
      <c r="AL1894" s="1">
        <v>361</v>
      </c>
    </row>
    <row r="1895" spans="1:38" hidden="1" x14ac:dyDescent="0.2">
      <c r="A1895" s="11">
        <v>44583</v>
      </c>
      <c r="B1895" s="53" t="s">
        <v>2751</v>
      </c>
      <c r="C1895" s="52" t="str">
        <f>IF(MID(B1895,4,2)="09","Ramadan",IF(AND(MID(B1895,4,2)="12",VALUE(LEFT(B1895,2))&lt;=9),"Adha Season","Normal"))</f>
        <v>Normal</v>
      </c>
      <c r="D1895" s="1" t="s">
        <v>45</v>
      </c>
      <c r="E1895" s="1" t="s">
        <v>481</v>
      </c>
      <c r="F1895" s="4" t="s">
        <v>39</v>
      </c>
      <c r="G1895" s="1">
        <v>29</v>
      </c>
      <c r="H1895" s="15">
        <v>28</v>
      </c>
      <c r="I1895" s="1">
        <f>grand[[#This Row],[number]]-grand[[#This Row],[received]]</f>
        <v>1</v>
      </c>
      <c r="J1895" s="30" t="s">
        <v>331</v>
      </c>
      <c r="K1895" s="9">
        <v>12978</v>
      </c>
      <c r="L1895" s="9">
        <v>12366</v>
      </c>
      <c r="M1895" s="2">
        <f>K1895-L1895</f>
        <v>612</v>
      </c>
      <c r="N1895" s="9">
        <v>8027</v>
      </c>
      <c r="O1895" s="9">
        <v>268</v>
      </c>
      <c r="P1895" s="7">
        <f>grand[[#This Row],[total weight]]/grand[[#This Row],[received]]</f>
        <v>463.5</v>
      </c>
      <c r="Q1895" s="7">
        <f>grand[[#This Row],[receiving weight]]/grand[[#This Row],[received]]</f>
        <v>441.64285714285717</v>
      </c>
      <c r="R1895" s="7">
        <f>grand[[#This Row],[transportation loss ]]/grand[[#This Row],[received]]</f>
        <v>21.857142857142858</v>
      </c>
      <c r="S1895" s="7">
        <f>grand[[#This Row],[ carcass weight]]/grand[[#This Row],[received]]</f>
        <v>286.67857142857144</v>
      </c>
      <c r="T1895" s="7">
        <f>grand[[#This Row],[ kidneys fat quantity]]/grand[[#This Row],[received]]</f>
        <v>9.5714285714285712</v>
      </c>
      <c r="U1895" s="15">
        <v>25</v>
      </c>
      <c r="V1895" s="15">
        <v>0</v>
      </c>
      <c r="W1895" s="15">
        <v>47.892857142857139</v>
      </c>
      <c r="X1895" s="15">
        <v>9</v>
      </c>
      <c r="Y1895" s="8">
        <v>8.5</v>
      </c>
      <c r="Z1895" s="18">
        <f>grand[[#This Row],[av. Transportation loss]]/grand[[#This Row],[av.total weight]]</f>
        <v>4.7156726768377254E-2</v>
      </c>
      <c r="AA1895" s="12">
        <f>AVERAGE((grand[[#This Row],[am]]/25),(grand[[#This Row],[pm]]/50))</f>
        <v>0.97892857142857137</v>
      </c>
      <c r="AB1895" s="3">
        <f>grand[[#This Row],[ carcass weight]]/grand[[#This Row],[total weight]]</f>
        <v>0.61850824472183696</v>
      </c>
      <c r="AC1895" s="19">
        <f>SUM(grand[[#This Row],[am]:[meat transportation]])/100</f>
        <v>0.90392857142857141</v>
      </c>
      <c r="AD1895" s="9" t="s">
        <v>359</v>
      </c>
      <c r="AJ1895" s="1">
        <v>0</v>
      </c>
      <c r="AK1895" s="20">
        <f>grand[[#This Row],[accepted as exception]]/grand[[#This Row],[number]]</f>
        <v>0</v>
      </c>
      <c r="AL1895" s="1">
        <f>15+394</f>
        <v>409</v>
      </c>
    </row>
    <row r="1896" spans="1:38" hidden="1" x14ac:dyDescent="0.2">
      <c r="A1896" s="11">
        <v>44595</v>
      </c>
      <c r="B1896" s="53" t="s">
        <v>2756</v>
      </c>
      <c r="C1896" s="52" t="str">
        <f>IF(MID(B1896,4,2)="09","Ramadan",IF(AND(MID(B1896,4,2)="12",VALUE(LEFT(B1896,2))&lt;=9),"Adha Season","Normal"))</f>
        <v>Normal</v>
      </c>
      <c r="D1896" s="1" t="s">
        <v>45</v>
      </c>
      <c r="F1896" s="4" t="s">
        <v>46</v>
      </c>
      <c r="G1896" s="1">
        <v>48</v>
      </c>
      <c r="H1896" s="15">
        <v>47</v>
      </c>
      <c r="I1896" s="1">
        <f>grand[[#This Row],[number]]-grand[[#This Row],[received]]</f>
        <v>1</v>
      </c>
      <c r="J1896" s="30" t="s">
        <v>369</v>
      </c>
      <c r="K1896" s="9">
        <v>22208</v>
      </c>
      <c r="L1896" s="9">
        <v>20765</v>
      </c>
      <c r="M1896" s="2">
        <f>K1896-L1896</f>
        <v>1443</v>
      </c>
      <c r="N1896" s="9">
        <v>13323.8</v>
      </c>
      <c r="O1896" s="9">
        <v>390</v>
      </c>
      <c r="P1896" s="7">
        <f>grand[[#This Row],[total weight]]/grand[[#This Row],[received]]</f>
        <v>472.51063829787233</v>
      </c>
      <c r="Q1896" s="7">
        <f>grand[[#This Row],[receiving weight]]/grand[[#This Row],[received]]</f>
        <v>441.80851063829789</v>
      </c>
      <c r="R1896" s="7">
        <f>grand[[#This Row],[transportation loss ]]/grand[[#This Row],[received]]</f>
        <v>30.702127659574469</v>
      </c>
      <c r="S1896" s="7">
        <f>grand[[#This Row],[ carcass weight]]/grand[[#This Row],[received]]</f>
        <v>283.4851063829787</v>
      </c>
      <c r="T1896" s="7">
        <f>grand[[#This Row],[ kidneys fat quantity]]/grand[[#This Row],[received]]</f>
        <v>8.2978723404255312</v>
      </c>
      <c r="U1896" s="15">
        <v>25</v>
      </c>
      <c r="V1896" s="15">
        <v>0</v>
      </c>
      <c r="W1896" s="15">
        <v>50</v>
      </c>
      <c r="X1896" s="15">
        <v>10</v>
      </c>
      <c r="Y1896" s="8">
        <v>8.5</v>
      </c>
      <c r="Z1896" s="18">
        <f>grand[[#This Row],[av. Transportation loss]]/grand[[#This Row],[av.total weight]]</f>
        <v>6.4976585014409227E-2</v>
      </c>
      <c r="AA1896" s="12">
        <f>AVERAGE((grand[[#This Row],[am]]/25),(grand[[#This Row],[pm]]/50))</f>
        <v>1</v>
      </c>
      <c r="AB1896" s="3">
        <f>grand[[#This Row],[ carcass weight]]/grand[[#This Row],[total weight]]</f>
        <v>0.59995497118155616</v>
      </c>
      <c r="AC1896" s="19">
        <f>SUM(grand[[#This Row],[am]:[meat transportation]])/100</f>
        <v>0.93500000000000005</v>
      </c>
      <c r="AD1896" s="9"/>
      <c r="AJ1896" s="1">
        <v>11</v>
      </c>
      <c r="AK1896" s="20">
        <f>grand[[#This Row],[accepted as exception]]/grand[[#This Row],[number]]</f>
        <v>0.22916666666666666</v>
      </c>
      <c r="AL1896" s="1">
        <v>490</v>
      </c>
    </row>
    <row r="1897" spans="1:38" hidden="1" x14ac:dyDescent="0.2">
      <c r="A1897" s="11">
        <v>44597</v>
      </c>
      <c r="B1897" s="53" t="s">
        <v>2757</v>
      </c>
      <c r="C1897" s="52" t="str">
        <f>IF(MID(B1897,4,2)="09","Ramadan",IF(AND(MID(B1897,4,2)="12",VALUE(LEFT(B1897,2))&lt;=9),"Adha Season","Normal"))</f>
        <v>Normal</v>
      </c>
      <c r="D1897" s="2" t="s">
        <v>294</v>
      </c>
      <c r="F1897" s="4" t="s">
        <v>105</v>
      </c>
      <c r="G1897" s="1">
        <v>27</v>
      </c>
      <c r="H1897" s="15">
        <v>26</v>
      </c>
      <c r="I1897" s="1">
        <f>grand[[#This Row],[number]]-grand[[#This Row],[received]]</f>
        <v>1</v>
      </c>
      <c r="J1897" s="30" t="s">
        <v>370</v>
      </c>
      <c r="K1897" s="9">
        <v>1435</v>
      </c>
      <c r="L1897" s="9">
        <v>1365</v>
      </c>
      <c r="M1897" s="2">
        <f>K1897-L1897</f>
        <v>70</v>
      </c>
      <c r="N1897" s="9">
        <v>743.8</v>
      </c>
      <c r="O1897" s="9"/>
      <c r="P1897" s="7">
        <f>grand[[#This Row],[total weight]]/grand[[#This Row],[received]]</f>
        <v>55.192307692307693</v>
      </c>
      <c r="Q1897" s="7">
        <f>grand[[#This Row],[receiving weight]]/grand[[#This Row],[received]]</f>
        <v>52.5</v>
      </c>
      <c r="R1897" s="7">
        <f>grand[[#This Row],[transportation loss ]]/grand[[#This Row],[received]]</f>
        <v>2.6923076923076925</v>
      </c>
      <c r="S1897" s="7">
        <f>grand[[#This Row],[ carcass weight]]/grand[[#This Row],[received]]</f>
        <v>28.607692307692307</v>
      </c>
      <c r="T1897" s="7">
        <f>grand[[#This Row],[ kidneys fat quantity]]/grand[[#This Row],[received]]</f>
        <v>0</v>
      </c>
      <c r="U1897" s="15">
        <v>25</v>
      </c>
      <c r="V1897" s="15">
        <v>0</v>
      </c>
      <c r="W1897" s="15">
        <v>46.828912466843505</v>
      </c>
      <c r="X1897" s="15">
        <v>10</v>
      </c>
      <c r="Y1897" s="8">
        <v>8.5</v>
      </c>
      <c r="Z1897" s="18">
        <f>grand[[#This Row],[av. Transportation loss]]/grand[[#This Row],[av.total weight]]</f>
        <v>4.878048780487805E-2</v>
      </c>
      <c r="AA1897" s="12">
        <f>AVERAGE((grand[[#This Row],[am]]/25),(grand[[#This Row],[pm]]/50))</f>
        <v>0.96828912466843509</v>
      </c>
      <c r="AB1897" s="3">
        <f>grand[[#This Row],[ carcass weight]]/grand[[#This Row],[total weight]]</f>
        <v>0.51832752613240418</v>
      </c>
      <c r="AC1897" s="19">
        <f>SUM(grand[[#This Row],[am]:[meat transportation]])/100</f>
        <v>0.90328912466843503</v>
      </c>
      <c r="AD1897" s="9" t="s">
        <v>371</v>
      </c>
      <c r="AJ1897" s="1">
        <v>0</v>
      </c>
      <c r="AK1897" s="20">
        <f>grand[[#This Row],[accepted as exception]]/grand[[#This Row],[number]]</f>
        <v>0</v>
      </c>
      <c r="AL1897" s="1">
        <v>55.9</v>
      </c>
    </row>
    <row r="1898" spans="1:38" hidden="1" x14ac:dyDescent="0.2">
      <c r="A1898" s="11">
        <v>44597</v>
      </c>
      <c r="B1898" s="53" t="s">
        <v>2757</v>
      </c>
      <c r="C1898" s="52" t="str">
        <f>IF(MID(B1898,4,2)="09","Ramadan",IF(AND(MID(B1898,4,2)="12",VALUE(LEFT(B1898,2))&lt;=9),"Adha Season","Normal"))</f>
        <v>Normal</v>
      </c>
      <c r="D1898" s="1" t="s">
        <v>45</v>
      </c>
      <c r="E1898" s="1" t="s">
        <v>483</v>
      </c>
      <c r="F1898" s="4" t="s">
        <v>43</v>
      </c>
      <c r="G1898" s="1">
        <v>30</v>
      </c>
      <c r="H1898" s="15">
        <v>29</v>
      </c>
      <c r="I1898" s="1">
        <f>grand[[#This Row],[number]]-grand[[#This Row],[received]]</f>
        <v>1</v>
      </c>
      <c r="J1898" s="30" t="s">
        <v>372</v>
      </c>
      <c r="K1898" s="9">
        <v>13557</v>
      </c>
      <c r="L1898" s="9">
        <v>13127</v>
      </c>
      <c r="M1898" s="2">
        <f>K1898-L1898</f>
        <v>430</v>
      </c>
      <c r="N1898" s="9">
        <v>8134.5</v>
      </c>
      <c r="O1898" s="9">
        <v>309</v>
      </c>
      <c r="P1898" s="7">
        <f>grand[[#This Row],[total weight]]/grand[[#This Row],[received]]</f>
        <v>467.48275862068965</v>
      </c>
      <c r="Q1898" s="7">
        <f>grand[[#This Row],[receiving weight]]/grand[[#This Row],[received]]</f>
        <v>452.65517241379308</v>
      </c>
      <c r="R1898" s="7">
        <f>grand[[#This Row],[transportation loss ]]/grand[[#This Row],[received]]</f>
        <v>14.827586206896552</v>
      </c>
      <c r="S1898" s="7">
        <f>grand[[#This Row],[ carcass weight]]/grand[[#This Row],[received]]</f>
        <v>280.5</v>
      </c>
      <c r="T1898" s="7">
        <f>grand[[#This Row],[ kidneys fat quantity]]/grand[[#This Row],[received]]</f>
        <v>10.655172413793103</v>
      </c>
      <c r="U1898" s="15">
        <v>24.310344827586206</v>
      </c>
      <c r="V1898" s="15">
        <v>0</v>
      </c>
      <c r="W1898" s="15">
        <v>49.517241379310349</v>
      </c>
      <c r="X1898" s="15">
        <v>10</v>
      </c>
      <c r="Y1898" s="8">
        <v>8.5</v>
      </c>
      <c r="Z1898" s="18">
        <f>grand[[#This Row],[av. Transportation loss]]/grand[[#This Row],[av.total weight]]</f>
        <v>3.1717931695802906E-2</v>
      </c>
      <c r="AA1898" s="12">
        <f>AVERAGE((grand[[#This Row],[am]]/25),(grand[[#This Row],[pm]]/50))</f>
        <v>0.98137931034482762</v>
      </c>
      <c r="AB1898" s="3">
        <f>grand[[#This Row],[ carcass weight]]/grand[[#This Row],[total weight]]</f>
        <v>0.60002212878955519</v>
      </c>
      <c r="AC1898" s="19">
        <f>SUM(grand[[#This Row],[am]:[meat transportation]])/100</f>
        <v>0.9232758620689655</v>
      </c>
      <c r="AD1898" s="9" t="s">
        <v>188</v>
      </c>
      <c r="AJ1898" s="1">
        <v>11</v>
      </c>
      <c r="AK1898" s="20">
        <f>grand[[#This Row],[accepted as exception]]/grand[[#This Row],[number]]</f>
        <v>0.36666666666666664</v>
      </c>
      <c r="AL1898" s="1">
        <v>465.5</v>
      </c>
    </row>
    <row r="1899" spans="1:38" hidden="1" x14ac:dyDescent="0.2">
      <c r="A1899" s="11">
        <v>44605</v>
      </c>
      <c r="B1899" s="53" t="s">
        <v>1603</v>
      </c>
      <c r="C1899" s="52" t="str">
        <f>IF(MID(B1899,4,2)="09","Ramadan",IF(AND(MID(B1899,4,2)="12",VALUE(LEFT(B1899,2))&lt;=9),"Adha Season","Normal"))</f>
        <v>Normal</v>
      </c>
      <c r="D1899" s="1" t="s">
        <v>45</v>
      </c>
      <c r="F1899" s="4" t="s">
        <v>280</v>
      </c>
      <c r="G1899" s="1">
        <v>45</v>
      </c>
      <c r="H1899" s="15">
        <v>44</v>
      </c>
      <c r="I1899" s="1">
        <f>grand[[#This Row],[number]]-grand[[#This Row],[received]]</f>
        <v>1</v>
      </c>
      <c r="J1899" s="30" t="s">
        <v>377</v>
      </c>
      <c r="K1899" s="9">
        <v>18790</v>
      </c>
      <c r="L1899" s="9">
        <v>18570</v>
      </c>
      <c r="M1899" s="2">
        <f>K1899-L1899</f>
        <v>220</v>
      </c>
      <c r="N1899" s="9">
        <v>11274.9</v>
      </c>
      <c r="O1899" s="9">
        <v>364</v>
      </c>
      <c r="P1899" s="7">
        <f>grand[[#This Row],[total weight]]/grand[[#This Row],[received]]</f>
        <v>427.04545454545456</v>
      </c>
      <c r="Q1899" s="7">
        <f>grand[[#This Row],[receiving weight]]/grand[[#This Row],[received]]</f>
        <v>422.04545454545456</v>
      </c>
      <c r="R1899" s="7">
        <f>grand[[#This Row],[transportation loss ]]/grand[[#This Row],[received]]</f>
        <v>5</v>
      </c>
      <c r="S1899" s="7">
        <f>grand[[#This Row],[ carcass weight]]/grand[[#This Row],[received]]</f>
        <v>256.24772727272727</v>
      </c>
      <c r="T1899" s="7">
        <f>grand[[#This Row],[ kidneys fat quantity]]/grand[[#This Row],[received]]</f>
        <v>8.2727272727272734</v>
      </c>
      <c r="U1899" s="15">
        <v>25</v>
      </c>
      <c r="V1899" s="15">
        <v>0</v>
      </c>
      <c r="W1899" s="15">
        <v>48.977272727272727</v>
      </c>
      <c r="X1899" s="15">
        <v>10</v>
      </c>
      <c r="Y1899" s="8">
        <v>8.5</v>
      </c>
      <c r="Z1899" s="18">
        <f>grand[[#This Row],[av. Transportation loss]]/grand[[#This Row],[av.total weight]]</f>
        <v>1.1708355508249068E-2</v>
      </c>
      <c r="AA1899" s="12">
        <f>AVERAGE((grand[[#This Row],[am]]/25),(grand[[#This Row],[pm]]/50))</f>
        <v>0.98977272727272725</v>
      </c>
      <c r="AB1899" s="3">
        <f>grand[[#This Row],[ carcass weight]]/grand[[#This Row],[total weight]]</f>
        <v>0.60004789781798828</v>
      </c>
      <c r="AC1899" s="19">
        <f>SUM(grand[[#This Row],[am]:[meat transportation]])/100</f>
        <v>0.92477272727272719</v>
      </c>
      <c r="AD1899" s="9" t="s">
        <v>378</v>
      </c>
      <c r="AJ1899" s="1">
        <v>7</v>
      </c>
      <c r="AK1899" s="20">
        <f>grand[[#This Row],[accepted as exception]]/grand[[#This Row],[number]]</f>
        <v>0.15555555555555556</v>
      </c>
      <c r="AL1899" s="1">
        <v>445</v>
      </c>
    </row>
    <row r="1900" spans="1:38" hidden="1" x14ac:dyDescent="0.2">
      <c r="A1900" s="11">
        <v>44609</v>
      </c>
      <c r="B1900" s="53" t="s">
        <v>2762</v>
      </c>
      <c r="C1900" s="52" t="str">
        <f>IF(MID(B1900,4,2)="09","Ramadan",IF(AND(MID(B1900,4,2)="12",VALUE(LEFT(B1900,2))&lt;=9),"Adha Season","Normal"))</f>
        <v>Normal</v>
      </c>
      <c r="D1900" s="1" t="s">
        <v>45</v>
      </c>
      <c r="F1900" s="4" t="s">
        <v>46</v>
      </c>
      <c r="G1900" s="1">
        <v>40</v>
      </c>
      <c r="H1900" s="15">
        <v>39</v>
      </c>
      <c r="I1900" s="1">
        <f>grand[[#This Row],[number]]-grand[[#This Row],[received]]</f>
        <v>1</v>
      </c>
      <c r="J1900" s="30" t="s">
        <v>380</v>
      </c>
      <c r="K1900" s="9">
        <v>17606</v>
      </c>
      <c r="L1900" s="9">
        <v>17030</v>
      </c>
      <c r="M1900" s="2">
        <f>K1900-L1900</f>
        <v>576</v>
      </c>
      <c r="N1900" s="9">
        <v>10562.9</v>
      </c>
      <c r="O1900" s="9">
        <v>355</v>
      </c>
      <c r="P1900" s="7">
        <f>grand[[#This Row],[total weight]]/grand[[#This Row],[received]]</f>
        <v>451.43589743589746</v>
      </c>
      <c r="Q1900" s="7">
        <f>grand[[#This Row],[receiving weight]]/grand[[#This Row],[received]]</f>
        <v>436.66666666666669</v>
      </c>
      <c r="R1900" s="7">
        <f>grand[[#This Row],[transportation loss ]]/grand[[#This Row],[received]]</f>
        <v>14.76923076923077</v>
      </c>
      <c r="S1900" s="7">
        <f>grand[[#This Row],[ carcass weight]]/grand[[#This Row],[received]]</f>
        <v>270.84358974358975</v>
      </c>
      <c r="T1900" s="7">
        <f>grand[[#This Row],[ kidneys fat quantity]]/grand[[#This Row],[received]]</f>
        <v>9.1025641025641022</v>
      </c>
      <c r="U1900" s="15">
        <v>25</v>
      </c>
      <c r="V1900" s="15">
        <v>0</v>
      </c>
      <c r="W1900" s="15">
        <v>50</v>
      </c>
      <c r="X1900" s="15">
        <v>10</v>
      </c>
      <c r="Y1900" s="8">
        <v>8.5</v>
      </c>
      <c r="Z1900" s="18">
        <f>grand[[#This Row],[av. Transportation loss]]/grand[[#This Row],[av.total weight]]</f>
        <v>3.27161195047143E-2</v>
      </c>
      <c r="AA1900" s="12">
        <f>AVERAGE((grand[[#This Row],[am]]/25),(grand[[#This Row],[pm]]/50))</f>
        <v>1</v>
      </c>
      <c r="AB1900" s="3">
        <f>grand[[#This Row],[ carcass weight]]/grand[[#This Row],[total weight]]</f>
        <v>0.59996024082699073</v>
      </c>
      <c r="AC1900" s="19">
        <f>SUM(grand[[#This Row],[am]:[meat transportation]])/100</f>
        <v>0.93500000000000005</v>
      </c>
      <c r="AD1900" s="9"/>
      <c r="AJ1900" s="1">
        <v>0</v>
      </c>
      <c r="AK1900" s="20">
        <f>grand[[#This Row],[accepted as exception]]/grand[[#This Row],[number]]</f>
        <v>0</v>
      </c>
      <c r="AL1900" s="1">
        <v>461</v>
      </c>
    </row>
    <row r="1901" spans="1:38" hidden="1" x14ac:dyDescent="0.2">
      <c r="A1901" s="11">
        <v>44612</v>
      </c>
      <c r="B1901" s="53" t="s">
        <v>1604</v>
      </c>
      <c r="C1901" s="52" t="str">
        <f>IF(MID(B1901,4,2)="09","Ramadan",IF(AND(MID(B1901,4,2)="12",VALUE(LEFT(B1901,2))&lt;=9),"Adha Season","Normal"))</f>
        <v>Normal</v>
      </c>
      <c r="D1901" s="1" t="s">
        <v>45</v>
      </c>
      <c r="F1901" s="4" t="s">
        <v>280</v>
      </c>
      <c r="G1901" s="1">
        <v>46</v>
      </c>
      <c r="H1901" s="15">
        <v>45</v>
      </c>
      <c r="I1901" s="1">
        <f>grand[[#This Row],[number]]-grand[[#This Row],[received]]</f>
        <v>1</v>
      </c>
      <c r="J1901" s="30" t="s">
        <v>382</v>
      </c>
      <c r="K1901" s="9">
        <v>21036</v>
      </c>
      <c r="L1901" s="9">
        <v>20165</v>
      </c>
      <c r="M1901" s="2">
        <f>K1901-L1901</f>
        <v>871</v>
      </c>
      <c r="N1901" s="9">
        <v>12725.4</v>
      </c>
      <c r="O1901" s="9">
        <v>444</v>
      </c>
      <c r="P1901" s="7">
        <f>grand[[#This Row],[total weight]]/grand[[#This Row],[received]]</f>
        <v>467.46666666666664</v>
      </c>
      <c r="Q1901" s="7">
        <f>grand[[#This Row],[receiving weight]]/grand[[#This Row],[received]]</f>
        <v>448.11111111111109</v>
      </c>
      <c r="R1901" s="7">
        <f>grand[[#This Row],[transportation loss ]]/grand[[#This Row],[received]]</f>
        <v>19.355555555555554</v>
      </c>
      <c r="S1901" s="7">
        <f>grand[[#This Row],[ carcass weight]]/grand[[#This Row],[received]]</f>
        <v>282.78666666666663</v>
      </c>
      <c r="T1901" s="7">
        <f>grand[[#This Row],[ kidneys fat quantity]]/grand[[#This Row],[received]]</f>
        <v>9.8666666666666671</v>
      </c>
      <c r="U1901" s="15">
        <v>25</v>
      </c>
      <c r="V1901" s="15">
        <v>0</v>
      </c>
      <c r="W1901" s="15">
        <v>49.533333333333331</v>
      </c>
      <c r="X1901" s="15">
        <v>10</v>
      </c>
      <c r="Y1901" s="8">
        <v>8.5</v>
      </c>
      <c r="Z1901" s="18">
        <f>grand[[#This Row],[av. Transportation loss]]/grand[[#This Row],[av.total weight]]</f>
        <v>4.1405210115991631E-2</v>
      </c>
      <c r="AA1901" s="12">
        <f>AVERAGE((grand[[#This Row],[am]]/25),(grand[[#This Row],[pm]]/50))</f>
        <v>0.99533333333333329</v>
      </c>
      <c r="AB1901" s="3">
        <f>grand[[#This Row],[ carcass weight]]/grand[[#This Row],[total weight]]</f>
        <v>0.60493439817455785</v>
      </c>
      <c r="AC1901" s="19">
        <f>SUM(grand[[#This Row],[am]:[meat transportation]])/100</f>
        <v>0.93033333333333335</v>
      </c>
      <c r="AD1901" s="9" t="s">
        <v>365</v>
      </c>
      <c r="AJ1901" s="1">
        <v>15</v>
      </c>
      <c r="AK1901" s="20">
        <f>grand[[#This Row],[accepted as exception]]/grand[[#This Row],[number]]</f>
        <v>0.32608695652173914</v>
      </c>
      <c r="AL1901" s="1">
        <v>498</v>
      </c>
    </row>
    <row r="1902" spans="1:38" hidden="1" x14ac:dyDescent="0.2">
      <c r="A1902" s="11">
        <v>44621</v>
      </c>
      <c r="B1902" s="53" t="s">
        <v>2767</v>
      </c>
      <c r="C1902" s="52" t="str">
        <f>IF(MID(B1902,4,2)="09","Ramadan",IF(AND(MID(B1902,4,2)="12",VALUE(LEFT(B1902,2))&lt;=9),"Adha Season","Normal"))</f>
        <v>Normal</v>
      </c>
      <c r="D1902" s="1" t="s">
        <v>45</v>
      </c>
      <c r="E1902" s="1" t="s">
        <v>481</v>
      </c>
      <c r="F1902" s="4" t="s">
        <v>50</v>
      </c>
      <c r="G1902" s="1">
        <v>18</v>
      </c>
      <c r="H1902" s="15">
        <v>17</v>
      </c>
      <c r="I1902" s="1">
        <f>grand[[#This Row],[number]]-grand[[#This Row],[received]]</f>
        <v>1</v>
      </c>
      <c r="J1902" s="30" t="s">
        <v>382</v>
      </c>
      <c r="K1902" s="9">
        <v>7827</v>
      </c>
      <c r="L1902" s="9">
        <v>7377</v>
      </c>
      <c r="M1902" s="2">
        <f>K1902-L1902</f>
        <v>450</v>
      </c>
      <c r="N1902" s="9">
        <v>4835.8999999999996</v>
      </c>
      <c r="O1902" s="9">
        <v>183</v>
      </c>
      <c r="P1902" s="7">
        <f>grand[[#This Row],[total weight]]/grand[[#This Row],[received]]</f>
        <v>460.41176470588238</v>
      </c>
      <c r="Q1902" s="7">
        <f>grand[[#This Row],[receiving weight]]/grand[[#This Row],[received]]</f>
        <v>433.94117647058823</v>
      </c>
      <c r="R1902" s="7">
        <f>grand[[#This Row],[transportation loss ]]/grand[[#This Row],[received]]</f>
        <v>26.470588235294116</v>
      </c>
      <c r="S1902" s="7">
        <f>grand[[#This Row],[ carcass weight]]/grand[[#This Row],[received]]</f>
        <v>284.46470588235292</v>
      </c>
      <c r="T1902" s="7">
        <f>grand[[#This Row],[ kidneys fat quantity]]/grand[[#This Row],[received]]</f>
        <v>10.764705882352942</v>
      </c>
      <c r="U1902" s="15">
        <v>25</v>
      </c>
      <c r="V1902" s="15">
        <v>0</v>
      </c>
      <c r="W1902" s="15">
        <v>49.705882352941174</v>
      </c>
      <c r="X1902" s="15">
        <v>10</v>
      </c>
      <c r="Y1902" s="8">
        <v>8.5</v>
      </c>
      <c r="Z1902" s="18">
        <f>grand[[#This Row],[av. Transportation loss]]/grand[[#This Row],[av.total weight]]</f>
        <v>5.7493292449214251E-2</v>
      </c>
      <c r="AA1902" s="12">
        <f>AVERAGE((grand[[#This Row],[am]]/25),(grand[[#This Row],[pm]]/50))</f>
        <v>0.99705882352941178</v>
      </c>
      <c r="AB1902" s="3">
        <f>grand[[#This Row],[ carcass weight]]/grand[[#This Row],[total weight]]</f>
        <v>0.6178484732336782</v>
      </c>
      <c r="AC1902" s="19">
        <f>SUM(grand[[#This Row],[am]:[meat transportation]])/100</f>
        <v>0.93205882352941172</v>
      </c>
      <c r="AD1902" s="2"/>
      <c r="AJ1902" s="1">
        <v>5</v>
      </c>
      <c r="AK1902" s="20">
        <f>grand[[#This Row],[accepted as exception]]/grand[[#This Row],[number]]</f>
        <v>0.27777777777777779</v>
      </c>
      <c r="AL1902" s="1">
        <v>514</v>
      </c>
    </row>
    <row r="1903" spans="1:38" hidden="1" x14ac:dyDescent="0.2">
      <c r="A1903" s="11">
        <v>44623</v>
      </c>
      <c r="B1903" s="53" t="s">
        <v>2768</v>
      </c>
      <c r="C1903" s="52" t="str">
        <f>IF(MID(B1903,4,2)="09","Ramadan",IF(AND(MID(B1903,4,2)="12",VALUE(LEFT(B1903,2))&lt;=9),"Adha Season","Normal"))</f>
        <v>Normal</v>
      </c>
      <c r="D1903" s="1" t="s">
        <v>45</v>
      </c>
      <c r="F1903" s="4" t="s">
        <v>46</v>
      </c>
      <c r="G1903" s="1">
        <v>48</v>
      </c>
      <c r="H1903" s="15">
        <v>47</v>
      </c>
      <c r="I1903" s="1">
        <f>grand[[#This Row],[number]]-grand[[#This Row],[received]]</f>
        <v>1</v>
      </c>
      <c r="J1903" s="30" t="s">
        <v>382</v>
      </c>
      <c r="K1903" s="9">
        <v>21594</v>
      </c>
      <c r="L1903" s="9">
        <v>21155</v>
      </c>
      <c r="M1903" s="2">
        <f>K1903-L1903</f>
        <v>439</v>
      </c>
      <c r="N1903" s="9">
        <v>12955.8</v>
      </c>
      <c r="O1903" s="9">
        <v>368</v>
      </c>
      <c r="P1903" s="7">
        <f>grand[[#This Row],[total weight]]/grand[[#This Row],[received]]</f>
        <v>459.44680851063828</v>
      </c>
      <c r="Q1903" s="7">
        <f>grand[[#This Row],[receiving weight]]/grand[[#This Row],[received]]</f>
        <v>450.10638297872339</v>
      </c>
      <c r="R1903" s="7">
        <f>grand[[#This Row],[transportation loss ]]/grand[[#This Row],[received]]</f>
        <v>9.3404255319148941</v>
      </c>
      <c r="S1903" s="7">
        <f>grand[[#This Row],[ carcass weight]]/grand[[#This Row],[received]]</f>
        <v>275.65531914893614</v>
      </c>
      <c r="T1903" s="7">
        <f>grand[[#This Row],[ kidneys fat quantity]]/grand[[#This Row],[received]]</f>
        <v>7.8297872340425529</v>
      </c>
      <c r="U1903" s="15">
        <v>24.787234042553191</v>
      </c>
      <c r="V1903" s="15">
        <v>0</v>
      </c>
      <c r="W1903" s="15">
        <v>49.851063829787236</v>
      </c>
      <c r="X1903" s="15">
        <v>10</v>
      </c>
      <c r="Y1903" s="8">
        <v>8.5</v>
      </c>
      <c r="Z1903" s="18">
        <f>grand[[#This Row],[av. Transportation loss]]/grand[[#This Row],[av.total weight]]</f>
        <v>2.0329721218857091E-2</v>
      </c>
      <c r="AA1903" s="12">
        <f>AVERAGE((grand[[#This Row],[am]]/25),(grand[[#This Row],[pm]]/50))</f>
        <v>0.99425531914893617</v>
      </c>
      <c r="AB1903" s="3">
        <f>grand[[#This Row],[ carcass weight]]/grand[[#This Row],[total weight]]</f>
        <v>0.59997221450402882</v>
      </c>
      <c r="AC1903" s="19">
        <f>SUM(grand[[#This Row],[am]:[meat transportation]])/100</f>
        <v>0.93138297872340425</v>
      </c>
      <c r="AD1903" s="2" t="s">
        <v>117</v>
      </c>
      <c r="AJ1903" s="1">
        <v>14</v>
      </c>
      <c r="AK1903" s="20">
        <f>grand[[#This Row],[accepted as exception]]/grand[[#This Row],[number]]</f>
        <v>0.29166666666666669</v>
      </c>
      <c r="AL1903" s="1">
        <v>489</v>
      </c>
    </row>
    <row r="1904" spans="1:38" hidden="1" x14ac:dyDescent="0.2">
      <c r="A1904" s="11">
        <v>44633</v>
      </c>
      <c r="B1904" s="53" t="s">
        <v>1607</v>
      </c>
      <c r="C1904" s="52" t="str">
        <f>IF(MID(B1904,4,2)="09","Ramadan",IF(AND(MID(B1904,4,2)="12",VALUE(LEFT(B1904,2))&lt;=9),"Adha Season","Normal"))</f>
        <v>Normal</v>
      </c>
      <c r="D1904" s="1" t="s">
        <v>45</v>
      </c>
      <c r="F1904" s="4" t="s">
        <v>280</v>
      </c>
      <c r="G1904" s="1">
        <v>36</v>
      </c>
      <c r="H1904" s="9">
        <v>35</v>
      </c>
      <c r="I1904" s="1">
        <f>grand[[#This Row],[number]]-grand[[#This Row],[received]]</f>
        <v>1</v>
      </c>
      <c r="J1904" s="30" t="s">
        <v>390</v>
      </c>
      <c r="K1904" s="9">
        <v>15750</v>
      </c>
      <c r="L1904" s="9">
        <v>15155</v>
      </c>
      <c r="M1904" s="2">
        <f>K1904-L1904</f>
        <v>595</v>
      </c>
      <c r="N1904" s="9">
        <v>9497.7000000000007</v>
      </c>
      <c r="O1904" s="9">
        <v>338</v>
      </c>
      <c r="P1904" s="7">
        <f>grand[[#This Row],[total weight]]/grand[[#This Row],[received]]</f>
        <v>450</v>
      </c>
      <c r="Q1904" s="7">
        <f>grand[[#This Row],[receiving weight]]/grand[[#This Row],[received]]</f>
        <v>433</v>
      </c>
      <c r="R1904" s="7">
        <f>grand[[#This Row],[transportation loss ]]/grand[[#This Row],[received]]</f>
        <v>17</v>
      </c>
      <c r="S1904" s="7">
        <f>grand[[#This Row],[ carcass weight]]/grand[[#This Row],[received]]</f>
        <v>271.36285714285714</v>
      </c>
      <c r="T1904" s="7">
        <f>grand[[#This Row],[ kidneys fat quantity]]/grand[[#This Row],[received]]</f>
        <v>9.6571428571428566</v>
      </c>
      <c r="U1904" s="15">
        <v>25</v>
      </c>
      <c r="V1904" s="15">
        <v>0</v>
      </c>
      <c r="W1904" s="15">
        <v>49.685714285714283</v>
      </c>
      <c r="X1904" s="15">
        <v>10</v>
      </c>
      <c r="Y1904" s="8">
        <v>8.5</v>
      </c>
      <c r="Z1904" s="18">
        <f>grand[[#This Row],[av. Transportation loss]]/grand[[#This Row],[av.total weight]]</f>
        <v>3.7777777777777778E-2</v>
      </c>
      <c r="AA1904" s="12">
        <f>AVERAGE((grand[[#This Row],[am]]/25),(grand[[#This Row],[pm]]/50))</f>
        <v>0.99685714285714289</v>
      </c>
      <c r="AB1904" s="3">
        <f>grand[[#This Row],[ carcass weight]]/grand[[#This Row],[total weight]]</f>
        <v>0.60302857142857147</v>
      </c>
      <c r="AC1904" s="19">
        <f>SUM(grand[[#This Row],[am]:[meat transportation]])/100</f>
        <v>0.93185714285714283</v>
      </c>
      <c r="AD1904" s="9" t="s">
        <v>97</v>
      </c>
      <c r="AJ1904" s="1">
        <v>12</v>
      </c>
      <c r="AK1904" s="20">
        <f>grand[[#This Row],[accepted as exception]]/grand[[#This Row],[number]]</f>
        <v>0.33333333333333331</v>
      </c>
      <c r="AL1904" s="1">
        <v>414</v>
      </c>
    </row>
    <row r="1905" spans="1:38" hidden="1" x14ac:dyDescent="0.2">
      <c r="A1905" s="11">
        <v>44642</v>
      </c>
      <c r="B1905" s="53" t="s">
        <v>2776</v>
      </c>
      <c r="C1905" s="52" t="str">
        <f>IF(MID(B1905,4,2)="09","Ramadan",IF(AND(MID(B1905,4,2)="12",VALUE(LEFT(B1905,2))&lt;=9),"Adha Season","Normal"))</f>
        <v>Normal</v>
      </c>
      <c r="D1905" s="1" t="s">
        <v>45</v>
      </c>
      <c r="E1905" s="1" t="s">
        <v>481</v>
      </c>
      <c r="F1905" s="4" t="s">
        <v>39</v>
      </c>
      <c r="G1905" s="1">
        <v>32</v>
      </c>
      <c r="H1905" s="15">
        <v>31</v>
      </c>
      <c r="I1905" s="1">
        <f>grand[[#This Row],[number]]-grand[[#This Row],[received]]</f>
        <v>1</v>
      </c>
      <c r="J1905" s="30" t="s">
        <v>395</v>
      </c>
      <c r="K1905" s="9">
        <v>13647</v>
      </c>
      <c r="L1905" s="9">
        <v>13419</v>
      </c>
      <c r="M1905" s="2">
        <f>K1905-L1905</f>
        <v>228</v>
      </c>
      <c r="N1905" s="9">
        <v>8843.6</v>
      </c>
      <c r="O1905" s="9">
        <v>357</v>
      </c>
      <c r="P1905" s="7">
        <f>grand[[#This Row],[total weight]]/grand[[#This Row],[received]]</f>
        <v>440.22580645161293</v>
      </c>
      <c r="Q1905" s="7">
        <f>grand[[#This Row],[receiving weight]]/grand[[#This Row],[received]]</f>
        <v>432.87096774193549</v>
      </c>
      <c r="R1905" s="7">
        <f>grand[[#This Row],[transportation loss ]]/grand[[#This Row],[received]]</f>
        <v>7.354838709677419</v>
      </c>
      <c r="S1905" s="7">
        <f>grand[[#This Row],[ carcass weight]]/grand[[#This Row],[received]]</f>
        <v>285.27741935483874</v>
      </c>
      <c r="T1905" s="7">
        <f>grand[[#This Row],[ kidneys fat quantity]]/grand[[#This Row],[received]]</f>
        <v>11.516129032258064</v>
      </c>
      <c r="U1905" s="15">
        <v>25</v>
      </c>
      <c r="V1905" s="15">
        <v>0</v>
      </c>
      <c r="W1905" s="15">
        <v>50</v>
      </c>
      <c r="X1905" s="15">
        <v>10</v>
      </c>
      <c r="Y1905" s="8">
        <v>8.5</v>
      </c>
      <c r="Z1905" s="18">
        <f>grand[[#This Row],[av. Transportation loss]]/grand[[#This Row],[av.total weight]]</f>
        <v>1.6706968564519673E-2</v>
      </c>
      <c r="AA1905" s="12">
        <f>AVERAGE((grand[[#This Row],[am]]/25),(grand[[#This Row],[pm]]/50))</f>
        <v>1</v>
      </c>
      <c r="AB1905" s="3">
        <f>grand[[#This Row],[ carcass weight]]/grand[[#This Row],[total weight]]</f>
        <v>0.64802520700520261</v>
      </c>
      <c r="AC1905" s="19">
        <f>SUM(grand[[#This Row],[am]:[meat transportation]])/100</f>
        <v>0.93500000000000005</v>
      </c>
      <c r="AD1905" s="2"/>
      <c r="AJ1905" s="1">
        <v>0</v>
      </c>
      <c r="AK1905" s="20">
        <f>grand[[#This Row],[accepted as exception]]/grand[[#This Row],[number]]</f>
        <v>0</v>
      </c>
      <c r="AL1905" s="1">
        <v>425</v>
      </c>
    </row>
    <row r="1906" spans="1:38" hidden="1" x14ac:dyDescent="0.2">
      <c r="A1906" s="11">
        <v>44644</v>
      </c>
      <c r="B1906" s="53" t="s">
        <v>2777</v>
      </c>
      <c r="C1906" s="52" t="str">
        <f>IF(MID(B1906,4,2)="09","Ramadan",IF(AND(MID(B1906,4,2)="12",VALUE(LEFT(B1906,2))&lt;=9),"Adha Season","Normal"))</f>
        <v>Normal</v>
      </c>
      <c r="D1906" s="1" t="s">
        <v>45</v>
      </c>
      <c r="F1906" s="4" t="s">
        <v>46</v>
      </c>
      <c r="G1906" s="1">
        <v>47</v>
      </c>
      <c r="H1906" s="15">
        <v>46</v>
      </c>
      <c r="I1906" s="1">
        <f>grand[[#This Row],[number]]-grand[[#This Row],[received]]</f>
        <v>1</v>
      </c>
      <c r="J1906" s="30" t="s">
        <v>372</v>
      </c>
      <c r="K1906" s="9">
        <v>21275</v>
      </c>
      <c r="L1906" s="9">
        <v>20915</v>
      </c>
      <c r="M1906" s="2">
        <f>K1906-L1906</f>
        <v>360</v>
      </c>
      <c r="N1906" s="9">
        <v>12765.9</v>
      </c>
      <c r="O1906" s="9">
        <v>405</v>
      </c>
      <c r="P1906" s="7">
        <f>grand[[#This Row],[total weight]]/grand[[#This Row],[received]]</f>
        <v>462.5</v>
      </c>
      <c r="Q1906" s="7">
        <f>grand[[#This Row],[receiving weight]]/grand[[#This Row],[received]]</f>
        <v>454.67391304347825</v>
      </c>
      <c r="R1906" s="7">
        <f>grand[[#This Row],[transportation loss ]]/grand[[#This Row],[received]]</f>
        <v>7.8260869565217392</v>
      </c>
      <c r="S1906" s="7">
        <f>grand[[#This Row],[ carcass weight]]/grand[[#This Row],[received]]</f>
        <v>277.51956521739129</v>
      </c>
      <c r="T1906" s="7">
        <f>grand[[#This Row],[ kidneys fat quantity]]/grand[[#This Row],[received]]</f>
        <v>8.804347826086957</v>
      </c>
      <c r="U1906" s="15">
        <v>25</v>
      </c>
      <c r="V1906" s="15">
        <v>0</v>
      </c>
      <c r="W1906" s="15">
        <v>49.347826086956516</v>
      </c>
      <c r="X1906" s="15">
        <v>10</v>
      </c>
      <c r="Y1906" s="8">
        <v>8.5</v>
      </c>
      <c r="Z1906" s="18">
        <f>grand[[#This Row],[av. Transportation loss]]/grand[[#This Row],[av.total weight]]</f>
        <v>1.6921269095182139E-2</v>
      </c>
      <c r="AA1906" s="12">
        <f>AVERAGE((grand[[#This Row],[am]]/25),(grand[[#This Row],[pm]]/50))</f>
        <v>0.99347826086956514</v>
      </c>
      <c r="AB1906" s="3">
        <f>grand[[#This Row],[ carcass weight]]/grand[[#This Row],[total weight]]</f>
        <v>0.60004230317273799</v>
      </c>
      <c r="AC1906" s="19">
        <f>SUM(grand[[#This Row],[am]:[meat transportation]])/100</f>
        <v>0.9284782608695652</v>
      </c>
      <c r="AD1906" s="2" t="s">
        <v>396</v>
      </c>
      <c r="AJ1906" s="1">
        <v>3</v>
      </c>
      <c r="AK1906" s="20">
        <f>grand[[#This Row],[accepted as exception]]/grand[[#This Row],[number]]</f>
        <v>6.3829787234042548E-2</v>
      </c>
      <c r="AL1906" s="1">
        <v>498</v>
      </c>
    </row>
    <row r="1907" spans="1:38" hidden="1" x14ac:dyDescent="0.2">
      <c r="A1907" s="11">
        <v>44649</v>
      </c>
      <c r="B1907" s="53" t="s">
        <v>2779</v>
      </c>
      <c r="C1907" s="52" t="str">
        <f>IF(MID(B1907,4,2)="09","Ramadan",IF(AND(MID(B1907,4,2)="12",VALUE(LEFT(B1907,2))&lt;=9),"Adha Season","Normal"))</f>
        <v>Normal</v>
      </c>
      <c r="D1907" s="1" t="s">
        <v>45</v>
      </c>
      <c r="E1907" s="1" t="s">
        <v>481</v>
      </c>
      <c r="F1907" s="4" t="s">
        <v>39</v>
      </c>
      <c r="G1907" s="1">
        <v>65</v>
      </c>
      <c r="H1907" s="15">
        <v>64</v>
      </c>
      <c r="I1907" s="1">
        <f>grand[[#This Row],[number]]-grand[[#This Row],[received]]</f>
        <v>1</v>
      </c>
      <c r="J1907" s="30" t="s">
        <v>382</v>
      </c>
      <c r="K1907" s="9">
        <v>29016</v>
      </c>
      <c r="L1907" s="9">
        <v>29016</v>
      </c>
      <c r="M1907" s="2">
        <f>K1907-L1907</f>
        <v>0</v>
      </c>
      <c r="N1907" s="9">
        <v>17922</v>
      </c>
      <c r="O1907" s="9">
        <v>667</v>
      </c>
      <c r="P1907" s="7">
        <f>grand[[#This Row],[total weight]]/grand[[#This Row],[received]]</f>
        <v>453.375</v>
      </c>
      <c r="Q1907" s="7">
        <f>grand[[#This Row],[receiving weight]]/grand[[#This Row],[received]]</f>
        <v>453.375</v>
      </c>
      <c r="R1907" s="7">
        <f>grand[[#This Row],[transportation loss ]]/grand[[#This Row],[received]]</f>
        <v>0</v>
      </c>
      <c r="S1907" s="7">
        <f>grand[[#This Row],[ carcass weight]]/grand[[#This Row],[received]]</f>
        <v>280.03125</v>
      </c>
      <c r="T1907" s="7">
        <f>grand[[#This Row],[ kidneys fat quantity]]/grand[[#This Row],[received]]</f>
        <v>10.421875</v>
      </c>
      <c r="U1907" s="15">
        <v>25</v>
      </c>
      <c r="V1907" s="15">
        <v>0</v>
      </c>
      <c r="W1907" s="15">
        <v>49.938461538461539</v>
      </c>
      <c r="X1907" s="15">
        <v>10</v>
      </c>
      <c r="Y1907" s="8">
        <v>8.5</v>
      </c>
      <c r="Z1907" s="18">
        <f>grand[[#This Row],[av. Transportation loss]]/grand[[#This Row],[av.total weight]]</f>
        <v>0</v>
      </c>
      <c r="AA1907" s="12">
        <f>AVERAGE((grand[[#This Row],[am]]/25),(grand[[#This Row],[pm]]/50))</f>
        <v>0.99938461538461532</v>
      </c>
      <c r="AB1907" s="3">
        <f>grand[[#This Row],[ carcass weight]]/grand[[#This Row],[total weight]]</f>
        <v>0.61765922249793215</v>
      </c>
      <c r="AC1907" s="19">
        <f>SUM(grand[[#This Row],[am]:[meat transportation]])/100</f>
        <v>0.93438461538461537</v>
      </c>
      <c r="AD1907" s="2"/>
      <c r="AJ1907" s="1">
        <v>6</v>
      </c>
      <c r="AK1907" s="20">
        <f>grand[[#This Row],[accepted as exception]]/grand[[#This Row],[number]]</f>
        <v>9.2307692307692313E-2</v>
      </c>
      <c r="AL1907" s="1">
        <v>453</v>
      </c>
    </row>
    <row r="1908" spans="1:38" hidden="1" x14ac:dyDescent="0.2">
      <c r="A1908" s="11">
        <v>44651</v>
      </c>
      <c r="B1908" s="53" t="s">
        <v>2780</v>
      </c>
      <c r="C1908" s="52" t="str">
        <f>IF(MID(B1908,4,2)="09","Ramadan",IF(AND(MID(B1908,4,2)="12",VALUE(LEFT(B1908,2))&lt;=9),"Adha Season","Normal"))</f>
        <v>Normal</v>
      </c>
      <c r="D1908" s="1" t="s">
        <v>45</v>
      </c>
      <c r="F1908" s="4" t="s">
        <v>46</v>
      </c>
      <c r="G1908" s="1">
        <v>53</v>
      </c>
      <c r="H1908" s="15">
        <v>52</v>
      </c>
      <c r="I1908" s="1">
        <f>grand[[#This Row],[number]]-grand[[#This Row],[received]]</f>
        <v>1</v>
      </c>
      <c r="J1908" s="30" t="s">
        <v>400</v>
      </c>
      <c r="K1908" s="9">
        <v>23465</v>
      </c>
      <c r="L1908" s="9">
        <v>23465</v>
      </c>
      <c r="M1908" s="2">
        <f>K1908-L1908</f>
        <v>0</v>
      </c>
      <c r="N1908" s="9">
        <v>14079.5</v>
      </c>
      <c r="O1908" s="9">
        <v>507</v>
      </c>
      <c r="P1908" s="7">
        <f>grand[[#This Row],[total weight]]/grand[[#This Row],[received]]</f>
        <v>451.25</v>
      </c>
      <c r="Q1908" s="7">
        <f>grand[[#This Row],[receiving weight]]/grand[[#This Row],[received]]</f>
        <v>451.25</v>
      </c>
      <c r="R1908" s="7">
        <f>grand[[#This Row],[transportation loss ]]/grand[[#This Row],[received]]</f>
        <v>0</v>
      </c>
      <c r="S1908" s="7">
        <f>grand[[#This Row],[ carcass weight]]/grand[[#This Row],[received]]</f>
        <v>270.75961538461536</v>
      </c>
      <c r="T1908" s="7">
        <f>grand[[#This Row],[ kidneys fat quantity]]/grand[[#This Row],[received]]</f>
        <v>9.75</v>
      </c>
      <c r="U1908" s="15">
        <v>25</v>
      </c>
      <c r="V1908" s="15">
        <v>0</v>
      </c>
      <c r="W1908" s="15">
        <v>49.653846153846153</v>
      </c>
      <c r="X1908" s="15">
        <v>10</v>
      </c>
      <c r="Y1908" s="8">
        <v>8.5</v>
      </c>
      <c r="Z1908" s="18">
        <f>grand[[#This Row],[av. Transportation loss]]/grand[[#This Row],[av.total weight]]</f>
        <v>0</v>
      </c>
      <c r="AA1908" s="12">
        <f>AVERAGE((grand[[#This Row],[am]]/25),(grand[[#This Row],[pm]]/50))</f>
        <v>0.9965384615384616</v>
      </c>
      <c r="AB1908" s="3">
        <f>grand[[#This Row],[ carcass weight]]/grand[[#This Row],[total weight]]</f>
        <v>0.60002130833155765</v>
      </c>
      <c r="AC1908" s="19">
        <f>SUM(grand[[#This Row],[am]:[meat transportation]])/100</f>
        <v>0.93153846153846165</v>
      </c>
      <c r="AD1908" s="9" t="s">
        <v>401</v>
      </c>
      <c r="AJ1908" s="1">
        <v>0</v>
      </c>
      <c r="AK1908" s="20">
        <f>grand[[#This Row],[accepted as exception]]/grand[[#This Row],[number]]</f>
        <v>0</v>
      </c>
      <c r="AL1908" s="1">
        <v>469</v>
      </c>
    </row>
    <row r="1909" spans="1:38" hidden="1" x14ac:dyDescent="0.2">
      <c r="A1909" s="11">
        <v>44654</v>
      </c>
      <c r="B1909" s="53" t="s">
        <v>1611</v>
      </c>
      <c r="C1909" s="52" t="str">
        <f>IF(MID(B1909,4,2)="09","Ramadan",IF(AND(MID(B1909,4,2)="12",VALUE(LEFT(B1909,2))&lt;=9),"Adha Season","Normal"))</f>
        <v>Ramadan</v>
      </c>
      <c r="D1909" s="1" t="s">
        <v>45</v>
      </c>
      <c r="F1909" s="4" t="s">
        <v>280</v>
      </c>
      <c r="G1909" s="1">
        <v>48</v>
      </c>
      <c r="H1909" s="15">
        <v>47</v>
      </c>
      <c r="I1909" s="1">
        <f>grand[[#This Row],[number]]-grand[[#This Row],[received]]</f>
        <v>1</v>
      </c>
      <c r="J1909" s="30" t="s">
        <v>161</v>
      </c>
      <c r="K1909" s="9">
        <v>22016</v>
      </c>
      <c r="L1909" s="9">
        <v>21245</v>
      </c>
      <c r="M1909" s="2">
        <f>K1909-L1909</f>
        <v>771</v>
      </c>
      <c r="N1909" s="9">
        <v>13330.8</v>
      </c>
      <c r="O1909" s="9">
        <v>463</v>
      </c>
      <c r="P1909" s="7">
        <f>grand[[#This Row],[total weight]]/grand[[#This Row],[received]]</f>
        <v>468.42553191489361</v>
      </c>
      <c r="Q1909" s="7">
        <f>grand[[#This Row],[receiving weight]]/grand[[#This Row],[received]]</f>
        <v>452.02127659574467</v>
      </c>
      <c r="R1909" s="7">
        <f>grand[[#This Row],[transportation loss ]]/grand[[#This Row],[received]]</f>
        <v>16.404255319148938</v>
      </c>
      <c r="S1909" s="7">
        <f>grand[[#This Row],[ carcass weight]]/grand[[#This Row],[received]]</f>
        <v>283.63404255319148</v>
      </c>
      <c r="T1909" s="7">
        <f>grand[[#This Row],[ kidneys fat quantity]]/grand[[#This Row],[received]]</f>
        <v>9.8510638297872344</v>
      </c>
      <c r="U1909" s="15">
        <v>25</v>
      </c>
      <c r="V1909" s="15">
        <v>0</v>
      </c>
      <c r="W1909" s="15">
        <v>49.851063829787236</v>
      </c>
      <c r="X1909" s="15">
        <v>10</v>
      </c>
      <c r="Y1909" s="8">
        <v>8.5</v>
      </c>
      <c r="Z1909" s="18">
        <f>grand[[#This Row],[av. Transportation loss]]/grand[[#This Row],[av.total weight]]</f>
        <v>3.5019985465116282E-2</v>
      </c>
      <c r="AA1909" s="12">
        <f>AVERAGE((grand[[#This Row],[am]]/25),(grand[[#This Row],[pm]]/50))</f>
        <v>0.99851063829787234</v>
      </c>
      <c r="AB1909" s="3">
        <f>grand[[#This Row],[ carcass weight]]/grand[[#This Row],[total weight]]</f>
        <v>0.6055050872093023</v>
      </c>
      <c r="AC1909" s="19">
        <f>SUM(grand[[#This Row],[am]:[meat transportation]])/100</f>
        <v>0.9335106382978724</v>
      </c>
      <c r="AD1909" s="2" t="s">
        <v>89</v>
      </c>
      <c r="AJ1909" s="1">
        <v>13</v>
      </c>
      <c r="AK1909" s="20"/>
      <c r="AL1909" s="1">
        <v>360</v>
      </c>
    </row>
    <row r="1910" spans="1:38" hidden="1" x14ac:dyDescent="0.2">
      <c r="A1910" s="11">
        <v>44658</v>
      </c>
      <c r="B1910" s="53" t="s">
        <v>1613</v>
      </c>
      <c r="C1910" s="52" t="str">
        <f>IF(MID(B1910,4,2)="09","Ramadan",IF(AND(MID(B1910,4,2)="12",VALUE(LEFT(B1910,2))&lt;=9),"Adha Season","Normal"))</f>
        <v>Ramadan</v>
      </c>
      <c r="D1910" s="1" t="s">
        <v>45</v>
      </c>
      <c r="F1910" s="4" t="s">
        <v>46</v>
      </c>
      <c r="G1910" s="1">
        <v>43</v>
      </c>
      <c r="H1910" s="15">
        <v>42</v>
      </c>
      <c r="I1910" s="1">
        <f>grand[[#This Row],[number]]-grand[[#This Row],[received]]</f>
        <v>1</v>
      </c>
      <c r="J1910" s="30" t="s">
        <v>161</v>
      </c>
      <c r="K1910" s="9">
        <v>19619</v>
      </c>
      <c r="L1910" s="9">
        <v>18890</v>
      </c>
      <c r="M1910" s="2">
        <f>K1910-L1910</f>
        <v>729</v>
      </c>
      <c r="N1910" s="9">
        <v>11771.2</v>
      </c>
      <c r="O1910" s="9">
        <v>423</v>
      </c>
      <c r="P1910" s="7">
        <f>grand[[#This Row],[total weight]]/grand[[#This Row],[received]]</f>
        <v>467.11904761904759</v>
      </c>
      <c r="Q1910" s="7">
        <f>grand[[#This Row],[receiving weight]]/grand[[#This Row],[received]]</f>
        <v>449.76190476190476</v>
      </c>
      <c r="R1910" s="7">
        <f>grand[[#This Row],[transportation loss ]]/grand[[#This Row],[received]]</f>
        <v>17.357142857142858</v>
      </c>
      <c r="S1910" s="7">
        <f>grand[[#This Row],[ carcass weight]]/grand[[#This Row],[received]]</f>
        <v>280.26666666666671</v>
      </c>
      <c r="T1910" s="7">
        <f>grand[[#This Row],[ kidneys fat quantity]]/grand[[#This Row],[received]]</f>
        <v>10.071428571428571</v>
      </c>
      <c r="U1910" s="15">
        <v>25</v>
      </c>
      <c r="V1910" s="15">
        <v>0</v>
      </c>
      <c r="W1910" s="15">
        <v>49.5</v>
      </c>
      <c r="X1910" s="15">
        <v>10</v>
      </c>
      <c r="Y1910" s="8">
        <v>8.5</v>
      </c>
      <c r="Z1910" s="18">
        <f>grand[[#This Row],[av. Transportation loss]]/grand[[#This Row],[av.total weight]]</f>
        <v>3.7157857179265001E-2</v>
      </c>
      <c r="AA1910" s="12">
        <f>AVERAGE((grand[[#This Row],[am]]/25),(grand[[#This Row],[pm]]/50))</f>
        <v>0.995</v>
      </c>
      <c r="AB1910" s="3">
        <f>grand[[#This Row],[ carcass weight]]/grand[[#This Row],[total weight]]</f>
        <v>0.59998980580049954</v>
      </c>
      <c r="AC1910" s="19">
        <f>SUM(grand[[#This Row],[am]:[meat transportation]])/100</f>
        <v>0.93</v>
      </c>
      <c r="AD1910" s="2" t="s">
        <v>405</v>
      </c>
      <c r="AJ1910" s="1">
        <v>6</v>
      </c>
      <c r="AK1910" s="20"/>
      <c r="AL1910" s="1">
        <f>416+10.5</f>
        <v>426.5</v>
      </c>
    </row>
    <row r="1911" spans="1:38" hidden="1" x14ac:dyDescent="0.2">
      <c r="A1911" s="11">
        <v>44663</v>
      </c>
      <c r="B1911" s="53" t="s">
        <v>1616</v>
      </c>
      <c r="C1911" s="52" t="str">
        <f>IF(MID(B1911,4,2)="09","Ramadan",IF(AND(MID(B1911,4,2)="12",VALUE(LEFT(B1911,2))&lt;=9),"Adha Season","Normal"))</f>
        <v>Ramadan</v>
      </c>
      <c r="D1911" s="1" t="s">
        <v>45</v>
      </c>
      <c r="E1911" s="1" t="s">
        <v>481</v>
      </c>
      <c r="F1911" s="4" t="s">
        <v>39</v>
      </c>
      <c r="G1911" s="1">
        <v>27</v>
      </c>
      <c r="H1911" s="15">
        <v>26</v>
      </c>
      <c r="I1911" s="1">
        <f>grand[[#This Row],[number]]-grand[[#This Row],[received]]</f>
        <v>1</v>
      </c>
      <c r="J1911" s="30" t="s">
        <v>408</v>
      </c>
      <c r="K1911" s="9">
        <v>12202</v>
      </c>
      <c r="L1911" s="9">
        <v>11300</v>
      </c>
      <c r="M1911" s="2">
        <f>K1911-L1911</f>
        <v>902</v>
      </c>
      <c r="N1911" s="9">
        <v>7519</v>
      </c>
      <c r="O1911" s="9">
        <v>278</v>
      </c>
      <c r="P1911" s="7">
        <f>grand[[#This Row],[total weight]]/grand[[#This Row],[received]]</f>
        <v>469.30769230769232</v>
      </c>
      <c r="Q1911" s="7">
        <f>grand[[#This Row],[receiving weight]]/grand[[#This Row],[received]]</f>
        <v>434.61538461538464</v>
      </c>
      <c r="R1911" s="7">
        <f>grand[[#This Row],[transportation loss ]]/grand[[#This Row],[received]]</f>
        <v>34.692307692307693</v>
      </c>
      <c r="S1911" s="7">
        <f>grand[[#This Row],[ carcass weight]]/grand[[#This Row],[received]]</f>
        <v>289.19230769230768</v>
      </c>
      <c r="T1911" s="7">
        <f>grand[[#This Row],[ kidneys fat quantity]]/grand[[#This Row],[received]]</f>
        <v>10.692307692307692</v>
      </c>
      <c r="U1911" s="15">
        <v>25</v>
      </c>
      <c r="V1911" s="15">
        <v>0</v>
      </c>
      <c r="W1911" s="15">
        <v>49.615384615384613</v>
      </c>
      <c r="X1911" s="15">
        <v>10</v>
      </c>
      <c r="Y1911" s="8">
        <v>8.5</v>
      </c>
      <c r="Z1911" s="18">
        <f>grand[[#This Row],[av. Transportation loss]]/grand[[#This Row],[av.total weight]]</f>
        <v>7.3922307818390431E-2</v>
      </c>
      <c r="AA1911" s="12">
        <f>AVERAGE((grand[[#This Row],[am]]/25),(grand[[#This Row],[pm]]/50))</f>
        <v>0.99615384615384617</v>
      </c>
      <c r="AB1911" s="3">
        <f>grand[[#This Row],[ carcass weight]]/grand[[#This Row],[total weight]]</f>
        <v>0.61621045730208157</v>
      </c>
      <c r="AC1911" s="19">
        <f>SUM(grand[[#This Row],[am]:[meat transportation]])/100</f>
        <v>0.93115384615384611</v>
      </c>
      <c r="AD1911" s="2" t="s">
        <v>97</v>
      </c>
      <c r="AJ1911" s="1">
        <v>0</v>
      </c>
      <c r="AK1911" s="20"/>
      <c r="AL1911" s="1">
        <f>455+9</f>
        <v>464</v>
      </c>
    </row>
    <row r="1912" spans="1:38" hidden="1" x14ac:dyDescent="0.2">
      <c r="A1912" s="11">
        <v>44667</v>
      </c>
      <c r="B1912" s="53" t="s">
        <v>1618</v>
      </c>
      <c r="C1912" s="52" t="str">
        <f>IF(MID(B1912,4,2)="09","Ramadan",IF(AND(MID(B1912,4,2)="12",VALUE(LEFT(B1912,2))&lt;=9),"Adha Season","Normal"))</f>
        <v>Ramadan</v>
      </c>
      <c r="D1912" s="1" t="s">
        <v>45</v>
      </c>
      <c r="E1912" s="1" t="s">
        <v>483</v>
      </c>
      <c r="F1912" s="4" t="s">
        <v>43</v>
      </c>
      <c r="G1912" s="1">
        <v>8</v>
      </c>
      <c r="H1912" s="15">
        <v>7</v>
      </c>
      <c r="I1912" s="1">
        <f>grand[[#This Row],[number]]-grand[[#This Row],[received]]</f>
        <v>1</v>
      </c>
      <c r="J1912" s="30" t="s">
        <v>410</v>
      </c>
      <c r="K1912" s="9">
        <v>3322</v>
      </c>
      <c r="L1912" s="9">
        <v>3225</v>
      </c>
      <c r="M1912" s="2">
        <f>K1912-L1912</f>
        <v>97</v>
      </c>
      <c r="N1912" s="9">
        <v>1993.2</v>
      </c>
      <c r="O1912" s="9">
        <v>60</v>
      </c>
      <c r="P1912" s="7">
        <f>grand[[#This Row],[total weight]]/grand[[#This Row],[received]]</f>
        <v>474.57142857142856</v>
      </c>
      <c r="Q1912" s="7">
        <f>grand[[#This Row],[receiving weight]]/grand[[#This Row],[received]]</f>
        <v>460.71428571428572</v>
      </c>
      <c r="R1912" s="7">
        <f>grand[[#This Row],[transportation loss ]]/grand[[#This Row],[received]]</f>
        <v>13.857142857142858</v>
      </c>
      <c r="S1912" s="7">
        <f>grand[[#This Row],[ carcass weight]]/grand[[#This Row],[received]]</f>
        <v>284.74285714285713</v>
      </c>
      <c r="T1912" s="7">
        <f>grand[[#This Row],[ kidneys fat quantity]]/grand[[#This Row],[received]]</f>
        <v>8.5714285714285712</v>
      </c>
      <c r="U1912" s="15">
        <v>25</v>
      </c>
      <c r="V1912" s="15">
        <v>0</v>
      </c>
      <c r="W1912" s="15">
        <v>48</v>
      </c>
      <c r="X1912" s="15">
        <v>10</v>
      </c>
      <c r="Y1912" s="8">
        <v>8.5</v>
      </c>
      <c r="Z1912" s="18">
        <f>grand[[#This Row],[av. Transportation loss]]/grand[[#This Row],[av.total weight]]</f>
        <v>2.9199277543648407E-2</v>
      </c>
      <c r="AA1912" s="12">
        <f>AVERAGE((grand[[#This Row],[am]]/25),(grand[[#This Row],[pm]]/50))</f>
        <v>0.98</v>
      </c>
      <c r="AB1912" s="3">
        <f>grand[[#This Row],[ carcass weight]]/grand[[#This Row],[total weight]]</f>
        <v>0.6</v>
      </c>
      <c r="AC1912" s="19">
        <f>SUM(grand[[#This Row],[am]:[meat transportation]])/100</f>
        <v>0.91500000000000004</v>
      </c>
      <c r="AD1912" s="2" t="s">
        <v>411</v>
      </c>
      <c r="AJ1912" s="1">
        <v>0</v>
      </c>
      <c r="AK1912" s="20"/>
      <c r="AL1912" s="1">
        <v>452</v>
      </c>
    </row>
    <row r="1913" spans="1:38" hidden="1" x14ac:dyDescent="0.2">
      <c r="A1913" s="11">
        <v>44668</v>
      </c>
      <c r="B1913" s="53" t="s">
        <v>1619</v>
      </c>
      <c r="C1913" s="52" t="str">
        <f>IF(MID(B1913,4,2)="09","Ramadan",IF(AND(MID(B1913,4,2)="12",VALUE(LEFT(B1913,2))&lt;=9),"Adha Season","Normal"))</f>
        <v>Ramadan</v>
      </c>
      <c r="D1913" s="1" t="s">
        <v>45</v>
      </c>
      <c r="F1913" s="4" t="s">
        <v>280</v>
      </c>
      <c r="G1913" s="1">
        <v>40</v>
      </c>
      <c r="H1913" s="15">
        <v>39</v>
      </c>
      <c r="I1913" s="1">
        <f>grand[[#This Row],[number]]-grand[[#This Row],[received]]</f>
        <v>1</v>
      </c>
      <c r="J1913" s="30" t="s">
        <v>408</v>
      </c>
      <c r="K1913" s="9">
        <v>18302</v>
      </c>
      <c r="L1913" s="9">
        <v>17785</v>
      </c>
      <c r="M1913" s="2">
        <f>K1913-L1913</f>
        <v>517</v>
      </c>
      <c r="N1913" s="9">
        <v>11166.8</v>
      </c>
      <c r="O1913" s="9">
        <v>371</v>
      </c>
      <c r="P1913" s="7">
        <f>grand[[#This Row],[total weight]]/grand[[#This Row],[received]]</f>
        <v>469.28205128205127</v>
      </c>
      <c r="Q1913" s="7">
        <f>grand[[#This Row],[receiving weight]]/grand[[#This Row],[received]]</f>
        <v>456.02564102564105</v>
      </c>
      <c r="R1913" s="7">
        <f>grand[[#This Row],[transportation loss ]]/grand[[#This Row],[received]]</f>
        <v>13.256410256410257</v>
      </c>
      <c r="S1913" s="7">
        <f>grand[[#This Row],[ carcass weight]]/grand[[#This Row],[received]]</f>
        <v>286.32820512820513</v>
      </c>
      <c r="T1913" s="7">
        <f>grand[[#This Row],[ kidneys fat quantity]]/grand[[#This Row],[received]]</f>
        <v>9.5128205128205128</v>
      </c>
      <c r="U1913" s="15">
        <v>25</v>
      </c>
      <c r="V1913" s="15">
        <v>0</v>
      </c>
      <c r="W1913" s="15">
        <v>49.820512820512818</v>
      </c>
      <c r="X1913" s="15">
        <v>10</v>
      </c>
      <c r="Y1913" s="8">
        <v>8.5</v>
      </c>
      <c r="Z1913" s="18">
        <f>grand[[#This Row],[av. Transportation loss]]/grand[[#This Row],[av.total weight]]</f>
        <v>2.8248278876625506E-2</v>
      </c>
      <c r="AA1913" s="12">
        <f>AVERAGE((grand[[#This Row],[am]]/25),(grand[[#This Row],[pm]]/50))</f>
        <v>0.99820512820512819</v>
      </c>
      <c r="AB1913" s="3">
        <f>grand[[#This Row],[ carcass weight]]/grand[[#This Row],[total weight]]</f>
        <v>0.6101409682001967</v>
      </c>
      <c r="AC1913" s="19">
        <f>SUM(grand[[#This Row],[am]:[meat transportation]])/100</f>
        <v>0.93320512820512813</v>
      </c>
      <c r="AD1913" s="2" t="s">
        <v>89</v>
      </c>
      <c r="AJ1913" s="1">
        <v>9</v>
      </c>
      <c r="AK1913" s="20"/>
      <c r="AL1913" s="1">
        <v>441</v>
      </c>
    </row>
    <row r="1914" spans="1:38" hidden="1" x14ac:dyDescent="0.2">
      <c r="A1914" s="11">
        <v>44670</v>
      </c>
      <c r="B1914" s="53" t="s">
        <v>1620</v>
      </c>
      <c r="C1914" s="52" t="str">
        <f>IF(MID(B1914,4,2)="09","Ramadan",IF(AND(MID(B1914,4,2)="12",VALUE(LEFT(B1914,2))&lt;=9),"Adha Season","Normal"))</f>
        <v>Ramadan</v>
      </c>
      <c r="D1914" s="1" t="s">
        <v>45</v>
      </c>
      <c r="E1914" s="1" t="s">
        <v>481</v>
      </c>
      <c r="F1914" s="4" t="s">
        <v>39</v>
      </c>
      <c r="G1914" s="1">
        <v>32</v>
      </c>
      <c r="H1914" s="15">
        <v>31</v>
      </c>
      <c r="I1914" s="1">
        <f>grand[[#This Row],[number]]-grand[[#This Row],[received]]</f>
        <v>1</v>
      </c>
      <c r="J1914" s="30" t="s">
        <v>408</v>
      </c>
      <c r="K1914" s="9">
        <v>14024</v>
      </c>
      <c r="L1914" s="9">
        <v>13370</v>
      </c>
      <c r="M1914" s="2">
        <f>K1914-L1914</f>
        <v>654</v>
      </c>
      <c r="N1914" s="9">
        <v>8734</v>
      </c>
      <c r="O1914" s="9">
        <v>297</v>
      </c>
      <c r="P1914" s="7">
        <f>grand[[#This Row],[total weight]]/grand[[#This Row],[received]]</f>
        <v>452.38709677419354</v>
      </c>
      <c r="Q1914" s="7">
        <f>grand[[#This Row],[receiving weight]]/grand[[#This Row],[received]]</f>
        <v>431.29032258064518</v>
      </c>
      <c r="R1914" s="7">
        <f>grand[[#This Row],[transportation loss ]]/grand[[#This Row],[received]]</f>
        <v>21.096774193548388</v>
      </c>
      <c r="S1914" s="7">
        <f>grand[[#This Row],[ carcass weight]]/grand[[#This Row],[received]]</f>
        <v>281.74193548387098</v>
      </c>
      <c r="T1914" s="7">
        <f>grand[[#This Row],[ kidneys fat quantity]]/grand[[#This Row],[received]]</f>
        <v>9.5806451612903221</v>
      </c>
      <c r="U1914" s="15">
        <v>25</v>
      </c>
      <c r="V1914" s="15">
        <v>0</v>
      </c>
      <c r="W1914" s="15">
        <v>49.838709677419352</v>
      </c>
      <c r="X1914" s="15">
        <v>10</v>
      </c>
      <c r="Y1914" s="8">
        <v>8.5</v>
      </c>
      <c r="Z1914" s="18">
        <f>grand[[#This Row],[av. Transportation loss]]/grand[[#This Row],[av.total weight]]</f>
        <v>4.6634341129492302E-2</v>
      </c>
      <c r="AA1914" s="12">
        <f>AVERAGE((grand[[#This Row],[am]]/25),(grand[[#This Row],[pm]]/50))</f>
        <v>0.99838709677419346</v>
      </c>
      <c r="AB1914" s="3">
        <f>grand[[#This Row],[ carcass weight]]/grand[[#This Row],[total weight]]</f>
        <v>0.62278950370792929</v>
      </c>
      <c r="AC1914" s="19">
        <f>SUM(grand[[#This Row],[am]:[meat transportation]])/100</f>
        <v>0.93338709677419363</v>
      </c>
      <c r="AD1914" s="2" t="s">
        <v>412</v>
      </c>
      <c r="AJ1914" s="1">
        <v>2</v>
      </c>
      <c r="AK1914" s="20"/>
      <c r="AL1914" s="1">
        <v>436</v>
      </c>
    </row>
    <row r="1915" spans="1:38" hidden="1" x14ac:dyDescent="0.2">
      <c r="A1915" s="11">
        <v>44707</v>
      </c>
      <c r="B1915" s="53" t="s">
        <v>1640</v>
      </c>
      <c r="C1915" s="52" t="str">
        <f>IF(MID(B1915,4,2)="09","Ramadan",IF(AND(MID(B1915,4,2)="12",VALUE(LEFT(B1915,2))&lt;=9),"Adha Season","Normal"))</f>
        <v>Normal</v>
      </c>
      <c r="D1915" s="1" t="s">
        <v>45</v>
      </c>
      <c r="F1915" s="4" t="s">
        <v>46</v>
      </c>
      <c r="G1915" s="1">
        <v>38</v>
      </c>
      <c r="H1915" s="15">
        <v>37</v>
      </c>
      <c r="I1915" s="1">
        <f>grand[[#This Row],[number]]-grand[[#This Row],[received]]</f>
        <v>1</v>
      </c>
      <c r="J1915" s="30" t="s">
        <v>161</v>
      </c>
      <c r="K1915" s="9">
        <v>16650</v>
      </c>
      <c r="L1915" s="9">
        <v>15942</v>
      </c>
      <c r="M1915" s="2">
        <f>K1915-L1915</f>
        <v>708</v>
      </c>
      <c r="N1915" s="9">
        <v>9989.4</v>
      </c>
      <c r="O1915" s="9">
        <v>283</v>
      </c>
      <c r="P1915" s="7">
        <f>grand[[#This Row],[total weight]]/grand[[#This Row],[received]]</f>
        <v>450</v>
      </c>
      <c r="Q1915" s="7">
        <f>grand[[#This Row],[receiving weight]]/grand[[#This Row],[received]]</f>
        <v>430.86486486486484</v>
      </c>
      <c r="R1915" s="7">
        <f>grand[[#This Row],[transportation loss ]]/grand[[#This Row],[received]]</f>
        <v>19.135135135135137</v>
      </c>
      <c r="S1915" s="7">
        <f>grand[[#This Row],[ carcass weight]]/grand[[#This Row],[received]]</f>
        <v>269.98378378378379</v>
      </c>
      <c r="T1915" s="7">
        <f>grand[[#This Row],[ kidneys fat quantity]]/grand[[#This Row],[received]]</f>
        <v>7.6486486486486482</v>
      </c>
      <c r="U1915" s="15">
        <v>24</v>
      </c>
      <c r="V1915" s="15">
        <v>0</v>
      </c>
      <c r="W1915" s="15">
        <v>47.918918918918919</v>
      </c>
      <c r="X1915" s="15">
        <v>10</v>
      </c>
      <c r="Y1915" s="8">
        <v>8.5</v>
      </c>
      <c r="Z1915" s="18">
        <f>grand[[#This Row],[av. Transportation loss]]/grand[[#This Row],[av.total weight]]</f>
        <v>4.2522522522522525E-2</v>
      </c>
      <c r="AA1915" s="12">
        <f>AVERAGE((grand[[#This Row],[am]]/25),(grand[[#This Row],[pm]]/50))</f>
        <v>0.95918918918918916</v>
      </c>
      <c r="AB1915" s="3">
        <f>grand[[#This Row],[ carcass weight]]/grand[[#This Row],[total weight]]</f>
        <v>0.5999639639639639</v>
      </c>
      <c r="AC1915" s="19">
        <f>SUM(grand[[#This Row],[am]:[meat transportation]])/100</f>
        <v>0.90418918918918922</v>
      </c>
      <c r="AD1915" s="2" t="s">
        <v>429</v>
      </c>
      <c r="AG1915" s="1" t="s">
        <v>430</v>
      </c>
      <c r="AJ1915" s="1">
        <f>6+1</f>
        <v>7</v>
      </c>
      <c r="AK1915" s="20"/>
      <c r="AL1915" s="1">
        <f>403+3</f>
        <v>406</v>
      </c>
    </row>
    <row r="1916" spans="1:38" hidden="1" x14ac:dyDescent="0.2">
      <c r="A1916" s="11">
        <v>44717</v>
      </c>
      <c r="B1916" s="53" t="s">
        <v>1646</v>
      </c>
      <c r="C1916" s="52" t="str">
        <f>IF(MID(B1916,4,2)="09","Ramadan",IF(AND(MID(B1916,4,2)="12",VALUE(LEFT(B1916,2))&lt;=9),"Adha Season","Normal"))</f>
        <v>Normal</v>
      </c>
      <c r="D1916" s="1" t="s">
        <v>45</v>
      </c>
      <c r="F1916" s="4" t="s">
        <v>280</v>
      </c>
      <c r="G1916" s="1">
        <v>42</v>
      </c>
      <c r="H1916" s="15">
        <v>41</v>
      </c>
      <c r="I1916" s="1">
        <f>grand[[#This Row],[number]]-grand[[#This Row],[received]]</f>
        <v>1</v>
      </c>
      <c r="J1916" s="30" t="s">
        <v>410</v>
      </c>
      <c r="K1916" s="9">
        <v>20034</v>
      </c>
      <c r="L1916" s="9">
        <v>19504</v>
      </c>
      <c r="M1916" s="2">
        <f>K1916-L1916</f>
        <v>530</v>
      </c>
      <c r="N1916" s="9">
        <v>12106.599999999999</v>
      </c>
      <c r="O1916" s="9">
        <v>353</v>
      </c>
      <c r="P1916" s="7">
        <f>grand[[#This Row],[total weight]]/grand[[#This Row],[received]]</f>
        <v>488.63414634146341</v>
      </c>
      <c r="Q1916" s="7">
        <f>grand[[#This Row],[receiving weight]]/grand[[#This Row],[received]]</f>
        <v>475.70731707317071</v>
      </c>
      <c r="R1916" s="7">
        <f>grand[[#This Row],[transportation loss ]]/grand[[#This Row],[received]]</f>
        <v>12.926829268292684</v>
      </c>
      <c r="S1916" s="7">
        <f>grand[[#This Row],[ carcass weight]]/grand[[#This Row],[received]]</f>
        <v>295.28292682926826</v>
      </c>
      <c r="T1916" s="7">
        <f>grand[[#This Row],[ kidneys fat quantity]]/grand[[#This Row],[received]]</f>
        <v>8.6097560975609753</v>
      </c>
      <c r="U1916" s="15">
        <v>25</v>
      </c>
      <c r="V1916" s="15">
        <v>0</v>
      </c>
      <c r="W1916" s="15">
        <v>48.634146341463421</v>
      </c>
      <c r="X1916" s="15">
        <v>10</v>
      </c>
      <c r="Y1916" s="8">
        <v>8.5</v>
      </c>
      <c r="Z1916" s="18">
        <f>grand[[#This Row],[av. Transportation loss]]/grand[[#This Row],[av.total weight]]</f>
        <v>2.6455026455026457E-2</v>
      </c>
      <c r="AA1916" s="12">
        <f>AVERAGE((grand[[#This Row],[am]]/25),(grand[[#This Row],[pm]]/50))</f>
        <v>0.98634146341463413</v>
      </c>
      <c r="AB1916" s="3">
        <f>grand[[#This Row],[ carcass weight]]/grand[[#This Row],[total weight]]</f>
        <v>0.60430268543476084</v>
      </c>
      <c r="AC1916" s="19">
        <f>SUM(grand[[#This Row],[am]:[meat transportation]])/100</f>
        <v>0.92134146341463419</v>
      </c>
      <c r="AD1916" s="2" t="s">
        <v>228</v>
      </c>
      <c r="AJ1916" s="1">
        <v>7</v>
      </c>
      <c r="AK1916" s="20"/>
      <c r="AL1916" s="1">
        <v>419.5</v>
      </c>
    </row>
    <row r="1917" spans="1:38" hidden="1" x14ac:dyDescent="0.2">
      <c r="A1917" s="11">
        <v>44723</v>
      </c>
      <c r="B1917" s="53" t="s">
        <v>1649</v>
      </c>
      <c r="C1917" s="52" t="str">
        <f>IF(MID(B1917,4,2)="09","Ramadan",IF(AND(MID(B1917,4,2)="12",VALUE(LEFT(B1917,2))&lt;=9),"Adha Season","Normal"))</f>
        <v>Normal</v>
      </c>
      <c r="D1917" s="1" t="s">
        <v>45</v>
      </c>
      <c r="E1917" s="1" t="s">
        <v>483</v>
      </c>
      <c r="F1917" s="4" t="s">
        <v>43</v>
      </c>
      <c r="G1917" s="1">
        <v>24</v>
      </c>
      <c r="H1917" s="15">
        <v>23</v>
      </c>
      <c r="I1917" s="1">
        <f>grand[[#This Row],[number]]-grand[[#This Row],[received]]</f>
        <v>1</v>
      </c>
      <c r="J1917" s="30" t="s">
        <v>434</v>
      </c>
      <c r="K1917" s="9">
        <v>9670</v>
      </c>
      <c r="L1917" s="9">
        <v>9227</v>
      </c>
      <c r="M1917" s="2">
        <f>K1917-L1917</f>
        <v>443</v>
      </c>
      <c r="N1917" s="9">
        <v>5801.7</v>
      </c>
      <c r="O1917" s="9">
        <v>168</v>
      </c>
      <c r="P1917" s="7">
        <f>grand[[#This Row],[total weight]]/grand[[#This Row],[received]]</f>
        <v>420.43478260869563</v>
      </c>
      <c r="Q1917" s="7">
        <f>grand[[#This Row],[receiving weight]]/grand[[#This Row],[received]]</f>
        <v>401.17391304347825</v>
      </c>
      <c r="R1917" s="7">
        <f>grand[[#This Row],[transportation loss ]]/grand[[#This Row],[received]]</f>
        <v>19.260869565217391</v>
      </c>
      <c r="S1917" s="7">
        <f>grand[[#This Row],[ carcass weight]]/grand[[#This Row],[received]]</f>
        <v>252.24782608695651</v>
      </c>
      <c r="T1917" s="7">
        <f>grand[[#This Row],[ kidneys fat quantity]]/grand[[#This Row],[received]]</f>
        <v>7.3043478260869561</v>
      </c>
      <c r="U1917" s="15">
        <v>25</v>
      </c>
      <c r="V1917" s="15">
        <v>0</v>
      </c>
      <c r="W1917" s="15">
        <v>49.173913043478265</v>
      </c>
      <c r="X1917" s="15">
        <v>10</v>
      </c>
      <c r="Y1917" s="8">
        <v>8.5</v>
      </c>
      <c r="Z1917" s="18">
        <f>grand[[#This Row],[av. Transportation loss]]/grand[[#This Row],[av.total weight]]</f>
        <v>4.5811789038262669E-2</v>
      </c>
      <c r="AA1917" s="12">
        <f>AVERAGE((grand[[#This Row],[am]]/25),(grand[[#This Row],[pm]]/50))</f>
        <v>0.99173913043478268</v>
      </c>
      <c r="AB1917" s="3">
        <f>grand[[#This Row],[ carcass weight]]/grand[[#This Row],[total weight]]</f>
        <v>0.59996897621509826</v>
      </c>
      <c r="AC1917" s="19">
        <f>SUM(grand[[#This Row],[am]:[meat transportation]])/100</f>
        <v>0.92673913043478262</v>
      </c>
      <c r="AD1917" s="2" t="s">
        <v>346</v>
      </c>
      <c r="AJ1917" s="1">
        <v>2</v>
      </c>
      <c r="AK1917" s="20"/>
      <c r="AL1917" s="1">
        <v>427</v>
      </c>
    </row>
    <row r="1918" spans="1:38" hidden="1" x14ac:dyDescent="0.2">
      <c r="A1918" s="11">
        <v>44726</v>
      </c>
      <c r="B1918" s="53" t="s">
        <v>1651</v>
      </c>
      <c r="C1918" s="52" t="str">
        <f>IF(MID(B1918,4,2)="09","Ramadan",IF(AND(MID(B1918,4,2)="12",VALUE(LEFT(B1918,2))&lt;=9),"Adha Season","Normal"))</f>
        <v>Normal</v>
      </c>
      <c r="D1918" s="1" t="s">
        <v>45</v>
      </c>
      <c r="E1918" s="1" t="s">
        <v>481</v>
      </c>
      <c r="F1918" s="4" t="s">
        <v>39</v>
      </c>
      <c r="G1918" s="1">
        <v>16</v>
      </c>
      <c r="H1918" s="15">
        <v>15</v>
      </c>
      <c r="I1918" s="1">
        <f>grand[[#This Row],[number]]-grand[[#This Row],[received]]</f>
        <v>1</v>
      </c>
      <c r="J1918" s="30" t="s">
        <v>435</v>
      </c>
      <c r="K1918" s="9">
        <v>6519</v>
      </c>
      <c r="L1918" s="9">
        <v>6519</v>
      </c>
      <c r="M1918" s="2">
        <f>K1918-L1918</f>
        <v>0</v>
      </c>
      <c r="N1918" s="9">
        <v>3916.4</v>
      </c>
      <c r="O1918" s="9">
        <v>108</v>
      </c>
      <c r="P1918" s="7">
        <f>grand[[#This Row],[total weight]]/grand[[#This Row],[received]]</f>
        <v>434.6</v>
      </c>
      <c r="Q1918" s="7">
        <f>grand[[#This Row],[receiving weight]]/grand[[#This Row],[received]]</f>
        <v>434.6</v>
      </c>
      <c r="R1918" s="7">
        <f>grand[[#This Row],[transportation loss ]]/grand[[#This Row],[received]]</f>
        <v>0</v>
      </c>
      <c r="S1918" s="7">
        <f>grand[[#This Row],[ carcass weight]]/grand[[#This Row],[received]]</f>
        <v>261.09333333333336</v>
      </c>
      <c r="T1918" s="7">
        <f>grand[[#This Row],[ kidneys fat quantity]]/grand[[#This Row],[received]]</f>
        <v>7.2</v>
      </c>
      <c r="U1918" s="15">
        <v>25</v>
      </c>
      <c r="V1918" s="15">
        <v>0</v>
      </c>
      <c r="W1918" s="15">
        <v>50</v>
      </c>
      <c r="X1918" s="15">
        <v>10</v>
      </c>
      <c r="Y1918" s="8">
        <v>8.5</v>
      </c>
      <c r="Z1918" s="18">
        <f>grand[[#This Row],[av. Transportation loss]]/grand[[#This Row],[av.total weight]]</f>
        <v>0</v>
      </c>
      <c r="AA1918" s="12">
        <f>AVERAGE((grand[[#This Row],[am]]/25),(grand[[#This Row],[pm]]/50))</f>
        <v>1</v>
      </c>
      <c r="AB1918" s="3">
        <f>grand[[#This Row],[ carcass weight]]/grand[[#This Row],[total weight]]</f>
        <v>0.60076698880196355</v>
      </c>
      <c r="AC1918" s="19">
        <f>SUM(grand[[#This Row],[am]:[meat transportation]])/100</f>
        <v>0.93500000000000005</v>
      </c>
      <c r="AD1918" s="2"/>
      <c r="AJ1918" s="1">
        <v>0</v>
      </c>
      <c r="AK1918" s="20"/>
      <c r="AL1918" s="1">
        <v>452</v>
      </c>
    </row>
    <row r="1919" spans="1:38" hidden="1" x14ac:dyDescent="0.2">
      <c r="A1919" s="11">
        <v>44733</v>
      </c>
      <c r="B1919" s="53" t="s">
        <v>1655</v>
      </c>
      <c r="C1919" s="52" t="str">
        <f>IF(MID(B1919,4,2)="09","Ramadan",IF(AND(MID(B1919,4,2)="12",VALUE(LEFT(B1919,2))&lt;=9),"Adha Season","Normal"))</f>
        <v>Normal</v>
      </c>
      <c r="D1919" s="1" t="s">
        <v>45</v>
      </c>
      <c r="E1919" s="1" t="s">
        <v>481</v>
      </c>
      <c r="F1919" s="4" t="s">
        <v>39</v>
      </c>
      <c r="G1919" s="1">
        <v>20</v>
      </c>
      <c r="H1919" s="15">
        <v>19</v>
      </c>
      <c r="I1919" s="1">
        <f>grand[[#This Row],[number]]-grand[[#This Row],[received]]</f>
        <v>1</v>
      </c>
      <c r="J1919" s="30" t="s">
        <v>435</v>
      </c>
      <c r="K1919" s="9">
        <v>8910</v>
      </c>
      <c r="L1919" s="9">
        <v>8432</v>
      </c>
      <c r="M1919" s="2">
        <f>K1919-L1919</f>
        <v>478</v>
      </c>
      <c r="N1919" s="9">
        <v>5454.7</v>
      </c>
      <c r="O1919" s="9">
        <v>170</v>
      </c>
      <c r="P1919" s="7">
        <f>grand[[#This Row],[total weight]]/grand[[#This Row],[received]]</f>
        <v>468.94736842105266</v>
      </c>
      <c r="Q1919" s="7">
        <f>grand[[#This Row],[receiving weight]]/grand[[#This Row],[received]]</f>
        <v>443.78947368421052</v>
      </c>
      <c r="R1919" s="7">
        <f>grand[[#This Row],[transportation loss ]]/grand[[#This Row],[received]]</f>
        <v>25.157894736842106</v>
      </c>
      <c r="S1919" s="7">
        <f>grand[[#This Row],[ carcass weight]]/grand[[#This Row],[received]]</f>
        <v>287.08947368421053</v>
      </c>
      <c r="T1919" s="7">
        <f>grand[[#This Row],[ kidneys fat quantity]]/grand[[#This Row],[received]]</f>
        <v>8.9473684210526319</v>
      </c>
      <c r="U1919" s="15">
        <v>25</v>
      </c>
      <c r="V1919" s="15">
        <v>0</v>
      </c>
      <c r="W1919" s="15">
        <v>47.631578947368425</v>
      </c>
      <c r="X1919" s="15">
        <v>10</v>
      </c>
      <c r="Y1919" s="8">
        <v>8.5</v>
      </c>
      <c r="Z1919" s="20">
        <f>grand[[#This Row],[av. Transportation loss]]/grand[[#This Row],[av.total weight]]</f>
        <v>5.3647586980920314E-2</v>
      </c>
      <c r="AA1919" s="12">
        <f>AVERAGE((grand[[#This Row],[am]]/25),(grand[[#This Row],[pm]]/50))</f>
        <v>0.97631578947368425</v>
      </c>
      <c r="AB1919" s="12">
        <f>grand[[#This Row],[ carcass weight]]/grand[[#This Row],[total weight]]</f>
        <v>0.61219977553310889</v>
      </c>
      <c r="AC1919" s="22">
        <f>SUM(grand[[#This Row],[am]:[meat transportation]])/100</f>
        <v>0.9113157894736843</v>
      </c>
      <c r="AD1919" s="2"/>
      <c r="AJ1919" s="1">
        <v>3</v>
      </c>
      <c r="AK1919" s="20"/>
      <c r="AL1919" s="1">
        <v>382</v>
      </c>
    </row>
    <row r="1920" spans="1:38" hidden="1" x14ac:dyDescent="0.2">
      <c r="A1920" s="11">
        <v>44735</v>
      </c>
      <c r="B1920" s="53" t="s">
        <v>1656</v>
      </c>
      <c r="C1920" s="52" t="str">
        <f>IF(MID(B1920,4,2)="09","Ramadan",IF(AND(MID(B1920,4,2)="12",VALUE(LEFT(B1920,2))&lt;=9),"Adha Season","Normal"))</f>
        <v>Normal</v>
      </c>
      <c r="D1920" s="1" t="s">
        <v>45</v>
      </c>
      <c r="F1920" s="4" t="s">
        <v>46</v>
      </c>
      <c r="G1920" s="1">
        <v>36</v>
      </c>
      <c r="H1920" s="15">
        <v>35</v>
      </c>
      <c r="I1920" s="1">
        <f>grand[[#This Row],[number]]-grand[[#This Row],[received]]</f>
        <v>1</v>
      </c>
      <c r="J1920" s="30" t="s">
        <v>436</v>
      </c>
      <c r="K1920" s="9">
        <v>15382</v>
      </c>
      <c r="L1920" s="9">
        <v>15056</v>
      </c>
      <c r="M1920" s="2">
        <f>K1920-L1920</f>
        <v>326</v>
      </c>
      <c r="N1920" s="9">
        <v>9229.7999999999993</v>
      </c>
      <c r="O1920" s="9">
        <v>294</v>
      </c>
      <c r="P1920" s="7">
        <f>grand[[#This Row],[total weight]]/grand[[#This Row],[received]]</f>
        <v>439.48571428571427</v>
      </c>
      <c r="Q1920" s="7">
        <f>grand[[#This Row],[receiving weight]]/grand[[#This Row],[received]]</f>
        <v>430.17142857142858</v>
      </c>
      <c r="R1920" s="7">
        <f>grand[[#This Row],[transportation loss ]]/grand[[#This Row],[received]]</f>
        <v>9.3142857142857149</v>
      </c>
      <c r="S1920" s="7">
        <f>grand[[#This Row],[ carcass weight]]/grand[[#This Row],[received]]</f>
        <v>263.70857142857142</v>
      </c>
      <c r="T1920" s="7">
        <f>grand[[#This Row],[ kidneys fat quantity]]/grand[[#This Row],[received]]</f>
        <v>8.4</v>
      </c>
      <c r="U1920" s="15">
        <v>25</v>
      </c>
      <c r="V1920" s="15">
        <v>0</v>
      </c>
      <c r="W1920" s="15">
        <v>49.542857142857144</v>
      </c>
      <c r="X1920" s="15">
        <v>10</v>
      </c>
      <c r="Y1920" s="8">
        <v>8.5</v>
      </c>
      <c r="Z1920" s="20">
        <f>grand[[#This Row],[av. Transportation loss]]/grand[[#This Row],[av.total weight]]</f>
        <v>2.1193602912495127E-2</v>
      </c>
      <c r="AA1920" s="12">
        <f>AVERAGE((grand[[#This Row],[am]]/25),(grand[[#This Row],[pm]]/50))</f>
        <v>0.99542857142857144</v>
      </c>
      <c r="AB1920" s="12">
        <f>grand[[#This Row],[ carcass weight]]/grand[[#This Row],[total weight]]</f>
        <v>0.60003900663112719</v>
      </c>
      <c r="AC1920" s="22">
        <f>SUM(grand[[#This Row],[am]:[meat transportation]])/100</f>
        <v>0.93042857142857149</v>
      </c>
      <c r="AD1920" s="2" t="s">
        <v>346</v>
      </c>
      <c r="AJ1920" s="1">
        <v>4</v>
      </c>
      <c r="AK1920" s="20"/>
      <c r="AL1920" s="1">
        <v>435</v>
      </c>
    </row>
    <row r="1921" spans="1:38" hidden="1" x14ac:dyDescent="0.2">
      <c r="A1921" s="11">
        <v>44738</v>
      </c>
      <c r="B1921" s="53" t="s">
        <v>1658</v>
      </c>
      <c r="C1921" s="52" t="str">
        <f>IF(MID(B1921,4,2)="09","Ramadan",IF(AND(MID(B1921,4,2)="12",VALUE(LEFT(B1921,2))&lt;=9),"Adha Season","Normal"))</f>
        <v>Normal</v>
      </c>
      <c r="D1921" s="1" t="s">
        <v>45</v>
      </c>
      <c r="F1921" s="4" t="s">
        <v>280</v>
      </c>
      <c r="G1921" s="1">
        <v>16</v>
      </c>
      <c r="H1921" s="15">
        <v>15</v>
      </c>
      <c r="I1921" s="1">
        <f>grand[[#This Row],[number]]-grand[[#This Row],[received]]</f>
        <v>1</v>
      </c>
      <c r="J1921" s="30" t="s">
        <v>410</v>
      </c>
      <c r="K1921" s="9">
        <v>7662</v>
      </c>
      <c r="L1921" s="9">
        <v>7332</v>
      </c>
      <c r="M1921" s="2">
        <f>K1921-L1921</f>
        <v>330</v>
      </c>
      <c r="N1921" s="9">
        <v>4669.8</v>
      </c>
      <c r="O1921" s="9">
        <v>93</v>
      </c>
      <c r="P1921" s="7">
        <f>grand[[#This Row],[total weight]]/grand[[#This Row],[received]]</f>
        <v>510.8</v>
      </c>
      <c r="Q1921" s="7">
        <f>grand[[#This Row],[receiving weight]]/grand[[#This Row],[received]]</f>
        <v>488.8</v>
      </c>
      <c r="R1921" s="7">
        <f>grand[[#This Row],[transportation loss ]]/grand[[#This Row],[received]]</f>
        <v>22</v>
      </c>
      <c r="S1921" s="7">
        <f>grand[[#This Row],[ carcass weight]]/grand[[#This Row],[received]]</f>
        <v>311.32</v>
      </c>
      <c r="T1921" s="7">
        <f>grand[[#This Row],[ kidneys fat quantity]]/grand[[#This Row],[received]]</f>
        <v>6.2</v>
      </c>
      <c r="U1921" s="15">
        <v>25</v>
      </c>
      <c r="V1921" s="15">
        <v>0</v>
      </c>
      <c r="W1921" s="15">
        <v>45</v>
      </c>
      <c r="X1921" s="15">
        <v>10</v>
      </c>
      <c r="Y1921" s="8">
        <v>8.5</v>
      </c>
      <c r="Z1921" s="20">
        <f>grand[[#This Row],[av. Transportation loss]]/grand[[#This Row],[av.total weight]]</f>
        <v>4.306969459671104E-2</v>
      </c>
      <c r="AA1921" s="12">
        <f>AVERAGE((grand[[#This Row],[am]]/25),(grand[[#This Row],[pm]]/50))</f>
        <v>0.95</v>
      </c>
      <c r="AB1921" s="12">
        <f>grand[[#This Row],[ carcass weight]]/grand[[#This Row],[total weight]]</f>
        <v>0.60947533281127642</v>
      </c>
      <c r="AC1921" s="22">
        <f>SUM(grand[[#This Row],[am]:[meat transportation]])/100</f>
        <v>0.88500000000000001</v>
      </c>
      <c r="AD1921" s="2"/>
      <c r="AJ1921" s="1">
        <v>0</v>
      </c>
      <c r="AK1921" s="20"/>
      <c r="AL1921" s="1">
        <v>591</v>
      </c>
    </row>
    <row r="1922" spans="1:38" hidden="1" x14ac:dyDescent="0.2">
      <c r="A1922" s="11">
        <v>44747</v>
      </c>
      <c r="B1922" s="53" t="s">
        <v>1664</v>
      </c>
      <c r="C1922" s="52" t="str">
        <f>IF(MID(B1922,4,2)="09","Ramadan",IF(AND(MID(B1922,4,2)="12",VALUE(LEFT(B1922,2))&lt;=9),"Adha Season","Normal"))</f>
        <v>Adha Season</v>
      </c>
      <c r="D1922" s="1" t="s">
        <v>45</v>
      </c>
      <c r="F1922" s="4" t="s">
        <v>280</v>
      </c>
      <c r="G1922" s="1">
        <v>16</v>
      </c>
      <c r="H1922" s="15">
        <v>15</v>
      </c>
      <c r="I1922" s="1">
        <f>grand[[#This Row],[number]]-grand[[#This Row],[received]]</f>
        <v>1</v>
      </c>
      <c r="J1922" s="30" t="s">
        <v>410</v>
      </c>
      <c r="K1922" s="2">
        <v>7945</v>
      </c>
      <c r="L1922" s="2">
        <v>7945</v>
      </c>
      <c r="M1922" s="2">
        <f>K1922-L1922</f>
        <v>0</v>
      </c>
      <c r="N1922" s="2">
        <v>4877</v>
      </c>
      <c r="O1922" s="2">
        <v>109</v>
      </c>
      <c r="P1922" s="7">
        <f>grand[[#This Row],[total weight]]/grand[[#This Row],[received]]</f>
        <v>529.66666666666663</v>
      </c>
      <c r="Q1922" s="7">
        <f>grand[[#This Row],[receiving weight]]/grand[[#This Row],[received]]</f>
        <v>529.66666666666663</v>
      </c>
      <c r="R1922" s="7">
        <f>grand[[#This Row],[transportation loss ]]/grand[[#This Row],[received]]</f>
        <v>0</v>
      </c>
      <c r="S1922" s="7">
        <f>grand[[#This Row],[ carcass weight]]/grand[[#This Row],[received]]</f>
        <v>325.13333333333333</v>
      </c>
      <c r="T1922" s="7">
        <f>grand[[#This Row],[ kidneys fat quantity]]/grand[[#This Row],[received]]</f>
        <v>7.2666666666666666</v>
      </c>
      <c r="U1922" s="15">
        <v>25</v>
      </c>
      <c r="V1922" s="15">
        <v>0</v>
      </c>
      <c r="W1922" s="15">
        <v>46.666666666666664</v>
      </c>
      <c r="X1922" s="15">
        <v>10</v>
      </c>
      <c r="Y1922" s="8">
        <v>8.5</v>
      </c>
      <c r="Z1922" s="20">
        <f>grand[[#This Row],[av. Transportation loss]]/grand[[#This Row],[av.total weight]]</f>
        <v>0</v>
      </c>
      <c r="AA1922" s="12">
        <f>AVERAGE((grand[[#This Row],[am]]/25),(grand[[#This Row],[pm]]/50))</f>
        <v>0.96666666666666656</v>
      </c>
      <c r="AB1922" s="12">
        <f>grand[[#This Row],[ carcass weight]]/grand[[#This Row],[total weight]]</f>
        <v>0.61384518565135304</v>
      </c>
      <c r="AC1922" s="22">
        <f>SUM(grand[[#This Row],[am]:[meat transportation]])/100</f>
        <v>0.90166666666666662</v>
      </c>
      <c r="AD1922" s="2"/>
      <c r="AJ1922" s="1">
        <v>3</v>
      </c>
      <c r="AK1922" s="20"/>
      <c r="AL1922" s="1">
        <v>465</v>
      </c>
    </row>
    <row r="1923" spans="1:38" hidden="1" x14ac:dyDescent="0.2">
      <c r="A1923" s="11">
        <v>44750</v>
      </c>
      <c r="B1923" s="53" t="s">
        <v>1667</v>
      </c>
      <c r="C1923" s="52" t="str">
        <f>IF(MID(B1923,4,2)="09","Ramadan",IF(AND(MID(B1923,4,2)="12",VALUE(LEFT(B1923,2))&lt;=9),"Adha Season","Normal"))</f>
        <v>Adha Season</v>
      </c>
      <c r="D1923" s="1" t="s">
        <v>45</v>
      </c>
      <c r="F1923" s="4" t="s">
        <v>46</v>
      </c>
      <c r="G1923" s="1">
        <v>60</v>
      </c>
      <c r="H1923" s="15">
        <v>59</v>
      </c>
      <c r="I1923" s="1">
        <f>grand[[#This Row],[number]]-grand[[#This Row],[received]]</f>
        <v>1</v>
      </c>
      <c r="J1923" s="30" t="s">
        <v>444</v>
      </c>
      <c r="K1923" s="2">
        <v>28582</v>
      </c>
      <c r="L1923" s="2">
        <v>28582</v>
      </c>
      <c r="M1923" s="2">
        <f>K1923-L1923</f>
        <v>0</v>
      </c>
      <c r="N1923" s="2">
        <v>17148.5</v>
      </c>
      <c r="O1923" s="2">
        <v>536</v>
      </c>
      <c r="P1923" s="7">
        <f>grand[[#This Row],[total weight]]/grand[[#This Row],[received]]</f>
        <v>484.4406779661017</v>
      </c>
      <c r="Q1923" s="7">
        <f>grand[[#This Row],[receiving weight]]/grand[[#This Row],[received]]</f>
        <v>484.4406779661017</v>
      </c>
      <c r="R1923" s="7">
        <f>grand[[#This Row],[transportation loss ]]/grand[[#This Row],[received]]</f>
        <v>0</v>
      </c>
      <c r="S1923" s="7">
        <f>grand[[#This Row],[ carcass weight]]/grand[[#This Row],[received]]</f>
        <v>290.65254237288133</v>
      </c>
      <c r="T1923" s="7">
        <f>grand[[#This Row],[ kidneys fat quantity]]/grand[[#This Row],[received]]</f>
        <v>9.0847457627118651</v>
      </c>
      <c r="U1923" s="15">
        <v>24.237288135593218</v>
      </c>
      <c r="V1923" s="15">
        <v>0</v>
      </c>
      <c r="W1923" s="15">
        <v>48.796610169491522</v>
      </c>
      <c r="X1923" s="15">
        <v>10</v>
      </c>
      <c r="Y1923" s="8">
        <v>8.5</v>
      </c>
      <c r="Z1923" s="20">
        <f>grand[[#This Row],[av. Transportation loss]]/grand[[#This Row],[av.total weight]]</f>
        <v>0</v>
      </c>
      <c r="AA1923" s="12">
        <f>AVERAGE((grand[[#This Row],[am]]/25),(grand[[#This Row],[pm]]/50))</f>
        <v>0.97271186440677959</v>
      </c>
      <c r="AB1923" s="12">
        <f>grand[[#This Row],[ carcass weight]]/grand[[#This Row],[total weight]]</f>
        <v>0.59997550906164721</v>
      </c>
      <c r="AC1923" s="22">
        <f>SUM(grand[[#This Row],[am]:[meat transportation]])/100</f>
        <v>0.91533898305084738</v>
      </c>
      <c r="AD1923" s="9" t="s">
        <v>445</v>
      </c>
      <c r="AJ1923" s="1">
        <v>19</v>
      </c>
      <c r="AK1923" s="20"/>
      <c r="AL1923" s="1">
        <v>420</v>
      </c>
    </row>
    <row r="1924" spans="1:38" hidden="1" x14ac:dyDescent="0.2">
      <c r="A1924" s="11">
        <v>44761</v>
      </c>
      <c r="B1924" s="53" t="s">
        <v>1671</v>
      </c>
      <c r="C1924" s="52" t="str">
        <f>IF(MID(B1924,4,2)="09","Ramadan",IF(AND(MID(B1924,4,2)="12",VALUE(LEFT(B1924,2))&lt;=9),"Adha Season","Normal"))</f>
        <v>Normal</v>
      </c>
      <c r="D1924" s="1" t="s">
        <v>45</v>
      </c>
      <c r="E1924" s="1" t="s">
        <v>482</v>
      </c>
      <c r="F1924" s="4" t="s">
        <v>39</v>
      </c>
      <c r="G1924" s="1">
        <v>26</v>
      </c>
      <c r="H1924" s="15">
        <v>25</v>
      </c>
      <c r="I1924" s="1">
        <f>grand[[#This Row],[number]]-grand[[#This Row],[received]]</f>
        <v>1</v>
      </c>
      <c r="J1924" s="30" t="s">
        <v>449</v>
      </c>
      <c r="K1924" s="2">
        <v>14041</v>
      </c>
      <c r="L1924" s="2">
        <v>13367</v>
      </c>
      <c r="M1924" s="2">
        <f>K1924-L1924</f>
        <v>674</v>
      </c>
      <c r="N1924" s="2">
        <v>8782</v>
      </c>
      <c r="O1924" s="2">
        <v>138</v>
      </c>
      <c r="P1924" s="7">
        <f>grand[[#This Row],[total weight]]/grand[[#This Row],[received]]</f>
        <v>561.64</v>
      </c>
      <c r="Q1924" s="7">
        <f>grand[[#This Row],[receiving weight]]/grand[[#This Row],[received]]</f>
        <v>534.67999999999995</v>
      </c>
      <c r="R1924" s="7">
        <f>grand[[#This Row],[transportation loss ]]/grand[[#This Row],[received]]</f>
        <v>26.96</v>
      </c>
      <c r="S1924" s="7">
        <f>grand[[#This Row],[ carcass weight]]/grand[[#This Row],[received]]</f>
        <v>351.28</v>
      </c>
      <c r="T1924" s="7">
        <f>grand[[#This Row],[ kidneys fat quantity]]/grand[[#This Row],[received]]</f>
        <v>5.52</v>
      </c>
      <c r="U1924" s="15">
        <v>25</v>
      </c>
      <c r="V1924" s="15">
        <v>0</v>
      </c>
      <c r="W1924" s="15">
        <v>48.72</v>
      </c>
      <c r="X1924" s="15">
        <v>10</v>
      </c>
      <c r="Y1924" s="8">
        <v>8.5</v>
      </c>
      <c r="Z1924" s="20">
        <f>grand[[#This Row],[av. Transportation loss]]/grand[[#This Row],[av.total weight]]</f>
        <v>4.8002279039954424E-2</v>
      </c>
      <c r="AA1924" s="12">
        <f>AVERAGE((grand[[#This Row],[am]]/25),(grand[[#This Row],[pm]]/50))</f>
        <v>0.98719999999999997</v>
      </c>
      <c r="AB1924" s="12">
        <f>grand[[#This Row],[ carcass weight]]/grand[[#This Row],[total weight]]</f>
        <v>0.6254540274909195</v>
      </c>
      <c r="AC1924" s="22">
        <f>SUM(grand[[#This Row],[am]:[meat transportation]])/100</f>
        <v>0.92220000000000002</v>
      </c>
      <c r="AD1924" s="9" t="s">
        <v>365</v>
      </c>
      <c r="AJ1924" s="1">
        <v>0</v>
      </c>
      <c r="AK1924" s="20"/>
      <c r="AL1924" s="1">
        <f>7+482</f>
        <v>489</v>
      </c>
    </row>
    <row r="1925" spans="1:38" hidden="1" x14ac:dyDescent="0.2">
      <c r="A1925" s="11">
        <v>44763</v>
      </c>
      <c r="B1925" s="53" t="s">
        <v>1672</v>
      </c>
      <c r="C1925" s="52" t="str">
        <f>IF(MID(B1925,4,2)="09","Ramadan",IF(AND(MID(B1925,4,2)="12",VALUE(LEFT(B1925,2))&lt;=9),"Adha Season","Normal"))</f>
        <v>Normal</v>
      </c>
      <c r="D1925" s="2" t="s">
        <v>294</v>
      </c>
      <c r="F1925" s="4" t="s">
        <v>46</v>
      </c>
      <c r="G1925" s="1">
        <v>30</v>
      </c>
      <c r="H1925" s="15">
        <v>29</v>
      </c>
      <c r="I1925" s="1">
        <f>grand[[#This Row],[number]]-grand[[#This Row],[received]]</f>
        <v>1</v>
      </c>
      <c r="J1925" s="30" t="s">
        <v>450</v>
      </c>
      <c r="K1925" s="2">
        <v>1853</v>
      </c>
      <c r="L1925" s="2">
        <v>1853</v>
      </c>
      <c r="M1925" s="2">
        <f>K1925-L1925</f>
        <v>0</v>
      </c>
      <c r="N1925" s="2">
        <v>1056.5</v>
      </c>
      <c r="O1925" s="2">
        <v>0</v>
      </c>
      <c r="P1925" s="7">
        <f>grand[[#This Row],[total weight]]/grand[[#This Row],[received]]</f>
        <v>63.896551724137929</v>
      </c>
      <c r="Q1925" s="7">
        <f>grand[[#This Row],[receiving weight]]/grand[[#This Row],[received]]</f>
        <v>63.896551724137929</v>
      </c>
      <c r="R1925" s="7">
        <f>grand[[#This Row],[transportation loss ]]/grand[[#This Row],[received]]</f>
        <v>0</v>
      </c>
      <c r="S1925" s="7">
        <f>grand[[#This Row],[ carcass weight]]/grand[[#This Row],[received]]</f>
        <v>36.431034482758619</v>
      </c>
      <c r="T1925" s="7">
        <f>grand[[#This Row],[ kidneys fat quantity]]/grand[[#This Row],[received]]</f>
        <v>0</v>
      </c>
      <c r="U1925" s="15">
        <v>25</v>
      </c>
      <c r="V1925" s="15">
        <v>0</v>
      </c>
      <c r="W1925" s="15">
        <v>41</v>
      </c>
      <c r="X1925" s="15">
        <v>10</v>
      </c>
      <c r="Y1925" s="8">
        <v>7</v>
      </c>
      <c r="Z1925" s="20">
        <f>grand[[#This Row],[av. Transportation loss]]/grand[[#This Row],[av.total weight]]</f>
        <v>0</v>
      </c>
      <c r="AA1925" s="12">
        <f>AVERAGE((grand[[#This Row],[am]]/25),(grand[[#This Row],[pm]]/50))</f>
        <v>0.90999999999999992</v>
      </c>
      <c r="AB1925" s="12">
        <f>grand[[#This Row],[ carcass weight]]/grand[[#This Row],[total weight]]</f>
        <v>0.57015650296815978</v>
      </c>
      <c r="AC1925" s="22">
        <f>SUM(grand[[#This Row],[am]:[meat transportation]])/100</f>
        <v>0.83</v>
      </c>
      <c r="AD1925" s="9" t="s">
        <v>451</v>
      </c>
      <c r="AJ1925" s="1">
        <v>0</v>
      </c>
      <c r="AK1925" s="20"/>
      <c r="AL1925" s="1">
        <v>25</v>
      </c>
    </row>
    <row r="1926" spans="1:38" hidden="1" x14ac:dyDescent="0.2">
      <c r="A1926" s="11">
        <v>44780</v>
      </c>
      <c r="B1926" s="53" t="s">
        <v>1681</v>
      </c>
      <c r="C1926" s="52" t="str">
        <f>IF(MID(B1926,4,2)="09","Ramadan",IF(AND(MID(B1926,4,2)="12",VALUE(LEFT(B1926,2))&lt;=9),"Adha Season","Normal"))</f>
        <v>Normal</v>
      </c>
      <c r="D1926" s="1" t="s">
        <v>45</v>
      </c>
      <c r="F1926" s="4" t="s">
        <v>280</v>
      </c>
      <c r="G1926" s="1">
        <v>40</v>
      </c>
      <c r="H1926" s="15">
        <v>39</v>
      </c>
      <c r="I1926" s="1">
        <f>grand[[#This Row],[number]]-grand[[#This Row],[received]]</f>
        <v>1</v>
      </c>
      <c r="J1926" s="30" t="s">
        <v>112</v>
      </c>
      <c r="K1926" s="2">
        <v>17284</v>
      </c>
      <c r="L1926" s="2">
        <v>16845</v>
      </c>
      <c r="M1926" s="2">
        <f>K1926-L1926</f>
        <v>439</v>
      </c>
      <c r="N1926" s="2">
        <v>10370.1</v>
      </c>
      <c r="O1926" s="2">
        <v>357</v>
      </c>
      <c r="P1926" s="7">
        <f>grand[[#This Row],[total weight]]/grand[[#This Row],[received]]</f>
        <v>443.17948717948718</v>
      </c>
      <c r="Q1926" s="7">
        <f>grand[[#This Row],[receiving weight]]/grand[[#This Row],[received]]</f>
        <v>431.92307692307691</v>
      </c>
      <c r="R1926" s="7">
        <f>grand[[#This Row],[transportation loss ]]/grand[[#This Row],[received]]</f>
        <v>11.256410256410257</v>
      </c>
      <c r="S1926" s="7">
        <f>grand[[#This Row],[ carcass weight]]/grand[[#This Row],[received]]</f>
        <v>265.90000000000003</v>
      </c>
      <c r="T1926" s="7">
        <f>grand[[#This Row],[ kidneys fat quantity]]/grand[[#This Row],[received]]</f>
        <v>9.1538461538461533</v>
      </c>
      <c r="U1926" s="15">
        <v>25</v>
      </c>
      <c r="V1926" s="15">
        <v>0</v>
      </c>
      <c r="W1926" s="15">
        <v>49.743589743589745</v>
      </c>
      <c r="X1926" s="15">
        <v>10</v>
      </c>
      <c r="Y1926" s="8">
        <v>8.5</v>
      </c>
      <c r="Z1926" s="20">
        <f>grand[[#This Row],[av. Transportation loss]]/grand[[#This Row],[av.total weight]]</f>
        <v>2.5399213145105303E-2</v>
      </c>
      <c r="AA1926" s="12">
        <f>AVERAGE((grand[[#This Row],[am]]/25),(grand[[#This Row],[pm]]/50))</f>
        <v>0.99743589743589745</v>
      </c>
      <c r="AB1926" s="12">
        <f>grand[[#This Row],[ carcass weight]]/grand[[#This Row],[total weight]]</f>
        <v>0.59998264290673453</v>
      </c>
      <c r="AC1926" s="22">
        <f>SUM(grand[[#This Row],[am]:[meat transportation]])/100</f>
        <v>0.9324358974358975</v>
      </c>
      <c r="AD1926" s="2"/>
      <c r="AJ1926" s="1">
        <v>2</v>
      </c>
      <c r="AK1926" s="20"/>
      <c r="AL1926" s="1">
        <f>452</f>
        <v>452</v>
      </c>
    </row>
    <row r="1927" spans="1:38" hidden="1" x14ac:dyDescent="0.2">
      <c r="A1927" s="11">
        <v>44782</v>
      </c>
      <c r="B1927" s="53" t="s">
        <v>1682</v>
      </c>
      <c r="C1927" s="52" t="str">
        <f>IF(MID(B1927,4,2)="09","Ramadan",IF(AND(MID(B1927,4,2)="12",VALUE(LEFT(B1927,2))&lt;=9),"Adha Season","Normal"))</f>
        <v>Normal</v>
      </c>
      <c r="D1927" s="1" t="s">
        <v>45</v>
      </c>
      <c r="E1927" s="1" t="s">
        <v>481</v>
      </c>
      <c r="F1927" s="4" t="s">
        <v>39</v>
      </c>
      <c r="G1927" s="1">
        <v>37</v>
      </c>
      <c r="H1927" s="15">
        <v>36</v>
      </c>
      <c r="I1927" s="1">
        <f>grand[[#This Row],[number]]-grand[[#This Row],[received]]</f>
        <v>1</v>
      </c>
      <c r="J1927" s="30" t="s">
        <v>112</v>
      </c>
      <c r="K1927" s="2">
        <v>18934</v>
      </c>
      <c r="L1927" s="2">
        <v>17931</v>
      </c>
      <c r="M1927" s="2">
        <f>K1927-L1927</f>
        <v>1003</v>
      </c>
      <c r="N1927" s="2">
        <v>11581.2</v>
      </c>
      <c r="O1927" s="2">
        <v>251</v>
      </c>
      <c r="P1927" s="7">
        <f>grand[[#This Row],[total weight]]/grand[[#This Row],[received]]</f>
        <v>525.94444444444446</v>
      </c>
      <c r="Q1927" s="7">
        <f>grand[[#This Row],[receiving weight]]/grand[[#This Row],[received]]</f>
        <v>498.08333333333331</v>
      </c>
      <c r="R1927" s="7">
        <f>grand[[#This Row],[transportation loss ]]/grand[[#This Row],[received]]</f>
        <v>27.861111111111111</v>
      </c>
      <c r="S1927" s="7">
        <f>grand[[#This Row],[ carcass weight]]/grand[[#This Row],[received]]</f>
        <v>321.70000000000005</v>
      </c>
      <c r="T1927" s="7">
        <f>grand[[#This Row],[ kidneys fat quantity]]/grand[[#This Row],[received]]</f>
        <v>6.9722222222222223</v>
      </c>
      <c r="U1927" s="15">
        <v>25</v>
      </c>
      <c r="V1927" s="15">
        <v>0</v>
      </c>
      <c r="W1927" s="15">
        <v>49.5</v>
      </c>
      <c r="X1927" s="15">
        <v>10</v>
      </c>
      <c r="Y1927" s="8">
        <v>8.5</v>
      </c>
      <c r="Z1927" s="20">
        <f>grand[[#This Row],[av. Transportation loss]]/grand[[#This Row],[av.total weight]]</f>
        <v>5.2973486849054612E-2</v>
      </c>
      <c r="AA1927" s="12">
        <f>AVERAGE((grand[[#This Row],[am]]/25),(grand[[#This Row],[pm]]/50))</f>
        <v>0.995</v>
      </c>
      <c r="AB1927" s="12">
        <f>grand[[#This Row],[ carcass weight]]/grand[[#This Row],[total weight]]</f>
        <v>0.61166156121263338</v>
      </c>
      <c r="AC1927" s="22">
        <f>SUM(grand[[#This Row],[am]:[meat transportation]])/100</f>
        <v>0.93</v>
      </c>
      <c r="AD1927" s="9" t="s">
        <v>228</v>
      </c>
      <c r="AJ1927" s="1">
        <v>0</v>
      </c>
      <c r="AK1927" s="20"/>
      <c r="AL1927" s="1">
        <f>12+414</f>
        <v>426</v>
      </c>
    </row>
    <row r="1928" spans="1:38" hidden="1" x14ac:dyDescent="0.2">
      <c r="A1928" s="11">
        <v>44787</v>
      </c>
      <c r="B1928" s="53" t="s">
        <v>1685</v>
      </c>
      <c r="C1928" s="52" t="str">
        <f>IF(MID(B1928,4,2)="09","Ramadan",IF(AND(MID(B1928,4,2)="12",VALUE(LEFT(B1928,2))&lt;=9),"Adha Season","Normal"))</f>
        <v>Normal</v>
      </c>
      <c r="D1928" s="1" t="s">
        <v>45</v>
      </c>
      <c r="E1928" s="1" t="s">
        <v>481</v>
      </c>
      <c r="F1928" s="4" t="s">
        <v>39</v>
      </c>
      <c r="G1928" s="1">
        <v>19</v>
      </c>
      <c r="H1928" s="15">
        <v>18</v>
      </c>
      <c r="I1928" s="1">
        <f>grand[[#This Row],[number]]-grand[[#This Row],[received]]</f>
        <v>1</v>
      </c>
      <c r="J1928" s="30" t="s">
        <v>112</v>
      </c>
      <c r="K1928" s="9">
        <v>7862</v>
      </c>
      <c r="L1928" s="9">
        <v>7513</v>
      </c>
      <c r="M1928" s="2">
        <f>K1928-L1928</f>
        <v>349</v>
      </c>
      <c r="N1928" s="9">
        <v>4866.8</v>
      </c>
      <c r="O1928" s="9">
        <v>152</v>
      </c>
      <c r="P1928" s="7">
        <f>grand[[#This Row],[total weight]]/grand[[#This Row],[received]]</f>
        <v>436.77777777777777</v>
      </c>
      <c r="Q1928" s="7">
        <f>grand[[#This Row],[receiving weight]]/grand[[#This Row],[received]]</f>
        <v>417.38888888888891</v>
      </c>
      <c r="R1928" s="7">
        <f>grand[[#This Row],[transportation loss ]]/grand[[#This Row],[received]]</f>
        <v>19.388888888888889</v>
      </c>
      <c r="S1928" s="7">
        <f>grand[[#This Row],[ carcass weight]]/grand[[#This Row],[received]]</f>
        <v>270.37777777777779</v>
      </c>
      <c r="T1928" s="7">
        <f>grand[[#This Row],[ kidneys fat quantity]]/grand[[#This Row],[received]]</f>
        <v>8.4444444444444446</v>
      </c>
      <c r="U1928" s="15">
        <v>25</v>
      </c>
      <c r="V1928" s="15">
        <v>0</v>
      </c>
      <c r="W1928" s="15">
        <v>48.444444444444436</v>
      </c>
      <c r="X1928" s="15">
        <v>10</v>
      </c>
      <c r="Y1928" s="8">
        <v>8.5</v>
      </c>
      <c r="Z1928" s="20">
        <f>grand[[#This Row],[av. Transportation loss]]/grand[[#This Row],[av.total weight]]</f>
        <v>4.4390740269651487E-2</v>
      </c>
      <c r="AA1928" s="12">
        <f>AVERAGE((grand[[#This Row],[am]]/25),(grand[[#This Row],[pm]]/50))</f>
        <v>0.98444444444444434</v>
      </c>
      <c r="AB1928" s="12">
        <f>grand[[#This Row],[ carcass weight]]/grand[[#This Row],[total weight]]</f>
        <v>0.61902823708979904</v>
      </c>
      <c r="AC1928" s="22">
        <f>SUM(grand[[#This Row],[am]:[meat transportation]])/100</f>
        <v>0.91944444444444429</v>
      </c>
      <c r="AD1928" s="9" t="s">
        <v>464</v>
      </c>
      <c r="AJ1928" s="1">
        <v>0</v>
      </c>
      <c r="AK1928" s="20"/>
      <c r="AL1928" s="1">
        <f>4.5+427</f>
        <v>431.5</v>
      </c>
    </row>
    <row r="1929" spans="1:38" hidden="1" x14ac:dyDescent="0.2">
      <c r="A1929" s="11">
        <v>44794</v>
      </c>
      <c r="B1929" s="53" t="s">
        <v>1687</v>
      </c>
      <c r="C1929" s="52" t="str">
        <f>IF(MID(B1929,4,2)="09","Ramadan",IF(AND(MID(B1929,4,2)="12",VALUE(LEFT(B1929,2))&lt;=9),"Adha Season","Normal"))</f>
        <v>Normal</v>
      </c>
      <c r="D1929" s="1" t="s">
        <v>45</v>
      </c>
      <c r="F1929" s="4" t="s">
        <v>280</v>
      </c>
      <c r="G1929" s="1">
        <v>28</v>
      </c>
      <c r="H1929" s="15">
        <v>27</v>
      </c>
      <c r="I1929" s="1">
        <f>grand[[#This Row],[number]]-grand[[#This Row],[received]]</f>
        <v>1</v>
      </c>
      <c r="J1929" s="30" t="s">
        <v>112</v>
      </c>
      <c r="K1929" s="2">
        <v>12702</v>
      </c>
      <c r="L1929" s="2">
        <v>12545</v>
      </c>
      <c r="M1929" s="2">
        <f>K1929-L1929</f>
        <v>157</v>
      </c>
      <c r="N1929" s="2">
        <v>7621.4</v>
      </c>
      <c r="O1929" s="2">
        <v>263</v>
      </c>
      <c r="P1929" s="7">
        <f>grand[[#This Row],[total weight]]/grand[[#This Row],[received]]</f>
        <v>470.44444444444446</v>
      </c>
      <c r="Q1929" s="7">
        <f>grand[[#This Row],[receiving weight]]/grand[[#This Row],[received]]</f>
        <v>464.62962962962962</v>
      </c>
      <c r="R1929" s="7">
        <f>grand[[#This Row],[transportation loss ]]/grand[[#This Row],[received]]</f>
        <v>5.8148148148148149</v>
      </c>
      <c r="S1929" s="7">
        <f>grand[[#This Row],[ carcass weight]]/grand[[#This Row],[received]]</f>
        <v>282.27407407407406</v>
      </c>
      <c r="T1929" s="7">
        <f>grand[[#This Row],[ kidneys fat quantity]]/grand[[#This Row],[received]]</f>
        <v>9.7407407407407405</v>
      </c>
      <c r="U1929" s="15">
        <v>25</v>
      </c>
      <c r="V1929" s="15">
        <v>0</v>
      </c>
      <c r="W1929" s="15">
        <v>48.96153846153846</v>
      </c>
      <c r="X1929" s="15">
        <v>10</v>
      </c>
      <c r="Y1929" s="8">
        <v>8.5</v>
      </c>
      <c r="Z1929" s="20">
        <f>grand[[#This Row],[av. Transportation loss]]/grand[[#This Row],[av.total weight]]</f>
        <v>1.2360258227050858E-2</v>
      </c>
      <c r="AA1929" s="12">
        <f>AVERAGE((grand[[#This Row],[am]]/25),(grand[[#This Row],[pm]]/50))</f>
        <v>0.98961538461538456</v>
      </c>
      <c r="AB1929" s="12">
        <f>grand[[#This Row],[ carcass weight]]/grand[[#This Row],[total weight]]</f>
        <v>0.60001574555188153</v>
      </c>
      <c r="AC1929" s="22">
        <f>SUM(grand[[#This Row],[am]:[meat transportation]])/100</f>
        <v>0.92461538461538451</v>
      </c>
      <c r="AD1929" s="2" t="s">
        <v>97</v>
      </c>
      <c r="AJ1929" s="1">
        <v>7</v>
      </c>
      <c r="AK1929" s="20"/>
      <c r="AL1929" s="1">
        <f>10+490</f>
        <v>500</v>
      </c>
    </row>
    <row r="1930" spans="1:38" hidden="1" x14ac:dyDescent="0.2">
      <c r="A1930" s="11">
        <v>44798</v>
      </c>
      <c r="B1930" s="53" t="s">
        <v>1689</v>
      </c>
      <c r="C1930" s="52" t="str">
        <f>IF(MID(B1930,4,2)="09","Ramadan",IF(AND(MID(B1930,4,2)="12",VALUE(LEFT(B1930,2))&lt;=9),"Adha Season","Normal"))</f>
        <v>Normal</v>
      </c>
      <c r="D1930" s="1" t="s">
        <v>45</v>
      </c>
      <c r="F1930" s="4" t="s">
        <v>46</v>
      </c>
      <c r="G1930" s="1">
        <v>16</v>
      </c>
      <c r="H1930" s="15">
        <v>15</v>
      </c>
      <c r="I1930" s="1">
        <f>grand[[#This Row],[number]]-grand[[#This Row],[received]]</f>
        <v>1</v>
      </c>
      <c r="J1930" s="30" t="s">
        <v>112</v>
      </c>
      <c r="K1930" s="2">
        <v>6917</v>
      </c>
      <c r="L1930" s="2">
        <v>6665</v>
      </c>
      <c r="M1930" s="2">
        <f>K1930-L1930</f>
        <v>252</v>
      </c>
      <c r="N1930" s="2">
        <v>4150.3999999999996</v>
      </c>
      <c r="O1930" s="2">
        <v>145</v>
      </c>
      <c r="P1930" s="7">
        <f>grand[[#This Row],[total weight]]/grand[[#This Row],[received]]</f>
        <v>461.13333333333333</v>
      </c>
      <c r="Q1930" s="7">
        <f>grand[[#This Row],[receiving weight]]/grand[[#This Row],[received]]</f>
        <v>444.33333333333331</v>
      </c>
      <c r="R1930" s="7">
        <f>grand[[#This Row],[transportation loss ]]/grand[[#This Row],[received]]</f>
        <v>16.8</v>
      </c>
      <c r="S1930" s="7">
        <f>grand[[#This Row],[ carcass weight]]/grand[[#This Row],[received]]</f>
        <v>276.69333333333333</v>
      </c>
      <c r="T1930" s="7">
        <f>grand[[#This Row],[ kidneys fat quantity]]/grand[[#This Row],[received]]</f>
        <v>9.6666666666666661</v>
      </c>
      <c r="U1930" s="15">
        <v>25</v>
      </c>
      <c r="V1930" s="15">
        <v>0</v>
      </c>
      <c r="W1930" s="15">
        <v>49.06666666666667</v>
      </c>
      <c r="X1930" s="15">
        <v>10</v>
      </c>
      <c r="Y1930" s="8">
        <v>8.5</v>
      </c>
      <c r="Z1930" s="20">
        <f>grand[[#This Row],[av. Transportation loss]]/grand[[#This Row],[av.total weight]]</f>
        <v>3.6431979181726186E-2</v>
      </c>
      <c r="AA1930" s="12">
        <f>AVERAGE((grand[[#This Row],[am]]/25),(grand[[#This Row],[pm]]/50))</f>
        <v>0.9906666666666667</v>
      </c>
      <c r="AB1930" s="12">
        <f>grand[[#This Row],[ carcass weight]]/grand[[#This Row],[total weight]]</f>
        <v>0.6000289142691918</v>
      </c>
      <c r="AC1930" s="22">
        <f>SUM(grand[[#This Row],[am]:[meat transportation]])/100</f>
        <v>0.92566666666666664</v>
      </c>
      <c r="AD1930" s="9" t="s">
        <v>465</v>
      </c>
      <c r="AJ1930" s="1">
        <v>0</v>
      </c>
      <c r="AK1930" s="20"/>
      <c r="AL1930" s="1">
        <f>8+400</f>
        <v>408</v>
      </c>
    </row>
    <row r="1931" spans="1:38" hidden="1" x14ac:dyDescent="0.2">
      <c r="A1931" s="11">
        <v>44815</v>
      </c>
      <c r="B1931" s="53" t="s">
        <v>1697</v>
      </c>
      <c r="C1931" s="52" t="str">
        <f>IF(MID(B1931,4,2)="09","Ramadan",IF(AND(MID(B1931,4,2)="12",VALUE(LEFT(B1931,2))&lt;=9),"Adha Season","Normal"))</f>
        <v>Normal</v>
      </c>
      <c r="D1931" s="1" t="s">
        <v>45</v>
      </c>
      <c r="F1931" s="4" t="s">
        <v>280</v>
      </c>
      <c r="G1931" s="1">
        <v>47</v>
      </c>
      <c r="H1931" s="15">
        <v>46</v>
      </c>
      <c r="I1931" s="1">
        <f>grand[[#This Row],[number]]-grand[[#This Row],[received]]</f>
        <v>1</v>
      </c>
      <c r="J1931" s="30" t="s">
        <v>305</v>
      </c>
      <c r="K1931" s="2">
        <v>22205</v>
      </c>
      <c r="L1931" s="2">
        <v>21435</v>
      </c>
      <c r="M1931" s="2">
        <f>K1931-L1931</f>
        <v>770</v>
      </c>
      <c r="N1931" s="2">
        <v>13322</v>
      </c>
      <c r="O1931" s="2">
        <v>451</v>
      </c>
      <c r="P1931" s="7">
        <f>grand[[#This Row],[total weight]]/grand[[#This Row],[received]]</f>
        <v>482.71739130434781</v>
      </c>
      <c r="Q1931" s="7">
        <f>grand[[#This Row],[receiving weight]]/grand[[#This Row],[received]]</f>
        <v>465.97826086956519</v>
      </c>
      <c r="R1931" s="7">
        <f>grand[[#This Row],[transportation loss ]]/grand[[#This Row],[received]]</f>
        <v>16.739130434782609</v>
      </c>
      <c r="S1931" s="7">
        <f>grand[[#This Row],[ carcass weight]]/grand[[#This Row],[received]]</f>
        <v>289.60869565217394</v>
      </c>
      <c r="T1931" s="7">
        <f>grand[[#This Row],[ kidneys fat quantity]]/grand[[#This Row],[received]]</f>
        <v>9.804347826086957</v>
      </c>
      <c r="U1931" s="15">
        <v>24.891304347826086</v>
      </c>
      <c r="V1931" s="15">
        <v>0</v>
      </c>
      <c r="W1931" s="15">
        <v>49.695652173913039</v>
      </c>
      <c r="X1931" s="15">
        <v>10</v>
      </c>
      <c r="Y1931" s="8">
        <v>8.5</v>
      </c>
      <c r="Z1931" s="20">
        <f>grand[[#This Row],[av. Transportation loss]]/grand[[#This Row],[av.total weight]]</f>
        <v>3.4676874577797792E-2</v>
      </c>
      <c r="AA1931" s="12">
        <f>AVERAGE((grand[[#This Row],[am]]/25),(grand[[#This Row],[pm]]/50))</f>
        <v>0.99478260869565216</v>
      </c>
      <c r="AB1931" s="12">
        <f>grand[[#This Row],[ carcass weight]]/grand[[#This Row],[total weight]]</f>
        <v>0.59995496509795088</v>
      </c>
      <c r="AC1931" s="22">
        <f>SUM(grand[[#This Row],[am]:[meat transportation]])/100</f>
        <v>0.93086956521739128</v>
      </c>
      <c r="AD1931" s="2" t="s">
        <v>214</v>
      </c>
      <c r="AJ1931" s="1">
        <v>8</v>
      </c>
      <c r="AK1931" s="20"/>
      <c r="AL1931" s="1">
        <v>420</v>
      </c>
    </row>
    <row r="1932" spans="1:38" hidden="1" x14ac:dyDescent="0.2">
      <c r="A1932" s="11">
        <v>44817</v>
      </c>
      <c r="B1932" s="53" t="s">
        <v>1698</v>
      </c>
      <c r="C1932" s="52" t="str">
        <f>IF(MID(B1932,4,2)="09","Ramadan",IF(AND(MID(B1932,4,2)="12",VALUE(LEFT(B1932,2))&lt;=9),"Adha Season","Normal"))</f>
        <v>Normal</v>
      </c>
      <c r="D1932" s="1" t="s">
        <v>45</v>
      </c>
      <c r="E1932" s="1" t="s">
        <v>481</v>
      </c>
      <c r="F1932" s="4" t="s">
        <v>39</v>
      </c>
      <c r="G1932" s="1">
        <v>35</v>
      </c>
      <c r="H1932" s="15">
        <v>34</v>
      </c>
      <c r="I1932" s="1">
        <f>grand[[#This Row],[number]]-grand[[#This Row],[received]]</f>
        <v>1</v>
      </c>
      <c r="J1932" s="30" t="s">
        <v>305</v>
      </c>
      <c r="K1932" s="1">
        <v>14675</v>
      </c>
      <c r="L1932" s="2">
        <v>14012</v>
      </c>
      <c r="M1932" s="2">
        <f>K1932-L1932</f>
        <v>663</v>
      </c>
      <c r="N1932" s="2">
        <v>8931</v>
      </c>
      <c r="O1932" s="2">
        <v>278</v>
      </c>
      <c r="P1932" s="7">
        <f>grand[[#This Row],[total weight]]/grand[[#This Row],[received]]</f>
        <v>431.61764705882354</v>
      </c>
      <c r="Q1932" s="7">
        <f>grand[[#This Row],[receiving weight]]/grand[[#This Row],[received]]</f>
        <v>412.11764705882354</v>
      </c>
      <c r="R1932" s="7">
        <f>grand[[#This Row],[transportation loss ]]/grand[[#This Row],[received]]</f>
        <v>19.5</v>
      </c>
      <c r="S1932" s="7">
        <f>grand[[#This Row],[ carcass weight]]/grand[[#This Row],[received]]</f>
        <v>262.6764705882353</v>
      </c>
      <c r="T1932" s="7">
        <f>grand[[#This Row],[ kidneys fat quantity]]/grand[[#This Row],[received]]</f>
        <v>8.1764705882352935</v>
      </c>
      <c r="U1932" s="15">
        <v>25</v>
      </c>
      <c r="V1932" s="15">
        <v>0</v>
      </c>
      <c r="W1932" s="15">
        <v>49.5</v>
      </c>
      <c r="X1932" s="15">
        <v>10</v>
      </c>
      <c r="Y1932" s="8">
        <v>8.5</v>
      </c>
      <c r="Z1932" s="20">
        <f>grand[[#This Row],[av. Transportation loss]]/grand[[#This Row],[av.total weight]]</f>
        <v>4.5178875638841563E-2</v>
      </c>
      <c r="AA1932" s="12">
        <f>AVERAGE((grand[[#This Row],[am]]/25),(grand[[#This Row],[pm]]/50))</f>
        <v>0.995</v>
      </c>
      <c r="AB1932" s="12">
        <f>grand[[#This Row],[ carcass weight]]/grand[[#This Row],[total weight]]</f>
        <v>0.60858603066439521</v>
      </c>
      <c r="AC1932" s="22">
        <f>SUM(grand[[#This Row],[am]:[meat transportation]])/100</f>
        <v>0.93</v>
      </c>
      <c r="AD1932" s="2" t="s">
        <v>427</v>
      </c>
      <c r="AJ1932" s="1">
        <v>4</v>
      </c>
      <c r="AK1932" s="20"/>
      <c r="AL1932" s="1">
        <v>400</v>
      </c>
    </row>
    <row r="1933" spans="1:38" hidden="1" x14ac:dyDescent="0.2">
      <c r="A1933" s="11">
        <v>44828</v>
      </c>
      <c r="B1933" s="53" t="s">
        <v>1704</v>
      </c>
      <c r="C1933" s="52" t="str">
        <f>IF(MID(B1933,4,2)="09","Ramadan",IF(AND(MID(B1933,4,2)="12",VALUE(LEFT(B1933,2))&lt;=9),"Adha Season","Normal"))</f>
        <v>Normal</v>
      </c>
      <c r="D1933" s="1" t="s">
        <v>45</v>
      </c>
      <c r="F1933" s="4" t="s">
        <v>280</v>
      </c>
      <c r="G1933" s="1">
        <v>26</v>
      </c>
      <c r="H1933" s="15">
        <v>25</v>
      </c>
      <c r="I1933" s="1">
        <f>grand[[#This Row],[number]]-grand[[#This Row],[received]]</f>
        <v>1</v>
      </c>
      <c r="J1933" s="30" t="s">
        <v>298</v>
      </c>
      <c r="K1933" s="2">
        <v>11225</v>
      </c>
      <c r="L1933" s="2">
        <v>10980</v>
      </c>
      <c r="M1933" s="2">
        <f>K1933-L1933</f>
        <v>245</v>
      </c>
      <c r="N1933" s="2">
        <v>6745</v>
      </c>
      <c r="O1933" s="2">
        <v>211</v>
      </c>
      <c r="P1933" s="7">
        <f>grand[[#This Row],[total weight]]/grand[[#This Row],[received]]</f>
        <v>449</v>
      </c>
      <c r="Q1933" s="7">
        <f>grand[[#This Row],[receiving weight]]/grand[[#This Row],[received]]</f>
        <v>439.2</v>
      </c>
      <c r="R1933" s="7">
        <f>grand[[#This Row],[transportation loss ]]/grand[[#This Row],[received]]</f>
        <v>9.8000000000000007</v>
      </c>
      <c r="S1933" s="7">
        <f>grand[[#This Row],[ carcass weight]]/grand[[#This Row],[received]]</f>
        <v>269.8</v>
      </c>
      <c r="T1933" s="7">
        <f>grand[[#This Row],[ kidneys fat quantity]]/grand[[#This Row],[received]]</f>
        <v>8.44</v>
      </c>
      <c r="U1933" s="15">
        <v>25</v>
      </c>
      <c r="V1933" s="15">
        <v>0</v>
      </c>
      <c r="W1933" s="15">
        <v>49.92</v>
      </c>
      <c r="X1933" s="15">
        <v>10</v>
      </c>
      <c r="Y1933" s="8">
        <v>8.5</v>
      </c>
      <c r="Z1933" s="20">
        <f>grand[[#This Row],[av. Transportation loss]]/grand[[#This Row],[av.total weight]]</f>
        <v>2.1826280623608019E-2</v>
      </c>
      <c r="AA1933" s="12">
        <f>AVERAGE((grand[[#This Row],[am]]/25),(grand[[#This Row],[pm]]/50))</f>
        <v>0.99920000000000009</v>
      </c>
      <c r="AB1933" s="12">
        <f>grand[[#This Row],[ carcass weight]]/grand[[#This Row],[total weight]]</f>
        <v>0.60089086859688201</v>
      </c>
      <c r="AC1933" s="22">
        <f>SUM(grand[[#This Row],[am]:[meat transportation]])/100</f>
        <v>0.93420000000000003</v>
      </c>
      <c r="AD1933" s="2" t="s">
        <v>117</v>
      </c>
      <c r="AJ1933" s="1">
        <v>10</v>
      </c>
      <c r="AK1933" s="20"/>
      <c r="AL1933" s="1">
        <v>475</v>
      </c>
    </row>
    <row r="1934" spans="1:38" hidden="1" x14ac:dyDescent="0.2">
      <c r="A1934" s="11">
        <v>44829</v>
      </c>
      <c r="B1934" s="53" t="s">
        <v>1705</v>
      </c>
      <c r="C1934" s="52" t="str">
        <f>IF(MID(B1934,4,2)="09","Ramadan",IF(AND(MID(B1934,4,2)="12",VALUE(LEFT(B1934,2))&lt;=9),"Adha Season","Normal"))</f>
        <v>Normal</v>
      </c>
      <c r="D1934" s="1" t="s">
        <v>45</v>
      </c>
      <c r="E1934" s="1" t="s">
        <v>482</v>
      </c>
      <c r="F1934" s="4" t="s">
        <v>39</v>
      </c>
      <c r="G1934" s="1">
        <v>27</v>
      </c>
      <c r="H1934" s="15">
        <v>26</v>
      </c>
      <c r="I1934" s="1">
        <f>grand[[#This Row],[number]]-grand[[#This Row],[received]]</f>
        <v>1</v>
      </c>
      <c r="J1934" s="30" t="s">
        <v>468</v>
      </c>
      <c r="K1934" s="2">
        <v>14871</v>
      </c>
      <c r="L1934" s="2">
        <v>14197</v>
      </c>
      <c r="M1934" s="2">
        <f>K1934-L1934</f>
        <v>674</v>
      </c>
      <c r="N1934" s="2">
        <v>9189.5</v>
      </c>
      <c r="O1934" s="2">
        <v>149</v>
      </c>
      <c r="P1934" s="7">
        <f>grand[[#This Row],[total weight]]/grand[[#This Row],[received]]</f>
        <v>571.96153846153845</v>
      </c>
      <c r="Q1934" s="7">
        <f>grand[[#This Row],[receiving weight]]/grand[[#This Row],[received]]</f>
        <v>546.03846153846155</v>
      </c>
      <c r="R1934" s="7">
        <f>grand[[#This Row],[transportation loss ]]/grand[[#This Row],[received]]</f>
        <v>25.923076923076923</v>
      </c>
      <c r="S1934" s="7">
        <f>grand[[#This Row],[ carcass weight]]/grand[[#This Row],[received]]</f>
        <v>353.44230769230768</v>
      </c>
      <c r="T1934" s="7">
        <f>grand[[#This Row],[ kidneys fat quantity]]/grand[[#This Row],[received]]</f>
        <v>5.7307692307692308</v>
      </c>
      <c r="U1934" s="15">
        <v>25</v>
      </c>
      <c r="V1934" s="15">
        <v>0</v>
      </c>
      <c r="W1934" s="15">
        <v>49.92</v>
      </c>
      <c r="X1934" s="15">
        <v>10</v>
      </c>
      <c r="Y1934" s="8">
        <v>8.5</v>
      </c>
      <c r="Z1934" s="20">
        <f>grand[[#This Row],[av. Transportation loss]]/grand[[#This Row],[av.total weight]]</f>
        <v>4.5323112097370721E-2</v>
      </c>
      <c r="AA1934" s="12">
        <f>AVERAGE((grand[[#This Row],[am]]/25),(grand[[#This Row],[pm]]/50))</f>
        <v>0.99920000000000009</v>
      </c>
      <c r="AB1934" s="12">
        <f>grand[[#This Row],[ carcass weight]]/grand[[#This Row],[total weight]]</f>
        <v>0.61794768341066508</v>
      </c>
      <c r="AC1934" s="22">
        <f>SUM(grand[[#This Row],[am]:[meat transportation]])/100</f>
        <v>0.93420000000000003</v>
      </c>
      <c r="AD1934" s="2"/>
      <c r="AJ1934" s="1">
        <v>0</v>
      </c>
      <c r="AK1934" s="20"/>
      <c r="AL1934" s="1">
        <v>508</v>
      </c>
    </row>
    <row r="1935" spans="1:38" hidden="1" x14ac:dyDescent="0.2">
      <c r="A1935" s="11">
        <v>44842</v>
      </c>
      <c r="B1935" s="53" t="s">
        <v>1713</v>
      </c>
      <c r="C1935" s="52" t="str">
        <f>IF(MID(B1935,4,2)="09","Ramadan",IF(AND(MID(B1935,4,2)="12",VALUE(LEFT(B1935,2))&lt;=9),"Adha Season","Normal"))</f>
        <v>Normal</v>
      </c>
      <c r="D1935" s="1" t="s">
        <v>45</v>
      </c>
      <c r="E1935" s="1" t="s">
        <v>481</v>
      </c>
      <c r="F1935" s="4" t="s">
        <v>39</v>
      </c>
      <c r="G1935" s="1">
        <v>28</v>
      </c>
      <c r="H1935" s="15">
        <v>27</v>
      </c>
      <c r="I1935" s="1">
        <f>grand[[#This Row],[number]]-grand[[#This Row],[received]]</f>
        <v>1</v>
      </c>
      <c r="J1935" s="30" t="s">
        <v>310</v>
      </c>
      <c r="K1935" s="2">
        <v>11688</v>
      </c>
      <c r="L1935" s="2">
        <v>11056</v>
      </c>
      <c r="M1935" s="2">
        <f>K1935-L1935</f>
        <v>632</v>
      </c>
      <c r="N1935" s="2">
        <v>7181.3</v>
      </c>
      <c r="O1935" s="2">
        <v>237</v>
      </c>
      <c r="P1935" s="7">
        <f>grand[[#This Row],[total weight]]/grand[[#This Row],[received]]</f>
        <v>432.88888888888891</v>
      </c>
      <c r="Q1935" s="7">
        <f>grand[[#This Row],[receiving weight]]/grand[[#This Row],[received]]</f>
        <v>409.48148148148147</v>
      </c>
      <c r="R1935" s="7">
        <f>grand[[#This Row],[transportation loss ]]/grand[[#This Row],[received]]</f>
        <v>23.407407407407408</v>
      </c>
      <c r="S1935" s="7">
        <f>grand[[#This Row],[ carcass weight]]/grand[[#This Row],[received]]</f>
        <v>265.97407407407405</v>
      </c>
      <c r="T1935" s="7">
        <f>grand[[#This Row],[ kidneys fat quantity]]/grand[[#This Row],[received]]</f>
        <v>8.7777777777777786</v>
      </c>
      <c r="U1935" s="15">
        <v>25</v>
      </c>
      <c r="V1935" s="15">
        <v>0</v>
      </c>
      <c r="W1935" s="15">
        <v>49.464387464387464</v>
      </c>
      <c r="X1935" s="15">
        <v>10</v>
      </c>
      <c r="Y1935" s="8">
        <v>8.5</v>
      </c>
      <c r="Z1935" s="20">
        <f>grand[[#This Row],[av. Transportation loss]]/grand[[#This Row],[av.total weight]]</f>
        <v>5.4072553045859E-2</v>
      </c>
      <c r="AA1935" s="12">
        <f>AVERAGE((grand[[#This Row],[am]]/25),(grand[[#This Row],[pm]]/50))</f>
        <v>0.9946438746438746</v>
      </c>
      <c r="AB1935" s="12">
        <f>grand[[#This Row],[ carcass weight]]/grand[[#This Row],[total weight]]</f>
        <v>0.61441649555099254</v>
      </c>
      <c r="AC1935" s="22">
        <f>SUM(grand[[#This Row],[am]:[meat transportation]])/100</f>
        <v>0.92964387464387466</v>
      </c>
      <c r="AD1935" s="9" t="s">
        <v>472</v>
      </c>
      <c r="AK1935" s="20"/>
      <c r="AL1935" s="1">
        <v>428</v>
      </c>
    </row>
    <row r="1936" spans="1:38" hidden="1" x14ac:dyDescent="0.2">
      <c r="A1936" s="11">
        <v>44850</v>
      </c>
      <c r="B1936" s="53" t="s">
        <v>1718</v>
      </c>
      <c r="C1936" s="52" t="str">
        <f>IF(MID(B1936,4,2)="09","Ramadan",IF(AND(MID(B1936,4,2)="12",VALUE(LEFT(B1936,2))&lt;=9),"Adha Season","Normal"))</f>
        <v>Normal</v>
      </c>
      <c r="D1936" s="1" t="s">
        <v>45</v>
      </c>
      <c r="F1936" s="4" t="s">
        <v>280</v>
      </c>
      <c r="G1936" s="1">
        <v>8</v>
      </c>
      <c r="H1936" s="15">
        <v>7</v>
      </c>
      <c r="I1936" s="1">
        <f>grand[[#This Row],[number]]-grand[[#This Row],[received]]</f>
        <v>1</v>
      </c>
      <c r="J1936" s="30" t="s">
        <v>310</v>
      </c>
      <c r="K1936" s="2">
        <v>3766</v>
      </c>
      <c r="L1936" s="2">
        <v>3628</v>
      </c>
      <c r="M1936" s="2">
        <f>K1936-L1936</f>
        <v>138</v>
      </c>
      <c r="N1936" s="2">
        <v>2312</v>
      </c>
      <c r="O1936" s="2">
        <v>35</v>
      </c>
      <c r="P1936" s="7">
        <f>grand[[#This Row],[total weight]]/grand[[#This Row],[received]]</f>
        <v>538</v>
      </c>
      <c r="Q1936" s="7">
        <f>grand[[#This Row],[receiving weight]]/grand[[#This Row],[received]]</f>
        <v>518.28571428571433</v>
      </c>
      <c r="R1936" s="7">
        <f>grand[[#This Row],[transportation loss ]]/grand[[#This Row],[received]]</f>
        <v>19.714285714285715</v>
      </c>
      <c r="S1936" s="7">
        <f>grand[[#This Row],[ carcass weight]]/grand[[#This Row],[received]]</f>
        <v>330.28571428571428</v>
      </c>
      <c r="T1936" s="7">
        <f>grand[[#This Row],[ kidneys fat quantity]]/grand[[#This Row],[received]]</f>
        <v>5</v>
      </c>
      <c r="U1936" s="15">
        <v>24.285714285714285</v>
      </c>
      <c r="V1936" s="15">
        <v>0</v>
      </c>
      <c r="W1936" s="15">
        <v>48.571428571428569</v>
      </c>
      <c r="X1936" s="15">
        <v>10</v>
      </c>
      <c r="Y1936" s="8">
        <v>8.5</v>
      </c>
      <c r="Z1936" s="20">
        <f>grand[[#This Row],[av. Transportation loss]]/grand[[#This Row],[av.total weight]]</f>
        <v>3.6643653744025492E-2</v>
      </c>
      <c r="AA1936" s="12">
        <f>AVERAGE((grand[[#This Row],[am]]/25),(grand[[#This Row],[pm]]/50))</f>
        <v>0.97142857142857142</v>
      </c>
      <c r="AB1936" s="12">
        <f>grand[[#This Row],[ carcass weight]]/grand[[#This Row],[total weight]]</f>
        <v>0.6139139670738184</v>
      </c>
      <c r="AC1936" s="22">
        <f>SUM(grand[[#This Row],[am]:[meat transportation]])/100</f>
        <v>0.91357142857142859</v>
      </c>
      <c r="AD1936" s="2"/>
      <c r="AJ1936" s="1">
        <v>6</v>
      </c>
      <c r="AK1936" s="20"/>
      <c r="AL1936" s="1">
        <v>537</v>
      </c>
    </row>
    <row r="1937" spans="1:38" hidden="1" x14ac:dyDescent="0.2">
      <c r="A1937" s="11">
        <v>44857</v>
      </c>
      <c r="B1937" s="53" t="s">
        <v>1723</v>
      </c>
      <c r="C1937" s="52" t="str">
        <f>IF(MID(B1937,4,2)="09","Ramadan",IF(AND(MID(B1937,4,2)="12",VALUE(LEFT(B1937,2))&lt;=9),"Adha Season","Normal"))</f>
        <v>Normal</v>
      </c>
      <c r="D1937" s="1" t="s">
        <v>45</v>
      </c>
      <c r="E1937" s="1" t="s">
        <v>482</v>
      </c>
      <c r="F1937" s="4" t="s">
        <v>39</v>
      </c>
      <c r="G1937" s="1">
        <v>34</v>
      </c>
      <c r="H1937" s="15">
        <v>33</v>
      </c>
      <c r="I1937" s="1">
        <f>grand[[#This Row],[number]]-grand[[#This Row],[received]]</f>
        <v>1</v>
      </c>
      <c r="J1937" s="30" t="s">
        <v>477</v>
      </c>
      <c r="K1937" s="2">
        <v>19273</v>
      </c>
      <c r="L1937" s="2">
        <v>18351</v>
      </c>
      <c r="M1937" s="2">
        <f>K1937-L1937</f>
        <v>922</v>
      </c>
      <c r="N1937" s="2">
        <v>11969.5</v>
      </c>
      <c r="O1937" s="2">
        <v>215</v>
      </c>
      <c r="P1937" s="7">
        <f>grand[[#This Row],[total weight]]/grand[[#This Row],[received]]</f>
        <v>584.030303030303</v>
      </c>
      <c r="Q1937" s="7">
        <f>grand[[#This Row],[receiving weight]]/grand[[#This Row],[received]]</f>
        <v>556.09090909090912</v>
      </c>
      <c r="R1937" s="7">
        <f>grand[[#This Row],[transportation loss ]]/grand[[#This Row],[received]]</f>
        <v>27.939393939393938</v>
      </c>
      <c r="S1937" s="7">
        <f>grand[[#This Row],[ carcass weight]]/grand[[#This Row],[received]]</f>
        <v>362.71212121212119</v>
      </c>
      <c r="T1937" s="7">
        <f>grand[[#This Row],[ kidneys fat quantity]]/grand[[#This Row],[received]]</f>
        <v>6.5151515151515156</v>
      </c>
      <c r="U1937" s="15">
        <v>25</v>
      </c>
      <c r="V1937" s="15">
        <v>0</v>
      </c>
      <c r="W1937" s="15">
        <v>48.787878787878789</v>
      </c>
      <c r="X1937" s="15">
        <v>10</v>
      </c>
      <c r="Y1937" s="8">
        <v>8.5</v>
      </c>
      <c r="Z1937" s="20">
        <f>grand[[#This Row],[av. Transportation loss]]/grand[[#This Row],[av.total weight]]</f>
        <v>4.7838945675297048E-2</v>
      </c>
      <c r="AA1937" s="12">
        <f>AVERAGE((grand[[#This Row],[am]]/25),(grand[[#This Row],[pm]]/50))</f>
        <v>0.98787878787878791</v>
      </c>
      <c r="AB1937" s="12">
        <f>grand[[#This Row],[ carcass weight]]/grand[[#This Row],[total weight]]</f>
        <v>0.62105017381829497</v>
      </c>
      <c r="AC1937" s="22">
        <f>SUM(grand[[#This Row],[am]:[meat transportation]])/100</f>
        <v>0.92287878787878785</v>
      </c>
      <c r="AD1937" s="9" t="s">
        <v>478</v>
      </c>
      <c r="AK1937" s="20"/>
      <c r="AL1937" s="1">
        <f>634+13</f>
        <v>647</v>
      </c>
    </row>
    <row r="1938" spans="1:38" hidden="1" x14ac:dyDescent="0.2">
      <c r="A1938" s="11">
        <v>44861</v>
      </c>
      <c r="B1938" s="53" t="s">
        <v>1725</v>
      </c>
      <c r="C1938" s="52" t="str">
        <f>IF(MID(B1938,4,2)="09","Ramadan",IF(AND(MID(B1938,4,2)="12",VALUE(LEFT(B1938,2))&lt;=9),"Adha Season","Normal"))</f>
        <v>Normal</v>
      </c>
      <c r="D1938" s="1" t="s">
        <v>45</v>
      </c>
      <c r="F1938" s="4" t="s">
        <v>46</v>
      </c>
      <c r="G1938" s="1">
        <v>20</v>
      </c>
      <c r="H1938" s="15">
        <v>19</v>
      </c>
      <c r="I1938" s="1">
        <f>grand[[#This Row],[number]]-grand[[#This Row],[received]]</f>
        <v>1</v>
      </c>
      <c r="J1938" s="30" t="s">
        <v>310</v>
      </c>
      <c r="K1938" s="2">
        <v>7700</v>
      </c>
      <c r="L1938" s="2">
        <v>7400</v>
      </c>
      <c r="M1938" s="2">
        <f>K1938-L1938</f>
        <v>300</v>
      </c>
      <c r="N1938" s="2">
        <v>4620.3</v>
      </c>
      <c r="O1938" s="2">
        <v>112</v>
      </c>
      <c r="P1938" s="7">
        <f>grand[[#This Row],[total weight]]/grand[[#This Row],[received]]</f>
        <v>405.26315789473682</v>
      </c>
      <c r="Q1938" s="7">
        <f>grand[[#This Row],[receiving weight]]/grand[[#This Row],[received]]</f>
        <v>389.4736842105263</v>
      </c>
      <c r="R1938" s="7">
        <f>grand[[#This Row],[transportation loss ]]/grand[[#This Row],[received]]</f>
        <v>15.789473684210526</v>
      </c>
      <c r="S1938" s="7">
        <f>grand[[#This Row],[ carcass weight]]/grand[[#This Row],[received]]</f>
        <v>243.17368421052632</v>
      </c>
      <c r="T1938" s="7">
        <f>grand[[#This Row],[ kidneys fat quantity]]/grand[[#This Row],[received]]</f>
        <v>5.8947368421052628</v>
      </c>
      <c r="U1938" s="15">
        <v>24.857142857142858</v>
      </c>
      <c r="V1938" s="15">
        <v>0</v>
      </c>
      <c r="W1938" s="15">
        <v>48.631578947368418</v>
      </c>
      <c r="X1938" s="15">
        <v>10</v>
      </c>
      <c r="Y1938" s="8">
        <v>8.5</v>
      </c>
      <c r="Z1938" s="20">
        <f>grand[[#This Row],[av. Transportation loss]]/grand[[#This Row],[av.total weight]]</f>
        <v>3.896103896103896E-2</v>
      </c>
      <c r="AA1938" s="12">
        <f>AVERAGE((grand[[#This Row],[am]]/25),(grand[[#This Row],[pm]]/50))</f>
        <v>0.98345864661654137</v>
      </c>
      <c r="AB1938" s="12">
        <f>grand[[#This Row],[ carcass weight]]/grand[[#This Row],[total weight]]</f>
        <v>0.60003896103896104</v>
      </c>
      <c r="AC1938" s="22">
        <f>SUM(grand[[#This Row],[am]:[meat transportation]])/100</f>
        <v>0.91988721804511275</v>
      </c>
      <c r="AD1938" s="9" t="s">
        <v>283</v>
      </c>
      <c r="AJ1938" s="1">
        <v>2</v>
      </c>
      <c r="AK1938" s="20"/>
      <c r="AL1938" s="1">
        <f>360+11.5</f>
        <v>371.5</v>
      </c>
    </row>
    <row r="1939" spans="1:38" hidden="1" x14ac:dyDescent="0.2">
      <c r="A1939" s="11">
        <v>44863</v>
      </c>
      <c r="B1939" s="53" t="s">
        <v>1726</v>
      </c>
      <c r="C1939" s="52" t="str">
        <f>IF(MID(B1939,4,2)="09","Ramadan",IF(AND(MID(B1939,4,2)="12",VALUE(LEFT(B1939,2))&lt;=9),"Adha Season","Normal"))</f>
        <v>Normal</v>
      </c>
      <c r="D1939" s="1" t="s">
        <v>45</v>
      </c>
      <c r="E1939" s="1" t="s">
        <v>482</v>
      </c>
      <c r="F1939" s="4" t="s">
        <v>39</v>
      </c>
      <c r="G1939" s="1">
        <v>30</v>
      </c>
      <c r="H1939" s="15">
        <v>29</v>
      </c>
      <c r="I1939" s="1">
        <f>grand[[#This Row],[number]]-grand[[#This Row],[received]]</f>
        <v>1</v>
      </c>
      <c r="J1939" s="30" t="s">
        <v>468</v>
      </c>
      <c r="K1939" s="2">
        <v>15730</v>
      </c>
      <c r="L1939" s="2">
        <v>14953</v>
      </c>
      <c r="M1939" s="2">
        <f>K1939-L1939</f>
        <v>777</v>
      </c>
      <c r="N1939" s="2">
        <v>9711</v>
      </c>
      <c r="O1939" s="2">
        <v>162</v>
      </c>
      <c r="P1939" s="7">
        <f>grand[[#This Row],[total weight]]/grand[[#This Row],[received]]</f>
        <v>542.41379310344826</v>
      </c>
      <c r="Q1939" s="7">
        <f>grand[[#This Row],[receiving weight]]/grand[[#This Row],[received]]</f>
        <v>515.62068965517244</v>
      </c>
      <c r="R1939" s="7">
        <f>grand[[#This Row],[transportation loss ]]/grand[[#This Row],[received]]</f>
        <v>26.793103448275861</v>
      </c>
      <c r="S1939" s="7">
        <f>grand[[#This Row],[ carcass weight]]/grand[[#This Row],[received]]</f>
        <v>334.86206896551727</v>
      </c>
      <c r="T1939" s="7">
        <f>grand[[#This Row],[ kidneys fat quantity]]/grand[[#This Row],[received]]</f>
        <v>5.5862068965517242</v>
      </c>
      <c r="U1939" s="15">
        <v>25</v>
      </c>
      <c r="V1939" s="15">
        <v>0</v>
      </c>
      <c r="W1939" s="15">
        <v>49.758620689655174</v>
      </c>
      <c r="X1939" s="15">
        <v>10</v>
      </c>
      <c r="Y1939" s="8">
        <v>8.5</v>
      </c>
      <c r="Z1939" s="20">
        <f>grand[[#This Row],[av. Transportation loss]]/grand[[#This Row],[av.total weight]]</f>
        <v>4.9396058486967577E-2</v>
      </c>
      <c r="AA1939" s="12">
        <f>AVERAGE((grand[[#This Row],[am]]/25),(grand[[#This Row],[pm]]/50))</f>
        <v>0.99758620689655175</v>
      </c>
      <c r="AB1939" s="12">
        <f>grand[[#This Row],[ carcass weight]]/grand[[#This Row],[total weight]]</f>
        <v>0.61735537190082646</v>
      </c>
      <c r="AC1939" s="22">
        <f>SUM(grand[[#This Row],[am]:[meat transportation]])/100</f>
        <v>0.93258620689655169</v>
      </c>
      <c r="AD1939" s="9" t="s">
        <v>97</v>
      </c>
      <c r="AJ1939" s="1">
        <v>0</v>
      </c>
      <c r="AK1939" s="20"/>
      <c r="AL1939" s="1">
        <f>467+8</f>
        <v>475</v>
      </c>
    </row>
    <row r="1940" spans="1:38" hidden="1" x14ac:dyDescent="0.2">
      <c r="A1940" s="11">
        <v>44866</v>
      </c>
      <c r="B1940" s="53" t="s">
        <v>1728</v>
      </c>
      <c r="C1940" s="52" t="str">
        <f>IF(MID(B1940,4,2)="09","Ramadan",IF(AND(MID(B1940,4,2)="12",VALUE(LEFT(B1940,2))&lt;=9),"Adha Season","Normal"))</f>
        <v>Normal</v>
      </c>
      <c r="D1940" s="1" t="s">
        <v>45</v>
      </c>
      <c r="F1940" s="4" t="s">
        <v>280</v>
      </c>
      <c r="G1940" s="1">
        <v>52</v>
      </c>
      <c r="H1940" s="15">
        <v>51</v>
      </c>
      <c r="I1940" s="1">
        <f>grand[[#This Row],[number]]-grand[[#This Row],[received]]</f>
        <v>1</v>
      </c>
      <c r="J1940" s="30" t="s">
        <v>485</v>
      </c>
      <c r="K1940" s="2">
        <v>24312</v>
      </c>
      <c r="L1940" s="2">
        <v>23285</v>
      </c>
      <c r="M1940" s="2">
        <f>K1940-L1940</f>
        <v>1027</v>
      </c>
      <c r="N1940" s="2">
        <v>14586.5</v>
      </c>
      <c r="O1940" s="2">
        <v>498</v>
      </c>
      <c r="P1940" s="7">
        <f>grand[[#This Row],[total weight]]/grand[[#This Row],[received]]</f>
        <v>476.70588235294116</v>
      </c>
      <c r="Q1940" s="7">
        <f>grand[[#This Row],[receiving weight]]/grand[[#This Row],[received]]</f>
        <v>456.56862745098039</v>
      </c>
      <c r="R1940" s="7">
        <f>grand[[#This Row],[transportation loss ]]/grand[[#This Row],[received]]</f>
        <v>20.137254901960784</v>
      </c>
      <c r="S1940" s="7">
        <f>grand[[#This Row],[ carcass weight]]/grand[[#This Row],[received]]</f>
        <v>286.00980392156862</v>
      </c>
      <c r="T1940" s="7">
        <f>grand[[#This Row],[ kidneys fat quantity]]/grand[[#This Row],[received]]</f>
        <v>9.764705882352942</v>
      </c>
      <c r="U1940" s="15">
        <v>25</v>
      </c>
      <c r="V1940" s="15">
        <v>0</v>
      </c>
      <c r="W1940" s="15">
        <v>49.588235294117645</v>
      </c>
      <c r="X1940" s="15">
        <v>9.9019607843137258</v>
      </c>
      <c r="Y1940" s="8">
        <v>8.5</v>
      </c>
      <c r="Z1940" s="20">
        <f>grand[[#This Row],[av. Transportation loss]]/grand[[#This Row],[av.total weight]]</f>
        <v>4.2242513984863443E-2</v>
      </c>
      <c r="AA1940" s="12">
        <f>AVERAGE((grand[[#This Row],[am]]/25),(grand[[#This Row],[pm]]/50))</f>
        <v>0.99588235294117644</v>
      </c>
      <c r="AB1940" s="12">
        <f>grand[[#This Row],[ carcass weight]]/grand[[#This Row],[total weight]]</f>
        <v>0.59997120763409018</v>
      </c>
      <c r="AC1940" s="22">
        <f>SUM(grand[[#This Row],[am]:[meat transportation]])/100</f>
        <v>0.92990196078431386</v>
      </c>
      <c r="AD1940" s="2" t="s">
        <v>493</v>
      </c>
      <c r="AJ1940" s="1">
        <v>19</v>
      </c>
      <c r="AK1940" s="20"/>
      <c r="AL1940" s="1">
        <v>516</v>
      </c>
    </row>
    <row r="1941" spans="1:38" hidden="1" x14ac:dyDescent="0.2">
      <c r="A1941" s="11">
        <v>44873</v>
      </c>
      <c r="B1941" s="53" t="s">
        <v>1732</v>
      </c>
      <c r="C1941" s="52" t="str">
        <f>IF(MID(B1941,4,2)="09","Ramadan",IF(AND(MID(B1941,4,2)="12",VALUE(LEFT(B1941,2))&lt;=9),"Adha Season","Normal"))</f>
        <v>Normal</v>
      </c>
      <c r="D1941" s="1" t="s">
        <v>45</v>
      </c>
      <c r="F1941" s="4" t="s">
        <v>39</v>
      </c>
      <c r="G1941" s="1">
        <v>40</v>
      </c>
      <c r="H1941" s="15">
        <v>39</v>
      </c>
      <c r="I1941" s="1">
        <f>grand[[#This Row],[number]]-grand[[#This Row],[received]]</f>
        <v>1</v>
      </c>
      <c r="J1941" s="30" t="s">
        <v>487</v>
      </c>
      <c r="K1941" s="2">
        <v>16998</v>
      </c>
      <c r="L1941" s="2">
        <v>16317</v>
      </c>
      <c r="M1941" s="2">
        <f>K1941-L1941</f>
        <v>681</v>
      </c>
      <c r="N1941" s="2">
        <v>10555</v>
      </c>
      <c r="O1941" s="2">
        <v>339</v>
      </c>
      <c r="P1941" s="7">
        <f>grand[[#This Row],[total weight]]/grand[[#This Row],[received]]</f>
        <v>435.84615384615387</v>
      </c>
      <c r="Q1941" s="7">
        <f>grand[[#This Row],[receiving weight]]/grand[[#This Row],[received]]</f>
        <v>418.38461538461536</v>
      </c>
      <c r="R1941" s="7">
        <f>grand[[#This Row],[transportation loss ]]/grand[[#This Row],[received]]</f>
        <v>17.46153846153846</v>
      </c>
      <c r="S1941" s="7">
        <f>grand[[#This Row],[ carcass weight]]/grand[[#This Row],[received]]</f>
        <v>270.64102564102564</v>
      </c>
      <c r="T1941" s="7">
        <f>grand[[#This Row],[ kidneys fat quantity]]/grand[[#This Row],[received]]</f>
        <v>8.6923076923076916</v>
      </c>
      <c r="U1941" s="15">
        <v>25</v>
      </c>
      <c r="V1941" s="15">
        <v>0</v>
      </c>
      <c r="W1941" s="15">
        <v>49.5</v>
      </c>
      <c r="X1941" s="15">
        <v>10</v>
      </c>
      <c r="Y1941" s="8">
        <v>8.5</v>
      </c>
      <c r="Z1941" s="20">
        <f>grand[[#This Row],[av. Transportation loss]]/grand[[#This Row],[av.total weight]]</f>
        <v>4.006353688669255E-2</v>
      </c>
      <c r="AA1941" s="12">
        <f>AVERAGE((grand[[#This Row],[am]]/25),(grand[[#This Row],[pm]]/50))</f>
        <v>0.995</v>
      </c>
      <c r="AB1941" s="12">
        <f>grand[[#This Row],[ carcass weight]]/grand[[#This Row],[total weight]]</f>
        <v>0.62095540651841397</v>
      </c>
      <c r="AC1941" s="22">
        <f>SUM(grand[[#This Row],[am]:[meat transportation]])/100</f>
        <v>0.93</v>
      </c>
      <c r="AD1941" s="2"/>
      <c r="AJ1941" s="1">
        <v>6</v>
      </c>
      <c r="AK1941" s="20"/>
      <c r="AL1941" s="1">
        <v>459</v>
      </c>
    </row>
    <row r="1942" spans="1:38" hidden="1" x14ac:dyDescent="0.2">
      <c r="A1942" s="11">
        <v>44880</v>
      </c>
      <c r="B1942" s="53" t="s">
        <v>1737</v>
      </c>
      <c r="C1942" s="52" t="str">
        <f>IF(MID(B1942,4,2)="09","Ramadan",IF(AND(MID(B1942,4,2)="12",VALUE(LEFT(B1942,2))&lt;=9),"Adha Season","Normal"))</f>
        <v>Normal</v>
      </c>
      <c r="D1942" s="1" t="s">
        <v>45</v>
      </c>
      <c r="F1942" s="4" t="s">
        <v>39</v>
      </c>
      <c r="G1942" s="1">
        <v>37</v>
      </c>
      <c r="H1942" s="15">
        <v>36</v>
      </c>
      <c r="I1942" s="1">
        <f>grand[[#This Row],[number]]-grand[[#This Row],[received]]</f>
        <v>1</v>
      </c>
      <c r="J1942" s="30" t="s">
        <v>487</v>
      </c>
      <c r="K1942" s="2">
        <v>20182</v>
      </c>
      <c r="L1942" s="2">
        <v>19413</v>
      </c>
      <c r="M1942" s="2">
        <f>K1942-L1942</f>
        <v>769</v>
      </c>
      <c r="N1942" s="2">
        <v>12633.7</v>
      </c>
      <c r="O1942" s="2">
        <v>217</v>
      </c>
      <c r="P1942" s="7">
        <f>grand[[#This Row],[total weight]]/grand[[#This Row],[received]]</f>
        <v>560.61111111111109</v>
      </c>
      <c r="Q1942" s="7">
        <f>grand[[#This Row],[receiving weight]]/grand[[#This Row],[received]]</f>
        <v>539.25</v>
      </c>
      <c r="R1942" s="7">
        <f>grand[[#This Row],[transportation loss ]]/grand[[#This Row],[received]]</f>
        <v>21.361111111111111</v>
      </c>
      <c r="S1942" s="7">
        <f>grand[[#This Row],[ carcass weight]]/grand[[#This Row],[received]]</f>
        <v>350.93611111111113</v>
      </c>
      <c r="T1942" s="7">
        <f>grand[[#This Row],[ kidneys fat quantity]]/grand[[#This Row],[received]]</f>
        <v>6.0277777777777777</v>
      </c>
      <c r="U1942" s="15">
        <v>25</v>
      </c>
      <c r="V1942" s="15">
        <v>0</v>
      </c>
      <c r="W1942" s="15">
        <v>49.5</v>
      </c>
      <c r="X1942" s="15">
        <v>10</v>
      </c>
      <c r="Y1942" s="8">
        <v>8.5</v>
      </c>
      <c r="Z1942" s="20">
        <f>grand[[#This Row],[av. Transportation loss]]/grand[[#This Row],[av.total weight]]</f>
        <v>3.8103260330988008E-2</v>
      </c>
      <c r="AA1942" s="12">
        <f>AVERAGE((grand[[#This Row],[am]]/25),(grand[[#This Row],[pm]]/50))</f>
        <v>0.995</v>
      </c>
      <c r="AB1942" s="12">
        <f>grand[[#This Row],[ carcass weight]]/grand[[#This Row],[total weight]]</f>
        <v>0.62598850460806665</v>
      </c>
      <c r="AC1942" s="22">
        <f>SUM(grand[[#This Row],[am]:[meat transportation]])/100</f>
        <v>0.93</v>
      </c>
      <c r="AD1942" s="9" t="s">
        <v>346</v>
      </c>
      <c r="AJ1942" s="1">
        <v>0</v>
      </c>
      <c r="AK1942" s="20"/>
      <c r="AL1942" s="1">
        <v>577</v>
      </c>
    </row>
    <row r="1943" spans="1:38" hidden="1" x14ac:dyDescent="0.2">
      <c r="A1943" s="11">
        <v>44889</v>
      </c>
      <c r="B1943" s="53" t="s">
        <v>1742</v>
      </c>
      <c r="C1943" s="52" t="str">
        <f>IF(MID(B1943,4,2)="09","Ramadan",IF(AND(MID(B1943,4,2)="12",VALUE(LEFT(B1943,2))&lt;=9),"Adha Season","Normal"))</f>
        <v>Normal</v>
      </c>
      <c r="D1943" s="1" t="s">
        <v>45</v>
      </c>
      <c r="F1943" s="4" t="s">
        <v>46</v>
      </c>
      <c r="G1943" s="1">
        <v>48</v>
      </c>
      <c r="H1943" s="15">
        <v>47</v>
      </c>
      <c r="I1943" s="1">
        <f>grand[[#This Row],[number]]-grand[[#This Row],[received]]</f>
        <v>1</v>
      </c>
      <c r="J1943" s="30" t="s">
        <v>477</v>
      </c>
      <c r="K1943" s="2">
        <v>21168</v>
      </c>
      <c r="L1943" s="2">
        <v>19413</v>
      </c>
      <c r="M1943" s="2">
        <f>K1943-L1943</f>
        <v>1755</v>
      </c>
      <c r="N1943" s="2">
        <v>12700.5</v>
      </c>
      <c r="O1943" s="2">
        <v>487</v>
      </c>
      <c r="P1943" s="7">
        <f>grand[[#This Row],[total weight]]/grand[[#This Row],[received]]</f>
        <v>450.38297872340428</v>
      </c>
      <c r="Q1943" s="7">
        <f>grand[[#This Row],[receiving weight]]/grand[[#This Row],[received]]</f>
        <v>413.04255319148939</v>
      </c>
      <c r="R1943" s="7">
        <f>grand[[#This Row],[transportation loss ]]/grand[[#This Row],[received]]</f>
        <v>37.340425531914896</v>
      </c>
      <c r="S1943" s="7">
        <f>grand[[#This Row],[ carcass weight]]/grand[[#This Row],[received]]</f>
        <v>270.22340425531917</v>
      </c>
      <c r="T1943" s="7">
        <f>grand[[#This Row],[ kidneys fat quantity]]/grand[[#This Row],[received]]</f>
        <v>10.361702127659575</v>
      </c>
      <c r="U1943" s="15">
        <v>25</v>
      </c>
      <c r="V1943" s="15">
        <v>0</v>
      </c>
      <c r="W1943" s="15">
        <v>49.127659574468083</v>
      </c>
      <c r="X1943" s="15">
        <v>9.787234042553191</v>
      </c>
      <c r="Y1943" s="8">
        <v>8.5</v>
      </c>
      <c r="Z1943" s="20">
        <f>grand[[#This Row],[av. Transportation loss]]/grand[[#This Row],[av.total weight]]</f>
        <v>8.2908163265306117E-2</v>
      </c>
      <c r="AA1943" s="12">
        <f>AVERAGE((grand[[#This Row],[am]]/25),(grand[[#This Row],[pm]]/50))</f>
        <v>0.99127659574468086</v>
      </c>
      <c r="AB1943" s="12">
        <f>grand[[#This Row],[ carcass weight]]/grand[[#This Row],[total weight]]</f>
        <v>0.59998582766439912</v>
      </c>
      <c r="AC1943" s="22">
        <f>SUM(grand[[#This Row],[am]:[meat transportation]])/100</f>
        <v>0.92414893617021276</v>
      </c>
      <c r="AD1943" s="9" t="s">
        <v>502</v>
      </c>
      <c r="AJ1943" s="1">
        <v>21</v>
      </c>
      <c r="AK1943" s="20"/>
      <c r="AL1943" s="1">
        <v>415</v>
      </c>
    </row>
    <row r="1944" spans="1:38" hidden="1" x14ac:dyDescent="0.2">
      <c r="A1944" s="11">
        <v>44894</v>
      </c>
      <c r="B1944" s="53" t="s">
        <v>1745</v>
      </c>
      <c r="C1944" s="52" t="str">
        <f>IF(MID(B1944,4,2)="09","Ramadan",IF(AND(MID(B1944,4,2)="12",VALUE(LEFT(B1944,2))&lt;=9),"Adha Season","Normal"))</f>
        <v>Normal</v>
      </c>
      <c r="D1944" s="1" t="s">
        <v>45</v>
      </c>
      <c r="F1944" s="4" t="s">
        <v>39</v>
      </c>
      <c r="G1944" s="1">
        <v>44</v>
      </c>
      <c r="H1944" s="15">
        <v>43</v>
      </c>
      <c r="I1944" s="1">
        <f>grand[[#This Row],[number]]-grand[[#This Row],[received]]</f>
        <v>1</v>
      </c>
      <c r="J1944" s="30" t="s">
        <v>487</v>
      </c>
      <c r="K1944" s="2">
        <v>19792</v>
      </c>
      <c r="L1944" s="2">
        <v>19114</v>
      </c>
      <c r="M1944" s="2">
        <f>K1944-L1944</f>
        <v>678</v>
      </c>
      <c r="N1944" s="2">
        <v>12251</v>
      </c>
      <c r="O1944" s="2">
        <v>413</v>
      </c>
      <c r="P1944" s="7">
        <f>grand[[#This Row],[total weight]]/grand[[#This Row],[received]]</f>
        <v>460.27906976744185</v>
      </c>
      <c r="Q1944" s="7">
        <f>grand[[#This Row],[receiving weight]]/grand[[#This Row],[received]]</f>
        <v>444.51162790697674</v>
      </c>
      <c r="R1944" s="7">
        <f>grand[[#This Row],[transportation loss ]]/grand[[#This Row],[received]]</f>
        <v>15.767441860465116</v>
      </c>
      <c r="S1944" s="7">
        <f>grand[[#This Row],[ carcass weight]]/grand[[#This Row],[received]]</f>
        <v>284.90697674418607</v>
      </c>
      <c r="T1944" s="7">
        <f>grand[[#This Row],[ kidneys fat quantity]]/grand[[#This Row],[received]]</f>
        <v>9.604651162790697</v>
      </c>
      <c r="U1944" s="15">
        <v>25</v>
      </c>
      <c r="V1944" s="15">
        <v>0</v>
      </c>
      <c r="W1944" s="15">
        <v>48.126416219439477</v>
      </c>
      <c r="X1944" s="15">
        <v>10</v>
      </c>
      <c r="Y1944" s="8">
        <v>8.5</v>
      </c>
      <c r="Z1944" s="20">
        <f>grand[[#This Row],[av. Transportation loss]]/grand[[#This Row],[av.total weight]]</f>
        <v>3.4256265157639451E-2</v>
      </c>
      <c r="AA1944" s="12">
        <f>AVERAGE((grand[[#This Row],[am]]/25),(grand[[#This Row],[pm]]/50))</f>
        <v>0.98126416219439472</v>
      </c>
      <c r="AB1944" s="12">
        <f>grand[[#This Row],[ carcass weight]]/grand[[#This Row],[total weight]]</f>
        <v>0.61898746968472107</v>
      </c>
      <c r="AC1944" s="22">
        <f>SUM(grand[[#This Row],[am]:[meat transportation]])/100</f>
        <v>0.91626416219439477</v>
      </c>
      <c r="AD1944" s="9" t="s">
        <v>457</v>
      </c>
      <c r="AJ1944" s="1">
        <v>15</v>
      </c>
      <c r="AK1944" s="20"/>
      <c r="AL1944" s="1">
        <v>399</v>
      </c>
    </row>
    <row r="1945" spans="1:38" hidden="1" x14ac:dyDescent="0.2">
      <c r="A1945" s="11">
        <v>44898</v>
      </c>
      <c r="B1945" s="53" t="s">
        <v>1747</v>
      </c>
      <c r="C1945" s="52" t="str">
        <f>IF(MID(B1945,4,2)="09","Ramadan",IF(AND(MID(B1945,4,2)="12",VALUE(LEFT(B1945,2))&lt;=9),"Adha Season","Normal"))</f>
        <v>Normal</v>
      </c>
      <c r="D1945" s="1" t="s">
        <v>45</v>
      </c>
      <c r="F1945" s="4" t="s">
        <v>43</v>
      </c>
      <c r="G1945" s="1">
        <v>38</v>
      </c>
      <c r="H1945" s="15">
        <v>37</v>
      </c>
      <c r="I1945" s="1">
        <f>grand[[#This Row],[number]]-grand[[#This Row],[received]]</f>
        <v>1</v>
      </c>
      <c r="J1945" s="30" t="s">
        <v>506</v>
      </c>
      <c r="K1945" s="2">
        <v>17648</v>
      </c>
      <c r="L1945" s="2">
        <v>16943</v>
      </c>
      <c r="M1945" s="2">
        <f>K1945-L1945</f>
        <v>705</v>
      </c>
      <c r="N1945" s="2">
        <v>10588.5</v>
      </c>
      <c r="O1945" s="2">
        <v>302</v>
      </c>
      <c r="P1945" s="7">
        <f>grand[[#This Row],[total weight]]/grand[[#This Row],[received]]</f>
        <v>476.97297297297297</v>
      </c>
      <c r="Q1945" s="7">
        <f>grand[[#This Row],[receiving weight]]/grand[[#This Row],[received]]</f>
        <v>457.91891891891891</v>
      </c>
      <c r="R1945" s="7">
        <f>grand[[#This Row],[transportation loss ]]/grand[[#This Row],[received]]</f>
        <v>19.054054054054053</v>
      </c>
      <c r="S1945" s="7">
        <f>grand[[#This Row],[ carcass weight]]/grand[[#This Row],[received]]</f>
        <v>286.17567567567568</v>
      </c>
      <c r="T1945" s="7">
        <f>grand[[#This Row],[ kidneys fat quantity]]/grand[[#This Row],[received]]</f>
        <v>8.1621621621621614</v>
      </c>
      <c r="U1945" s="15">
        <v>25</v>
      </c>
      <c r="V1945" s="15">
        <v>0</v>
      </c>
      <c r="W1945" s="15">
        <v>49.027027027027032</v>
      </c>
      <c r="X1945" s="15">
        <v>10</v>
      </c>
      <c r="Y1945" s="8">
        <v>8.5</v>
      </c>
      <c r="Z1945" s="20">
        <f>grand[[#This Row],[av. Transportation loss]]/grand[[#This Row],[av.total weight]]</f>
        <v>3.9947869446962825E-2</v>
      </c>
      <c r="AA1945" s="12">
        <f>AVERAGE((grand[[#This Row],[am]]/25),(grand[[#This Row],[pm]]/50))</f>
        <v>0.99027027027027037</v>
      </c>
      <c r="AB1945" s="12">
        <f>grand[[#This Row],[ carcass weight]]/grand[[#This Row],[total weight]]</f>
        <v>0.59998300090661827</v>
      </c>
      <c r="AC1945" s="22">
        <f>SUM(grand[[#This Row],[am]:[meat transportation]])/100</f>
        <v>0.92527027027027031</v>
      </c>
      <c r="AD1945" s="9" t="s">
        <v>228</v>
      </c>
      <c r="AJ1945" s="1">
        <v>24</v>
      </c>
      <c r="AK1945" s="20"/>
      <c r="AL1945" s="16">
        <v>482</v>
      </c>
    </row>
    <row r="1946" spans="1:38" hidden="1" x14ac:dyDescent="0.2">
      <c r="A1946" s="11">
        <v>44899</v>
      </c>
      <c r="B1946" s="53" t="s">
        <v>1748</v>
      </c>
      <c r="C1946" s="52" t="str">
        <f>IF(MID(B1946,4,2)="09","Ramadan",IF(AND(MID(B1946,4,2)="12",VALUE(LEFT(B1946,2))&lt;=9),"Adha Season","Normal"))</f>
        <v>Normal</v>
      </c>
      <c r="D1946" s="1" t="s">
        <v>45</v>
      </c>
      <c r="F1946" s="4" t="s">
        <v>280</v>
      </c>
      <c r="G1946" s="1">
        <v>56</v>
      </c>
      <c r="H1946" s="15">
        <v>55</v>
      </c>
      <c r="I1946" s="1">
        <f>grand[[#This Row],[number]]-grand[[#This Row],[received]]</f>
        <v>1</v>
      </c>
      <c r="J1946" s="30" t="s">
        <v>507</v>
      </c>
      <c r="K1946" s="2">
        <v>27553</v>
      </c>
      <c r="L1946" s="2">
        <v>26520</v>
      </c>
      <c r="M1946" s="2">
        <f>K1946-L1946</f>
        <v>1033</v>
      </c>
      <c r="N1946" s="2">
        <v>16530.5</v>
      </c>
      <c r="O1946" s="2">
        <v>599</v>
      </c>
      <c r="P1946" s="7">
        <f>grand[[#This Row],[total weight]]/grand[[#This Row],[received]]</f>
        <v>500.96363636363634</v>
      </c>
      <c r="Q1946" s="7">
        <f>grand[[#This Row],[receiving weight]]/grand[[#This Row],[received]]</f>
        <v>482.18181818181819</v>
      </c>
      <c r="R1946" s="7">
        <f>grand[[#This Row],[transportation loss ]]/grand[[#This Row],[received]]</f>
        <v>18.781818181818181</v>
      </c>
      <c r="S1946" s="7">
        <f>grand[[#This Row],[ carcass weight]]/grand[[#This Row],[received]]</f>
        <v>300.55454545454546</v>
      </c>
      <c r="T1946" s="7">
        <f>grand[[#This Row],[ kidneys fat quantity]]/grand[[#This Row],[received]]</f>
        <v>10.890909090909091</v>
      </c>
      <c r="U1946" s="15">
        <v>25</v>
      </c>
      <c r="V1946" s="15">
        <v>0</v>
      </c>
      <c r="W1946" s="15">
        <v>49.618181818181817</v>
      </c>
      <c r="X1946" s="15">
        <v>9.9090909090909101</v>
      </c>
      <c r="Y1946" s="8">
        <v>8.5</v>
      </c>
      <c r="Z1946" s="20">
        <f>grand[[#This Row],[av. Transportation loss]]/grand[[#This Row],[av.total weight]]</f>
        <v>3.7491380248974707E-2</v>
      </c>
      <c r="AA1946" s="12">
        <f>AVERAGE((grand[[#This Row],[am]]/25),(grand[[#This Row],[pm]]/50))</f>
        <v>0.99618181818181817</v>
      </c>
      <c r="AB1946" s="12">
        <f>grand[[#This Row],[ carcass weight]]/grand[[#This Row],[total weight]]</f>
        <v>0.5999528182049142</v>
      </c>
      <c r="AC1946" s="22">
        <f>SUM(grand[[#This Row],[am]:[meat transportation]])/100</f>
        <v>0.93027272727272736</v>
      </c>
      <c r="AD1946" s="9" t="s">
        <v>508</v>
      </c>
      <c r="AJ1946" s="1">
        <v>21</v>
      </c>
      <c r="AK1946" s="20"/>
      <c r="AL1946" s="16">
        <v>516</v>
      </c>
    </row>
    <row r="1947" spans="1:38" hidden="1" x14ac:dyDescent="0.2">
      <c r="A1947" s="11">
        <v>44905</v>
      </c>
      <c r="B1947" s="53" t="s">
        <v>1752</v>
      </c>
      <c r="C1947" s="52" t="str">
        <f>IF(MID(B1947,4,2)="09","Ramadan",IF(AND(MID(B1947,4,2)="12",VALUE(LEFT(B1947,2))&lt;=9),"Adha Season","Normal"))</f>
        <v>Normal</v>
      </c>
      <c r="D1947" s="1" t="s">
        <v>45</v>
      </c>
      <c r="F1947" s="4" t="s">
        <v>43</v>
      </c>
      <c r="G1947" s="1">
        <v>30</v>
      </c>
      <c r="H1947" s="15">
        <v>29</v>
      </c>
      <c r="I1947" s="1">
        <f>grand[[#This Row],[number]]-grand[[#This Row],[received]]</f>
        <v>1</v>
      </c>
      <c r="J1947" s="30" t="s">
        <v>510</v>
      </c>
      <c r="K1947" s="2">
        <v>15170</v>
      </c>
      <c r="L1947" s="2">
        <v>14765</v>
      </c>
      <c r="M1947" s="2">
        <f>K1947-L1947</f>
        <v>405</v>
      </c>
      <c r="N1947" s="2">
        <v>9102.1</v>
      </c>
      <c r="O1947" s="2">
        <v>332</v>
      </c>
      <c r="P1947" s="7">
        <f>grand[[#This Row],[total weight]]/grand[[#This Row],[received]]</f>
        <v>523.10344827586209</v>
      </c>
      <c r="Q1947" s="7">
        <f>grand[[#This Row],[receiving weight]]/grand[[#This Row],[received]]</f>
        <v>509.13793103448273</v>
      </c>
      <c r="R1947" s="7">
        <f>grand[[#This Row],[transportation loss ]]/grand[[#This Row],[received]]</f>
        <v>13.96551724137931</v>
      </c>
      <c r="S1947" s="7">
        <f>grand[[#This Row],[ carcass weight]]/grand[[#This Row],[received]]</f>
        <v>313.86551724137934</v>
      </c>
      <c r="T1947" s="7">
        <f>grand[[#This Row],[ kidneys fat quantity]]/grand[[#This Row],[received]]</f>
        <v>11.448275862068966</v>
      </c>
      <c r="U1947" s="15">
        <v>25</v>
      </c>
      <c r="V1947" s="15">
        <v>0</v>
      </c>
      <c r="W1947" s="15">
        <v>48.837438423645317</v>
      </c>
      <c r="X1947" s="15">
        <v>10</v>
      </c>
      <c r="Y1947" s="8">
        <v>8.5</v>
      </c>
      <c r="Z1947" s="20">
        <f>grand[[#This Row],[av. Transportation loss]]/grand[[#This Row],[av.total weight]]</f>
        <v>2.6697429136453524E-2</v>
      </c>
      <c r="AA1947" s="12">
        <f>AVERAGE((grand[[#This Row],[am]]/25),(grand[[#This Row],[pm]]/50))</f>
        <v>0.98837438423645319</v>
      </c>
      <c r="AB1947" s="12">
        <f>grand[[#This Row],[ carcass weight]]/grand[[#This Row],[total weight]]</f>
        <v>0.60000659195781147</v>
      </c>
      <c r="AC1947" s="22">
        <f>SUM(grand[[#This Row],[am]:[meat transportation]])/100</f>
        <v>0.92337438423645324</v>
      </c>
      <c r="AD1947" s="9" t="s">
        <v>117</v>
      </c>
      <c r="AJ1947" s="1">
        <v>10</v>
      </c>
      <c r="AK1947" s="20"/>
      <c r="AL1947" s="1">
        <v>543</v>
      </c>
    </row>
    <row r="1948" spans="1:38" hidden="1" x14ac:dyDescent="0.2">
      <c r="A1948" s="11">
        <v>44908</v>
      </c>
      <c r="B1948" s="53" t="s">
        <v>1754</v>
      </c>
      <c r="C1948" s="52" t="str">
        <f>IF(MID(B1948,4,2)="09","Ramadan",IF(AND(MID(B1948,4,2)="12",VALUE(LEFT(B1948,2))&lt;=9),"Adha Season","Normal"))</f>
        <v>Normal</v>
      </c>
      <c r="D1948" s="1" t="s">
        <v>45</v>
      </c>
      <c r="F1948" s="4" t="s">
        <v>39</v>
      </c>
      <c r="G1948" s="1">
        <v>32</v>
      </c>
      <c r="H1948" s="15">
        <v>31</v>
      </c>
      <c r="I1948" s="1">
        <f>grand[[#This Row],[number]]-grand[[#This Row],[received]]</f>
        <v>1</v>
      </c>
      <c r="J1948" s="30" t="s">
        <v>507</v>
      </c>
      <c r="K1948" s="2">
        <v>14202</v>
      </c>
      <c r="L1948" s="2">
        <v>13619</v>
      </c>
      <c r="M1948" s="2">
        <f>K1948-L1948</f>
        <v>583</v>
      </c>
      <c r="N1948" s="2">
        <v>8917.2999999999993</v>
      </c>
      <c r="O1948" s="2">
        <v>305</v>
      </c>
      <c r="P1948" s="7">
        <f>grand[[#This Row],[total weight]]/grand[[#This Row],[received]]</f>
        <v>458.12903225806451</v>
      </c>
      <c r="Q1948" s="7">
        <f>grand[[#This Row],[receiving weight]]/grand[[#This Row],[received]]</f>
        <v>439.32258064516128</v>
      </c>
      <c r="R1948" s="7">
        <f>grand[[#This Row],[transportation loss ]]/grand[[#This Row],[received]]</f>
        <v>18.806451612903224</v>
      </c>
      <c r="S1948" s="7">
        <f>grand[[#This Row],[ carcass weight]]/grand[[#This Row],[received]]</f>
        <v>287.65483870967739</v>
      </c>
      <c r="T1948" s="7">
        <f>grand[[#This Row],[ kidneys fat quantity]]/grand[[#This Row],[received]]</f>
        <v>9.8387096774193541</v>
      </c>
      <c r="U1948" s="15">
        <v>25</v>
      </c>
      <c r="V1948" s="15">
        <v>0</v>
      </c>
      <c r="W1948" s="15">
        <v>49.612903225806448</v>
      </c>
      <c r="X1948" s="15">
        <v>10</v>
      </c>
      <c r="Y1948" s="8">
        <v>8.5</v>
      </c>
      <c r="Z1948" s="20">
        <f>grand[[#This Row],[av. Transportation loss]]/grand[[#This Row],[av.total weight]]</f>
        <v>4.1050556259681729E-2</v>
      </c>
      <c r="AA1948" s="12">
        <f>AVERAGE((grand[[#This Row],[am]]/25),(grand[[#This Row],[pm]]/50))</f>
        <v>0.99612903225806448</v>
      </c>
      <c r="AB1948" s="12">
        <f>grand[[#This Row],[ carcass weight]]/grand[[#This Row],[total weight]]</f>
        <v>0.62789043796648358</v>
      </c>
      <c r="AC1948" s="22">
        <f>SUM(grand[[#This Row],[am]:[meat transportation]])/100</f>
        <v>0.93112903225806454</v>
      </c>
      <c r="AD1948" s="9" t="s">
        <v>188</v>
      </c>
      <c r="AJ1948" s="1">
        <v>2</v>
      </c>
      <c r="AK1948" s="20"/>
      <c r="AL1948" s="1">
        <v>467</v>
      </c>
    </row>
    <row r="1949" spans="1:38" hidden="1" x14ac:dyDescent="0.2">
      <c r="A1949" s="11">
        <v>44912</v>
      </c>
      <c r="B1949" s="53" t="s">
        <v>1756</v>
      </c>
      <c r="C1949" s="52" t="str">
        <f>IF(MID(B1949,4,2)="09","Ramadan",IF(AND(MID(B1949,4,2)="12",VALUE(LEFT(B1949,2))&lt;=9),"Adha Season","Normal"))</f>
        <v>Normal</v>
      </c>
      <c r="D1949" s="1" t="s">
        <v>45</v>
      </c>
      <c r="F1949" s="4" t="s">
        <v>39</v>
      </c>
      <c r="G1949" s="1">
        <v>39</v>
      </c>
      <c r="H1949" s="15">
        <v>38</v>
      </c>
      <c r="I1949" s="1">
        <f>grand[[#This Row],[number]]-grand[[#This Row],[received]]</f>
        <v>1</v>
      </c>
      <c r="J1949" s="30" t="s">
        <v>507</v>
      </c>
      <c r="K1949" s="2">
        <v>17695</v>
      </c>
      <c r="L1949" s="2">
        <v>16825</v>
      </c>
      <c r="M1949" s="2">
        <f>K1949-L1949</f>
        <v>870</v>
      </c>
      <c r="N1949" s="2">
        <v>10744.2</v>
      </c>
      <c r="O1949" s="2">
        <v>408</v>
      </c>
      <c r="P1949" s="7">
        <f>grand[[#This Row],[total weight]]/grand[[#This Row],[received]]</f>
        <v>465.65789473684208</v>
      </c>
      <c r="Q1949" s="7">
        <f>grand[[#This Row],[receiving weight]]/grand[[#This Row],[received]]</f>
        <v>442.76315789473682</v>
      </c>
      <c r="R1949" s="7">
        <f>grand[[#This Row],[transportation loss ]]/grand[[#This Row],[received]]</f>
        <v>22.894736842105264</v>
      </c>
      <c r="S1949" s="7">
        <f>grand[[#This Row],[ carcass weight]]/grand[[#This Row],[received]]</f>
        <v>282.7421052631579</v>
      </c>
      <c r="T1949" s="7">
        <f>grand[[#This Row],[ kidneys fat quantity]]/grand[[#This Row],[received]]</f>
        <v>10.736842105263158</v>
      </c>
      <c r="U1949" s="15">
        <v>25</v>
      </c>
      <c r="V1949" s="15">
        <v>0</v>
      </c>
      <c r="W1949" s="15">
        <v>49.39473684210526</v>
      </c>
      <c r="X1949" s="15">
        <v>10</v>
      </c>
      <c r="Y1949" s="8">
        <v>8.5</v>
      </c>
      <c r="Z1949" s="21">
        <f>grand[[#This Row],[av. Transportation loss]]/grand[[#This Row],[av.total weight]]</f>
        <v>4.9166431195252901E-2</v>
      </c>
      <c r="AA1949" s="12">
        <f>AVERAGE((grand[[#This Row],[am]]/25),(grand[[#This Row],[pm]]/50))</f>
        <v>0.99394736842105258</v>
      </c>
      <c r="AB1949" s="23">
        <f>grand[[#This Row],[ carcass weight]]/grand[[#This Row],[total weight]]</f>
        <v>0.60718847131958187</v>
      </c>
      <c r="AC1949" s="24">
        <f>SUM(grand[[#This Row],[am]:[meat transportation]])/100</f>
        <v>0.92894736842105263</v>
      </c>
      <c r="AD1949" s="9" t="s">
        <v>511</v>
      </c>
      <c r="AJ1949" s="1">
        <v>5</v>
      </c>
      <c r="AK1949" s="20"/>
      <c r="AL1949" s="1">
        <v>455</v>
      </c>
    </row>
    <row r="1950" spans="1:38" hidden="1" x14ac:dyDescent="0.2">
      <c r="A1950" s="11">
        <v>44920</v>
      </c>
      <c r="B1950" s="53" t="s">
        <v>1761</v>
      </c>
      <c r="C1950" s="52" t="str">
        <f>IF(MID(B1950,4,2)="09","Ramadan",IF(AND(MID(B1950,4,2)="12",VALUE(LEFT(B1950,2))&lt;=9),"Adha Season","Normal"))</f>
        <v>Normal</v>
      </c>
      <c r="D1950" s="1" t="s">
        <v>45</v>
      </c>
      <c r="F1950" s="4" t="s">
        <v>280</v>
      </c>
      <c r="G1950" s="1">
        <v>37</v>
      </c>
      <c r="H1950" s="15">
        <v>36</v>
      </c>
      <c r="I1950" s="1">
        <f>grand[[#This Row],[number]]-grand[[#This Row],[received]]</f>
        <v>1</v>
      </c>
      <c r="J1950" s="30" t="s">
        <v>510</v>
      </c>
      <c r="K1950" s="2">
        <v>17435</v>
      </c>
      <c r="L1950" s="2">
        <v>16510</v>
      </c>
      <c r="M1950" s="2">
        <f>K1950-L1950</f>
        <v>925</v>
      </c>
      <c r="N1950" s="2">
        <v>10513.5</v>
      </c>
      <c r="O1950" s="2">
        <v>383</v>
      </c>
      <c r="P1950" s="7">
        <f>grand[[#This Row],[total weight]]/grand[[#This Row],[received]]</f>
        <v>484.30555555555554</v>
      </c>
      <c r="Q1950" s="7">
        <f>grand[[#This Row],[receiving weight]]/grand[[#This Row],[received]]</f>
        <v>458.61111111111109</v>
      </c>
      <c r="R1950" s="7">
        <f>grand[[#This Row],[transportation loss ]]/grand[[#This Row],[received]]</f>
        <v>25.694444444444443</v>
      </c>
      <c r="S1950" s="7">
        <f>grand[[#This Row],[ carcass weight]]/grand[[#This Row],[received]]</f>
        <v>292.04166666666669</v>
      </c>
      <c r="T1950" s="7">
        <f>grand[[#This Row],[ kidneys fat quantity]]/grand[[#This Row],[received]]</f>
        <v>10.638888888888889</v>
      </c>
      <c r="U1950" s="15">
        <v>25</v>
      </c>
      <c r="V1950" s="15">
        <v>0</v>
      </c>
      <c r="W1950" s="15">
        <v>50</v>
      </c>
      <c r="X1950" s="15">
        <v>10</v>
      </c>
      <c r="Y1950" s="8">
        <v>8.5</v>
      </c>
      <c r="Z1950" s="21">
        <f>grand[[#This Row],[av. Transportation loss]]/grand[[#This Row],[av.total weight]]</f>
        <v>5.3054201319185541E-2</v>
      </c>
      <c r="AA1950" s="12">
        <f>AVERAGE((grand[[#This Row],[am]]/25),(grand[[#This Row],[pm]]/50))</f>
        <v>1</v>
      </c>
      <c r="AB1950" s="23">
        <f>grand[[#This Row],[ carcass weight]]/grand[[#This Row],[total weight]]</f>
        <v>0.60301118439919699</v>
      </c>
      <c r="AC1950" s="24">
        <f>SUM(grand[[#This Row],[am]:[meat transportation]])/100</f>
        <v>0.93500000000000005</v>
      </c>
      <c r="AD1950" s="2"/>
      <c r="AJ1950" s="1">
        <v>16</v>
      </c>
      <c r="AK1950" s="20"/>
      <c r="AL1950" s="1">
        <v>460</v>
      </c>
    </row>
    <row r="1951" spans="1:38" hidden="1" x14ac:dyDescent="0.2">
      <c r="A1951" s="11">
        <v>44926</v>
      </c>
      <c r="B1951" s="53" t="s">
        <v>1765</v>
      </c>
      <c r="C1951" s="52" t="str">
        <f>IF(MID(B1951,4,2)="09","Ramadan",IF(AND(MID(B1951,4,2)="12",VALUE(LEFT(B1951,2))&lt;=9),"Adha Season","Normal"))</f>
        <v>Normal</v>
      </c>
      <c r="D1951" s="1" t="s">
        <v>45</v>
      </c>
      <c r="F1951" s="4" t="s">
        <v>39</v>
      </c>
      <c r="G1951" s="1">
        <v>21</v>
      </c>
      <c r="H1951" s="15">
        <v>20</v>
      </c>
      <c r="I1951" s="1">
        <f>grand[[#This Row],[number]]-grand[[#This Row],[received]]</f>
        <v>1</v>
      </c>
      <c r="J1951" s="30" t="s">
        <v>516</v>
      </c>
      <c r="K1951" s="2">
        <v>8606</v>
      </c>
      <c r="L1951" s="2">
        <v>8241</v>
      </c>
      <c r="M1951" s="2">
        <f>K1951-L1951</f>
        <v>365</v>
      </c>
      <c r="N1951" s="2">
        <v>5246.8</v>
      </c>
      <c r="O1951" s="2">
        <v>184</v>
      </c>
      <c r="P1951" s="7">
        <f>grand[[#This Row],[total weight]]/grand[[#This Row],[received]]</f>
        <v>430.3</v>
      </c>
      <c r="Q1951" s="7">
        <f>grand[[#This Row],[receiving weight]]/grand[[#This Row],[received]]</f>
        <v>412.05</v>
      </c>
      <c r="R1951" s="7">
        <f>grand[[#This Row],[transportation loss ]]/grand[[#This Row],[received]]</f>
        <v>18.25</v>
      </c>
      <c r="S1951" s="7">
        <f>grand[[#This Row],[ carcass weight]]/grand[[#This Row],[received]]</f>
        <v>262.34000000000003</v>
      </c>
      <c r="T1951" s="7">
        <f>grand[[#This Row],[ kidneys fat quantity]]/grand[[#This Row],[received]]</f>
        <v>9.1999999999999993</v>
      </c>
      <c r="U1951" s="15">
        <v>25</v>
      </c>
      <c r="V1951" s="15">
        <v>0</v>
      </c>
      <c r="W1951" s="15">
        <v>48.05</v>
      </c>
      <c r="X1951" s="15">
        <v>10</v>
      </c>
      <c r="Y1951" s="8">
        <v>8.5</v>
      </c>
      <c r="Z1951" s="21">
        <f>grand[[#This Row],[av. Transportation loss]]/grand[[#This Row],[av.total weight]]</f>
        <v>4.2412270508947247E-2</v>
      </c>
      <c r="AA1951" s="12">
        <f>AVERAGE((grand[[#This Row],[am]]/25),(grand[[#This Row],[pm]]/50))</f>
        <v>0.98049999999999993</v>
      </c>
      <c r="AB1951" s="23">
        <f>grand[[#This Row],[ carcass weight]]/grand[[#This Row],[total weight]]</f>
        <v>0.60966767371601216</v>
      </c>
      <c r="AC1951" s="24">
        <f>SUM(grand[[#This Row],[am]:[meat transportation]])/100</f>
        <v>0.91549999999999998</v>
      </c>
      <c r="AD1951" s="9" t="s">
        <v>188</v>
      </c>
      <c r="AJ1951" s="1">
        <v>0</v>
      </c>
      <c r="AK1951" s="20"/>
      <c r="AL1951" s="1">
        <v>439</v>
      </c>
    </row>
    <row r="1952" spans="1:38" hidden="1" x14ac:dyDescent="0.2">
      <c r="A1952" s="11">
        <v>44934</v>
      </c>
      <c r="B1952" s="53" t="s">
        <v>1771</v>
      </c>
      <c r="C1952" s="52" t="str">
        <f>IF(MID(B1952,4,2)="09","Ramadan",IF(AND(MID(B1952,4,2)="12",VALUE(LEFT(B1952,2))&lt;=9),"Adha Season","Normal"))</f>
        <v>Normal</v>
      </c>
      <c r="D1952" s="1" t="s">
        <v>45</v>
      </c>
      <c r="E1952" s="1" t="s">
        <v>483</v>
      </c>
      <c r="F1952" s="4" t="s">
        <v>46</v>
      </c>
      <c r="G1952" s="1">
        <v>56</v>
      </c>
      <c r="H1952" s="15">
        <v>55</v>
      </c>
      <c r="I1952" s="1">
        <f>grand[[#This Row],[number]]-grand[[#This Row],[received]]</f>
        <v>1</v>
      </c>
      <c r="J1952" s="30" t="s">
        <v>524</v>
      </c>
      <c r="K1952" s="2">
        <v>24369</v>
      </c>
      <c r="L1952" s="2">
        <v>23380</v>
      </c>
      <c r="M1952" s="2">
        <f>K1952-L1952</f>
        <v>989</v>
      </c>
      <c r="N1952" s="2">
        <v>14620.5</v>
      </c>
      <c r="O1952" s="2">
        <v>512</v>
      </c>
      <c r="P1952" s="7">
        <f>grand[[#This Row],[total weight]]/grand[[#This Row],[received]]</f>
        <v>443.07272727272726</v>
      </c>
      <c r="Q1952" s="7">
        <f>grand[[#This Row],[receiving weight]]/grand[[#This Row],[received]]</f>
        <v>425.09090909090907</v>
      </c>
      <c r="R1952" s="7">
        <f>grand[[#This Row],[transportation loss ]]/grand[[#This Row],[received]]</f>
        <v>17.981818181818181</v>
      </c>
      <c r="S1952" s="7">
        <f>grand[[#This Row],[ carcass weight]]/grand[[#This Row],[received]]</f>
        <v>265.82727272727271</v>
      </c>
      <c r="T1952" s="7">
        <f>grand[[#This Row],[ kidneys fat quantity]]/grand[[#This Row],[received]]</f>
        <v>9.3090909090909086</v>
      </c>
      <c r="U1952" s="15">
        <v>23.363636363636363</v>
      </c>
      <c r="V1952" s="15">
        <v>0</v>
      </c>
      <c r="W1952" s="15">
        <v>49.527272727272724</v>
      </c>
      <c r="X1952" s="15">
        <v>10</v>
      </c>
      <c r="Y1952" s="8">
        <v>8.5</v>
      </c>
      <c r="Z1952" s="21">
        <f>grand[[#This Row],[av. Transportation loss]]/grand[[#This Row],[av.total weight]]</f>
        <v>4.0584348967951087E-2</v>
      </c>
      <c r="AA1952" s="12">
        <f>AVERAGE((grand[[#This Row],[am]]/25),(grand[[#This Row],[pm]]/50))</f>
        <v>0.96254545454545459</v>
      </c>
      <c r="AB1952" s="23">
        <f>grand[[#This Row],[ carcass weight]]/grand[[#This Row],[total weight]]</f>
        <v>0.59996306783208175</v>
      </c>
      <c r="AC1952" s="24">
        <f>SUM(grand[[#This Row],[am]:[meat transportation]])/100</f>
        <v>0.91390909090909089</v>
      </c>
      <c r="AD1952" s="2" t="s">
        <v>525</v>
      </c>
      <c r="AJ1952" s="1">
        <v>23</v>
      </c>
      <c r="AK1952" s="20"/>
      <c r="AL1952" s="1">
        <f>425+17.5</f>
        <v>442.5</v>
      </c>
    </row>
    <row r="1953" spans="1:38" hidden="1" x14ac:dyDescent="0.2">
      <c r="A1953" s="11">
        <v>44944</v>
      </c>
      <c r="B1953" s="53" t="s">
        <v>1777</v>
      </c>
      <c r="C1953" s="52" t="str">
        <f>IF(MID(B1953,4,2)="09","Ramadan",IF(AND(MID(B1953,4,2)="12",VALUE(LEFT(B1953,2))&lt;=9),"Adha Season","Normal"))</f>
        <v>Normal</v>
      </c>
      <c r="D1953" s="1" t="s">
        <v>45</v>
      </c>
      <c r="E1953" s="1" t="s">
        <v>528</v>
      </c>
      <c r="F1953" s="4" t="s">
        <v>462</v>
      </c>
      <c r="G1953" s="1">
        <v>53</v>
      </c>
      <c r="H1953" s="15">
        <v>52</v>
      </c>
      <c r="I1953" s="1">
        <f>grand[[#This Row],[number]]-grand[[#This Row],[received]]</f>
        <v>1</v>
      </c>
      <c r="J1953" s="30" t="s">
        <v>532</v>
      </c>
      <c r="K1953" s="2">
        <v>22754.746835443038</v>
      </c>
      <c r="L1953" s="2">
        <v>22754.746835443038</v>
      </c>
      <c r="M1953" s="2">
        <f>K1953-L1953</f>
        <v>0</v>
      </c>
      <c r="N1953" s="2">
        <v>14381.3</v>
      </c>
      <c r="O1953" s="2">
        <v>0</v>
      </c>
      <c r="P1953" s="7">
        <f>grand[[#This Row],[total weight]]/grand[[#This Row],[received]]</f>
        <v>437.59128529698148</v>
      </c>
      <c r="Q1953" s="7">
        <f>grand[[#This Row],[receiving weight]]/grand[[#This Row],[received]]</f>
        <v>437.59128529698148</v>
      </c>
      <c r="R1953" s="7">
        <f>grand[[#This Row],[transportation loss ]]/grand[[#This Row],[received]]</f>
        <v>0</v>
      </c>
      <c r="S1953" s="7">
        <f>grand[[#This Row],[ carcass weight]]/grand[[#This Row],[received]]</f>
        <v>276.56346153846152</v>
      </c>
      <c r="T1953" s="7">
        <f>grand[[#This Row],[ kidneys fat quantity]]/grand[[#This Row],[received]]</f>
        <v>0</v>
      </c>
      <c r="U1953" s="15">
        <v>25</v>
      </c>
      <c r="V1953" s="15">
        <v>5</v>
      </c>
      <c r="W1953" s="15">
        <v>49.730769230769226</v>
      </c>
      <c r="X1953" s="15">
        <v>10</v>
      </c>
      <c r="Y1953" s="8">
        <v>8.5</v>
      </c>
      <c r="Z1953" s="21">
        <f>grand[[#This Row],[av. Transportation loss]]/grand[[#This Row],[av.total weight]]</f>
        <v>0</v>
      </c>
      <c r="AA1953" s="12">
        <f>AVERAGE((grand[[#This Row],[am]]/25),(grand[[#This Row],[pm]]/50))</f>
        <v>0.99730769230769223</v>
      </c>
      <c r="AB1953" s="23">
        <f>grand[[#This Row],[ carcass weight]]/grand[[#This Row],[total weight]]</f>
        <v>0.63201318406230433</v>
      </c>
      <c r="AC1953" s="24">
        <f>SUM(grand[[#This Row],[am]:[meat transportation]])/100</f>
        <v>0.98230769230769222</v>
      </c>
      <c r="AD1953" s="2" t="s">
        <v>459</v>
      </c>
      <c r="AJ1953" s="1">
        <v>0</v>
      </c>
      <c r="AK1953" s="20"/>
      <c r="AL1953" s="1">
        <v>429</v>
      </c>
    </row>
    <row r="1954" spans="1:38" hidden="1" x14ac:dyDescent="0.2">
      <c r="A1954" s="11">
        <v>44956</v>
      </c>
      <c r="B1954" s="53" t="s">
        <v>1785</v>
      </c>
      <c r="C1954" s="52" t="str">
        <f>IF(MID(B1954,4,2)="09","Ramadan",IF(AND(MID(B1954,4,2)="12",VALUE(LEFT(B1954,2))&lt;=9),"Adha Season","Normal"))</f>
        <v>Normal</v>
      </c>
      <c r="D1954" s="1" t="s">
        <v>45</v>
      </c>
      <c r="E1954" s="1" t="s">
        <v>528</v>
      </c>
      <c r="F1954" s="4" t="s">
        <v>462</v>
      </c>
      <c r="G1954" s="1">
        <v>51</v>
      </c>
      <c r="H1954" s="15">
        <v>50</v>
      </c>
      <c r="I1954" s="1">
        <f>grand[[#This Row],[number]]-grand[[#This Row],[received]]</f>
        <v>1</v>
      </c>
      <c r="J1954" s="30" t="s">
        <v>538</v>
      </c>
      <c r="K1954" s="2">
        <v>20571.835443037999</v>
      </c>
      <c r="L1954" s="2">
        <v>20571.835443037999</v>
      </c>
      <c r="M1954" s="2">
        <f>K1954-L1954</f>
        <v>0</v>
      </c>
      <c r="N1954" s="2">
        <v>13001.4</v>
      </c>
      <c r="O1954" s="2"/>
      <c r="P1954" s="7">
        <f>grand[[#This Row],[total weight]]/grand[[#This Row],[received]]</f>
        <v>411.43670886075995</v>
      </c>
      <c r="Q1954" s="7">
        <f>grand[[#This Row],[receiving weight]]/grand[[#This Row],[received]]</f>
        <v>411.43670886075995</v>
      </c>
      <c r="R1954" s="7">
        <f>grand[[#This Row],[transportation loss ]]/grand[[#This Row],[received]]</f>
        <v>0</v>
      </c>
      <c r="S1954" s="7">
        <f>grand[[#This Row],[ carcass weight]]/grand[[#This Row],[received]]</f>
        <v>260.02800000000002</v>
      </c>
      <c r="T1954" s="7">
        <f>grand[[#This Row],[ kidneys fat quantity]]/grand[[#This Row],[received]]</f>
        <v>0</v>
      </c>
      <c r="U1954" s="15">
        <v>25</v>
      </c>
      <c r="V1954" s="15">
        <v>5</v>
      </c>
      <c r="W1954" s="15">
        <v>49.02</v>
      </c>
      <c r="X1954" s="15">
        <v>10</v>
      </c>
      <c r="Y1954" s="8">
        <v>8.26</v>
      </c>
      <c r="Z1954" s="21">
        <f>grand[[#This Row],[av. Transportation loss]]/grand[[#This Row],[av.total weight]]</f>
        <v>0</v>
      </c>
      <c r="AA1954" s="12">
        <f>AVERAGE((grand[[#This Row],[am]]/25),(grand[[#This Row],[pm]]/50))</f>
        <v>0.99019999999999997</v>
      </c>
      <c r="AB1954" s="23">
        <f>grand[[#This Row],[ carcass weight]]/grand[[#This Row],[total weight]]</f>
        <v>0.63199999999999923</v>
      </c>
      <c r="AC1954" s="24">
        <f>SUM(grand[[#This Row],[am]:[meat transportation]])/100</f>
        <v>0.97280000000000011</v>
      </c>
      <c r="AD1954" s="2" t="s">
        <v>537</v>
      </c>
      <c r="AK1954" s="20"/>
      <c r="AL1954" s="1">
        <v>403</v>
      </c>
    </row>
    <row r="1955" spans="1:38" hidden="1" x14ac:dyDescent="0.2">
      <c r="A1955" s="11">
        <v>44958</v>
      </c>
      <c r="B1955" s="53" t="s">
        <v>1786</v>
      </c>
      <c r="C1955" s="52" t="str">
        <f>IF(MID(B1955,4,2)="09","Ramadan",IF(AND(MID(B1955,4,2)="12",VALUE(LEFT(B1955,2))&lt;=9),"Adha Season","Normal"))</f>
        <v>Normal</v>
      </c>
      <c r="D1955" s="1" t="s">
        <v>45</v>
      </c>
      <c r="E1955" s="1" t="s">
        <v>528</v>
      </c>
      <c r="F1955" s="4" t="s">
        <v>280</v>
      </c>
      <c r="G1955" s="1">
        <v>25</v>
      </c>
      <c r="H1955" s="15">
        <v>24</v>
      </c>
      <c r="I1955" s="1">
        <f>grand[[#This Row],[number]]-grand[[#This Row],[received]]</f>
        <v>1</v>
      </c>
      <c r="J1955" s="30" t="s">
        <v>540</v>
      </c>
      <c r="K1955" s="2">
        <v>13914</v>
      </c>
      <c r="L1955" s="2">
        <v>13250</v>
      </c>
      <c r="M1955" s="2">
        <f>K1955-L1955</f>
        <v>664</v>
      </c>
      <c r="N1955" s="2">
        <v>8728</v>
      </c>
      <c r="O1955" s="2">
        <v>223</v>
      </c>
      <c r="P1955" s="7">
        <f>grand[[#This Row],[total weight]]/grand[[#This Row],[received]]</f>
        <v>579.75</v>
      </c>
      <c r="Q1955" s="7">
        <f>grand[[#This Row],[receiving weight]]/grand[[#This Row],[received]]</f>
        <v>552.08333333333337</v>
      </c>
      <c r="R1955" s="7">
        <f>grand[[#This Row],[transportation loss ]]/grand[[#This Row],[received]]</f>
        <v>27.666666666666668</v>
      </c>
      <c r="S1955" s="7">
        <f>grand[[#This Row],[ carcass weight]]/grand[[#This Row],[received]]</f>
        <v>363.66666666666669</v>
      </c>
      <c r="T1955" s="7">
        <f>grand[[#This Row],[ kidneys fat quantity]]/grand[[#This Row],[received]]</f>
        <v>9.2916666666666661</v>
      </c>
      <c r="U1955" s="1">
        <v>25</v>
      </c>
      <c r="V1955" s="1">
        <v>0</v>
      </c>
      <c r="W1955" s="1">
        <v>47.208333333333329</v>
      </c>
      <c r="X1955" s="1">
        <v>10</v>
      </c>
      <c r="Y1955" s="1">
        <v>8.5</v>
      </c>
      <c r="Z1955" s="18">
        <f>grand[[#This Row],[av. Transportation loss]]/grand[[#This Row],[av.total weight]]</f>
        <v>4.7721719131809691E-2</v>
      </c>
      <c r="AA1955" s="12">
        <f>AVERAGE((grand[[#This Row],[am]]/25),(grand[[#This Row],[pm]]/50))</f>
        <v>0.9720833333333333</v>
      </c>
      <c r="AB1955" s="3">
        <f>grand[[#This Row],[ carcass weight]]/grand[[#This Row],[total weight]]</f>
        <v>0.62728187437113703</v>
      </c>
      <c r="AC1955" s="18">
        <f>SUM(grand[[#This Row],[am]:[meat transportation]])/100</f>
        <v>0.90708333333333324</v>
      </c>
      <c r="AD1955" s="1" t="s">
        <v>460</v>
      </c>
      <c r="AJ1955" s="1">
        <v>9</v>
      </c>
      <c r="AK1955" s="1"/>
      <c r="AL1955" s="1"/>
    </row>
    <row r="1956" spans="1:38" hidden="1" x14ac:dyDescent="0.2">
      <c r="A1956" s="11">
        <v>44959</v>
      </c>
      <c r="B1956" s="53" t="s">
        <v>1787</v>
      </c>
      <c r="C1956" s="52" t="str">
        <f>IF(MID(B1956,4,2)="09","Ramadan",IF(AND(MID(B1956,4,2)="12",VALUE(LEFT(B1956,2))&lt;=9),"Adha Season","Normal"))</f>
        <v>Normal</v>
      </c>
      <c r="D1956" s="1" t="s">
        <v>45</v>
      </c>
      <c r="E1956" s="1" t="s">
        <v>483</v>
      </c>
      <c r="F1956" s="4" t="s">
        <v>280</v>
      </c>
      <c r="G1956" s="1">
        <v>30</v>
      </c>
      <c r="H1956" s="15">
        <v>29</v>
      </c>
      <c r="I1956" s="1">
        <f>grand[[#This Row],[number]]-grand[[#This Row],[received]]</f>
        <v>1</v>
      </c>
      <c r="J1956" s="30" t="s">
        <v>541</v>
      </c>
      <c r="K1956" s="2">
        <v>14960</v>
      </c>
      <c r="L1956" s="2">
        <v>14355</v>
      </c>
      <c r="M1956" s="2">
        <f>K1956-L1956</f>
        <v>605</v>
      </c>
      <c r="N1956" s="2">
        <v>9078.7999999999993</v>
      </c>
      <c r="O1956" s="2">
        <v>378</v>
      </c>
      <c r="P1956" s="7">
        <f>grand[[#This Row],[total weight]]/grand[[#This Row],[received]]</f>
        <v>515.86206896551721</v>
      </c>
      <c r="Q1956" s="7">
        <f>grand[[#This Row],[receiving weight]]/grand[[#This Row],[received]]</f>
        <v>495</v>
      </c>
      <c r="R1956" s="7">
        <f>grand[[#This Row],[transportation loss ]]/grand[[#This Row],[received]]</f>
        <v>20.862068965517242</v>
      </c>
      <c r="S1956" s="7">
        <f>grand[[#This Row],[ carcass weight]]/grand[[#This Row],[received]]</f>
        <v>313.0620689655172</v>
      </c>
      <c r="T1956" s="7">
        <f>grand[[#This Row],[ kidneys fat quantity]]/grand[[#This Row],[received]]</f>
        <v>13.03448275862069</v>
      </c>
      <c r="U1956" s="1">
        <v>25</v>
      </c>
      <c r="V1956" s="1">
        <v>0</v>
      </c>
      <c r="W1956" s="1">
        <v>47.862068965517238</v>
      </c>
      <c r="X1956" s="1">
        <v>10</v>
      </c>
      <c r="Y1956" s="1">
        <v>8.5</v>
      </c>
      <c r="Z1956" s="18">
        <f>grand[[#This Row],[av. Transportation loss]]/grand[[#This Row],[av.total weight]]</f>
        <v>4.0441176470588237E-2</v>
      </c>
      <c r="AA1956" s="12">
        <f>AVERAGE((grand[[#This Row],[am]]/25),(grand[[#This Row],[pm]]/50))</f>
        <v>0.97862068965517235</v>
      </c>
      <c r="AB1956" s="3">
        <f>grand[[#This Row],[ carcass weight]]/grand[[#This Row],[total weight]]</f>
        <v>0.60687165775401064</v>
      </c>
      <c r="AC1956" s="18">
        <f>SUM(grand[[#This Row],[am]:[meat transportation]])/100</f>
        <v>0.9136206896551724</v>
      </c>
      <c r="AJ1956" s="1">
        <v>11</v>
      </c>
      <c r="AK1956" s="1"/>
      <c r="AL1956" s="1"/>
    </row>
    <row r="1957" spans="1:38" hidden="1" x14ac:dyDescent="0.2">
      <c r="A1957" s="11">
        <v>44961</v>
      </c>
      <c r="B1957" s="53" t="s">
        <v>1788</v>
      </c>
      <c r="C1957" s="52" t="str">
        <f>IF(MID(B1957,4,2)="09","Ramadan",IF(AND(MID(B1957,4,2)="12",VALUE(LEFT(B1957,2))&lt;=9),"Adha Season","Normal"))</f>
        <v>Normal</v>
      </c>
      <c r="D1957" s="1" t="s">
        <v>45</v>
      </c>
      <c r="E1957" s="1" t="s">
        <v>483</v>
      </c>
      <c r="F1957" s="4" t="s">
        <v>39</v>
      </c>
      <c r="G1957" s="1">
        <v>42</v>
      </c>
      <c r="H1957" s="15">
        <v>41</v>
      </c>
      <c r="I1957" s="1">
        <f>grand[[#This Row],[number]]-grand[[#This Row],[received]]</f>
        <v>1</v>
      </c>
      <c r="J1957" s="30" t="s">
        <v>487</v>
      </c>
      <c r="K1957" s="2">
        <v>17890</v>
      </c>
      <c r="L1957" s="2">
        <v>17086</v>
      </c>
      <c r="M1957" s="2">
        <f>K1957-L1957</f>
        <v>804</v>
      </c>
      <c r="N1957" s="2">
        <v>10882.1</v>
      </c>
      <c r="O1957" s="2">
        <v>365</v>
      </c>
      <c r="P1957" s="7">
        <f>grand[[#This Row],[total weight]]/grand[[#This Row],[received]]</f>
        <v>436.34146341463412</v>
      </c>
      <c r="Q1957" s="7">
        <f>grand[[#This Row],[receiving weight]]/grand[[#This Row],[received]]</f>
        <v>416.73170731707319</v>
      </c>
      <c r="R1957" s="7">
        <f>grand[[#This Row],[transportation loss ]]/grand[[#This Row],[received]]</f>
        <v>19.609756097560975</v>
      </c>
      <c r="S1957" s="7">
        <f>grand[[#This Row],[ carcass weight]]/grand[[#This Row],[received]]</f>
        <v>265.41707317073173</v>
      </c>
      <c r="T1957" s="7">
        <f>grand[[#This Row],[ kidneys fat quantity]]/grand[[#This Row],[received]]</f>
        <v>8.9024390243902438</v>
      </c>
      <c r="U1957" s="1">
        <v>25</v>
      </c>
      <c r="V1957" s="1">
        <v>0</v>
      </c>
      <c r="W1957" s="1">
        <v>48.585365853658537</v>
      </c>
      <c r="X1957" s="1">
        <v>10</v>
      </c>
      <c r="Y1957" s="1">
        <v>8.5</v>
      </c>
      <c r="Z1957" s="18">
        <f>grand[[#This Row],[av. Transportation loss]]/grand[[#This Row],[av.total weight]]</f>
        <v>4.4941307993292344E-2</v>
      </c>
      <c r="AA1957" s="12">
        <f>AVERAGE((grand[[#This Row],[am]]/25),(grand[[#This Row],[pm]]/50))</f>
        <v>0.98585365853658535</v>
      </c>
      <c r="AB1957" s="3">
        <f>grand[[#This Row],[ carcass weight]]/grand[[#This Row],[total weight]]</f>
        <v>0.60827836780324207</v>
      </c>
      <c r="AC1957" s="18">
        <f>SUM(grand[[#This Row],[am]:[meat transportation]])/100</f>
        <v>0.92085365853658541</v>
      </c>
      <c r="AD1957" s="1" t="s">
        <v>544</v>
      </c>
      <c r="AJ1957" s="1">
        <v>2</v>
      </c>
      <c r="AK1957" s="1"/>
      <c r="AL1957" s="1"/>
    </row>
    <row r="1958" spans="1:38" hidden="1" x14ac:dyDescent="0.2">
      <c r="A1958" s="11">
        <v>44963</v>
      </c>
      <c r="B1958" s="53" t="s">
        <v>1789</v>
      </c>
      <c r="C1958" s="52" t="str">
        <f>IF(MID(B1958,4,2)="09","Ramadan",IF(AND(MID(B1958,4,2)="12",VALUE(LEFT(B1958,2))&lt;=9),"Adha Season","Normal"))</f>
        <v>Normal</v>
      </c>
      <c r="D1958" s="1" t="s">
        <v>45</v>
      </c>
      <c r="E1958" s="1" t="s">
        <v>528</v>
      </c>
      <c r="F1958" s="4" t="s">
        <v>462</v>
      </c>
      <c r="G1958" s="1">
        <v>51</v>
      </c>
      <c r="H1958" s="15">
        <v>50</v>
      </c>
      <c r="I1958" s="1">
        <f>grand[[#This Row],[number]]-grand[[#This Row],[received]]</f>
        <v>1</v>
      </c>
      <c r="J1958" s="30" t="s">
        <v>542</v>
      </c>
      <c r="K1958" s="2">
        <v>19978.797468354431</v>
      </c>
      <c r="L1958" s="2">
        <v>19978.797468354431</v>
      </c>
      <c r="M1958" s="2">
        <f>K1958-L1958</f>
        <v>0</v>
      </c>
      <c r="N1958" s="2">
        <v>12626.6</v>
      </c>
      <c r="O1958" s="2"/>
      <c r="P1958" s="7">
        <f>grand[[#This Row],[total weight]]/grand[[#This Row],[received]]</f>
        <v>399.57594936708864</v>
      </c>
      <c r="Q1958" s="7">
        <f>grand[[#This Row],[receiving weight]]/grand[[#This Row],[received]]</f>
        <v>399.57594936708864</v>
      </c>
      <c r="R1958" s="7">
        <f>grand[[#This Row],[transportation loss ]]/grand[[#This Row],[received]]</f>
        <v>0</v>
      </c>
      <c r="S1958" s="7">
        <f>grand[[#This Row],[ carcass weight]]/grand[[#This Row],[received]]</f>
        <v>252.53200000000001</v>
      </c>
      <c r="T1958" s="7">
        <f>grand[[#This Row],[ kidneys fat quantity]]/grand[[#This Row],[received]]</f>
        <v>0</v>
      </c>
      <c r="U1958" s="1">
        <v>25</v>
      </c>
      <c r="V1958" s="1">
        <v>4</v>
      </c>
      <c r="W1958" s="1">
        <v>49.12</v>
      </c>
      <c r="X1958" s="1">
        <v>10</v>
      </c>
      <c r="Y1958" s="1">
        <v>8.5</v>
      </c>
      <c r="Z1958" s="18">
        <f>grand[[#This Row],[av. Transportation loss]]/grand[[#This Row],[av.total weight]]</f>
        <v>0</v>
      </c>
      <c r="AA1958" s="12">
        <f>AVERAGE((grand[[#This Row],[am]]/25),(grand[[#This Row],[pm]]/50))</f>
        <v>0.99119999999999997</v>
      </c>
      <c r="AB1958" s="3">
        <f>grand[[#This Row],[ carcass weight]]/grand[[#This Row],[total weight]]</f>
        <v>0.63200000000000001</v>
      </c>
      <c r="AC1958" s="18">
        <f>SUM(grand[[#This Row],[am]:[meat transportation]])/100</f>
        <v>0.96620000000000006</v>
      </c>
      <c r="AD1958" s="1" t="s">
        <v>398</v>
      </c>
      <c r="AJ1958" s="1">
        <v>0</v>
      </c>
      <c r="AK1958" s="1"/>
      <c r="AL1958" s="1"/>
    </row>
    <row r="1959" spans="1:38" hidden="1" x14ac:dyDescent="0.2">
      <c r="A1959" s="11">
        <v>44968</v>
      </c>
      <c r="B1959" s="53" t="s">
        <v>1792</v>
      </c>
      <c r="C1959" s="52" t="str">
        <f>IF(MID(B1959,4,2)="09","Ramadan",IF(AND(MID(B1959,4,2)="12",VALUE(LEFT(B1959,2))&lt;=9),"Adha Season","Normal"))</f>
        <v>Normal</v>
      </c>
      <c r="D1959" s="1" t="s">
        <v>45</v>
      </c>
      <c r="E1959" s="1" t="s">
        <v>483</v>
      </c>
      <c r="F1959" s="4" t="s">
        <v>39</v>
      </c>
      <c r="G1959" s="1">
        <v>24</v>
      </c>
      <c r="H1959" s="15">
        <v>23</v>
      </c>
      <c r="I1959" s="1">
        <f>grand[[#This Row],[number]]-grand[[#This Row],[received]]</f>
        <v>1</v>
      </c>
      <c r="J1959" s="30" t="s">
        <v>487</v>
      </c>
      <c r="K1959" s="2">
        <v>9711</v>
      </c>
      <c r="L1959" s="2">
        <v>9389</v>
      </c>
      <c r="M1959" s="2">
        <f>K1959-L1959</f>
        <v>322</v>
      </c>
      <c r="N1959" s="2">
        <v>6064</v>
      </c>
      <c r="O1959" s="2">
        <v>243</v>
      </c>
      <c r="P1959" s="7">
        <f>grand[[#This Row],[total weight]]/grand[[#This Row],[received]]</f>
        <v>422.21739130434781</v>
      </c>
      <c r="Q1959" s="7">
        <f>grand[[#This Row],[receiving weight]]/grand[[#This Row],[received]]</f>
        <v>408.21739130434781</v>
      </c>
      <c r="R1959" s="7">
        <f>grand[[#This Row],[transportation loss ]]/grand[[#This Row],[received]]</f>
        <v>14</v>
      </c>
      <c r="S1959" s="7">
        <f>grand[[#This Row],[ carcass weight]]/grand[[#This Row],[received]]</f>
        <v>263.6521739130435</v>
      </c>
      <c r="T1959" s="7">
        <f>grand[[#This Row],[ kidneys fat quantity]]/grand[[#This Row],[received]]</f>
        <v>10.565217391304348</v>
      </c>
      <c r="U1959" s="1">
        <v>25</v>
      </c>
      <c r="V1959" s="1">
        <v>0</v>
      </c>
      <c r="W1959" s="1">
        <v>49.695652173913047</v>
      </c>
      <c r="X1959" s="1">
        <v>9.7826086956521738</v>
      </c>
      <c r="Y1959" s="1">
        <v>8.5</v>
      </c>
      <c r="Z1959" s="18">
        <f>grand[[#This Row],[av. Transportation loss]]/grand[[#This Row],[av.total weight]]</f>
        <v>3.3158274122129544E-2</v>
      </c>
      <c r="AA1959" s="12">
        <f>AVERAGE((grand[[#This Row],[am]]/25),(grand[[#This Row],[pm]]/50))</f>
        <v>0.99695652173913052</v>
      </c>
      <c r="AB1959" s="3">
        <f>grand[[#This Row],[ carcass weight]]/grand[[#This Row],[total weight]]</f>
        <v>0.62444650396457624</v>
      </c>
      <c r="AC1959" s="18">
        <f>SUM(grand[[#This Row],[am]:[meat transportation]])/100</f>
        <v>0.92978260869565221</v>
      </c>
      <c r="AJ1959" s="1">
        <v>1</v>
      </c>
      <c r="AK1959" s="1"/>
      <c r="AL1959" s="1"/>
    </row>
    <row r="1960" spans="1:38" hidden="1" x14ac:dyDescent="0.2">
      <c r="A1960" s="11">
        <v>44975</v>
      </c>
      <c r="B1960" s="53" t="s">
        <v>1796</v>
      </c>
      <c r="C1960" s="52" t="str">
        <f>IF(MID(B1960,4,2)="09","Ramadan",IF(AND(MID(B1960,4,2)="12",VALUE(LEFT(B1960,2))&lt;=9),"Adha Season","Normal"))</f>
        <v>Normal</v>
      </c>
      <c r="D1960" s="1" t="s">
        <v>45</v>
      </c>
      <c r="E1960" s="1" t="s">
        <v>483</v>
      </c>
      <c r="F1960" s="4" t="s">
        <v>39</v>
      </c>
      <c r="G1960" s="1">
        <v>18</v>
      </c>
      <c r="H1960" s="15">
        <v>17</v>
      </c>
      <c r="I1960" s="1">
        <f>grand[[#This Row],[number]]-grand[[#This Row],[received]]</f>
        <v>1</v>
      </c>
      <c r="J1960" s="30" t="s">
        <v>487</v>
      </c>
      <c r="K1960" s="2">
        <v>7705</v>
      </c>
      <c r="L1960" s="2">
        <v>7386</v>
      </c>
      <c r="M1960" s="2">
        <f>K1960-L1960</f>
        <v>319</v>
      </c>
      <c r="N1960" s="2">
        <v>4767.1000000000004</v>
      </c>
      <c r="O1960" s="2">
        <v>180</v>
      </c>
      <c r="P1960" s="7">
        <f>grand[[#This Row],[total weight]]/grand[[#This Row],[received]]</f>
        <v>453.23529411764707</v>
      </c>
      <c r="Q1960" s="7">
        <f>grand[[#This Row],[receiving weight]]/grand[[#This Row],[received]]</f>
        <v>434.47058823529414</v>
      </c>
      <c r="R1960" s="7">
        <f>grand[[#This Row],[transportation loss ]]/grand[[#This Row],[received]]</f>
        <v>18.764705882352942</v>
      </c>
      <c r="S1960" s="7">
        <f>grand[[#This Row],[ carcass weight]]/grand[[#This Row],[received]]</f>
        <v>280.41764705882355</v>
      </c>
      <c r="T1960" s="7">
        <f>grand[[#This Row],[ kidneys fat quantity]]/grand[[#This Row],[received]]</f>
        <v>10.588235294117647</v>
      </c>
      <c r="U1960" s="1">
        <v>25</v>
      </c>
      <c r="V1960" s="1">
        <v>0</v>
      </c>
      <c r="W1960" s="1">
        <v>49</v>
      </c>
      <c r="X1960" s="1">
        <v>10</v>
      </c>
      <c r="Y1960" s="1">
        <v>8.5</v>
      </c>
      <c r="Z1960" s="18">
        <f>grand[[#This Row],[av. Transportation loss]]/grand[[#This Row],[av.total weight]]</f>
        <v>4.1401687216093448E-2</v>
      </c>
      <c r="AA1960" s="12">
        <f>AVERAGE((grand[[#This Row],[am]]/25),(grand[[#This Row],[pm]]/50))</f>
        <v>0.99</v>
      </c>
      <c r="AB1960" s="3">
        <f>grand[[#This Row],[ carcass weight]]/grand[[#This Row],[total weight]]</f>
        <v>0.6187021414665802</v>
      </c>
      <c r="AC1960" s="18">
        <f>SUM(grand[[#This Row],[am]:[meat transportation]])/100</f>
        <v>0.92500000000000004</v>
      </c>
      <c r="AD1960" s="1" t="s">
        <v>188</v>
      </c>
      <c r="AJ1960" s="1">
        <v>0</v>
      </c>
      <c r="AK1960" s="1"/>
      <c r="AL1960" s="1"/>
    </row>
    <row r="1961" spans="1:38" hidden="1" x14ac:dyDescent="0.2">
      <c r="A1961" s="11">
        <v>44977</v>
      </c>
      <c r="B1961" s="53" t="s">
        <v>1798</v>
      </c>
      <c r="C1961" s="52" t="str">
        <f>IF(MID(B1961,4,2)="09","Ramadan",IF(AND(MID(B1961,4,2)="12",VALUE(LEFT(B1961,2))&lt;=9),"Adha Season","Normal"))</f>
        <v>Normal</v>
      </c>
      <c r="D1961" s="1" t="s">
        <v>45</v>
      </c>
      <c r="E1961" s="1" t="s">
        <v>528</v>
      </c>
      <c r="F1961" s="4" t="s">
        <v>462</v>
      </c>
      <c r="G1961" s="1">
        <v>32</v>
      </c>
      <c r="H1961" s="15">
        <v>31</v>
      </c>
      <c r="I1961" s="1">
        <f>grand[[#This Row],[number]]-grand[[#This Row],[received]]</f>
        <v>1</v>
      </c>
      <c r="J1961" s="30" t="s">
        <v>549</v>
      </c>
      <c r="K1961" s="2">
        <v>15483</v>
      </c>
      <c r="L1961" s="2">
        <v>15483</v>
      </c>
      <c r="M1961" s="2">
        <f>K1961-L1961</f>
        <v>0</v>
      </c>
      <c r="N1961" s="2">
        <v>9646</v>
      </c>
      <c r="O1961" s="2">
        <v>0</v>
      </c>
      <c r="P1961" s="7">
        <f>grand[[#This Row],[total weight]]/grand[[#This Row],[received]]</f>
        <v>499.45161290322579</v>
      </c>
      <c r="Q1961" s="7">
        <f>grand[[#This Row],[receiving weight]]/grand[[#This Row],[received]]</f>
        <v>499.45161290322579</v>
      </c>
      <c r="R1961" s="7">
        <f>grand[[#This Row],[transportation loss ]]/grand[[#This Row],[received]]</f>
        <v>0</v>
      </c>
      <c r="S1961" s="7">
        <f>grand[[#This Row],[ carcass weight]]/grand[[#This Row],[received]]</f>
        <v>311.16129032258067</v>
      </c>
      <c r="T1961" s="7">
        <f>grand[[#This Row],[ kidneys fat quantity]]/grand[[#This Row],[received]]</f>
        <v>0</v>
      </c>
      <c r="U1961" s="1">
        <v>25</v>
      </c>
      <c r="V1961" s="1">
        <v>5</v>
      </c>
      <c r="W1961" s="1">
        <v>49.774193548387096</v>
      </c>
      <c r="X1961" s="1">
        <v>10</v>
      </c>
      <c r="Y1961" s="1">
        <v>8.5</v>
      </c>
      <c r="Z1961" s="18">
        <f>grand[[#This Row],[av. Transportation loss]]/grand[[#This Row],[av.total weight]]</f>
        <v>0</v>
      </c>
      <c r="AA1961" s="12">
        <f>AVERAGE((grand[[#This Row],[am]]/25),(grand[[#This Row],[pm]]/50))</f>
        <v>0.99774193548387102</v>
      </c>
      <c r="AB1961" s="3">
        <f>grand[[#This Row],[ carcass weight]]/grand[[#This Row],[total weight]]</f>
        <v>0.62300587741393787</v>
      </c>
      <c r="AC1961" s="18">
        <f>SUM(grand[[#This Row],[am]:[meat transportation]])/100</f>
        <v>0.98274193548387101</v>
      </c>
      <c r="AJ1961" s="1">
        <v>0</v>
      </c>
      <c r="AK1961" s="1"/>
      <c r="AL1961" s="1"/>
    </row>
    <row r="1962" spans="1:38" hidden="1" x14ac:dyDescent="0.2">
      <c r="A1962" s="11">
        <v>44980</v>
      </c>
      <c r="B1962" s="53" t="s">
        <v>1800</v>
      </c>
      <c r="C1962" s="52" t="str">
        <f>IF(MID(B1962,4,2)="09","Ramadan",IF(AND(MID(B1962,4,2)="12",VALUE(LEFT(B1962,2))&lt;=9),"Adha Season","Normal"))</f>
        <v>Normal</v>
      </c>
      <c r="D1962" s="1" t="s">
        <v>45</v>
      </c>
      <c r="E1962" s="1" t="s">
        <v>483</v>
      </c>
      <c r="F1962" s="4" t="s">
        <v>46</v>
      </c>
      <c r="G1962" s="1">
        <v>49</v>
      </c>
      <c r="H1962" s="15">
        <v>48</v>
      </c>
      <c r="I1962" s="1">
        <f>grand[[#This Row],[number]]-grand[[#This Row],[received]]</f>
        <v>1</v>
      </c>
      <c r="J1962" s="30" t="s">
        <v>382</v>
      </c>
      <c r="K1962" s="2">
        <v>23457</v>
      </c>
      <c r="L1962" s="2">
        <v>22505</v>
      </c>
      <c r="M1962" s="2">
        <f>K1962-L1962</f>
        <v>952</v>
      </c>
      <c r="N1962" s="2">
        <v>14073.4</v>
      </c>
      <c r="O1962" s="2">
        <v>510</v>
      </c>
      <c r="P1962" s="7">
        <f>grand[[#This Row],[total weight]]/grand[[#This Row],[received]]</f>
        <v>488.6875</v>
      </c>
      <c r="Q1962" s="7">
        <f>grand[[#This Row],[receiving weight]]/grand[[#This Row],[received]]</f>
        <v>468.85416666666669</v>
      </c>
      <c r="R1962" s="7">
        <f>grand[[#This Row],[transportation loss ]]/grand[[#This Row],[received]]</f>
        <v>19.833333333333332</v>
      </c>
      <c r="S1962" s="7">
        <f>grand[[#This Row],[ carcass weight]]/grand[[#This Row],[received]]</f>
        <v>293.19583333333333</v>
      </c>
      <c r="T1962" s="7">
        <f>grand[[#This Row],[ kidneys fat quantity]]/grand[[#This Row],[received]]</f>
        <v>10.625</v>
      </c>
      <c r="U1962" s="1">
        <v>25</v>
      </c>
      <c r="V1962" s="1">
        <v>0</v>
      </c>
      <c r="W1962" s="1">
        <v>49.8125</v>
      </c>
      <c r="X1962" s="1">
        <v>10</v>
      </c>
      <c r="Y1962" s="1">
        <v>8.5</v>
      </c>
      <c r="Z1962" s="18">
        <f>grand[[#This Row],[av. Transportation loss]]/grand[[#This Row],[av.total weight]]</f>
        <v>4.0584900029841837E-2</v>
      </c>
      <c r="AA1962" s="12">
        <f>AVERAGE((grand[[#This Row],[am]]/25),(grand[[#This Row],[pm]]/50))</f>
        <v>0.99812499999999993</v>
      </c>
      <c r="AB1962" s="3">
        <f>grand[[#This Row],[ carcass weight]]/grand[[#This Row],[total weight]]</f>
        <v>0.59996589504199171</v>
      </c>
      <c r="AC1962" s="18">
        <f>SUM(grand[[#This Row],[am]:[meat transportation]])/100</f>
        <v>0.93312499999999998</v>
      </c>
      <c r="AD1962" s="1" t="s">
        <v>228</v>
      </c>
      <c r="AJ1962" s="1">
        <v>4</v>
      </c>
      <c r="AK1962" s="1"/>
      <c r="AL1962" s="1"/>
    </row>
    <row r="1963" spans="1:38" hidden="1" x14ac:dyDescent="0.2">
      <c r="A1963" s="11">
        <v>44987</v>
      </c>
      <c r="B1963" s="53" t="s">
        <v>1805</v>
      </c>
      <c r="C1963" s="52" t="str">
        <f>IF(MID(B1963,4,2)="09","Ramadan",IF(AND(MID(B1963,4,2)="12",VALUE(LEFT(B1963,2))&lt;=9),"Adha Season","Normal"))</f>
        <v>Normal</v>
      </c>
      <c r="D1963" s="1" t="s">
        <v>45</v>
      </c>
      <c r="E1963" s="1" t="s">
        <v>483</v>
      </c>
      <c r="F1963" s="4" t="s">
        <v>43</v>
      </c>
      <c r="G1963" s="1">
        <v>48</v>
      </c>
      <c r="H1963" s="1">
        <v>47</v>
      </c>
      <c r="I1963" s="1">
        <f>grand[[#This Row],[number]]-grand[[#This Row],[received]]</f>
        <v>1</v>
      </c>
      <c r="J1963" s="30" t="s">
        <v>551</v>
      </c>
      <c r="K1963" s="2">
        <v>22650</v>
      </c>
      <c r="L1963" s="2">
        <v>21445</v>
      </c>
      <c r="M1963" s="2">
        <f>K1963-L1963</f>
        <v>1205</v>
      </c>
      <c r="N1963" s="2">
        <v>13590.3</v>
      </c>
      <c r="O1963" s="2">
        <v>458</v>
      </c>
      <c r="P1963" s="7">
        <f>grand[[#This Row],[total weight]]/grand[[#This Row],[received]]</f>
        <v>481.91489361702128</v>
      </c>
      <c r="Q1963" s="7">
        <f>grand[[#This Row],[receiving weight]]/grand[[#This Row],[received]]</f>
        <v>456.27659574468083</v>
      </c>
      <c r="R1963" s="7">
        <f>grand[[#This Row],[transportation loss ]]/grand[[#This Row],[received]]</f>
        <v>25.638297872340427</v>
      </c>
      <c r="S1963" s="7">
        <f>grand[[#This Row],[ carcass weight]]/grand[[#This Row],[received]]</f>
        <v>289.15531914893614</v>
      </c>
      <c r="T1963" s="7">
        <f>grand[[#This Row],[ kidneys fat quantity]]/grand[[#This Row],[received]]</f>
        <v>9.7446808510638299</v>
      </c>
      <c r="U1963" s="1">
        <v>24.787234042553191</v>
      </c>
      <c r="V1963" s="1">
        <v>0</v>
      </c>
      <c r="W1963" s="1">
        <v>49.893617021276597</v>
      </c>
      <c r="X1963" s="1">
        <v>10</v>
      </c>
      <c r="Y1963" s="1">
        <v>8.5</v>
      </c>
      <c r="Z1963" s="18">
        <f>grand[[#This Row],[av. Transportation loss]]/grand[[#This Row],[av.total weight]]</f>
        <v>5.3200883002207509E-2</v>
      </c>
      <c r="AA1963" s="12">
        <f>AVERAGE((grand[[#This Row],[am]]/25),(grand[[#This Row],[pm]]/50))</f>
        <v>0.99468085106382986</v>
      </c>
      <c r="AB1963" s="3">
        <f>grand[[#This Row],[ carcass weight]]/grand[[#This Row],[total weight]]</f>
        <v>0.6000132450331126</v>
      </c>
      <c r="AC1963" s="18">
        <f>SUM(grand[[#This Row],[am]:[meat transportation]])/100</f>
        <v>0.93180851063829795</v>
      </c>
      <c r="AJ1963" s="1">
        <v>24</v>
      </c>
      <c r="AK1963" s="1"/>
      <c r="AL1963" s="1">
        <v>443</v>
      </c>
    </row>
    <row r="1964" spans="1:38" hidden="1" x14ac:dyDescent="0.2">
      <c r="A1964" s="11">
        <v>44991</v>
      </c>
      <c r="B1964" s="53" t="s">
        <v>1808</v>
      </c>
      <c r="C1964" s="52" t="str">
        <f>IF(MID(B1964,4,2)="09","Ramadan",IF(AND(MID(B1964,4,2)="12",VALUE(LEFT(B1964,2))&lt;=9),"Adha Season","Normal"))</f>
        <v>Normal</v>
      </c>
      <c r="D1964" s="1" t="s">
        <v>45</v>
      </c>
      <c r="E1964" s="1" t="s">
        <v>483</v>
      </c>
      <c r="F1964" s="4" t="s">
        <v>280</v>
      </c>
      <c r="G1964" s="1">
        <v>17</v>
      </c>
      <c r="H1964" s="1">
        <v>16</v>
      </c>
      <c r="I1964" s="1">
        <f>grand[[#This Row],[number]]-grand[[#This Row],[received]]</f>
        <v>1</v>
      </c>
      <c r="J1964" s="30" t="s">
        <v>552</v>
      </c>
      <c r="K1964" s="2">
        <v>7705</v>
      </c>
      <c r="L1964" s="2">
        <v>7560</v>
      </c>
      <c r="M1964" s="2">
        <f>K1964-L1964</f>
        <v>145</v>
      </c>
      <c r="N1964" s="2">
        <v>4707.3999999999996</v>
      </c>
      <c r="O1964" s="2">
        <v>205</v>
      </c>
      <c r="P1964" s="7">
        <f>grand[[#This Row],[total weight]]/grand[[#This Row],[received]]</f>
        <v>481.5625</v>
      </c>
      <c r="Q1964" s="7">
        <f>grand[[#This Row],[receiving weight]]/grand[[#This Row],[received]]</f>
        <v>472.5</v>
      </c>
      <c r="R1964" s="7">
        <f>grand[[#This Row],[transportation loss ]]/grand[[#This Row],[received]]</f>
        <v>9.0625</v>
      </c>
      <c r="S1964" s="7">
        <f>grand[[#This Row],[ carcass weight]]/grand[[#This Row],[received]]</f>
        <v>294.21249999999998</v>
      </c>
      <c r="T1964" s="7">
        <f>grand[[#This Row],[ kidneys fat quantity]]/grand[[#This Row],[received]]</f>
        <v>12.8125</v>
      </c>
      <c r="U1964" s="1">
        <v>24.375</v>
      </c>
      <c r="V1964" s="1">
        <v>0</v>
      </c>
      <c r="W1964" s="1">
        <v>48.6875</v>
      </c>
      <c r="X1964" s="1">
        <v>10</v>
      </c>
      <c r="Y1964" s="1">
        <v>8.5</v>
      </c>
      <c r="Z1964" s="18">
        <f>grand[[#This Row],[av. Transportation loss]]/grand[[#This Row],[av.total weight]]</f>
        <v>1.8818948734587931E-2</v>
      </c>
      <c r="AA1964" s="12">
        <f>AVERAGE((grand[[#This Row],[am]]/25),(grand[[#This Row],[pm]]/50))</f>
        <v>0.97437499999999999</v>
      </c>
      <c r="AB1964" s="3">
        <f>grand[[#This Row],[ carcass weight]]/grand[[#This Row],[total weight]]</f>
        <v>0.61095392602206355</v>
      </c>
      <c r="AC1964" s="18">
        <f>SUM(grand[[#This Row],[am]:[meat transportation]])/100</f>
        <v>0.91562500000000002</v>
      </c>
      <c r="AJ1964" s="1">
        <v>12</v>
      </c>
      <c r="AK1964" s="1"/>
      <c r="AL1964" s="1">
        <v>519.5</v>
      </c>
    </row>
    <row r="1965" spans="1:38" hidden="1" x14ac:dyDescent="0.2">
      <c r="A1965" s="11">
        <v>44996</v>
      </c>
      <c r="B1965" s="53" t="s">
        <v>1812</v>
      </c>
      <c r="C1965" s="52" t="str">
        <f>IF(MID(B1965,4,2)="09","Ramadan",IF(AND(MID(B1965,4,2)="12",VALUE(LEFT(B1965,2))&lt;=9),"Adha Season","Normal"))</f>
        <v>Normal</v>
      </c>
      <c r="D1965" s="1" t="s">
        <v>45</v>
      </c>
      <c r="E1965" s="1" t="s">
        <v>483</v>
      </c>
      <c r="F1965" s="4" t="s">
        <v>280</v>
      </c>
      <c r="G1965" s="1">
        <v>17</v>
      </c>
      <c r="H1965" s="1">
        <v>16</v>
      </c>
      <c r="I1965" s="1">
        <f>grand[[#This Row],[number]]-grand[[#This Row],[received]]</f>
        <v>1</v>
      </c>
      <c r="J1965" s="30" t="s">
        <v>382</v>
      </c>
      <c r="K1965" s="2">
        <v>7567</v>
      </c>
      <c r="L1965" s="2">
        <v>7390</v>
      </c>
      <c r="M1965" s="2">
        <f>K1965-L1965</f>
        <v>177</v>
      </c>
      <c r="N1965" s="2">
        <v>4540.5</v>
      </c>
      <c r="O1965" s="2">
        <v>142</v>
      </c>
      <c r="P1965" s="7">
        <f>grand[[#This Row],[total weight]]/grand[[#This Row],[received]]</f>
        <v>472.9375</v>
      </c>
      <c r="Q1965" s="7">
        <f>grand[[#This Row],[receiving weight]]/grand[[#This Row],[received]]</f>
        <v>461.875</v>
      </c>
      <c r="R1965" s="7">
        <f>grand[[#This Row],[transportation loss ]]/grand[[#This Row],[received]]</f>
        <v>11.0625</v>
      </c>
      <c r="S1965" s="7">
        <f>grand[[#This Row],[ carcass weight]]/grand[[#This Row],[received]]</f>
        <v>283.78125</v>
      </c>
      <c r="T1965" s="7">
        <f>grand[[#This Row],[ kidneys fat quantity]]/grand[[#This Row],[received]]</f>
        <v>8.875</v>
      </c>
      <c r="U1965" s="1">
        <v>25</v>
      </c>
      <c r="V1965" s="1">
        <v>0</v>
      </c>
      <c r="W1965" s="1">
        <v>49.5625</v>
      </c>
      <c r="X1965" s="1">
        <v>10</v>
      </c>
      <c r="Y1965" s="1">
        <v>8.5</v>
      </c>
      <c r="Z1965" s="18">
        <f>grand[[#This Row],[av. Transportation loss]]/grand[[#This Row],[av.total weight]]</f>
        <v>2.3391040042288886E-2</v>
      </c>
      <c r="AA1965" s="12">
        <f>AVERAGE((grand[[#This Row],[am]]/25),(grand[[#This Row],[pm]]/50))</f>
        <v>0.99562499999999998</v>
      </c>
      <c r="AB1965" s="3">
        <f>grand[[#This Row],[ carcass weight]]/grand[[#This Row],[total weight]]</f>
        <v>0.60003964583058012</v>
      </c>
      <c r="AC1965" s="18">
        <f>SUM(grand[[#This Row],[am]:[meat transportation]])/100</f>
        <v>0.93062500000000004</v>
      </c>
      <c r="AJ1965" s="1">
        <v>6</v>
      </c>
      <c r="AK1965" s="1"/>
      <c r="AL1965" s="1">
        <v>404</v>
      </c>
    </row>
    <row r="1966" spans="1:38" hidden="1" x14ac:dyDescent="0.2">
      <c r="A1966" s="11">
        <v>45004</v>
      </c>
      <c r="B1966" s="53" t="s">
        <v>1819</v>
      </c>
      <c r="C1966" s="52" t="str">
        <f>IF(MID(B1966,4,2)="09","Ramadan",IF(AND(MID(B1966,4,2)="12",VALUE(LEFT(B1966,2))&lt;=9),"Adha Season","Normal"))</f>
        <v>Normal</v>
      </c>
      <c r="D1966" s="1" t="s">
        <v>45</v>
      </c>
      <c r="E1966" s="1" t="s">
        <v>554</v>
      </c>
      <c r="F1966" s="4" t="s">
        <v>280</v>
      </c>
      <c r="G1966" s="1">
        <v>25</v>
      </c>
      <c r="H1966" s="1">
        <v>24</v>
      </c>
      <c r="I1966" s="1">
        <f>grand[[#This Row],[number]]-grand[[#This Row],[received]]</f>
        <v>1</v>
      </c>
      <c r="J1966" s="30" t="s">
        <v>556</v>
      </c>
      <c r="K1966" s="2">
        <v>15268.666666666668</v>
      </c>
      <c r="L1966" s="2">
        <v>15268.666666666668</v>
      </c>
      <c r="M1966" s="2">
        <f>K1966-L1966</f>
        <v>0</v>
      </c>
      <c r="N1966" s="2">
        <v>9161.2000000000007</v>
      </c>
      <c r="O1966" s="2">
        <v>210</v>
      </c>
      <c r="P1966" s="7">
        <f>grand[[#This Row],[total weight]]/grand[[#This Row],[received]]</f>
        <v>636.19444444444446</v>
      </c>
      <c r="Q1966" s="7">
        <f>grand[[#This Row],[receiving weight]]/grand[[#This Row],[received]]</f>
        <v>636.19444444444446</v>
      </c>
      <c r="R1966" s="7">
        <f>grand[[#This Row],[transportation loss ]]/grand[[#This Row],[received]]</f>
        <v>0</v>
      </c>
      <c r="S1966" s="7">
        <f>grand[[#This Row],[ carcass weight]]/grand[[#This Row],[received]]</f>
        <v>381.7166666666667</v>
      </c>
      <c r="T1966" s="7">
        <f>grand[[#This Row],[ kidneys fat quantity]]/grand[[#This Row],[received]]</f>
        <v>8.75</v>
      </c>
      <c r="U1966" s="1">
        <v>25</v>
      </c>
      <c r="V1966" s="1">
        <v>0</v>
      </c>
      <c r="W1966" s="1">
        <v>45</v>
      </c>
      <c r="X1966" s="1">
        <v>10</v>
      </c>
      <c r="Y1966" s="1">
        <v>8.5</v>
      </c>
      <c r="Z1966" s="18">
        <f>grand[[#This Row],[av. Transportation loss]]/grand[[#This Row],[av.total weight]]</f>
        <v>0</v>
      </c>
      <c r="AA1966" s="12">
        <f>AVERAGE((grand[[#This Row],[am]]/25),(grand[[#This Row],[pm]]/50))</f>
        <v>0.95</v>
      </c>
      <c r="AB1966" s="3">
        <f>grand[[#This Row],[ carcass weight]]/grand[[#This Row],[total weight]]</f>
        <v>0.6</v>
      </c>
      <c r="AC1966" s="18">
        <f>SUM(grand[[#This Row],[am]:[meat transportation]])/100</f>
        <v>0.88500000000000001</v>
      </c>
      <c r="AJ1966" s="1">
        <v>24</v>
      </c>
      <c r="AK1966" s="1"/>
      <c r="AL1966" s="1">
        <v>610</v>
      </c>
    </row>
    <row r="1967" spans="1:38" hidden="1" x14ac:dyDescent="0.2">
      <c r="A1967" s="11">
        <v>45005</v>
      </c>
      <c r="B1967" s="53" t="s">
        <v>1820</v>
      </c>
      <c r="C1967" s="52" t="str">
        <f>IF(MID(B1967,4,2)="09","Ramadan",IF(AND(MID(B1967,4,2)="12",VALUE(LEFT(B1967,2))&lt;=9),"Adha Season","Normal"))</f>
        <v>Normal</v>
      </c>
      <c r="D1967" s="1" t="s">
        <v>45</v>
      </c>
      <c r="E1967" s="1" t="s">
        <v>528</v>
      </c>
      <c r="F1967" s="4" t="s">
        <v>46</v>
      </c>
      <c r="G1967" s="1">
        <v>48</v>
      </c>
      <c r="H1967" s="1">
        <v>47</v>
      </c>
      <c r="I1967" s="1">
        <f>grand[[#This Row],[number]]-grand[[#This Row],[received]]</f>
        <v>1</v>
      </c>
      <c r="J1967" s="30" t="s">
        <v>382</v>
      </c>
      <c r="K1967" s="2">
        <v>26772</v>
      </c>
      <c r="L1967" s="2">
        <v>26772</v>
      </c>
      <c r="M1967" s="2">
        <f>K1967-L1967</f>
        <v>0</v>
      </c>
      <c r="N1967" s="2">
        <v>16452.8</v>
      </c>
      <c r="O1967" s="2">
        <v>481</v>
      </c>
      <c r="P1967" s="7">
        <f>grand[[#This Row],[total weight]]/grand[[#This Row],[received]]</f>
        <v>569.61702127659578</v>
      </c>
      <c r="Q1967" s="7">
        <f>grand[[#This Row],[receiving weight]]/grand[[#This Row],[received]]</f>
        <v>569.61702127659578</v>
      </c>
      <c r="R1967" s="7">
        <f>grand[[#This Row],[transportation loss ]]/grand[[#This Row],[received]]</f>
        <v>0</v>
      </c>
      <c r="S1967" s="7">
        <f>grand[[#This Row],[ carcass weight]]/grand[[#This Row],[received]]</f>
        <v>350.05957446808509</v>
      </c>
      <c r="T1967" s="7">
        <f>grand[[#This Row],[ kidneys fat quantity]]/grand[[#This Row],[received]]</f>
        <v>10.23404255319149</v>
      </c>
      <c r="U1967" s="1">
        <v>25</v>
      </c>
      <c r="V1967" s="1">
        <v>0</v>
      </c>
      <c r="W1967" s="1">
        <v>48.680851063829792</v>
      </c>
      <c r="X1967" s="1">
        <v>10</v>
      </c>
      <c r="Y1967" s="1">
        <v>8.5</v>
      </c>
      <c r="Z1967" s="18">
        <f>grand[[#This Row],[av. Transportation loss]]/grand[[#This Row],[av.total weight]]</f>
        <v>0</v>
      </c>
      <c r="AA1967" s="12">
        <f>AVERAGE((grand[[#This Row],[am]]/25),(grand[[#This Row],[pm]]/50))</f>
        <v>0.986808510638298</v>
      </c>
      <c r="AB1967" s="3">
        <f>grand[[#This Row],[ carcass weight]]/grand[[#This Row],[total weight]]</f>
        <v>0.6145525175556551</v>
      </c>
      <c r="AC1967" s="18">
        <f>SUM(grand[[#This Row],[am]:[meat transportation]])/100</f>
        <v>0.92180851063829794</v>
      </c>
      <c r="AJ1967" s="1">
        <v>8</v>
      </c>
      <c r="AK1967" s="1"/>
      <c r="AL1967" s="1">
        <v>650</v>
      </c>
    </row>
    <row r="1968" spans="1:38" hidden="1" x14ac:dyDescent="0.2">
      <c r="A1968" s="11">
        <v>45006</v>
      </c>
      <c r="B1968" s="53" t="s">
        <v>1821</v>
      </c>
      <c r="C1968" s="52" t="str">
        <f>IF(MID(B1968,4,2)="09","Ramadan",IF(AND(MID(B1968,4,2)="12",VALUE(LEFT(B1968,2))&lt;=9),"Adha Season","Normal"))</f>
        <v>Normal</v>
      </c>
      <c r="D1968" s="2" t="s">
        <v>294</v>
      </c>
      <c r="E1968" s="1" t="s">
        <v>483</v>
      </c>
      <c r="F1968" s="4" t="s">
        <v>35</v>
      </c>
      <c r="G1968" s="1">
        <v>34</v>
      </c>
      <c r="H1968" s="1">
        <v>33</v>
      </c>
      <c r="I1968" s="1">
        <f>grand[[#This Row],[number]]-grand[[#This Row],[received]]</f>
        <v>1</v>
      </c>
      <c r="J1968" s="30" t="s">
        <v>559</v>
      </c>
      <c r="K1968" s="2">
        <v>1527</v>
      </c>
      <c r="L1968" s="2">
        <v>1527</v>
      </c>
      <c r="M1968" s="2">
        <f>K1968-L1968</f>
        <v>0</v>
      </c>
      <c r="N1968" s="2">
        <v>819.1</v>
      </c>
      <c r="O1968" s="2">
        <v>0</v>
      </c>
      <c r="P1968" s="7">
        <f>grand[[#This Row],[total weight]]/grand[[#This Row],[received]]</f>
        <v>46.272727272727273</v>
      </c>
      <c r="Q1968" s="7">
        <f>grand[[#This Row],[receiving weight]]/grand[[#This Row],[received]]</f>
        <v>46.272727272727273</v>
      </c>
      <c r="R1968" s="7">
        <f>grand[[#This Row],[transportation loss ]]/grand[[#This Row],[received]]</f>
        <v>0</v>
      </c>
      <c r="S1968" s="7">
        <f>grand[[#This Row],[ carcass weight]]/grand[[#This Row],[received]]</f>
        <v>24.82121212121212</v>
      </c>
      <c r="T1968" s="7">
        <f>grand[[#This Row],[ kidneys fat quantity]]/grand[[#This Row],[received]]</f>
        <v>0</v>
      </c>
      <c r="U1968" s="1">
        <v>25</v>
      </c>
      <c r="V1968" s="1">
        <v>0</v>
      </c>
      <c r="W1968" s="1">
        <v>47.909090909090907</v>
      </c>
      <c r="X1968" s="1">
        <v>10</v>
      </c>
      <c r="Y1968" s="1">
        <v>8.5</v>
      </c>
      <c r="Z1968" s="18">
        <f>grand[[#This Row],[av. Transportation loss]]/grand[[#This Row],[av.total weight]]</f>
        <v>0</v>
      </c>
      <c r="AA1968" s="12">
        <f>AVERAGE((grand[[#This Row],[am]]/25),(grand[[#This Row],[pm]]/50))</f>
        <v>0.97909090909090901</v>
      </c>
      <c r="AB1968" s="3">
        <f>grand[[#This Row],[ carcass weight]]/grand[[#This Row],[total weight]]</f>
        <v>0.53641126391617555</v>
      </c>
      <c r="AC1968" s="18">
        <f>SUM(grand[[#This Row],[am]:[meat transportation]])/100</f>
        <v>0.91409090909090907</v>
      </c>
      <c r="AJ1968" s="1">
        <v>0</v>
      </c>
      <c r="AK1968" s="1"/>
      <c r="AL1968" s="1">
        <v>22</v>
      </c>
    </row>
    <row r="1969" spans="1:38" hidden="1" x14ac:dyDescent="0.2">
      <c r="A1969" s="11">
        <v>45006</v>
      </c>
      <c r="B1969" s="53" t="s">
        <v>1821</v>
      </c>
      <c r="C1969" s="52" t="str">
        <f>IF(MID(B1969,4,2)="09","Ramadan",IF(AND(MID(B1969,4,2)="12",VALUE(LEFT(B1969,2))&lt;=9),"Adha Season","Normal"))</f>
        <v>Normal</v>
      </c>
      <c r="D1969" s="1" t="s">
        <v>45</v>
      </c>
      <c r="E1969" s="1" t="s">
        <v>528</v>
      </c>
      <c r="F1969" s="4" t="s">
        <v>46</v>
      </c>
      <c r="G1969" s="1">
        <v>64</v>
      </c>
      <c r="H1969" s="1">
        <v>63</v>
      </c>
      <c r="I1969" s="1">
        <f>grand[[#This Row],[number]]-grand[[#This Row],[received]]</f>
        <v>1</v>
      </c>
      <c r="J1969" s="30" t="s">
        <v>557</v>
      </c>
      <c r="K1969" s="2">
        <v>36636</v>
      </c>
      <c r="L1969" s="2">
        <v>36636</v>
      </c>
      <c r="M1969" s="2">
        <f>K1969-L1969</f>
        <v>0</v>
      </c>
      <c r="N1969" s="2">
        <v>22460</v>
      </c>
      <c r="O1969" s="2">
        <v>648</v>
      </c>
      <c r="P1969" s="7">
        <f>grand[[#This Row],[total weight]]/grand[[#This Row],[received]]</f>
        <v>581.52380952380952</v>
      </c>
      <c r="Q1969" s="7">
        <f>grand[[#This Row],[receiving weight]]/grand[[#This Row],[received]]</f>
        <v>581.52380952380952</v>
      </c>
      <c r="R1969" s="7">
        <f>grand[[#This Row],[transportation loss ]]/grand[[#This Row],[received]]</f>
        <v>0</v>
      </c>
      <c r="S1969" s="7">
        <f>grand[[#This Row],[ carcass weight]]/grand[[#This Row],[received]]</f>
        <v>356.50793650793651</v>
      </c>
      <c r="T1969" s="7">
        <f>grand[[#This Row],[ kidneys fat quantity]]/grand[[#This Row],[received]]</f>
        <v>10.285714285714286</v>
      </c>
      <c r="U1969" s="1">
        <v>25</v>
      </c>
      <c r="V1969" s="1">
        <v>0</v>
      </c>
      <c r="W1969" s="1">
        <v>44.936507936507937</v>
      </c>
      <c r="X1969" s="1">
        <v>10</v>
      </c>
      <c r="Y1969" s="1">
        <v>8.5</v>
      </c>
      <c r="Z1969" s="18">
        <f>grand[[#This Row],[av. Transportation loss]]/grand[[#This Row],[av.total weight]]</f>
        <v>0</v>
      </c>
      <c r="AA1969" s="12">
        <f>AVERAGE((grand[[#This Row],[am]]/25),(grand[[#This Row],[pm]]/50))</f>
        <v>0.94936507936507941</v>
      </c>
      <c r="AB1969" s="3">
        <f>grand[[#This Row],[ carcass weight]]/grand[[#This Row],[total weight]]</f>
        <v>0.61305819412599627</v>
      </c>
      <c r="AC1969" s="18">
        <f>SUM(grand[[#This Row],[am]:[meat transportation]])/100</f>
        <v>0.88436507936507935</v>
      </c>
      <c r="AJ1969" s="1">
        <v>13</v>
      </c>
      <c r="AK1969" s="1"/>
      <c r="AL1969" s="1">
        <v>661</v>
      </c>
    </row>
    <row r="1970" spans="1:38" hidden="1" x14ac:dyDescent="0.2">
      <c r="A1970" s="11">
        <v>45017</v>
      </c>
      <c r="B1970" s="53" t="s">
        <v>2782</v>
      </c>
      <c r="C1970" s="52" t="str">
        <f>IF(MID(B1970,4,2)="09","Ramadan",IF(AND(MID(B1970,4,2)="12",VALUE(LEFT(B1970,2))&lt;=9),"Adha Season","Normal"))</f>
        <v>Ramadan</v>
      </c>
      <c r="D1970" s="1" t="s">
        <v>45</v>
      </c>
      <c r="E1970" s="1" t="s">
        <v>483</v>
      </c>
      <c r="F1970" s="4" t="s">
        <v>280</v>
      </c>
      <c r="G1970" s="1">
        <v>52</v>
      </c>
      <c r="H1970" s="1">
        <v>51</v>
      </c>
      <c r="I1970" s="1">
        <f>grand[[#This Row],[number]]-grand[[#This Row],[received]]</f>
        <v>1</v>
      </c>
      <c r="J1970" s="30" t="s">
        <v>410</v>
      </c>
      <c r="K1970" s="2">
        <v>26051</v>
      </c>
      <c r="L1970" s="2">
        <v>25280</v>
      </c>
      <c r="M1970" s="2">
        <f>K1970-L1970</f>
        <v>771</v>
      </c>
      <c r="N1970" s="2">
        <v>15629.3</v>
      </c>
      <c r="O1970" s="2">
        <v>552</v>
      </c>
      <c r="P1970" s="7">
        <f>grand[[#This Row],[total weight]]/grand[[#This Row],[received]]</f>
        <v>510.80392156862746</v>
      </c>
      <c r="Q1970" s="7">
        <f>grand[[#This Row],[receiving weight]]/grand[[#This Row],[received]]</f>
        <v>495.68627450980392</v>
      </c>
      <c r="R1970" s="7">
        <f>grand[[#This Row],[transportation loss ]]/grand[[#This Row],[received]]</f>
        <v>15.117647058823529</v>
      </c>
      <c r="S1970" s="7">
        <f>grand[[#This Row],[ carcass weight]]/grand[[#This Row],[received]]</f>
        <v>306.45686274509802</v>
      </c>
      <c r="T1970" s="7">
        <f>grand[[#This Row],[ kidneys fat quantity]]/grand[[#This Row],[received]]</f>
        <v>10.823529411764707</v>
      </c>
      <c r="U1970" s="1">
        <v>24.117647058823529</v>
      </c>
      <c r="V1970" s="1">
        <v>0</v>
      </c>
      <c r="W1970" s="1">
        <v>48.411764705882355</v>
      </c>
      <c r="X1970" s="1">
        <v>10</v>
      </c>
      <c r="Y1970" s="1">
        <v>8.5</v>
      </c>
      <c r="Z1970" s="18">
        <f>grand[[#This Row],[av. Transportation loss]]/grand[[#This Row],[av.total weight]]</f>
        <v>2.9595792867836167E-2</v>
      </c>
      <c r="AA1970" s="12">
        <f>AVERAGE((grand[[#This Row],[am]]/25),(grand[[#This Row],[pm]]/50))</f>
        <v>0.96647058823529419</v>
      </c>
      <c r="AB1970" s="3">
        <f>grand[[#This Row],[ carcass weight]]/grand[[#This Row],[total weight]]</f>
        <v>0.59995009788491804</v>
      </c>
      <c r="AC1970" s="18">
        <f>SUM(grand[[#This Row],[am]:[meat transportation]])/100</f>
        <v>0.91029411764705881</v>
      </c>
      <c r="AJ1970" s="1">
        <v>31</v>
      </c>
      <c r="AK1970" s="1"/>
      <c r="AL1970" s="1"/>
    </row>
    <row r="1971" spans="1:38" hidden="1" x14ac:dyDescent="0.2">
      <c r="A1971" s="11">
        <v>45020</v>
      </c>
      <c r="B1971" s="53" t="s">
        <v>1829</v>
      </c>
      <c r="C1971" s="52" t="str">
        <f>IF(MID(B1971,4,2)="09","Ramadan",IF(AND(MID(B1971,4,2)="12",VALUE(LEFT(B1971,2))&lt;=9),"Adha Season","Normal"))</f>
        <v>Ramadan</v>
      </c>
      <c r="D1971" s="1" t="s">
        <v>45</v>
      </c>
      <c r="E1971" s="1" t="s">
        <v>483</v>
      </c>
      <c r="F1971" s="4" t="s">
        <v>280</v>
      </c>
      <c r="G1971" s="1">
        <v>26</v>
      </c>
      <c r="H1971" s="1">
        <v>25</v>
      </c>
      <c r="I1971" s="1">
        <f>grand[[#This Row],[number]]-grand[[#This Row],[received]]</f>
        <v>1</v>
      </c>
      <c r="J1971" s="30" t="s">
        <v>561</v>
      </c>
      <c r="K1971" s="2">
        <v>12260</v>
      </c>
      <c r="L1971" s="2">
        <v>12260</v>
      </c>
      <c r="M1971" s="2">
        <f>K1971-L1971</f>
        <v>0</v>
      </c>
      <c r="N1971" s="2">
        <v>7356.5</v>
      </c>
      <c r="O1971" s="2">
        <v>256</v>
      </c>
      <c r="P1971" s="7">
        <f>grand[[#This Row],[total weight]]/grand[[#This Row],[received]]</f>
        <v>490.4</v>
      </c>
      <c r="Q1971" s="7">
        <f>grand[[#This Row],[receiving weight]]/grand[[#This Row],[received]]</f>
        <v>490.4</v>
      </c>
      <c r="R1971" s="7">
        <f>grand[[#This Row],[transportation loss ]]/grand[[#This Row],[received]]</f>
        <v>0</v>
      </c>
      <c r="S1971" s="7">
        <f>grand[[#This Row],[ carcass weight]]/grand[[#This Row],[received]]</f>
        <v>294.26</v>
      </c>
      <c r="T1971" s="7">
        <f>grand[[#This Row],[ kidneys fat quantity]]/grand[[#This Row],[received]]</f>
        <v>10.24</v>
      </c>
      <c r="U1971" s="1">
        <v>25</v>
      </c>
      <c r="V1971" s="1">
        <v>0</v>
      </c>
      <c r="W1971" s="1">
        <v>49.4</v>
      </c>
      <c r="X1971" s="1">
        <v>10</v>
      </c>
      <c r="Y1971" s="1">
        <v>8.5</v>
      </c>
      <c r="Z1971" s="18">
        <f>grand[[#This Row],[av. Transportation loss]]/grand[[#This Row],[av.total weight]]</f>
        <v>0</v>
      </c>
      <c r="AA1971" s="12">
        <f>AVERAGE((grand[[#This Row],[am]]/25),(grand[[#This Row],[pm]]/50))</f>
        <v>0.99399999999999999</v>
      </c>
      <c r="AB1971" s="3">
        <f>grand[[#This Row],[ carcass weight]]/grand[[#This Row],[total weight]]</f>
        <v>0.60004078303425779</v>
      </c>
      <c r="AC1971" s="18">
        <f>SUM(grand[[#This Row],[am]:[meat transportation]])/100</f>
        <v>0.92900000000000005</v>
      </c>
      <c r="AJ1971" s="1">
        <v>9</v>
      </c>
      <c r="AK1971" s="1"/>
      <c r="AL1971" s="1"/>
    </row>
    <row r="1972" spans="1:38" hidden="1" x14ac:dyDescent="0.2">
      <c r="A1972" s="11">
        <v>45020</v>
      </c>
      <c r="B1972" s="53" t="s">
        <v>1829</v>
      </c>
      <c r="C1972" s="52" t="str">
        <f>IF(MID(B1972,4,2)="09","Ramadan",IF(AND(MID(B1972,4,2)="12",VALUE(LEFT(B1972,2))&lt;=9),"Adha Season","Normal"))</f>
        <v>Ramadan</v>
      </c>
      <c r="D1972" s="1" t="s">
        <v>45</v>
      </c>
      <c r="E1972" s="1" t="s">
        <v>483</v>
      </c>
      <c r="F1972" s="4" t="s">
        <v>550</v>
      </c>
      <c r="G1972" s="1">
        <v>16</v>
      </c>
      <c r="H1972" s="1">
        <v>15</v>
      </c>
      <c r="I1972" s="1">
        <f>grand[[#This Row],[number]]-grand[[#This Row],[received]]</f>
        <v>1</v>
      </c>
      <c r="J1972" s="30" t="s">
        <v>382</v>
      </c>
      <c r="K1972" s="2">
        <v>5812</v>
      </c>
      <c r="L1972" s="2">
        <v>5812</v>
      </c>
      <c r="M1972" s="2">
        <f>K1972-L1972</f>
        <v>0</v>
      </c>
      <c r="N1972" s="2">
        <v>3487.5</v>
      </c>
      <c r="O1972" s="2">
        <v>71</v>
      </c>
      <c r="P1972" s="7">
        <f>grand[[#This Row],[total weight]]/grand[[#This Row],[received]]</f>
        <v>387.46666666666664</v>
      </c>
      <c r="Q1972" s="7">
        <f>grand[[#This Row],[receiving weight]]/grand[[#This Row],[received]]</f>
        <v>387.46666666666664</v>
      </c>
      <c r="R1972" s="7">
        <f>grand[[#This Row],[transportation loss ]]/grand[[#This Row],[received]]</f>
        <v>0</v>
      </c>
      <c r="S1972" s="7">
        <f>grand[[#This Row],[ carcass weight]]/grand[[#This Row],[received]]</f>
        <v>232.5</v>
      </c>
      <c r="T1972" s="7">
        <f>grand[[#This Row],[ kidneys fat quantity]]/grand[[#This Row],[received]]</f>
        <v>4.7333333333333334</v>
      </c>
      <c r="U1972" s="1">
        <v>25</v>
      </c>
      <c r="V1972" s="1">
        <v>0</v>
      </c>
      <c r="W1972" s="1">
        <v>48.6</v>
      </c>
      <c r="X1972" s="1">
        <v>10</v>
      </c>
      <c r="Y1972" s="1">
        <v>8.5</v>
      </c>
      <c r="Z1972" s="18">
        <f>grand[[#This Row],[av. Transportation loss]]/grand[[#This Row],[av.total weight]]</f>
        <v>0</v>
      </c>
      <c r="AA1972" s="12">
        <f>AVERAGE((grand[[#This Row],[am]]/25),(grand[[#This Row],[pm]]/50))</f>
        <v>0.98599999999999999</v>
      </c>
      <c r="AB1972" s="3">
        <f>grand[[#This Row],[ carcass weight]]/grand[[#This Row],[total weight]]</f>
        <v>0.60005161734342738</v>
      </c>
      <c r="AC1972" s="18">
        <f>SUM(grand[[#This Row],[am]:[meat transportation]])/100</f>
        <v>0.92099999999999993</v>
      </c>
      <c r="AJ1972" s="1">
        <v>7</v>
      </c>
      <c r="AK1972" s="1"/>
      <c r="AL1972" s="1"/>
    </row>
    <row r="1973" spans="1:38" hidden="1" x14ac:dyDescent="0.2">
      <c r="A1973" s="11">
        <v>45021</v>
      </c>
      <c r="B1973" s="53" t="s">
        <v>1830</v>
      </c>
      <c r="C1973" s="52" t="str">
        <f>IF(MID(B1973,4,2)="09","Ramadan",IF(AND(MID(B1973,4,2)="12",VALUE(LEFT(B1973,2))&lt;=9),"Adha Season","Normal"))</f>
        <v>Ramadan</v>
      </c>
      <c r="D1973" s="1" t="s">
        <v>45</v>
      </c>
      <c r="E1973" s="1" t="s">
        <v>528</v>
      </c>
      <c r="F1973" s="4" t="s">
        <v>280</v>
      </c>
      <c r="G1973" s="1">
        <v>28</v>
      </c>
      <c r="H1973" s="1">
        <v>27</v>
      </c>
      <c r="I1973" s="1">
        <f>grand[[#This Row],[number]]-grand[[#This Row],[received]]</f>
        <v>1</v>
      </c>
      <c r="J1973" s="30" t="s">
        <v>562</v>
      </c>
      <c r="K1973" s="2">
        <v>12365</v>
      </c>
      <c r="L1973" s="2">
        <v>12130</v>
      </c>
      <c r="M1973" s="2">
        <f>K1973-L1973</f>
        <v>235</v>
      </c>
      <c r="N1973" s="2">
        <v>7418.9</v>
      </c>
      <c r="O1973" s="2">
        <v>240</v>
      </c>
      <c r="P1973" s="7">
        <f>grand[[#This Row],[total weight]]/grand[[#This Row],[received]]</f>
        <v>457.96296296296299</v>
      </c>
      <c r="Q1973" s="7">
        <f>grand[[#This Row],[receiving weight]]/grand[[#This Row],[received]]</f>
        <v>449.25925925925924</v>
      </c>
      <c r="R1973" s="7">
        <f>grand[[#This Row],[transportation loss ]]/grand[[#This Row],[received]]</f>
        <v>8.7037037037037042</v>
      </c>
      <c r="S1973" s="7">
        <f>grand[[#This Row],[ carcass weight]]/grand[[#This Row],[received]]</f>
        <v>274.77407407407406</v>
      </c>
      <c r="T1973" s="7">
        <f>grand[[#This Row],[ kidneys fat quantity]]/grand[[#This Row],[received]]</f>
        <v>8.8888888888888893</v>
      </c>
      <c r="U1973" s="1">
        <v>23.888888888888889</v>
      </c>
      <c r="V1973" s="1">
        <v>0</v>
      </c>
      <c r="W1973" s="1">
        <v>48.888888888888893</v>
      </c>
      <c r="X1973" s="1">
        <v>10</v>
      </c>
      <c r="Y1973" s="1">
        <v>8.5</v>
      </c>
      <c r="Z1973" s="18">
        <f>grand[[#This Row],[av. Transportation loss]]/grand[[#This Row],[av.total weight]]</f>
        <v>1.9005256773150021E-2</v>
      </c>
      <c r="AA1973" s="12">
        <f>AVERAGE((grand[[#This Row],[am]]/25),(grand[[#This Row],[pm]]/50))</f>
        <v>0.96666666666666679</v>
      </c>
      <c r="AB1973" s="3">
        <f>grand[[#This Row],[ carcass weight]]/grand[[#This Row],[total weight]]</f>
        <v>0.59999191265669227</v>
      </c>
      <c r="AC1973" s="18">
        <f>SUM(grand[[#This Row],[am]:[meat transportation]])/100</f>
        <v>0.91277777777777791</v>
      </c>
      <c r="AJ1973" s="1">
        <v>9</v>
      </c>
      <c r="AK1973" s="1"/>
      <c r="AL1973" s="1"/>
    </row>
    <row r="1974" spans="1:38" hidden="1" x14ac:dyDescent="0.2">
      <c r="A1974" s="11">
        <v>45028</v>
      </c>
      <c r="B1974" s="53" t="s">
        <v>1835</v>
      </c>
      <c r="C1974" s="52" t="str">
        <f>IF(MID(B1974,4,2)="09","Ramadan",IF(AND(MID(B1974,4,2)="12",VALUE(LEFT(B1974,2))&lt;=9),"Adha Season","Normal"))</f>
        <v>Ramadan</v>
      </c>
      <c r="D1974" s="1" t="s">
        <v>45</v>
      </c>
      <c r="E1974" s="1" t="s">
        <v>528</v>
      </c>
      <c r="F1974" s="4" t="s">
        <v>560</v>
      </c>
      <c r="G1974" s="1">
        <v>32</v>
      </c>
      <c r="H1974" s="1">
        <v>31</v>
      </c>
      <c r="I1974" s="1">
        <f>grand[[#This Row],[number]]-grand[[#This Row],[received]]</f>
        <v>1</v>
      </c>
      <c r="J1974" s="30" t="s">
        <v>435</v>
      </c>
      <c r="K1974" s="2">
        <v>14650</v>
      </c>
      <c r="L1974" s="2">
        <v>14185</v>
      </c>
      <c r="M1974" s="2">
        <f>K1974-L1974</f>
        <v>465</v>
      </c>
      <c r="N1974" s="2">
        <v>8884.4</v>
      </c>
      <c r="O1974" s="2">
        <v>193</v>
      </c>
      <c r="P1974" s="7">
        <f>grand[[#This Row],[total weight]]/grand[[#This Row],[received]]</f>
        <v>472.58064516129031</v>
      </c>
      <c r="Q1974" s="7">
        <f>grand[[#This Row],[receiving weight]]/grand[[#This Row],[received]]</f>
        <v>457.58064516129031</v>
      </c>
      <c r="R1974" s="7">
        <f>grand[[#This Row],[transportation loss ]]/grand[[#This Row],[received]]</f>
        <v>15</v>
      </c>
      <c r="S1974" s="7">
        <f>grand[[#This Row],[ carcass weight]]/grand[[#This Row],[received]]</f>
        <v>286.59354838709675</v>
      </c>
      <c r="T1974" s="7">
        <f>grand[[#This Row],[ kidneys fat quantity]]/grand[[#This Row],[received]]</f>
        <v>6.225806451612903</v>
      </c>
      <c r="U1974" s="1">
        <v>25</v>
      </c>
      <c r="V1974" s="1">
        <v>0</v>
      </c>
      <c r="W1974" s="1">
        <v>49.774193548387096</v>
      </c>
      <c r="X1974" s="1">
        <v>10</v>
      </c>
      <c r="Y1974" s="1">
        <v>8.5</v>
      </c>
      <c r="Z1974" s="18">
        <f>grand[[#This Row],[av. Transportation loss]]/grand[[#This Row],[av.total weight]]</f>
        <v>3.1740614334470993E-2</v>
      </c>
      <c r="AA1974" s="12">
        <f>AVERAGE((grand[[#This Row],[am]]/25),(grand[[#This Row],[pm]]/50))</f>
        <v>0.99774193548387102</v>
      </c>
      <c r="AB1974" s="3">
        <f>grand[[#This Row],[ carcass weight]]/grand[[#This Row],[total weight]]</f>
        <v>0.60644368600682597</v>
      </c>
      <c r="AC1974" s="18">
        <f>SUM(grand[[#This Row],[am]:[meat transportation]])/100</f>
        <v>0.93274193548387108</v>
      </c>
      <c r="AK1974" s="1"/>
      <c r="AL1974" s="1"/>
    </row>
    <row r="1975" spans="1:38" hidden="1" x14ac:dyDescent="0.2">
      <c r="A1975" s="11">
        <v>45036</v>
      </c>
      <c r="B1975" s="53" t="s">
        <v>1841</v>
      </c>
      <c r="C1975" s="52" t="str">
        <f>IF(MID(B1975,4,2)="09","Ramadan",IF(AND(MID(B1975,4,2)="12",VALUE(LEFT(B1975,2))&lt;=9),"Adha Season","Normal"))</f>
        <v>Ramadan</v>
      </c>
      <c r="D1975" s="1" t="s">
        <v>45</v>
      </c>
      <c r="E1975" s="1" t="s">
        <v>528</v>
      </c>
      <c r="F1975" s="4" t="s">
        <v>39</v>
      </c>
      <c r="G1975" s="1">
        <v>32</v>
      </c>
      <c r="H1975" s="1">
        <v>31</v>
      </c>
      <c r="I1975" s="1">
        <f>grand[[#This Row],[number]]-grand[[#This Row],[received]]</f>
        <v>1</v>
      </c>
      <c r="J1975" s="30" t="s">
        <v>382</v>
      </c>
      <c r="K1975" s="2">
        <v>17597</v>
      </c>
      <c r="L1975" s="2">
        <v>16755</v>
      </c>
      <c r="M1975" s="2">
        <f>K1975-L1975</f>
        <v>842</v>
      </c>
      <c r="N1975" s="2">
        <v>11267.8</v>
      </c>
      <c r="O1975" s="2">
        <v>185</v>
      </c>
      <c r="P1975" s="7">
        <f>grand[[#This Row],[total weight]]/grand[[#This Row],[received]]</f>
        <v>567.64516129032256</v>
      </c>
      <c r="Q1975" s="7">
        <f>grand[[#This Row],[receiving weight]]/grand[[#This Row],[received]]</f>
        <v>540.48387096774195</v>
      </c>
      <c r="R1975" s="7">
        <f>grand[[#This Row],[transportation loss ]]/grand[[#This Row],[received]]</f>
        <v>27.161290322580644</v>
      </c>
      <c r="S1975" s="7">
        <f>grand[[#This Row],[ carcass weight]]/grand[[#This Row],[received]]</f>
        <v>363.47741935483867</v>
      </c>
      <c r="T1975" s="7">
        <f>grand[[#This Row],[ kidneys fat quantity]]/grand[[#This Row],[received]]</f>
        <v>5.967741935483871</v>
      </c>
      <c r="U1975" s="1">
        <v>25</v>
      </c>
      <c r="V1975" s="1">
        <v>0</v>
      </c>
      <c r="W1975" s="1">
        <v>49.838709677419359</v>
      </c>
      <c r="X1975" s="1">
        <v>10</v>
      </c>
      <c r="Y1975" s="1">
        <v>8.5</v>
      </c>
      <c r="Z1975" s="18">
        <f>grand[[#This Row],[av. Transportation loss]]/grand[[#This Row],[av.total weight]]</f>
        <v>4.7849065181565037E-2</v>
      </c>
      <c r="AA1975" s="12">
        <f>AVERAGE((grand[[#This Row],[am]]/25),(grand[[#This Row],[pm]]/50))</f>
        <v>0.99838709677419357</v>
      </c>
      <c r="AB1975" s="3">
        <f>grand[[#This Row],[ carcass weight]]/grand[[#This Row],[total weight]]</f>
        <v>0.64032505540717166</v>
      </c>
      <c r="AC1975" s="18">
        <f>SUM(grand[[#This Row],[am]:[meat transportation]])/100</f>
        <v>0.93338709677419363</v>
      </c>
      <c r="AK1975" s="1"/>
      <c r="AL1975" s="1"/>
    </row>
    <row r="1976" spans="1:38" hidden="1" x14ac:dyDescent="0.2">
      <c r="A1976" s="11">
        <v>45048</v>
      </c>
      <c r="B1976" s="53" t="s">
        <v>2788</v>
      </c>
      <c r="C1976" s="52" t="str">
        <f>IF(MID(B1976,4,2)="09","Ramadan",IF(AND(MID(B1976,4,2)="12",VALUE(LEFT(B1976,2))&lt;=9),"Adha Season","Normal"))</f>
        <v>Normal</v>
      </c>
      <c r="D1976" s="1" t="s">
        <v>45</v>
      </c>
      <c r="E1976" s="1" t="s">
        <v>483</v>
      </c>
      <c r="F1976" s="4" t="s">
        <v>39</v>
      </c>
      <c r="G1976" s="1">
        <v>62</v>
      </c>
      <c r="H1976" s="1">
        <v>61</v>
      </c>
      <c r="I1976" s="1">
        <f>grand[[#This Row],[number]]-grand[[#This Row],[received]]</f>
        <v>1</v>
      </c>
      <c r="J1976" s="30" t="s">
        <v>382</v>
      </c>
      <c r="K1976" s="2">
        <v>27369</v>
      </c>
      <c r="L1976" s="2">
        <v>26217</v>
      </c>
      <c r="M1976" s="2">
        <f>K1976-L1976</f>
        <v>1152</v>
      </c>
      <c r="N1976" s="2">
        <v>16844.099999999999</v>
      </c>
      <c r="O1976" s="2">
        <v>641</v>
      </c>
      <c r="P1976" s="7">
        <f>grand[[#This Row],[total weight]]/grand[[#This Row],[received]]</f>
        <v>448.67213114754099</v>
      </c>
      <c r="Q1976" s="7">
        <f>grand[[#This Row],[receiving weight]]/grand[[#This Row],[received]]</f>
        <v>429.78688524590166</v>
      </c>
      <c r="R1976" s="7">
        <f>grand[[#This Row],[transportation loss ]]/grand[[#This Row],[received]]</f>
        <v>18.885245901639344</v>
      </c>
      <c r="S1976" s="7">
        <f>grand[[#This Row],[ carcass weight]]/grand[[#This Row],[received]]</f>
        <v>276.13278688524588</v>
      </c>
      <c r="T1976" s="7">
        <f>grand[[#This Row],[ kidneys fat quantity]]/grand[[#This Row],[received]]</f>
        <v>10.508196721311476</v>
      </c>
      <c r="U1976" s="1">
        <v>25</v>
      </c>
      <c r="V1976" s="1">
        <v>0</v>
      </c>
      <c r="W1976" s="1">
        <v>49.47540983606558</v>
      </c>
      <c r="X1976" s="1">
        <v>10</v>
      </c>
      <c r="Y1976" s="1">
        <v>8.5</v>
      </c>
      <c r="Z1976" s="18">
        <f>grand[[#This Row],[av. Transportation loss]]/grand[[#This Row],[av.total weight]]</f>
        <v>4.2091417296941797E-2</v>
      </c>
      <c r="AA1976" s="12">
        <f>AVERAGE((grand[[#This Row],[am]]/25),(grand[[#This Row],[pm]]/50))</f>
        <v>0.99475409836065576</v>
      </c>
      <c r="AB1976" s="3">
        <f>grand[[#This Row],[ carcass weight]]/grand[[#This Row],[total weight]]</f>
        <v>0.615444480982133</v>
      </c>
      <c r="AC1976" s="18">
        <f>SUM(grand[[#This Row],[am]:[meat transportation]])/100</f>
        <v>0.92975409836065581</v>
      </c>
      <c r="AJ1976" s="1">
        <v>8</v>
      </c>
      <c r="AK1976" s="1"/>
      <c r="AL1976" s="1">
        <v>433</v>
      </c>
    </row>
    <row r="1977" spans="1:38" hidden="1" x14ac:dyDescent="0.2">
      <c r="A1977" s="11">
        <v>45060</v>
      </c>
      <c r="B1977" s="53" t="s">
        <v>2793</v>
      </c>
      <c r="C1977" s="52" t="str">
        <f>IF(MID(B1977,4,2)="09","Ramadan",IF(AND(MID(B1977,4,2)="12",VALUE(LEFT(B1977,2))&lt;=9),"Adha Season","Normal"))</f>
        <v>Normal</v>
      </c>
      <c r="D1977" s="1" t="s">
        <v>45</v>
      </c>
      <c r="E1977" s="1" t="s">
        <v>483</v>
      </c>
      <c r="F1977" s="4" t="s">
        <v>39</v>
      </c>
      <c r="G1977" s="1">
        <v>56</v>
      </c>
      <c r="H1977" s="1">
        <v>55</v>
      </c>
      <c r="I1977" s="25">
        <f>grand[[#This Row],[number]]-grand[[#This Row],[received]]</f>
        <v>1</v>
      </c>
      <c r="J1977" s="30" t="s">
        <v>569</v>
      </c>
      <c r="K1977" s="2">
        <v>24188</v>
      </c>
      <c r="L1977" s="2">
        <v>22971</v>
      </c>
      <c r="M1977" s="2">
        <f>K1977-L1977</f>
        <v>1217</v>
      </c>
      <c r="N1977" s="2">
        <v>14826.7</v>
      </c>
      <c r="O1977" s="2">
        <v>548</v>
      </c>
      <c r="P1977" s="7">
        <f>grand[[#This Row],[total weight]]/grand[[#This Row],[received]]</f>
        <v>439.78181818181821</v>
      </c>
      <c r="Q1977" s="7">
        <f>grand[[#This Row],[receiving weight]]/grand[[#This Row],[received]]</f>
        <v>417.65454545454543</v>
      </c>
      <c r="R1977" s="7">
        <f>grand[[#This Row],[transportation loss ]]/grand[[#This Row],[received]]</f>
        <v>22.127272727272729</v>
      </c>
      <c r="S1977" s="7">
        <f>grand[[#This Row],[ carcass weight]]/grand[[#This Row],[received]]</f>
        <v>269.57636363636362</v>
      </c>
      <c r="T1977" s="7">
        <f>grand[[#This Row],[ kidneys fat quantity]]/grand[[#This Row],[received]]</f>
        <v>9.963636363636363</v>
      </c>
      <c r="U1977" s="1">
        <v>25</v>
      </c>
      <c r="V1977" s="1">
        <v>0</v>
      </c>
      <c r="W1977" s="1">
        <v>49.418181818181822</v>
      </c>
      <c r="X1977" s="1">
        <v>10</v>
      </c>
      <c r="Y1977" s="1">
        <v>8.5</v>
      </c>
      <c r="Z1977" s="18">
        <f>grand[[#This Row],[av. Transportation loss]]/grand[[#This Row],[av.total weight]]</f>
        <v>5.0314205391103026E-2</v>
      </c>
      <c r="AA1977" s="12">
        <f>AVERAGE((grand[[#This Row],[am]]/25),(grand[[#This Row],[pm]]/50))</f>
        <v>0.99418181818181828</v>
      </c>
      <c r="AB1977" s="3">
        <f>grand[[#This Row],[ carcass weight]]/grand[[#This Row],[total weight]]</f>
        <v>0.61297750950884744</v>
      </c>
      <c r="AC1977" s="18">
        <f>SUM(grand[[#This Row],[am]:[meat transportation]])/100</f>
        <v>0.92918181818181822</v>
      </c>
      <c r="AJ1977" s="1">
        <v>5</v>
      </c>
      <c r="AK1977" s="1"/>
      <c r="AL1977" s="1">
        <v>466</v>
      </c>
    </row>
    <row r="1978" spans="1:38" hidden="1" x14ac:dyDescent="0.2">
      <c r="A1978" s="11">
        <v>45067</v>
      </c>
      <c r="B1978" s="53" t="s">
        <v>2796</v>
      </c>
      <c r="C1978" s="52" t="str">
        <f>IF(MID(B1978,4,2)="09","Ramadan",IF(AND(MID(B1978,4,2)="12",VALUE(LEFT(B1978,2))&lt;=9),"Adha Season","Normal"))</f>
        <v>Normal</v>
      </c>
      <c r="D1978" s="1" t="s">
        <v>45</v>
      </c>
      <c r="E1978" s="1" t="s">
        <v>483</v>
      </c>
      <c r="F1978" s="4" t="s">
        <v>280</v>
      </c>
      <c r="G1978" s="1">
        <v>45</v>
      </c>
      <c r="H1978" s="1">
        <v>44</v>
      </c>
      <c r="I1978" s="1">
        <f>grand[[#This Row],[number]]-grand[[#This Row],[received]]</f>
        <v>1</v>
      </c>
      <c r="J1978" s="30" t="s">
        <v>566</v>
      </c>
      <c r="K1978" s="2">
        <v>22434</v>
      </c>
      <c r="L1978" s="2">
        <v>21590</v>
      </c>
      <c r="M1978" s="2">
        <f>K1978-L1978</f>
        <v>844</v>
      </c>
      <c r="N1978" s="2">
        <v>13459.7</v>
      </c>
      <c r="O1978" s="2">
        <v>478</v>
      </c>
      <c r="P1978" s="7">
        <f>grand[[#This Row],[total weight]]/grand[[#This Row],[received]]</f>
        <v>509.86363636363637</v>
      </c>
      <c r="Q1978" s="7">
        <f>grand[[#This Row],[receiving weight]]/grand[[#This Row],[received]]</f>
        <v>490.68181818181819</v>
      </c>
      <c r="R1978" s="7">
        <f>grand[[#This Row],[transportation loss ]]/grand[[#This Row],[received]]</f>
        <v>19.181818181818183</v>
      </c>
      <c r="S1978" s="7">
        <f>grand[[#This Row],[ carcass weight]]/grand[[#This Row],[received]]</f>
        <v>305.90227272727276</v>
      </c>
      <c r="T1978" s="7">
        <f>grand[[#This Row],[ kidneys fat quantity]]/grand[[#This Row],[received]]</f>
        <v>10.863636363636363</v>
      </c>
      <c r="U1978" s="1">
        <v>24.886363636363637</v>
      </c>
      <c r="V1978" s="1">
        <v>0</v>
      </c>
      <c r="W1978" s="1">
        <v>48.522727272727273</v>
      </c>
      <c r="X1978" s="1">
        <v>10</v>
      </c>
      <c r="Y1978" s="1">
        <v>8.5</v>
      </c>
      <c r="Z1978" s="18">
        <f>grand[[#This Row],[av. Transportation loss]]/grand[[#This Row],[av.total weight]]</f>
        <v>3.7621467415530005E-2</v>
      </c>
      <c r="AA1978" s="12">
        <f>AVERAGE((grand[[#This Row],[am]]/25),(grand[[#This Row],[pm]]/50))</f>
        <v>0.98295454545454541</v>
      </c>
      <c r="AB1978" s="3">
        <f>grand[[#This Row],[ carcass weight]]/grand[[#This Row],[total weight]]</f>
        <v>0.59996879736114828</v>
      </c>
      <c r="AC1978" s="18">
        <f>SUM(grand[[#This Row],[am]:[meat transportation]])/100</f>
        <v>0.91909090909090907</v>
      </c>
      <c r="AJ1978" s="1">
        <v>13</v>
      </c>
      <c r="AK1978" s="1"/>
      <c r="AL1978" s="1">
        <v>484</v>
      </c>
    </row>
    <row r="1979" spans="1:38" hidden="1" x14ac:dyDescent="0.2">
      <c r="A1979" s="11">
        <v>45074</v>
      </c>
      <c r="B1979" s="53" t="s">
        <v>2799</v>
      </c>
      <c r="C1979" s="52" t="str">
        <f>IF(MID(B1979,4,2)="09","Ramadan",IF(AND(MID(B1979,4,2)="12",VALUE(LEFT(B1979,2))&lt;=9),"Adha Season","Normal"))</f>
        <v>Normal</v>
      </c>
      <c r="D1979" s="1" t="s">
        <v>45</v>
      </c>
      <c r="E1979" s="1" t="s">
        <v>483</v>
      </c>
      <c r="F1979" s="4" t="s">
        <v>39</v>
      </c>
      <c r="G1979" s="1">
        <v>16</v>
      </c>
      <c r="H1979" s="1">
        <v>15</v>
      </c>
      <c r="I1979" s="1">
        <f>grand[[#This Row],[number]]-grand[[#This Row],[received]]</f>
        <v>1</v>
      </c>
      <c r="J1979" s="30" t="s">
        <v>567</v>
      </c>
      <c r="K1979" s="2">
        <v>6737</v>
      </c>
      <c r="L1979" s="2">
        <v>6737</v>
      </c>
      <c r="M1979" s="2">
        <f>K1979-L1979</f>
        <v>0</v>
      </c>
      <c r="N1979" s="2">
        <v>4216.8</v>
      </c>
      <c r="O1979" s="2">
        <v>184</v>
      </c>
      <c r="P1979" s="7">
        <f>grand[[#This Row],[total weight]]/grand[[#This Row],[received]]</f>
        <v>449.13333333333333</v>
      </c>
      <c r="Q1979" s="7">
        <f>grand[[#This Row],[receiving weight]]/grand[[#This Row],[received]]</f>
        <v>449.13333333333333</v>
      </c>
      <c r="R1979" s="7">
        <f>grand[[#This Row],[transportation loss ]]/grand[[#This Row],[received]]</f>
        <v>0</v>
      </c>
      <c r="S1979" s="7">
        <f>grand[[#This Row],[ carcass weight]]/grand[[#This Row],[received]]</f>
        <v>281.12</v>
      </c>
      <c r="T1979" s="7">
        <f>grand[[#This Row],[ kidneys fat quantity]]/grand[[#This Row],[received]]</f>
        <v>12.266666666666667</v>
      </c>
      <c r="U1979" s="1">
        <v>25</v>
      </c>
      <c r="V1979" s="1">
        <v>0</v>
      </c>
      <c r="W1979" s="1">
        <v>48.133333333333333</v>
      </c>
      <c r="X1979" s="1">
        <v>10</v>
      </c>
      <c r="Y1979" s="1">
        <v>8.5</v>
      </c>
      <c r="Z1979" s="18">
        <f>grand[[#This Row],[av. Transportation loss]]/grand[[#This Row],[av.total weight]]</f>
        <v>0</v>
      </c>
      <c r="AA1979" s="12">
        <f>AVERAGE((grand[[#This Row],[am]]/25),(grand[[#This Row],[pm]]/50))</f>
        <v>0.98133333333333339</v>
      </c>
      <c r="AB1979" s="3">
        <f>grand[[#This Row],[ carcass weight]]/grand[[#This Row],[total weight]]</f>
        <v>0.62591658008015438</v>
      </c>
      <c r="AC1979" s="18">
        <f>SUM(grand[[#This Row],[am]:[meat transportation]])/100</f>
        <v>0.91633333333333322</v>
      </c>
      <c r="AJ1979" s="1">
        <v>0</v>
      </c>
      <c r="AK1979" s="1"/>
      <c r="AL1979" s="1">
        <v>470</v>
      </c>
    </row>
    <row r="1980" spans="1:38" hidden="1" x14ac:dyDescent="0.2">
      <c r="A1980" s="11">
        <v>45094</v>
      </c>
      <c r="B1980" s="53" t="s">
        <v>2805</v>
      </c>
      <c r="C1980" s="52" t="str">
        <f>IF(MID(B1980,4,2)="09","Ramadan",IF(AND(MID(B1980,4,2)="12",VALUE(LEFT(B1980,2))&lt;=9),"Adha Season","Normal"))</f>
        <v>Normal</v>
      </c>
      <c r="D1980" s="1" t="s">
        <v>45</v>
      </c>
      <c r="E1980" s="1" t="s">
        <v>483</v>
      </c>
      <c r="F1980" s="4" t="s">
        <v>39</v>
      </c>
      <c r="G1980" s="1">
        <v>65</v>
      </c>
      <c r="H1980" s="1">
        <v>64</v>
      </c>
      <c r="I1980" s="1">
        <f>grand[[#This Row],[number]]-grand[[#This Row],[received]]</f>
        <v>1</v>
      </c>
      <c r="J1980" s="30" t="s">
        <v>449</v>
      </c>
      <c r="K1980" s="2">
        <v>28443</v>
      </c>
      <c r="L1980" s="2">
        <v>26753</v>
      </c>
      <c r="M1980" s="2">
        <f>K1980-L1980</f>
        <v>1690</v>
      </c>
      <c r="N1980" s="2">
        <v>17077.3</v>
      </c>
      <c r="O1980" s="2">
        <v>581</v>
      </c>
      <c r="P1980" s="7">
        <f>grand[[#This Row],[total weight]]/grand[[#This Row],[received]]</f>
        <v>444.421875</v>
      </c>
      <c r="Q1980" s="7">
        <f>grand[[#This Row],[receiving weight]]/grand[[#This Row],[received]]</f>
        <v>418.015625</v>
      </c>
      <c r="R1980" s="7">
        <f>grand[[#This Row],[transportation loss ]]/grand[[#This Row],[received]]</f>
        <v>26.40625</v>
      </c>
      <c r="S1980" s="7">
        <f>grand[[#This Row],[ carcass weight]]/grand[[#This Row],[received]]</f>
        <v>266.83281249999999</v>
      </c>
      <c r="T1980" s="7">
        <f>grand[[#This Row],[ kidneys fat quantity]]/grand[[#This Row],[received]]</f>
        <v>9.078125</v>
      </c>
      <c r="U1980" s="1">
        <v>25</v>
      </c>
      <c r="V1980" s="1">
        <v>0</v>
      </c>
      <c r="W1980" s="1">
        <v>49.253968253968253</v>
      </c>
      <c r="X1980" s="1">
        <v>10</v>
      </c>
      <c r="Y1980" s="1">
        <v>8.5</v>
      </c>
      <c r="Z1980" s="18">
        <f>grand[[#This Row],[av. Transportation loss]]/grand[[#This Row],[av.total weight]]</f>
        <v>5.9417079773582251E-2</v>
      </c>
      <c r="AA1980" s="12">
        <f>AVERAGE((grand[[#This Row],[am]]/25),(grand[[#This Row],[pm]]/50))</f>
        <v>0.99253968253968261</v>
      </c>
      <c r="AB1980" s="3">
        <f>grand[[#This Row],[ carcass weight]]/grand[[#This Row],[total weight]]</f>
        <v>0.60040431740674327</v>
      </c>
      <c r="AC1980" s="18">
        <f>SUM(grand[[#This Row],[am]:[meat transportation]])/100</f>
        <v>0.92753968253968255</v>
      </c>
      <c r="AJ1980" s="1">
        <v>12</v>
      </c>
      <c r="AK1980" s="1"/>
      <c r="AL1980" s="1"/>
    </row>
    <row r="1981" spans="1:38" hidden="1" x14ac:dyDescent="0.2">
      <c r="A1981" s="11">
        <v>45095</v>
      </c>
      <c r="B1981" s="53" t="s">
        <v>1850</v>
      </c>
      <c r="C1981" s="52" t="str">
        <f>IF(MID(B1981,4,2)="09","Ramadan",IF(AND(MID(B1981,4,2)="12",VALUE(LEFT(B1981,2))&lt;=9),"Adha Season","Normal"))</f>
        <v>Normal</v>
      </c>
      <c r="D1981" s="1" t="s">
        <v>45</v>
      </c>
      <c r="E1981" s="1" t="s">
        <v>483</v>
      </c>
      <c r="F1981" s="4" t="s">
        <v>280</v>
      </c>
      <c r="G1981" s="1">
        <v>42</v>
      </c>
      <c r="H1981" s="1">
        <v>41</v>
      </c>
      <c r="I1981" s="1">
        <f>grand[[#This Row],[number]]-grand[[#This Row],[received]]</f>
        <v>1</v>
      </c>
      <c r="J1981" s="30" t="s">
        <v>322</v>
      </c>
      <c r="K1981" s="2">
        <v>21535</v>
      </c>
      <c r="L1981" s="2">
        <v>21535</v>
      </c>
      <c r="M1981" s="2">
        <f>K1981-L1981</f>
        <v>0</v>
      </c>
      <c r="N1981" s="2">
        <v>13061.4</v>
      </c>
      <c r="O1981" s="2">
        <v>413</v>
      </c>
      <c r="P1981" s="7">
        <f>grand[[#This Row],[total weight]]/grand[[#This Row],[received]]</f>
        <v>525.2439024390244</v>
      </c>
      <c r="Q1981" s="7">
        <f>grand[[#This Row],[receiving weight]]/grand[[#This Row],[received]]</f>
        <v>525.2439024390244</v>
      </c>
      <c r="R1981" s="7">
        <f>grand[[#This Row],[transportation loss ]]/grand[[#This Row],[received]]</f>
        <v>0</v>
      </c>
      <c r="S1981" s="7">
        <f>grand[[#This Row],[ carcass weight]]/grand[[#This Row],[received]]</f>
        <v>318.57073170731707</v>
      </c>
      <c r="T1981" s="7">
        <f>grand[[#This Row],[ kidneys fat quantity]]/grand[[#This Row],[received]]</f>
        <v>10.073170731707316</v>
      </c>
      <c r="U1981" s="1">
        <v>24.975609756097562</v>
      </c>
      <c r="V1981" s="1">
        <v>0</v>
      </c>
      <c r="W1981" s="1">
        <v>47.573170731707314</v>
      </c>
      <c r="X1981" s="1">
        <v>10</v>
      </c>
      <c r="Y1981" s="1">
        <v>8.5</v>
      </c>
      <c r="Z1981" s="18">
        <f>grand[[#This Row],[av. Transportation loss]]/grand[[#This Row],[av.total weight]]</f>
        <v>0</v>
      </c>
      <c r="AA1981" s="12">
        <f>AVERAGE((grand[[#This Row],[am]]/25),(grand[[#This Row],[pm]]/50))</f>
        <v>0.97524390243902437</v>
      </c>
      <c r="AB1981" s="3">
        <f>grand[[#This Row],[ carcass weight]]/grand[[#This Row],[total weight]]</f>
        <v>0.60651961922451825</v>
      </c>
      <c r="AC1981" s="18">
        <f>SUM(grand[[#This Row],[am]:[meat transportation]])/100</f>
        <v>0.91048780487804881</v>
      </c>
      <c r="AJ1981" s="1">
        <v>11</v>
      </c>
      <c r="AK1981" s="1"/>
      <c r="AL1981" s="1"/>
    </row>
    <row r="1982" spans="1:38" hidden="1" x14ac:dyDescent="0.2">
      <c r="A1982" s="11">
        <v>45099</v>
      </c>
      <c r="B1982" s="53" t="s">
        <v>1854</v>
      </c>
      <c r="C1982" s="52" t="str">
        <f>IF(MID(B1982,4,2)="09","Ramadan",IF(AND(MID(B1982,4,2)="12",VALUE(LEFT(B1982,2))&lt;=9),"Adha Season","Normal"))</f>
        <v>Adha Season</v>
      </c>
      <c r="D1982" s="1" t="s">
        <v>45</v>
      </c>
      <c r="E1982" s="1" t="s">
        <v>483</v>
      </c>
      <c r="F1982" s="4" t="s">
        <v>46</v>
      </c>
      <c r="G1982" s="1">
        <v>56</v>
      </c>
      <c r="H1982" s="1">
        <v>55</v>
      </c>
      <c r="I1982" s="1">
        <f>grand[[#This Row],[number]]-grand[[#This Row],[received]]</f>
        <v>1</v>
      </c>
      <c r="J1982" s="30" t="s">
        <v>487</v>
      </c>
      <c r="K1982" s="2">
        <v>26775</v>
      </c>
      <c r="L1982" s="2">
        <v>26775</v>
      </c>
      <c r="M1982" s="2">
        <f>K1982-L1982</f>
        <v>0</v>
      </c>
      <c r="N1982" s="2">
        <v>16114.6</v>
      </c>
      <c r="O1982" s="2">
        <v>450</v>
      </c>
      <c r="P1982" s="7">
        <f>grand[[#This Row],[total weight]]/grand[[#This Row],[received]]</f>
        <v>486.81818181818181</v>
      </c>
      <c r="Q1982" s="7">
        <f>grand[[#This Row],[receiving weight]]/grand[[#This Row],[received]]</f>
        <v>486.81818181818181</v>
      </c>
      <c r="R1982" s="7">
        <f>grand[[#This Row],[transportation loss ]]/grand[[#This Row],[received]]</f>
        <v>0</v>
      </c>
      <c r="S1982" s="7">
        <f>grand[[#This Row],[ carcass weight]]/grand[[#This Row],[received]]</f>
        <v>292.99272727272728</v>
      </c>
      <c r="T1982" s="7">
        <f>grand[[#This Row],[ kidneys fat quantity]]/grand[[#This Row],[received]]</f>
        <v>8.1818181818181817</v>
      </c>
      <c r="U1982" s="1">
        <v>24.454545454545453</v>
      </c>
      <c r="V1982" s="1">
        <v>0</v>
      </c>
      <c r="W1982" s="1">
        <v>49.072727272727278</v>
      </c>
      <c r="X1982" s="1">
        <v>10</v>
      </c>
      <c r="Y1982" s="1">
        <v>8.5</v>
      </c>
      <c r="Z1982" s="18">
        <f>grand[[#This Row],[av. Transportation loss]]/grand[[#This Row],[av.total weight]]</f>
        <v>0</v>
      </c>
      <c r="AA1982" s="12">
        <f>AVERAGE((grand[[#This Row],[am]]/25),(grand[[#This Row],[pm]]/50))</f>
        <v>0.97981818181818192</v>
      </c>
      <c r="AB1982" s="3">
        <f>grand[[#This Row],[ carcass weight]]/grand[[#This Row],[total weight]]</f>
        <v>0.60185247432306255</v>
      </c>
      <c r="AC1982" s="18">
        <f>SUM(grand[[#This Row],[am]:[meat transportation]])/100</f>
        <v>0.92027272727272735</v>
      </c>
      <c r="AJ1982" s="1">
        <v>28</v>
      </c>
      <c r="AK1982" s="1"/>
      <c r="AL1982" s="1"/>
    </row>
    <row r="1983" spans="1:38" hidden="1" x14ac:dyDescent="0.2">
      <c r="A1983" s="11">
        <v>45102</v>
      </c>
      <c r="B1983" s="53" t="s">
        <v>1857</v>
      </c>
      <c r="C1983" s="52" t="str">
        <f>IF(MID(B1983,4,2)="09","Ramadan",IF(AND(MID(B1983,4,2)="12",VALUE(LEFT(B1983,2))&lt;=9),"Adha Season","Normal"))</f>
        <v>Adha Season</v>
      </c>
      <c r="D1983" s="1" t="s">
        <v>45</v>
      </c>
      <c r="E1983" s="1" t="s">
        <v>483</v>
      </c>
      <c r="F1983" s="4" t="s">
        <v>39</v>
      </c>
      <c r="G1983" s="1">
        <v>70</v>
      </c>
      <c r="H1983" s="1">
        <v>69</v>
      </c>
      <c r="I1983" s="1">
        <f>grand[[#This Row],[number]]-grand[[#This Row],[received]]</f>
        <v>1</v>
      </c>
      <c r="J1983" s="30" t="s">
        <v>310</v>
      </c>
      <c r="K1983" s="2">
        <v>30928</v>
      </c>
      <c r="L1983" s="2">
        <v>30928</v>
      </c>
      <c r="M1983" s="2">
        <f>K1983-L1983</f>
        <v>0</v>
      </c>
      <c r="N1983" s="2">
        <v>18932.5</v>
      </c>
      <c r="O1983" s="2">
        <v>690</v>
      </c>
      <c r="P1983" s="7">
        <f>grand[[#This Row],[total weight]]/grand[[#This Row],[received]]</f>
        <v>448.231884057971</v>
      </c>
      <c r="Q1983" s="7">
        <f>grand[[#This Row],[receiving weight]]/grand[[#This Row],[received]]</f>
        <v>448.231884057971</v>
      </c>
      <c r="R1983" s="7">
        <f>grand[[#This Row],[transportation loss ]]/grand[[#This Row],[received]]</f>
        <v>0</v>
      </c>
      <c r="S1983" s="7">
        <f>grand[[#This Row],[ carcass weight]]/grand[[#This Row],[received]]</f>
        <v>274.3840579710145</v>
      </c>
      <c r="T1983" s="7">
        <f>grand[[#This Row],[ kidneys fat quantity]]/grand[[#This Row],[received]]</f>
        <v>10</v>
      </c>
      <c r="U1983" s="1">
        <v>25</v>
      </c>
      <c r="V1983" s="1">
        <v>0</v>
      </c>
      <c r="W1983" s="1">
        <v>49.188405797101446</v>
      </c>
      <c r="X1983" s="1">
        <v>9.8550724637681171</v>
      </c>
      <c r="Y1983" s="1">
        <v>8.5</v>
      </c>
      <c r="Z1983" s="18">
        <f>grand[[#This Row],[av. Transportation loss]]/grand[[#This Row],[av.total weight]]</f>
        <v>0</v>
      </c>
      <c r="AA1983" s="12">
        <f>AVERAGE((grand[[#This Row],[am]]/25),(grand[[#This Row],[pm]]/50))</f>
        <v>0.99188405797101442</v>
      </c>
      <c r="AB1983" s="3">
        <f>grand[[#This Row],[ carcass weight]]/grand[[#This Row],[total weight]]</f>
        <v>0.61214756854630104</v>
      </c>
      <c r="AC1983" s="18">
        <f>SUM(grand[[#This Row],[am]:[meat transportation]])/100</f>
        <v>0.92543478260869561</v>
      </c>
      <c r="AJ1983" s="1">
        <v>8</v>
      </c>
      <c r="AK1983" s="1"/>
      <c r="AL1983" s="1"/>
    </row>
    <row r="1984" spans="1:38" hidden="1" x14ac:dyDescent="0.2">
      <c r="A1984" s="11">
        <v>45109</v>
      </c>
      <c r="B1984" s="53" t="s">
        <v>2806</v>
      </c>
      <c r="C1984" s="52" t="str">
        <f>IF(MID(B1984,4,2)="09","Ramadan",IF(AND(MID(B1984,4,2)="12",VALUE(LEFT(B1984,2))&lt;=9),"Adha Season","Normal"))</f>
        <v>Normal</v>
      </c>
      <c r="D1984" s="1" t="s">
        <v>45</v>
      </c>
      <c r="E1984" s="1" t="s">
        <v>528</v>
      </c>
      <c r="F1984" s="4" t="s">
        <v>39</v>
      </c>
      <c r="G1984" s="1">
        <v>40</v>
      </c>
      <c r="H1984" s="1">
        <v>39</v>
      </c>
      <c r="I1984" s="1">
        <f>grand[[#This Row],[number]]-grand[[#This Row],[received]]</f>
        <v>1</v>
      </c>
      <c r="J1984" s="30" t="s">
        <v>573</v>
      </c>
      <c r="K1984" s="1">
        <v>23149</v>
      </c>
      <c r="L1984" s="1">
        <v>23149</v>
      </c>
      <c r="M1984" s="2">
        <f>K1984-L1984</f>
        <v>0</v>
      </c>
      <c r="N1984" s="1">
        <v>14118.6</v>
      </c>
      <c r="O1984" s="2">
        <v>0</v>
      </c>
      <c r="P1984" s="7">
        <f>grand[[#This Row],[total weight]]/grand[[#This Row],[received]]</f>
        <v>593.56410256410254</v>
      </c>
      <c r="Q1984" s="7">
        <f>grand[[#This Row],[receiving weight]]/grand[[#This Row],[received]]</f>
        <v>593.56410256410254</v>
      </c>
      <c r="R1984" s="7">
        <f>grand[[#This Row],[transportation loss ]]/grand[[#This Row],[received]]</f>
        <v>0</v>
      </c>
      <c r="S1984" s="7">
        <f>grand[[#This Row],[ carcass weight]]/grand[[#This Row],[received]]</f>
        <v>362.01538461538462</v>
      </c>
      <c r="T1984" s="7">
        <f>grand[[#This Row],[ kidneys fat quantity]]/grand[[#This Row],[received]]</f>
        <v>0</v>
      </c>
      <c r="U1984" s="1">
        <v>25</v>
      </c>
      <c r="V1984" s="1">
        <v>0</v>
      </c>
      <c r="W1984" s="1">
        <v>47.128205128205131</v>
      </c>
      <c r="X1984" s="1">
        <v>10</v>
      </c>
      <c r="Y1984" s="1">
        <v>8.5</v>
      </c>
      <c r="Z1984" s="18">
        <f>grand[[#This Row],[av. Transportation loss]]/grand[[#This Row],[av.total weight]]</f>
        <v>0</v>
      </c>
      <c r="AA1984" s="12">
        <f>AVERAGE((grand[[#This Row],[am]]/25),(grand[[#This Row],[pm]]/50))</f>
        <v>0.97128205128205125</v>
      </c>
      <c r="AB1984" s="3">
        <f>grand[[#This Row],[ carcass weight]]/grand[[#This Row],[total weight]]</f>
        <v>0.6099010756404164</v>
      </c>
      <c r="AC1984" s="18">
        <f>SUM(grand[[#This Row],[am]:[meat transportation]])/100</f>
        <v>0.90628205128205142</v>
      </c>
      <c r="AJ1984" s="1">
        <v>12</v>
      </c>
      <c r="AK1984" s="1"/>
      <c r="AL1984" s="1"/>
    </row>
    <row r="1985" spans="1:38" hidden="1" x14ac:dyDescent="0.2">
      <c r="A1985" s="11">
        <v>45116</v>
      </c>
      <c r="B1985" s="53" t="s">
        <v>2809</v>
      </c>
      <c r="C1985" s="52" t="str">
        <f>IF(MID(B1985,4,2)="09","Ramadan",IF(AND(MID(B1985,4,2)="12",VALUE(LEFT(B1985,2))&lt;=9),"Adha Season","Normal"))</f>
        <v>Normal</v>
      </c>
      <c r="D1985" s="1" t="s">
        <v>45</v>
      </c>
      <c r="E1985" s="1" t="s">
        <v>528</v>
      </c>
      <c r="F1985" s="4" t="s">
        <v>39</v>
      </c>
      <c r="G1985" s="1">
        <v>42</v>
      </c>
      <c r="H1985" s="1">
        <v>41</v>
      </c>
      <c r="I1985" s="1">
        <f>grand[[#This Row],[number]]-grand[[#This Row],[received]]</f>
        <v>1</v>
      </c>
      <c r="J1985" s="30" t="s">
        <v>302</v>
      </c>
      <c r="K1985" s="2">
        <v>22751</v>
      </c>
      <c r="L1985" s="2">
        <v>21564</v>
      </c>
      <c r="M1985" s="2">
        <f>K1985-L1985</f>
        <v>1187</v>
      </c>
      <c r="N1985" s="2">
        <v>14750.6</v>
      </c>
      <c r="O1985" s="2">
        <v>232</v>
      </c>
      <c r="P1985" s="7">
        <f>grand[[#This Row],[total weight]]/grand[[#This Row],[received]]</f>
        <v>554.90243902439022</v>
      </c>
      <c r="Q1985" s="7">
        <f>grand[[#This Row],[receiving weight]]/grand[[#This Row],[received]]</f>
        <v>525.95121951219517</v>
      </c>
      <c r="R1985" s="7">
        <f>grand[[#This Row],[transportation loss ]]/grand[[#This Row],[received]]</f>
        <v>28.951219512195124</v>
      </c>
      <c r="S1985" s="7">
        <f>grand[[#This Row],[ carcass weight]]/grand[[#This Row],[received]]</f>
        <v>359.77073170731705</v>
      </c>
      <c r="T1985" s="7">
        <f>grand[[#This Row],[ kidneys fat quantity]]/grand[[#This Row],[received]]</f>
        <v>5.6585365853658534</v>
      </c>
      <c r="U1985" s="1">
        <v>25</v>
      </c>
      <c r="V1985" s="1">
        <v>0</v>
      </c>
      <c r="W1985" s="1">
        <v>47.243902439024389</v>
      </c>
      <c r="X1985" s="1">
        <v>10</v>
      </c>
      <c r="Y1985" s="1">
        <v>8.5</v>
      </c>
      <c r="Z1985" s="18">
        <f>grand[[#This Row],[av. Transportation loss]]/grand[[#This Row],[av.total weight]]</f>
        <v>5.217353083380951E-2</v>
      </c>
      <c r="AA1985" s="12">
        <f>AVERAGE((grand[[#This Row],[am]]/25),(grand[[#This Row],[pm]]/50))</f>
        <v>0.97243902439024388</v>
      </c>
      <c r="AB1985" s="3">
        <f>grand[[#This Row],[ carcass weight]]/grand[[#This Row],[total weight]]</f>
        <v>0.64834952309788585</v>
      </c>
      <c r="AC1985" s="18">
        <f>SUM(grand[[#This Row],[am]:[meat transportation]])/100</f>
        <v>0.90743902439024393</v>
      </c>
      <c r="AJ1985" s="1">
        <v>0</v>
      </c>
      <c r="AK1985" s="1"/>
      <c r="AL1985" s="1"/>
    </row>
    <row r="1986" spans="1:38" hidden="1" x14ac:dyDescent="0.2">
      <c r="A1986" s="11">
        <v>45125</v>
      </c>
      <c r="B1986" s="53" t="s">
        <v>1860</v>
      </c>
      <c r="C1986" s="52" t="str">
        <f>IF(MID(B1986,4,2)="09","Ramadan",IF(AND(MID(B1986,4,2)="12",VALUE(LEFT(B1986,2))&lt;=9),"Adha Season","Normal"))</f>
        <v>Normal</v>
      </c>
      <c r="D1986" s="1" t="s">
        <v>45</v>
      </c>
      <c r="E1986" s="1" t="s">
        <v>483</v>
      </c>
      <c r="F1986" s="4" t="s">
        <v>280</v>
      </c>
      <c r="G1986" s="1">
        <v>57</v>
      </c>
      <c r="H1986" s="1">
        <v>56</v>
      </c>
      <c r="I1986" s="1">
        <f>grand[[#This Row],[number]]-grand[[#This Row],[received]]</f>
        <v>1</v>
      </c>
      <c r="J1986" s="30" t="s">
        <v>575</v>
      </c>
      <c r="K1986" s="2">
        <v>25960</v>
      </c>
      <c r="L1986" s="2">
        <v>25960</v>
      </c>
      <c r="M1986" s="2">
        <f>K1986-L1986</f>
        <v>0</v>
      </c>
      <c r="N1986" s="2">
        <v>15574.97</v>
      </c>
      <c r="O1986" s="2">
        <v>476</v>
      </c>
      <c r="P1986" s="7">
        <f>grand[[#This Row],[total weight]]/grand[[#This Row],[received]]</f>
        <v>463.57142857142856</v>
      </c>
      <c r="Q1986" s="7">
        <f>grand[[#This Row],[receiving weight]]/grand[[#This Row],[received]]</f>
        <v>463.57142857142856</v>
      </c>
      <c r="R1986" s="7">
        <f>grand[[#This Row],[transportation loss ]]/grand[[#This Row],[received]]</f>
        <v>0</v>
      </c>
      <c r="S1986" s="7">
        <f>grand[[#This Row],[ carcass weight]]/grand[[#This Row],[received]]</f>
        <v>278.12446428571428</v>
      </c>
      <c r="T1986" s="7">
        <f>grand[[#This Row],[ kidneys fat quantity]]/grand[[#This Row],[received]]</f>
        <v>8.5</v>
      </c>
      <c r="U1986" s="1">
        <v>24.553571428571431</v>
      </c>
      <c r="V1986" s="1">
        <v>0</v>
      </c>
      <c r="W1986" s="1">
        <v>49.964285714285715</v>
      </c>
      <c r="X1986" s="1">
        <v>10</v>
      </c>
      <c r="Y1986" s="1">
        <v>8.5</v>
      </c>
      <c r="Z1986" s="18">
        <f>grand[[#This Row],[av. Transportation loss]]/grand[[#This Row],[av.total weight]]</f>
        <v>0</v>
      </c>
      <c r="AA1986" s="12">
        <f>AVERAGE((grand[[#This Row],[am]]/25),(grand[[#This Row],[pm]]/50))</f>
        <v>0.99071428571428577</v>
      </c>
      <c r="AB1986" s="3">
        <f>grand[[#This Row],[ carcass weight]]/grand[[#This Row],[total weight]]</f>
        <v>0.59996032357473028</v>
      </c>
      <c r="AC1986" s="18">
        <f>SUM(grand[[#This Row],[am]:[meat transportation]])/100</f>
        <v>0.93017857142857141</v>
      </c>
      <c r="AJ1986" s="1">
        <v>23</v>
      </c>
      <c r="AK1986" s="1"/>
      <c r="AL1986" s="1"/>
    </row>
    <row r="1987" spans="1:38" hidden="1" x14ac:dyDescent="0.2">
      <c r="A1987" s="11">
        <v>45127</v>
      </c>
      <c r="B1987" s="53" t="s">
        <v>2813</v>
      </c>
      <c r="C1987" s="52" t="str">
        <f>IF(MID(B1987,4,2)="09","Ramadan",IF(AND(MID(B1987,4,2)="12",VALUE(LEFT(B1987,2))&lt;=9),"Adha Season","Normal"))</f>
        <v>Normal</v>
      </c>
      <c r="D1987" s="1" t="s">
        <v>45</v>
      </c>
      <c r="E1987" s="1" t="s">
        <v>483</v>
      </c>
      <c r="F1987" s="4" t="s">
        <v>576</v>
      </c>
      <c r="G1987" s="1">
        <v>16</v>
      </c>
      <c r="H1987" s="1">
        <v>15</v>
      </c>
      <c r="I1987" s="1">
        <f>grand[[#This Row],[number]]-grand[[#This Row],[received]]</f>
        <v>1</v>
      </c>
      <c r="J1987" s="30" t="s">
        <v>575</v>
      </c>
      <c r="K1987" s="2">
        <v>7119</v>
      </c>
      <c r="L1987" s="2">
        <v>7119</v>
      </c>
      <c r="M1987" s="2">
        <f>K1987-L1987</f>
        <v>0</v>
      </c>
      <c r="N1987" s="2">
        <v>4353.2</v>
      </c>
      <c r="O1987" s="2">
        <v>112</v>
      </c>
      <c r="P1987" s="7">
        <f>grand[[#This Row],[total weight]]/grand[[#This Row],[received]]</f>
        <v>474.6</v>
      </c>
      <c r="Q1987" s="7">
        <f>grand[[#This Row],[receiving weight]]/grand[[#This Row],[received]]</f>
        <v>474.6</v>
      </c>
      <c r="R1987" s="7">
        <f>grand[[#This Row],[transportation loss ]]/grand[[#This Row],[received]]</f>
        <v>0</v>
      </c>
      <c r="S1987" s="7">
        <f>grand[[#This Row],[ carcass weight]]/grand[[#This Row],[received]]</f>
        <v>290.21333333333331</v>
      </c>
      <c r="T1987" s="7">
        <f>grand[[#This Row],[ kidneys fat quantity]]/grand[[#This Row],[received]]</f>
        <v>7.4666666666666668</v>
      </c>
      <c r="U1987" s="1">
        <v>25</v>
      </c>
      <c r="V1987" s="1">
        <v>0</v>
      </c>
      <c r="W1987" s="1">
        <v>46</v>
      </c>
      <c r="X1987" s="1">
        <v>10</v>
      </c>
      <c r="Y1987" s="1">
        <v>8.5</v>
      </c>
      <c r="Z1987" s="18">
        <f>grand[[#This Row],[av. Transportation loss]]/grand[[#This Row],[av.total weight]]</f>
        <v>0</v>
      </c>
      <c r="AA1987" s="12">
        <f>AVERAGE((grand[[#This Row],[am]]/25),(grand[[#This Row],[pm]]/50))</f>
        <v>0.96</v>
      </c>
      <c r="AB1987" s="3">
        <f>grand[[#This Row],[ carcass weight]]/grand[[#This Row],[total weight]]</f>
        <v>0.61149037786205929</v>
      </c>
      <c r="AC1987" s="18">
        <f>SUM(grand[[#This Row],[am]:[meat transportation]])/100</f>
        <v>0.89500000000000002</v>
      </c>
      <c r="AJ1987" s="1">
        <v>10</v>
      </c>
      <c r="AK1987" s="1"/>
      <c r="AL1987" s="1"/>
    </row>
    <row r="1988" spans="1:38" hidden="1" x14ac:dyDescent="0.2">
      <c r="A1988" s="11">
        <v>45132</v>
      </c>
      <c r="B1988" s="53" t="s">
        <v>2815</v>
      </c>
      <c r="C1988" s="52" t="str">
        <f>IF(MID(B1988,4,2)="09","Ramadan",IF(AND(MID(B1988,4,2)="12",VALUE(LEFT(B1988,2))&lt;=9),"Adha Season","Normal"))</f>
        <v>Normal</v>
      </c>
      <c r="D1988" s="1" t="s">
        <v>45</v>
      </c>
      <c r="E1988" s="1" t="s">
        <v>483</v>
      </c>
      <c r="F1988" s="4" t="s">
        <v>280</v>
      </c>
      <c r="G1988" s="1">
        <v>40</v>
      </c>
      <c r="H1988" s="1">
        <v>39</v>
      </c>
      <c r="I1988" s="1">
        <f>grand[[#This Row],[number]]-grand[[#This Row],[received]]</f>
        <v>1</v>
      </c>
      <c r="J1988" s="30" t="s">
        <v>579</v>
      </c>
      <c r="K1988" s="2">
        <v>18564</v>
      </c>
      <c r="L1988" s="2">
        <v>18564</v>
      </c>
      <c r="M1988" s="2">
        <f>K1988-L1988</f>
        <v>0</v>
      </c>
      <c r="N1988" s="2">
        <v>11138</v>
      </c>
      <c r="O1988" s="2">
        <v>374</v>
      </c>
      <c r="P1988" s="7">
        <f>grand[[#This Row],[total weight]]/grand[[#This Row],[received]]</f>
        <v>476</v>
      </c>
      <c r="Q1988" s="7">
        <f>grand[[#This Row],[receiving weight]]/grand[[#This Row],[received]]</f>
        <v>476</v>
      </c>
      <c r="R1988" s="7">
        <f>grand[[#This Row],[transportation loss ]]/grand[[#This Row],[received]]</f>
        <v>0</v>
      </c>
      <c r="S1988" s="7">
        <f>grand[[#This Row],[ carcass weight]]/grand[[#This Row],[received]]</f>
        <v>285.58974358974359</v>
      </c>
      <c r="T1988" s="7">
        <f>grand[[#This Row],[ kidneys fat quantity]]/grand[[#This Row],[received]]</f>
        <v>9.5897435897435894</v>
      </c>
      <c r="U1988" s="1">
        <v>24.23076923076923</v>
      </c>
      <c r="V1988" s="1">
        <v>0</v>
      </c>
      <c r="W1988" s="1">
        <v>46.358974358974358</v>
      </c>
      <c r="X1988" s="1">
        <v>10</v>
      </c>
      <c r="Y1988" s="1">
        <v>8.5</v>
      </c>
      <c r="Z1988" s="18">
        <f>grand[[#This Row],[av. Transportation loss]]/grand[[#This Row],[av.total weight]]</f>
        <v>0</v>
      </c>
      <c r="AA1988" s="12">
        <f>AVERAGE((grand[[#This Row],[am]]/25),(grand[[#This Row],[pm]]/50))</f>
        <v>0.94820512820512826</v>
      </c>
      <c r="AB1988" s="3">
        <f>grand[[#This Row],[ carcass weight]]/grand[[#This Row],[total weight]]</f>
        <v>0.59997845291962937</v>
      </c>
      <c r="AC1988" s="18">
        <f>SUM(grand[[#This Row],[am]:[meat transportation]])/100</f>
        <v>0.89089743589743586</v>
      </c>
      <c r="AJ1988" s="1">
        <v>26</v>
      </c>
      <c r="AK1988" s="1"/>
      <c r="AL1988" s="1"/>
    </row>
    <row r="1989" spans="1:38" hidden="1" x14ac:dyDescent="0.2">
      <c r="A1989" s="11">
        <v>45145</v>
      </c>
      <c r="B1989" s="53" t="s">
        <v>1867</v>
      </c>
      <c r="C1989" s="52" t="str">
        <f>IF(MID(B1989,4,2)="09","Ramadan",IF(AND(MID(B1989,4,2)="12",VALUE(LEFT(B1989,2))&lt;=9),"Adha Season","Normal"))</f>
        <v>Normal</v>
      </c>
      <c r="D1989" s="1" t="s">
        <v>45</v>
      </c>
      <c r="E1989" s="1" t="s">
        <v>483</v>
      </c>
      <c r="F1989" s="4" t="s">
        <v>39</v>
      </c>
      <c r="G1989" s="1">
        <v>27</v>
      </c>
      <c r="H1989" s="1">
        <v>26</v>
      </c>
      <c r="I1989" s="1">
        <f>grand[[#This Row],[number]]-grand[[#This Row],[received]]</f>
        <v>1</v>
      </c>
      <c r="J1989" s="30" t="s">
        <v>581</v>
      </c>
      <c r="K1989" s="2">
        <v>10831</v>
      </c>
      <c r="L1989" s="2">
        <v>10831</v>
      </c>
      <c r="M1989" s="2">
        <f>K1989-L1989</f>
        <v>0</v>
      </c>
      <c r="N1989" s="2">
        <v>6667</v>
      </c>
      <c r="O1989" s="2">
        <v>210</v>
      </c>
      <c r="P1989" s="7">
        <f>grand[[#This Row],[total weight]]/grand[[#This Row],[received]]</f>
        <v>416.57692307692309</v>
      </c>
      <c r="Q1989" s="7">
        <f>grand[[#This Row],[receiving weight]]/grand[[#This Row],[received]]</f>
        <v>416.57692307692309</v>
      </c>
      <c r="R1989" s="7">
        <f>grand[[#This Row],[transportation loss ]]/grand[[#This Row],[received]]</f>
        <v>0</v>
      </c>
      <c r="S1989" s="7">
        <f>grand[[#This Row],[ carcass weight]]/grand[[#This Row],[received]]</f>
        <v>256.42307692307691</v>
      </c>
      <c r="T1989" s="7">
        <f>grand[[#This Row],[ kidneys fat quantity]]/grand[[#This Row],[received]]</f>
        <v>8.0769230769230766</v>
      </c>
      <c r="U1989" s="1">
        <v>25</v>
      </c>
      <c r="V1989" s="1">
        <v>0</v>
      </c>
      <c r="W1989" s="1">
        <v>49.807692307692307</v>
      </c>
      <c r="X1989" s="1">
        <v>10</v>
      </c>
      <c r="Y1989" s="1">
        <v>8.5</v>
      </c>
      <c r="Z1989" s="18">
        <f>grand[[#This Row],[av. Transportation loss]]/grand[[#This Row],[av.total weight]]</f>
        <v>0</v>
      </c>
      <c r="AA1989" s="12">
        <f>AVERAGE((grand[[#This Row],[am]]/25),(grand[[#This Row],[pm]]/50))</f>
        <v>0.99807692307692308</v>
      </c>
      <c r="AB1989" s="3">
        <f>grand[[#This Row],[ carcass weight]]/grand[[#This Row],[total weight]]</f>
        <v>0.61554796417689961</v>
      </c>
      <c r="AC1989" s="18">
        <f>SUM(grand[[#This Row],[am]:[meat transportation]])/100</f>
        <v>0.93307692307692303</v>
      </c>
      <c r="AJ1989" s="1">
        <v>0</v>
      </c>
      <c r="AK1989" s="1"/>
      <c r="AL1989" s="1"/>
    </row>
    <row r="1990" spans="1:38" hidden="1" x14ac:dyDescent="0.2">
      <c r="A1990" s="11">
        <v>45146</v>
      </c>
      <c r="B1990" s="53" t="s">
        <v>1868</v>
      </c>
      <c r="C1990" s="52" t="str">
        <f>IF(MID(B1990,4,2)="09","Ramadan",IF(AND(MID(B1990,4,2)="12",VALUE(LEFT(B1990,2))&lt;=9),"Adha Season","Normal"))</f>
        <v>Normal</v>
      </c>
      <c r="D1990" s="1" t="s">
        <v>45</v>
      </c>
      <c r="E1990" s="1" t="s">
        <v>483</v>
      </c>
      <c r="F1990" s="4" t="s">
        <v>280</v>
      </c>
      <c r="G1990" s="1">
        <v>45</v>
      </c>
      <c r="H1990" s="1">
        <v>44</v>
      </c>
      <c r="I1990" s="1">
        <f>grand[[#This Row],[number]]-grand[[#This Row],[received]]</f>
        <v>1</v>
      </c>
      <c r="J1990" s="30" t="s">
        <v>382</v>
      </c>
      <c r="K1990" s="2">
        <v>19985</v>
      </c>
      <c r="L1990" s="2">
        <v>19985</v>
      </c>
      <c r="M1990" s="2">
        <f>K1990-L1990</f>
        <v>0</v>
      </c>
      <c r="N1990" s="2">
        <v>11990.2</v>
      </c>
      <c r="O1990" s="2">
        <v>434</v>
      </c>
      <c r="P1990" s="7">
        <f>grand[[#This Row],[total weight]]/grand[[#This Row],[received]]</f>
        <v>454.20454545454544</v>
      </c>
      <c r="Q1990" s="7">
        <f>grand[[#This Row],[receiving weight]]/grand[[#This Row],[received]]</f>
        <v>454.20454545454544</v>
      </c>
      <c r="R1990" s="7">
        <f>grand[[#This Row],[transportation loss ]]/grand[[#This Row],[received]]</f>
        <v>0</v>
      </c>
      <c r="S1990" s="7">
        <f>grand[[#This Row],[ carcass weight]]/grand[[#This Row],[received]]</f>
        <v>272.50454545454545</v>
      </c>
      <c r="T1990" s="7">
        <f>grand[[#This Row],[ kidneys fat quantity]]/grand[[#This Row],[received]]</f>
        <v>9.8636363636363633</v>
      </c>
      <c r="U1990" s="1">
        <v>25</v>
      </c>
      <c r="V1990" s="1">
        <v>0</v>
      </c>
      <c r="W1990" s="1">
        <v>48.204545454545453</v>
      </c>
      <c r="X1990" s="1">
        <v>10</v>
      </c>
      <c r="Y1990" s="1">
        <v>8.5</v>
      </c>
      <c r="Z1990" s="18">
        <f>grand[[#This Row],[av. Transportation loss]]/grand[[#This Row],[av.total weight]]</f>
        <v>0</v>
      </c>
      <c r="AA1990" s="12">
        <f>AVERAGE((grand[[#This Row],[am]]/25),(grand[[#This Row],[pm]]/50))</f>
        <v>0.98204545454545455</v>
      </c>
      <c r="AB1990" s="3">
        <f>grand[[#This Row],[ carcass weight]]/grand[[#This Row],[total weight]]</f>
        <v>0.59995996997748313</v>
      </c>
      <c r="AC1990" s="18">
        <f>SUM(grand[[#This Row],[am]:[meat transportation]])/100</f>
        <v>0.9170454545454545</v>
      </c>
      <c r="AJ1990" s="1">
        <v>9</v>
      </c>
      <c r="AK1990" s="1"/>
      <c r="AL1990" s="1"/>
    </row>
    <row r="1991" spans="1:38" hidden="1" x14ac:dyDescent="0.2">
      <c r="A1991" s="11">
        <v>45151</v>
      </c>
      <c r="B1991" s="53" t="s">
        <v>1871</v>
      </c>
      <c r="C1991" s="52" t="str">
        <f>IF(MID(B1991,4,2)="09","Ramadan",IF(AND(MID(B1991,4,2)="12",VALUE(LEFT(B1991,2))&lt;=9),"Adha Season","Normal"))</f>
        <v>Normal</v>
      </c>
      <c r="D1991" s="1" t="s">
        <v>45</v>
      </c>
      <c r="E1991" s="1" t="s">
        <v>483</v>
      </c>
      <c r="F1991" s="4" t="s">
        <v>39</v>
      </c>
      <c r="G1991" s="1">
        <v>48</v>
      </c>
      <c r="H1991" s="1">
        <v>47</v>
      </c>
      <c r="I1991" s="1">
        <f>grand[[#This Row],[number]]-grand[[#This Row],[received]]</f>
        <v>1</v>
      </c>
      <c r="J1991" s="30" t="s">
        <v>382</v>
      </c>
      <c r="K1991" s="2">
        <v>20972</v>
      </c>
      <c r="L1991" s="2">
        <v>20972</v>
      </c>
      <c r="M1991" s="2">
        <f>K1991-L1991</f>
        <v>0</v>
      </c>
      <c r="N1991" s="2">
        <v>12889.3</v>
      </c>
      <c r="O1991" s="2">
        <v>397</v>
      </c>
      <c r="P1991" s="7">
        <f>grand[[#This Row],[total weight]]/grand[[#This Row],[received]]</f>
        <v>446.21276595744683</v>
      </c>
      <c r="Q1991" s="7">
        <f>grand[[#This Row],[receiving weight]]/grand[[#This Row],[received]]</f>
        <v>446.21276595744683</v>
      </c>
      <c r="R1991" s="7">
        <f>grand[[#This Row],[transportation loss ]]/grand[[#This Row],[received]]</f>
        <v>0</v>
      </c>
      <c r="S1991" s="7">
        <f>grand[[#This Row],[ carcass weight]]/grand[[#This Row],[received]]</f>
        <v>274.24042553191487</v>
      </c>
      <c r="T1991" s="7">
        <f>grand[[#This Row],[ kidneys fat quantity]]/grand[[#This Row],[received]]</f>
        <v>8.4468085106382986</v>
      </c>
      <c r="U1991" s="1">
        <v>24.893617021276597</v>
      </c>
      <c r="V1991" s="1">
        <v>0</v>
      </c>
      <c r="W1991" s="1">
        <v>49.680851063829792</v>
      </c>
      <c r="X1991" s="1">
        <v>10</v>
      </c>
      <c r="Y1991" s="1">
        <v>8.5</v>
      </c>
      <c r="Z1991" s="18">
        <f>grand[[#This Row],[av. Transportation loss]]/grand[[#This Row],[av.total weight]]</f>
        <v>0</v>
      </c>
      <c r="AA1991" s="12">
        <f>AVERAGE((grand[[#This Row],[am]]/25),(grand[[#This Row],[pm]]/50))</f>
        <v>0.99468085106382986</v>
      </c>
      <c r="AB1991" s="3">
        <f>grand[[#This Row],[ carcass weight]]/grand[[#This Row],[total weight]]</f>
        <v>0.61459565134465</v>
      </c>
      <c r="AC1991" s="18">
        <f>SUM(grand[[#This Row],[am]:[meat transportation]])/100</f>
        <v>0.93074468085106388</v>
      </c>
      <c r="AJ1991" s="1">
        <v>12</v>
      </c>
      <c r="AK1991" s="1"/>
      <c r="AL1991" s="1"/>
    </row>
    <row r="1992" spans="1:38" hidden="1" x14ac:dyDescent="0.2">
      <c r="A1992" s="11">
        <v>45154</v>
      </c>
      <c r="B1992" s="53" t="s">
        <v>1872</v>
      </c>
      <c r="C1992" s="52" t="str">
        <f>IF(MID(B1992,4,2)="09","Ramadan",IF(AND(MID(B1992,4,2)="12",VALUE(LEFT(B1992,2))&lt;=9),"Adha Season","Normal"))</f>
        <v>Normal</v>
      </c>
      <c r="D1992" s="1" t="s">
        <v>45</v>
      </c>
      <c r="E1992" s="1" t="s">
        <v>528</v>
      </c>
      <c r="F1992" s="4" t="s">
        <v>462</v>
      </c>
      <c r="G1992" s="1">
        <v>51</v>
      </c>
      <c r="H1992" s="1">
        <v>50</v>
      </c>
      <c r="I1992" s="1">
        <f>grand[[#This Row],[number]]-grand[[#This Row],[received]]</f>
        <v>1</v>
      </c>
      <c r="J1992" s="30" t="s">
        <v>583</v>
      </c>
      <c r="K1992" s="2">
        <v>22413.162118780096</v>
      </c>
      <c r="L1992" s="2">
        <v>22413.162118780096</v>
      </c>
      <c r="M1992" s="2">
        <f>K1992-L1992</f>
        <v>0</v>
      </c>
      <c r="N1992" s="2">
        <v>13963.4</v>
      </c>
      <c r="O1992" s="2">
        <v>0</v>
      </c>
      <c r="P1992" s="7">
        <f>grand[[#This Row],[total weight]]/grand[[#This Row],[received]]</f>
        <v>448.26324237560192</v>
      </c>
      <c r="Q1992" s="7">
        <f>grand[[#This Row],[receiving weight]]/grand[[#This Row],[received]]</f>
        <v>448.26324237560192</v>
      </c>
      <c r="R1992" s="7">
        <f>grand[[#This Row],[transportation loss ]]/grand[[#This Row],[received]]</f>
        <v>0</v>
      </c>
      <c r="S1992" s="7">
        <f>grand[[#This Row],[ carcass weight]]/grand[[#This Row],[received]]</f>
        <v>279.26799999999997</v>
      </c>
      <c r="T1992" s="7">
        <f>grand[[#This Row],[ kidneys fat quantity]]/grand[[#This Row],[received]]</f>
        <v>0</v>
      </c>
      <c r="U1992" s="1">
        <v>25</v>
      </c>
      <c r="V1992" s="1">
        <v>0</v>
      </c>
      <c r="W1992" s="1">
        <v>49.58</v>
      </c>
      <c r="X1992" s="1">
        <v>10</v>
      </c>
      <c r="Y1992" s="1">
        <v>8.5</v>
      </c>
      <c r="Z1992" s="18">
        <f>grand[[#This Row],[av. Transportation loss]]/grand[[#This Row],[av.total weight]]</f>
        <v>0</v>
      </c>
      <c r="AA1992" s="12">
        <f>AVERAGE((grand[[#This Row],[am]]/25),(grand[[#This Row],[pm]]/50))</f>
        <v>0.99580000000000002</v>
      </c>
      <c r="AB1992" s="3">
        <f>grand[[#This Row],[ carcass weight]]/grand[[#This Row],[total weight]]</f>
        <v>0.623</v>
      </c>
      <c r="AC1992" s="18">
        <f>SUM(grand[[#This Row],[am]:[meat transportation]])/100</f>
        <v>0.93079999999999996</v>
      </c>
      <c r="AJ1992" s="1">
        <v>0</v>
      </c>
      <c r="AK1992" s="1"/>
      <c r="AL1992" s="1"/>
    </row>
    <row r="1993" spans="1:38" hidden="1" x14ac:dyDescent="0.2">
      <c r="A1993" s="11">
        <v>45158</v>
      </c>
      <c r="B1993" s="53" t="s">
        <v>2820</v>
      </c>
      <c r="C1993" s="52" t="str">
        <f>IF(MID(B1993,4,2)="09","Ramadan",IF(AND(MID(B1993,4,2)="12",VALUE(LEFT(B1993,2))&lt;=9),"Adha Season","Normal"))</f>
        <v>Normal</v>
      </c>
      <c r="D1993" s="1" t="s">
        <v>45</v>
      </c>
      <c r="E1993" s="1" t="s">
        <v>483</v>
      </c>
      <c r="F1993" s="4" t="s">
        <v>39</v>
      </c>
      <c r="G1993" s="1">
        <v>50</v>
      </c>
      <c r="H1993" s="1">
        <v>49</v>
      </c>
      <c r="I1993" s="1">
        <f>grand[[#This Row],[number]]-grand[[#This Row],[received]]</f>
        <v>1</v>
      </c>
      <c r="J1993" s="30" t="s">
        <v>581</v>
      </c>
      <c r="K1993" s="2">
        <v>21419</v>
      </c>
      <c r="L1993" s="2">
        <v>21419</v>
      </c>
      <c r="M1993" s="2">
        <f>K1993-L1993</f>
        <v>0</v>
      </c>
      <c r="N1993" s="2">
        <v>13082.2</v>
      </c>
      <c r="O1993" s="2">
        <v>396</v>
      </c>
      <c r="P1993" s="7">
        <f>grand[[#This Row],[total weight]]/grand[[#This Row],[received]]</f>
        <v>437.12244897959181</v>
      </c>
      <c r="Q1993" s="7">
        <f>grand[[#This Row],[receiving weight]]/grand[[#This Row],[received]]</f>
        <v>437.12244897959181</v>
      </c>
      <c r="R1993" s="7">
        <f>grand[[#This Row],[transportation loss ]]/grand[[#This Row],[received]]</f>
        <v>0</v>
      </c>
      <c r="S1993" s="7">
        <f>grand[[#This Row],[ carcass weight]]/grand[[#This Row],[received]]</f>
        <v>266.98367346938778</v>
      </c>
      <c r="T1993" s="7">
        <f>grand[[#This Row],[ kidneys fat quantity]]/grand[[#This Row],[received]]</f>
        <v>8.0816326530612237</v>
      </c>
      <c r="U1993" s="1">
        <v>25</v>
      </c>
      <c r="V1993" s="1">
        <v>0</v>
      </c>
      <c r="W1993" s="1">
        <v>49.734693877551024</v>
      </c>
      <c r="X1993" s="1">
        <v>10</v>
      </c>
      <c r="Y1993" s="1">
        <v>8.5</v>
      </c>
      <c r="Z1993" s="18">
        <f>grand[[#This Row],[av. Transportation loss]]/grand[[#This Row],[av.total weight]]</f>
        <v>0</v>
      </c>
      <c r="AA1993" s="12">
        <f>AVERAGE((grand[[#This Row],[am]]/25),(grand[[#This Row],[pm]]/50))</f>
        <v>0.99734693877551028</v>
      </c>
      <c r="AB1993" s="3">
        <f>grand[[#This Row],[ carcass weight]]/grand[[#This Row],[total weight]]</f>
        <v>0.61077547971427237</v>
      </c>
      <c r="AC1993" s="18">
        <f>SUM(grand[[#This Row],[am]:[meat transportation]])/100</f>
        <v>0.93234693877551023</v>
      </c>
      <c r="AK1993" s="1"/>
      <c r="AL1993" s="1"/>
    </row>
    <row r="1994" spans="1:38" hidden="1" x14ac:dyDescent="0.2">
      <c r="A1994" s="11">
        <v>45159</v>
      </c>
      <c r="B1994" s="53" t="s">
        <v>1874</v>
      </c>
      <c r="C1994" s="52" t="str">
        <f>IF(MID(B1994,4,2)="09","Ramadan",IF(AND(MID(B1994,4,2)="12",VALUE(LEFT(B1994,2))&lt;=9),"Adha Season","Normal"))</f>
        <v>Normal</v>
      </c>
      <c r="D1994" s="1" t="s">
        <v>45</v>
      </c>
      <c r="E1994" s="1" t="s">
        <v>528</v>
      </c>
      <c r="F1994" s="4" t="s">
        <v>462</v>
      </c>
      <c r="G1994" s="1">
        <v>50</v>
      </c>
      <c r="H1994" s="1">
        <v>49</v>
      </c>
      <c r="I1994" s="1">
        <f>grand[[#This Row],[number]]-grand[[#This Row],[received]]</f>
        <v>1</v>
      </c>
      <c r="J1994" s="30" t="s">
        <v>549</v>
      </c>
      <c r="K1994" s="2">
        <v>23939.325842696631</v>
      </c>
      <c r="L1994" s="2">
        <v>23939.325842696631</v>
      </c>
      <c r="M1994" s="2">
        <f>K1994-L1994</f>
        <v>0</v>
      </c>
      <c r="N1994" s="2">
        <v>14914.2</v>
      </c>
      <c r="O1994" s="2">
        <v>0</v>
      </c>
      <c r="P1994" s="7">
        <f>grand[[#This Row],[total weight]]/grand[[#This Row],[received]]</f>
        <v>488.5576702591149</v>
      </c>
      <c r="Q1994" s="7">
        <f>grand[[#This Row],[receiving weight]]/grand[[#This Row],[received]]</f>
        <v>488.5576702591149</v>
      </c>
      <c r="R1994" s="7">
        <f>grand[[#This Row],[transportation loss ]]/grand[[#This Row],[received]]</f>
        <v>0</v>
      </c>
      <c r="S1994" s="7">
        <f>grand[[#This Row],[ carcass weight]]/grand[[#This Row],[received]]</f>
        <v>304.37142857142857</v>
      </c>
      <c r="T1994" s="7">
        <f>grand[[#This Row],[ kidneys fat quantity]]/grand[[#This Row],[received]]</f>
        <v>0</v>
      </c>
      <c r="U1994" s="1">
        <v>25</v>
      </c>
      <c r="V1994" s="1">
        <v>5</v>
      </c>
      <c r="W1994" s="1">
        <v>49.857142857142854</v>
      </c>
      <c r="X1994" s="1">
        <v>10</v>
      </c>
      <c r="Y1994" s="1">
        <v>8.5</v>
      </c>
      <c r="Z1994" s="18">
        <f>grand[[#This Row],[av. Transportation loss]]/grand[[#This Row],[av.total weight]]</f>
        <v>0</v>
      </c>
      <c r="AA1994" s="12">
        <f>AVERAGE((grand[[#This Row],[am]]/25),(grand[[#This Row],[pm]]/50))</f>
        <v>0.99857142857142855</v>
      </c>
      <c r="AB1994" s="3">
        <f>grand[[#This Row],[ carcass weight]]/grand[[#This Row],[total weight]]</f>
        <v>0.623</v>
      </c>
      <c r="AC1994" s="18">
        <f>SUM(grand[[#This Row],[am]:[meat transportation]])/100</f>
        <v>0.98357142857142865</v>
      </c>
      <c r="AK1994" s="1"/>
      <c r="AL1994" s="1"/>
    </row>
    <row r="1995" spans="1:38" hidden="1" x14ac:dyDescent="0.2">
      <c r="A1995" s="11">
        <v>45164</v>
      </c>
      <c r="B1995" s="53" t="s">
        <v>2822</v>
      </c>
      <c r="C1995" s="52" t="str">
        <f>IF(MID(B1995,4,2)="09","Ramadan",IF(AND(MID(B1995,4,2)="12",VALUE(LEFT(B1995,2))&lt;=9),"Adha Season","Normal"))</f>
        <v>Normal</v>
      </c>
      <c r="D1995" s="1" t="s">
        <v>45</v>
      </c>
      <c r="E1995" s="1" t="s">
        <v>483</v>
      </c>
      <c r="F1995" s="4" t="s">
        <v>280</v>
      </c>
      <c r="G1995" s="1">
        <v>34</v>
      </c>
      <c r="H1995" s="1">
        <v>33</v>
      </c>
      <c r="I1995" s="1">
        <f>grand[[#This Row],[number]]-grand[[#This Row],[received]]</f>
        <v>1</v>
      </c>
      <c r="J1995" s="30" t="s">
        <v>584</v>
      </c>
      <c r="K1995" s="2">
        <v>13909</v>
      </c>
      <c r="L1995" s="2">
        <v>13909</v>
      </c>
      <c r="M1995" s="2">
        <f>K1995-L1995</f>
        <v>0</v>
      </c>
      <c r="N1995" s="2">
        <v>8344.9</v>
      </c>
      <c r="O1995" s="2">
        <v>245</v>
      </c>
      <c r="P1995" s="7">
        <f>grand[[#This Row],[total weight]]/grand[[#This Row],[received]]</f>
        <v>421.4848484848485</v>
      </c>
      <c r="Q1995" s="7">
        <f>grand[[#This Row],[receiving weight]]/grand[[#This Row],[received]]</f>
        <v>421.4848484848485</v>
      </c>
      <c r="R1995" s="7">
        <f>grand[[#This Row],[transportation loss ]]/grand[[#This Row],[received]]</f>
        <v>0</v>
      </c>
      <c r="S1995" s="7">
        <f>grand[[#This Row],[ carcass weight]]/grand[[#This Row],[received]]</f>
        <v>252.87575757575758</v>
      </c>
      <c r="T1995" s="7">
        <f>grand[[#This Row],[ kidneys fat quantity]]/grand[[#This Row],[received]]</f>
        <v>7.4242424242424239</v>
      </c>
      <c r="U1995" s="1">
        <v>25</v>
      </c>
      <c r="V1995" s="1">
        <v>0</v>
      </c>
      <c r="W1995" s="1">
        <v>49.303030303030297</v>
      </c>
      <c r="X1995" s="1">
        <v>10</v>
      </c>
      <c r="Y1995" s="1">
        <v>8.5</v>
      </c>
      <c r="Z1995" s="18">
        <f>grand[[#This Row],[av. Transportation loss]]/grand[[#This Row],[av.total weight]]</f>
        <v>0</v>
      </c>
      <c r="AA1995" s="12">
        <f>AVERAGE((grand[[#This Row],[am]]/25),(grand[[#This Row],[pm]]/50))</f>
        <v>0.99303030303030293</v>
      </c>
      <c r="AB1995" s="3">
        <f>grand[[#This Row],[ carcass weight]]/grand[[#This Row],[total weight]]</f>
        <v>0.59996405205262782</v>
      </c>
      <c r="AC1995" s="18">
        <f>SUM(grand[[#This Row],[am]:[meat transportation]])/100</f>
        <v>0.92803030303030298</v>
      </c>
      <c r="AJ1995" s="1">
        <v>3</v>
      </c>
      <c r="AK1995" s="1"/>
      <c r="AL1995" s="1"/>
    </row>
    <row r="1996" spans="1:38" hidden="1" x14ac:dyDescent="0.2">
      <c r="A1996" s="11">
        <v>45169</v>
      </c>
      <c r="B1996" s="53" t="s">
        <v>2823</v>
      </c>
      <c r="C1996" s="52" t="str">
        <f>IF(MID(B1996,4,2)="09","Ramadan",IF(AND(MID(B1996,4,2)="12",VALUE(LEFT(B1996,2))&lt;=9),"Adha Season","Normal"))</f>
        <v>Normal</v>
      </c>
      <c r="D1996" s="2" t="s">
        <v>294</v>
      </c>
      <c r="F1996" s="4" t="s">
        <v>280</v>
      </c>
      <c r="G1996" s="1">
        <v>20</v>
      </c>
      <c r="H1996" s="1">
        <v>19</v>
      </c>
      <c r="I1996" s="1">
        <f>grand[[#This Row],[number]]-grand[[#This Row],[received]]</f>
        <v>1</v>
      </c>
      <c r="J1996" s="30" t="s">
        <v>585</v>
      </c>
      <c r="K1996" s="2">
        <v>981</v>
      </c>
      <c r="L1996" s="2">
        <v>981</v>
      </c>
      <c r="M1996" s="2">
        <f>K1996-L1996</f>
        <v>0</v>
      </c>
      <c r="N1996" s="2">
        <v>532.20000000000005</v>
      </c>
      <c r="O1996" s="2">
        <v>0</v>
      </c>
      <c r="P1996" s="7">
        <f>grand[[#This Row],[total weight]]/grand[[#This Row],[received]]</f>
        <v>51.631578947368418</v>
      </c>
      <c r="Q1996" s="7">
        <f>grand[[#This Row],[receiving weight]]/grand[[#This Row],[received]]</f>
        <v>51.631578947368418</v>
      </c>
      <c r="R1996" s="7">
        <f>grand[[#This Row],[transportation loss ]]/grand[[#This Row],[received]]</f>
        <v>0</v>
      </c>
      <c r="S1996" s="7">
        <f>grand[[#This Row],[ carcass weight]]/grand[[#This Row],[received]]</f>
        <v>28.010526315789477</v>
      </c>
      <c r="T1996" s="7">
        <f>grand[[#This Row],[ kidneys fat quantity]]/grand[[#This Row],[received]]</f>
        <v>0</v>
      </c>
      <c r="U1996" s="1">
        <v>25</v>
      </c>
      <c r="V1996" s="1">
        <v>0</v>
      </c>
      <c r="W1996" s="1">
        <v>45.105263157894733</v>
      </c>
      <c r="X1996" s="1">
        <v>10</v>
      </c>
      <c r="Y1996" s="1">
        <v>8.5</v>
      </c>
      <c r="Z1996" s="18">
        <f>grand[[#This Row],[av. Transportation loss]]/grand[[#This Row],[av.total weight]]</f>
        <v>0</v>
      </c>
      <c r="AA1996" s="12">
        <f>AVERAGE((grand[[#This Row],[am]]/25),(grand[[#This Row],[pm]]/50))</f>
        <v>0.95105263157894737</v>
      </c>
      <c r="AB1996" s="3">
        <f>grand[[#This Row],[ carcass weight]]/grand[[#This Row],[total weight]]</f>
        <v>0.54250764525993889</v>
      </c>
      <c r="AC1996" s="18">
        <f>SUM(grand[[#This Row],[am]:[meat transportation]])/100</f>
        <v>0.88605263157894742</v>
      </c>
      <c r="AK1996" s="1"/>
      <c r="AL1996" s="1"/>
    </row>
    <row r="1997" spans="1:38" hidden="1" x14ac:dyDescent="0.2">
      <c r="A1997" s="11">
        <v>45176</v>
      </c>
      <c r="B1997" s="53" t="s">
        <v>1881</v>
      </c>
      <c r="C1997" s="52" t="str">
        <f>IF(MID(B1997,4,2)="09","Ramadan",IF(AND(MID(B1997,4,2)="12",VALUE(LEFT(B1997,2))&lt;=9),"Adha Season","Normal"))</f>
        <v>Normal</v>
      </c>
      <c r="D1997" s="1" t="s">
        <v>45</v>
      </c>
      <c r="E1997" s="1" t="s">
        <v>483</v>
      </c>
      <c r="F1997" s="4" t="s">
        <v>39</v>
      </c>
      <c r="G1997" s="1">
        <v>54</v>
      </c>
      <c r="H1997" s="1">
        <v>53</v>
      </c>
      <c r="I1997" s="1">
        <f>grand[[#This Row],[number]]-grand[[#This Row],[received]]</f>
        <v>1</v>
      </c>
      <c r="J1997" s="30" t="s">
        <v>567</v>
      </c>
      <c r="K1997" s="2">
        <v>22377</v>
      </c>
      <c r="L1997" s="2">
        <v>21213</v>
      </c>
      <c r="M1997" s="2">
        <f>K1997-L1997</f>
        <v>1164</v>
      </c>
      <c r="N1997" s="2">
        <v>13667.3</v>
      </c>
      <c r="O1997" s="2">
        <v>472</v>
      </c>
      <c r="P1997" s="7">
        <f>grand[[#This Row],[total weight]]/grand[[#This Row],[received]]</f>
        <v>422.20754716981133</v>
      </c>
      <c r="Q1997" s="7">
        <f>grand[[#This Row],[receiving weight]]/grand[[#This Row],[received]]</f>
        <v>400.24528301886795</v>
      </c>
      <c r="R1997" s="7">
        <f>grand[[#This Row],[transportation loss ]]/grand[[#This Row],[received]]</f>
        <v>21.962264150943398</v>
      </c>
      <c r="S1997" s="7">
        <f>grand[[#This Row],[ carcass weight]]/grand[[#This Row],[received]]</f>
        <v>257.87358490566038</v>
      </c>
      <c r="T1997" s="7">
        <f>grand[[#This Row],[ kidneys fat quantity]]/grand[[#This Row],[received]]</f>
        <v>8.9056603773584904</v>
      </c>
      <c r="U1997" s="1">
        <v>25</v>
      </c>
      <c r="V1997" s="1">
        <v>0</v>
      </c>
      <c r="W1997" s="1">
        <v>49.603773584905667</v>
      </c>
      <c r="X1997" s="1">
        <v>10</v>
      </c>
      <c r="Y1997" s="1">
        <v>8.5</v>
      </c>
      <c r="Z1997" s="18">
        <f>grand[[#This Row],[av. Transportation loss]]/grand[[#This Row],[av.total weight]]</f>
        <v>5.2017696742190644E-2</v>
      </c>
      <c r="AA1997" s="12">
        <f>AVERAGE((grand[[#This Row],[am]]/25),(grand[[#This Row],[pm]]/50))</f>
        <v>0.99603773584905664</v>
      </c>
      <c r="AB1997" s="3">
        <f>grand[[#This Row],[ carcass weight]]/grand[[#This Row],[total weight]]</f>
        <v>0.61077445591455504</v>
      </c>
      <c r="AC1997" s="18">
        <f>SUM(grand[[#This Row],[am]:[meat transportation]])/100</f>
        <v>0.93103773584905669</v>
      </c>
      <c r="AJ1997" s="1">
        <v>4</v>
      </c>
      <c r="AK1997" s="1"/>
      <c r="AL1997" s="1"/>
    </row>
    <row r="1998" spans="1:38" hidden="1" x14ac:dyDescent="0.2">
      <c r="A1998" s="11">
        <v>45197</v>
      </c>
      <c r="B1998" s="53" t="s">
        <v>1888</v>
      </c>
      <c r="C1998" s="52" t="str">
        <f>IF(MID(B1998,4,2)="09","Ramadan",IF(AND(MID(B1998,4,2)="12",VALUE(LEFT(B1998,2))&lt;=9),"Adha Season","Normal"))</f>
        <v>Normal</v>
      </c>
      <c r="D1998" s="1" t="s">
        <v>45</v>
      </c>
      <c r="E1998" s="1" t="s">
        <v>483</v>
      </c>
      <c r="F1998" s="4" t="s">
        <v>280</v>
      </c>
      <c r="G1998" s="1">
        <v>60</v>
      </c>
      <c r="H1998" s="1">
        <v>59</v>
      </c>
      <c r="I1998" s="1">
        <f>grand[[#This Row],[number]]-grand[[#This Row],[received]]</f>
        <v>1</v>
      </c>
      <c r="J1998" s="30" t="s">
        <v>588</v>
      </c>
      <c r="K1998" s="2">
        <v>28880</v>
      </c>
      <c r="L1998" s="2">
        <v>27465</v>
      </c>
      <c r="M1998" s="2">
        <f>K1998-L1998</f>
        <v>1415</v>
      </c>
      <c r="N1998" s="2">
        <v>17377.900000000001</v>
      </c>
      <c r="O1998" s="2">
        <v>524</v>
      </c>
      <c r="P1998" s="7">
        <f>grand[[#This Row],[total weight]]/grand[[#This Row],[received]]</f>
        <v>489.49152542372883</v>
      </c>
      <c r="Q1998" s="7">
        <f>grand[[#This Row],[receiving weight]]/grand[[#This Row],[received]]</f>
        <v>465.50847457627117</v>
      </c>
      <c r="R1998" s="7">
        <f>grand[[#This Row],[transportation loss ]]/grand[[#This Row],[received]]</f>
        <v>23.983050847457626</v>
      </c>
      <c r="S1998" s="7">
        <f>grand[[#This Row],[ carcass weight]]/grand[[#This Row],[received]]</f>
        <v>294.54067796610173</v>
      </c>
      <c r="T1998" s="7">
        <f>grand[[#This Row],[ kidneys fat quantity]]/grand[[#This Row],[received]]</f>
        <v>8.8813559322033893</v>
      </c>
      <c r="U1998" s="1">
        <v>24.915254237288135</v>
      </c>
      <c r="V1998" s="1">
        <v>0</v>
      </c>
      <c r="W1998" s="1">
        <v>49.432203389830505</v>
      </c>
      <c r="X1998" s="1">
        <v>10</v>
      </c>
      <c r="Y1998" s="1">
        <v>8.5</v>
      </c>
      <c r="Z1998" s="18">
        <f>grand[[#This Row],[av. Transportation loss]]/grand[[#This Row],[av.total weight]]</f>
        <v>4.8995844875346257E-2</v>
      </c>
      <c r="AA1998" s="12">
        <f>AVERAGE((grand[[#This Row],[am]]/25),(grand[[#This Row],[pm]]/50))</f>
        <v>0.99262711864406772</v>
      </c>
      <c r="AB1998" s="3">
        <f>grand[[#This Row],[ carcass weight]]/grand[[#This Row],[total weight]]</f>
        <v>0.60172783933518015</v>
      </c>
      <c r="AC1998" s="18">
        <f>SUM(grand[[#This Row],[am]:[meat transportation]])/100</f>
        <v>0.92847457627118646</v>
      </c>
      <c r="AJ1998" s="1">
        <v>24</v>
      </c>
      <c r="AK1998" s="1"/>
      <c r="AL1998" s="1"/>
    </row>
    <row r="1999" spans="1:38" hidden="1" x14ac:dyDescent="0.2">
      <c r="A1999" s="11">
        <v>45199</v>
      </c>
      <c r="B1999" s="53" t="s">
        <v>2831</v>
      </c>
      <c r="C1999" s="52" t="str">
        <f>IF(MID(B1999,4,2)="09","Ramadan",IF(AND(MID(B1999,4,2)="12",VALUE(LEFT(B1999,2))&lt;=9),"Adha Season","Normal"))</f>
        <v>Normal</v>
      </c>
      <c r="D1999" s="1" t="s">
        <v>45</v>
      </c>
      <c r="E1999" s="1" t="s">
        <v>483</v>
      </c>
      <c r="F1999" s="4" t="s">
        <v>280</v>
      </c>
      <c r="G1999" s="1">
        <v>36</v>
      </c>
      <c r="H1999" s="1">
        <v>35</v>
      </c>
      <c r="I1999" s="1">
        <f>grand[[#This Row],[number]]-grand[[#This Row],[received]]</f>
        <v>1</v>
      </c>
      <c r="J1999" s="30" t="s">
        <v>589</v>
      </c>
      <c r="K1999" s="2">
        <v>15213</v>
      </c>
      <c r="L1999" s="2">
        <v>14618</v>
      </c>
      <c r="M1999" s="2">
        <f>K1999-L1999</f>
        <v>595</v>
      </c>
      <c r="N1999" s="2">
        <v>9173.4</v>
      </c>
      <c r="O1999" s="2">
        <v>281</v>
      </c>
      <c r="P1999" s="7">
        <f>grand[[#This Row],[total weight]]/grand[[#This Row],[received]]</f>
        <v>434.65714285714284</v>
      </c>
      <c r="Q1999" s="7">
        <f>grand[[#This Row],[receiving weight]]/grand[[#This Row],[received]]</f>
        <v>417.65714285714284</v>
      </c>
      <c r="R1999" s="7">
        <f>grand[[#This Row],[transportation loss ]]/grand[[#This Row],[received]]</f>
        <v>17</v>
      </c>
      <c r="S1999" s="7">
        <f>grand[[#This Row],[ carcass weight]]/grand[[#This Row],[received]]</f>
        <v>262.09714285714284</v>
      </c>
      <c r="T1999" s="7">
        <f>grand[[#This Row],[ kidneys fat quantity]]/grand[[#This Row],[received]]</f>
        <v>8.0285714285714285</v>
      </c>
      <c r="U1999" s="1">
        <v>24.857142857142858</v>
      </c>
      <c r="V1999" s="1">
        <v>0</v>
      </c>
      <c r="W1999" s="1">
        <v>48.714285714285715</v>
      </c>
      <c r="X1999" s="1">
        <v>10</v>
      </c>
      <c r="Y1999" s="1">
        <v>8.5</v>
      </c>
      <c r="Z1999" s="18">
        <f>grand[[#This Row],[av. Transportation loss]]/grand[[#This Row],[av.total weight]]</f>
        <v>3.9111286399789655E-2</v>
      </c>
      <c r="AA1999" s="12">
        <f>AVERAGE((grand[[#This Row],[am]]/25),(grand[[#This Row],[pm]]/50))</f>
        <v>0.98428571428571432</v>
      </c>
      <c r="AB1999" s="3">
        <f>grand[[#This Row],[ carcass weight]]/grand[[#This Row],[total weight]]</f>
        <v>0.60299743640307635</v>
      </c>
      <c r="AC1999" s="18">
        <f>SUM(grand[[#This Row],[am]:[meat transportation]])/100</f>
        <v>0.92071428571428571</v>
      </c>
      <c r="AJ1999" s="1">
        <v>7</v>
      </c>
      <c r="AK1999" s="1"/>
      <c r="AL1999" s="1"/>
    </row>
    <row r="2000" spans="1:38" hidden="1" x14ac:dyDescent="0.2">
      <c r="A2000" s="11">
        <v>45207</v>
      </c>
      <c r="B2000" s="53" t="s">
        <v>1892</v>
      </c>
      <c r="C2000" s="52" t="str">
        <f>IF(MID(B2000,4,2)="09","Ramadan",IF(AND(MID(B2000,4,2)="12",VALUE(LEFT(B2000,2))&lt;=9),"Adha Season","Normal"))</f>
        <v>Normal</v>
      </c>
      <c r="D2000" s="1" t="s">
        <v>45</v>
      </c>
      <c r="E2000" s="1" t="s">
        <v>483</v>
      </c>
      <c r="F2000" s="4" t="s">
        <v>280</v>
      </c>
      <c r="G2000" s="1">
        <v>62</v>
      </c>
      <c r="H2000" s="1">
        <v>61</v>
      </c>
      <c r="I2000" s="1">
        <f>grand[[#This Row],[number]]-grand[[#This Row],[received]]</f>
        <v>1</v>
      </c>
      <c r="J2000" s="30" t="s">
        <v>382</v>
      </c>
      <c r="K2000" s="2">
        <v>26808</v>
      </c>
      <c r="L2000" s="2">
        <v>25520</v>
      </c>
      <c r="M2000" s="2">
        <f>K2000-L2000</f>
        <v>1288</v>
      </c>
      <c r="N2000" s="2">
        <v>16083.7</v>
      </c>
      <c r="O2000" s="2">
        <v>506</v>
      </c>
      <c r="P2000" s="7">
        <f>grand[[#This Row],[total weight]]/grand[[#This Row],[received]]</f>
        <v>439.47540983606558</v>
      </c>
      <c r="Q2000" s="7">
        <f>grand[[#This Row],[receiving weight]]/grand[[#This Row],[received]]</f>
        <v>418.36065573770492</v>
      </c>
      <c r="R2000" s="7">
        <f>grand[[#This Row],[transportation loss ]]/grand[[#This Row],[received]]</f>
        <v>21.114754098360656</v>
      </c>
      <c r="S2000" s="7">
        <f>grand[[#This Row],[ carcass weight]]/grand[[#This Row],[received]]</f>
        <v>263.66721311475413</v>
      </c>
      <c r="T2000" s="7">
        <f>grand[[#This Row],[ kidneys fat quantity]]/grand[[#This Row],[received]]</f>
        <v>8.2950819672131146</v>
      </c>
      <c r="U2000" s="1">
        <v>25</v>
      </c>
      <c r="V2000" s="1">
        <v>0</v>
      </c>
      <c r="W2000" s="1">
        <v>49.57377049180328</v>
      </c>
      <c r="X2000" s="1">
        <v>10</v>
      </c>
      <c r="Y2000" s="1">
        <v>8.5</v>
      </c>
      <c r="Z2000" s="18">
        <f>grand[[#This Row],[av. Transportation loss]]/grand[[#This Row],[av.total weight]]</f>
        <v>4.8045359594151002E-2</v>
      </c>
      <c r="AA2000" s="12">
        <f>AVERAGE((grand[[#This Row],[am]]/25),(grand[[#This Row],[pm]]/50))</f>
        <v>0.99573770491803282</v>
      </c>
      <c r="AB2000" s="3">
        <f>grand[[#This Row],[ carcass weight]]/grand[[#This Row],[total weight]]</f>
        <v>0.5999589674723963</v>
      </c>
      <c r="AC2000" s="18">
        <f>SUM(grand[[#This Row],[am]:[meat transportation]])/100</f>
        <v>0.93073770491803287</v>
      </c>
      <c r="AJ2000" s="1">
        <v>14</v>
      </c>
      <c r="AK2000" s="1"/>
      <c r="AL2000" s="1"/>
    </row>
    <row r="2001" spans="1:38" hidden="1" x14ac:dyDescent="0.2">
      <c r="A2001" s="11">
        <v>45217</v>
      </c>
      <c r="B2001" s="53" t="s">
        <v>2836</v>
      </c>
      <c r="C2001" s="52" t="str">
        <f>IF(MID(B2001,4,2)="09","Ramadan",IF(AND(MID(B2001,4,2)="12",VALUE(LEFT(B2001,2))&lt;=9),"Adha Season","Normal"))</f>
        <v>Normal</v>
      </c>
      <c r="D2001" s="1" t="s">
        <v>45</v>
      </c>
      <c r="E2001" s="1" t="s">
        <v>528</v>
      </c>
      <c r="F2001" s="4" t="s">
        <v>462</v>
      </c>
      <c r="G2001" s="1">
        <v>59</v>
      </c>
      <c r="H2001" s="1">
        <v>58</v>
      </c>
      <c r="I2001" s="1">
        <f>grand[[#This Row],[number]]-grand[[#This Row],[received]]</f>
        <v>1</v>
      </c>
      <c r="J2001" s="30" t="s">
        <v>549</v>
      </c>
      <c r="K2001" s="2">
        <v>27110</v>
      </c>
      <c r="L2001" s="2">
        <v>27110</v>
      </c>
      <c r="M2001" s="2">
        <f>K2001-L2001</f>
        <v>0</v>
      </c>
      <c r="N2001" s="2">
        <v>16889.8</v>
      </c>
      <c r="O2001" s="2">
        <v>0</v>
      </c>
      <c r="P2001" s="7">
        <f>grand[[#This Row],[total weight]]/grand[[#This Row],[received]]</f>
        <v>467.41379310344826</v>
      </c>
      <c r="Q2001" s="7">
        <f>grand[[#This Row],[receiving weight]]/grand[[#This Row],[received]]</f>
        <v>467.41379310344826</v>
      </c>
      <c r="R2001" s="7">
        <f>grand[[#This Row],[transportation loss ]]/grand[[#This Row],[received]]</f>
        <v>0</v>
      </c>
      <c r="S2001" s="7">
        <f>grand[[#This Row],[ carcass weight]]/grand[[#This Row],[received]]</f>
        <v>291.20344827586206</v>
      </c>
      <c r="T2001" s="7">
        <f>grand[[#This Row],[ kidneys fat quantity]]/grand[[#This Row],[received]]</f>
        <v>0</v>
      </c>
      <c r="U2001" s="1">
        <v>25</v>
      </c>
      <c r="V2001" s="1">
        <v>4</v>
      </c>
      <c r="W2001" s="1">
        <v>50</v>
      </c>
      <c r="X2001" s="1">
        <v>9.6551724137931032</v>
      </c>
      <c r="Y2001" s="1">
        <v>8.5</v>
      </c>
      <c r="Z2001" s="18">
        <f>grand[[#This Row],[av. Transportation loss]]/grand[[#This Row],[av.total weight]]</f>
        <v>0</v>
      </c>
      <c r="AA2001" s="12">
        <f>AVERAGE((grand[[#This Row],[am]]/25),(grand[[#This Row],[pm]]/50))</f>
        <v>1</v>
      </c>
      <c r="AB2001" s="3">
        <f>grand[[#This Row],[ carcass weight]]/grand[[#This Row],[total weight]]</f>
        <v>0.62300995942456661</v>
      </c>
      <c r="AC2001" s="18">
        <f>SUM(grand[[#This Row],[am]:[meat transportation]])/100</f>
        <v>0.97155172413793112</v>
      </c>
      <c r="AK2001" s="1"/>
      <c r="AL2001" s="1"/>
    </row>
    <row r="2002" spans="1:38" hidden="1" x14ac:dyDescent="0.2">
      <c r="A2002" s="11">
        <v>45221</v>
      </c>
      <c r="B2002" s="53" t="s">
        <v>1896</v>
      </c>
      <c r="C2002" s="52" t="str">
        <f>IF(MID(B2002,4,2)="09","Ramadan",IF(AND(MID(B2002,4,2)="12",VALUE(LEFT(B2002,2))&lt;=9),"Adha Season","Normal"))</f>
        <v>Normal</v>
      </c>
      <c r="D2002" s="2" t="s">
        <v>294</v>
      </c>
      <c r="F2002" s="4" t="s">
        <v>280</v>
      </c>
      <c r="G2002" s="1">
        <v>19</v>
      </c>
      <c r="H2002" s="1">
        <v>18</v>
      </c>
      <c r="I2002" s="1">
        <f>grand[[#This Row],[number]]-grand[[#This Row],[received]]</f>
        <v>1</v>
      </c>
      <c r="J2002" s="30" t="s">
        <v>592</v>
      </c>
      <c r="K2002" s="2">
        <v>842</v>
      </c>
      <c r="L2002" s="2">
        <v>830</v>
      </c>
      <c r="M2002" s="2">
        <f>K2002-L2002</f>
        <v>12</v>
      </c>
      <c r="N2002" s="2">
        <v>473.7</v>
      </c>
      <c r="O2002" s="2">
        <v>0</v>
      </c>
      <c r="P2002" s="7">
        <f>grand[[#This Row],[total weight]]/grand[[#This Row],[received]]</f>
        <v>46.777777777777779</v>
      </c>
      <c r="Q2002" s="7">
        <f>grand[[#This Row],[receiving weight]]/grand[[#This Row],[received]]</f>
        <v>46.111111111111114</v>
      </c>
      <c r="R2002" s="7">
        <f>grand[[#This Row],[transportation loss ]]/grand[[#This Row],[received]]</f>
        <v>0.66666666666666663</v>
      </c>
      <c r="S2002" s="7">
        <f>grand[[#This Row],[ carcass weight]]/grand[[#This Row],[received]]</f>
        <v>26.316666666666666</v>
      </c>
      <c r="T2002" s="7">
        <f>grand[[#This Row],[ kidneys fat quantity]]/grand[[#This Row],[received]]</f>
        <v>0</v>
      </c>
      <c r="U2002" s="1">
        <v>25</v>
      </c>
      <c r="V2002" s="1">
        <v>0</v>
      </c>
      <c r="W2002" s="1">
        <v>49.588235294117645</v>
      </c>
      <c r="X2002" s="1">
        <v>10</v>
      </c>
      <c r="Y2002" s="1">
        <v>8.5</v>
      </c>
      <c r="Z2002" s="18">
        <f>grand[[#This Row],[av. Transportation loss]]/grand[[#This Row],[av.total weight]]</f>
        <v>1.4251781472684084E-2</v>
      </c>
      <c r="AA2002" s="12">
        <f>AVERAGE((grand[[#This Row],[am]]/25),(grand[[#This Row],[pm]]/50))</f>
        <v>0.99588235294117644</v>
      </c>
      <c r="AB2002" s="3">
        <f>grand[[#This Row],[ carcass weight]]/grand[[#This Row],[total weight]]</f>
        <v>0.5625890736342043</v>
      </c>
      <c r="AC2002" s="18">
        <f>SUM(grand[[#This Row],[am]:[meat transportation]])/100</f>
        <v>0.93088235294117649</v>
      </c>
      <c r="AK2002" s="1"/>
      <c r="AL2002" s="1"/>
    </row>
    <row r="2003" spans="1:38" hidden="1" x14ac:dyDescent="0.2">
      <c r="A2003" s="11">
        <v>45221</v>
      </c>
      <c r="B2003" s="53" t="s">
        <v>1896</v>
      </c>
      <c r="C2003" s="52" t="str">
        <f>IF(MID(B2003,4,2)="09","Ramadan",IF(AND(MID(B2003,4,2)="12",VALUE(LEFT(B2003,2))&lt;=9),"Adha Season","Normal"))</f>
        <v>Normal</v>
      </c>
      <c r="D2003" s="1" t="s">
        <v>45</v>
      </c>
      <c r="E2003" s="1" t="s">
        <v>483</v>
      </c>
      <c r="F2003" s="4" t="s">
        <v>280</v>
      </c>
      <c r="G2003" s="1">
        <v>62</v>
      </c>
      <c r="H2003" s="1">
        <v>61</v>
      </c>
      <c r="I2003" s="1">
        <f>grand[[#This Row],[number]]-grand[[#This Row],[received]]</f>
        <v>1</v>
      </c>
      <c r="J2003" s="30" t="s">
        <v>591</v>
      </c>
      <c r="K2003" s="2">
        <v>29228</v>
      </c>
      <c r="L2003" s="2">
        <v>28145</v>
      </c>
      <c r="M2003" s="2">
        <f>K2003-L2003</f>
        <v>1083</v>
      </c>
      <c r="N2003" s="2">
        <v>17633.599999999999</v>
      </c>
      <c r="O2003" s="2">
        <v>611</v>
      </c>
      <c r="P2003" s="7">
        <f>grand[[#This Row],[total weight]]/grand[[#This Row],[received]]</f>
        <v>479.14754098360658</v>
      </c>
      <c r="Q2003" s="7">
        <f>grand[[#This Row],[receiving weight]]/grand[[#This Row],[received]]</f>
        <v>461.39344262295083</v>
      </c>
      <c r="R2003" s="7">
        <f>grand[[#This Row],[transportation loss ]]/grand[[#This Row],[received]]</f>
        <v>17.754098360655739</v>
      </c>
      <c r="S2003" s="7">
        <f>grand[[#This Row],[ carcass weight]]/grand[[#This Row],[received]]</f>
        <v>289.07540983606555</v>
      </c>
      <c r="T2003" s="7">
        <f>grand[[#This Row],[ kidneys fat quantity]]/grand[[#This Row],[received]]</f>
        <v>10.016393442622951</v>
      </c>
      <c r="U2003" s="1">
        <v>24.918032786885245</v>
      </c>
      <c r="V2003" s="1">
        <v>0</v>
      </c>
      <c r="W2003" s="1">
        <v>49.327868852459019</v>
      </c>
      <c r="X2003" s="1">
        <v>10</v>
      </c>
      <c r="Y2003" s="1">
        <v>8.5</v>
      </c>
      <c r="Z2003" s="18">
        <f>grand[[#This Row],[av. Transportation loss]]/grand[[#This Row],[av.total weight]]</f>
        <v>3.7053510332557819E-2</v>
      </c>
      <c r="AA2003" s="12">
        <f>AVERAGE((grand[[#This Row],[am]]/25),(grand[[#This Row],[pm]]/50))</f>
        <v>0.99163934426229505</v>
      </c>
      <c r="AB2003" s="3">
        <f>grand[[#This Row],[ carcass weight]]/grand[[#This Row],[total weight]]</f>
        <v>0.60331189270562469</v>
      </c>
      <c r="AC2003" s="18">
        <f>SUM(grand[[#This Row],[am]:[meat transportation]])/100</f>
        <v>0.92745901639344264</v>
      </c>
      <c r="AJ2003" s="1">
        <v>24</v>
      </c>
      <c r="AK2003" s="1"/>
      <c r="AL2003" s="1"/>
    </row>
    <row r="2004" spans="1:38" hidden="1" x14ac:dyDescent="0.2">
      <c r="A2004" s="11">
        <v>45222</v>
      </c>
      <c r="B2004" s="53" t="s">
        <v>1897</v>
      </c>
      <c r="C2004" s="52" t="str">
        <f>IF(MID(B2004,4,2)="09","Ramadan",IF(AND(MID(B2004,4,2)="12",VALUE(LEFT(B2004,2))&lt;=9),"Adha Season","Normal"))</f>
        <v>Normal</v>
      </c>
      <c r="D2004" s="1" t="s">
        <v>45</v>
      </c>
      <c r="E2004" s="1" t="s">
        <v>528</v>
      </c>
      <c r="F2004" s="4" t="s">
        <v>462</v>
      </c>
      <c r="G2004" s="1">
        <v>44</v>
      </c>
      <c r="H2004" s="1">
        <v>43</v>
      </c>
      <c r="I2004" s="1">
        <f>grand[[#This Row],[number]]-grand[[#This Row],[received]]</f>
        <v>1</v>
      </c>
      <c r="J2004" s="30" t="s">
        <v>593</v>
      </c>
      <c r="K2004" s="2">
        <v>21115</v>
      </c>
      <c r="L2004" s="2">
        <v>21115</v>
      </c>
      <c r="M2004" s="2">
        <f>K2004-L2004</f>
        <v>0</v>
      </c>
      <c r="N2004" s="2">
        <v>13154.6</v>
      </c>
      <c r="O2004" s="2">
        <v>0</v>
      </c>
      <c r="P2004" s="7">
        <f>grand[[#This Row],[total weight]]/grand[[#This Row],[received]]</f>
        <v>491.04651162790697</v>
      </c>
      <c r="Q2004" s="7">
        <f>grand[[#This Row],[receiving weight]]/grand[[#This Row],[received]]</f>
        <v>491.04651162790697</v>
      </c>
      <c r="R2004" s="7">
        <f>grand[[#This Row],[transportation loss ]]/grand[[#This Row],[received]]</f>
        <v>0</v>
      </c>
      <c r="S2004" s="7">
        <f>grand[[#This Row],[ carcass weight]]/grand[[#This Row],[received]]</f>
        <v>305.92093023255813</v>
      </c>
      <c r="T2004" s="7">
        <f>grand[[#This Row],[ kidneys fat quantity]]/grand[[#This Row],[received]]</f>
        <v>0</v>
      </c>
      <c r="U2004" s="1">
        <v>25</v>
      </c>
      <c r="V2004" s="1">
        <v>4</v>
      </c>
      <c r="W2004" s="1">
        <v>50</v>
      </c>
      <c r="X2004" s="1">
        <v>9.7674418604651159</v>
      </c>
      <c r="Y2004" s="1">
        <v>8.5</v>
      </c>
      <c r="Z2004" s="18">
        <f>grand[[#This Row],[av. Transportation loss]]/grand[[#This Row],[av.total weight]]</f>
        <v>0</v>
      </c>
      <c r="AA2004" s="12">
        <f>AVERAGE((grand[[#This Row],[am]]/25),(grand[[#This Row],[pm]]/50))</f>
        <v>1</v>
      </c>
      <c r="AB2004" s="3">
        <f>grand[[#This Row],[ carcass weight]]/grand[[#This Row],[total weight]]</f>
        <v>0.62299786881363961</v>
      </c>
      <c r="AC2004" s="18">
        <f>SUM(grand[[#This Row],[am]:[meat transportation]])/100</f>
        <v>0.97267441860465109</v>
      </c>
      <c r="AK2004" s="1"/>
      <c r="AL2004" s="1"/>
    </row>
    <row r="2005" spans="1:38" hidden="1" x14ac:dyDescent="0.2">
      <c r="A2005" s="11">
        <v>45224</v>
      </c>
      <c r="B2005" s="53" t="s">
        <v>2838</v>
      </c>
      <c r="C2005" s="52" t="str">
        <f>IF(MID(B2005,4,2)="09","Ramadan",IF(AND(MID(B2005,4,2)="12",VALUE(LEFT(B2005,2))&lt;=9),"Adha Season","Normal"))</f>
        <v>Normal</v>
      </c>
      <c r="D2005" s="1" t="s">
        <v>45</v>
      </c>
      <c r="E2005" s="1" t="s">
        <v>528</v>
      </c>
      <c r="F2005" s="4" t="s">
        <v>462</v>
      </c>
      <c r="G2005" s="1">
        <v>39</v>
      </c>
      <c r="H2005" s="1">
        <v>38</v>
      </c>
      <c r="I2005" s="1">
        <f>grand[[#This Row],[number]]-grand[[#This Row],[received]]</f>
        <v>1</v>
      </c>
      <c r="J2005" s="30" t="s">
        <v>594</v>
      </c>
      <c r="K2005" s="2">
        <v>18644</v>
      </c>
      <c r="L2005" s="2">
        <v>18644</v>
      </c>
      <c r="M2005" s="2">
        <f>K2005-L2005</f>
        <v>0</v>
      </c>
      <c r="N2005" s="2">
        <v>11615.6</v>
      </c>
      <c r="O2005" s="2">
        <v>0</v>
      </c>
      <c r="P2005" s="7">
        <f>grand[[#This Row],[total weight]]/grand[[#This Row],[received]]</f>
        <v>490.63157894736844</v>
      </c>
      <c r="Q2005" s="7">
        <f>grand[[#This Row],[receiving weight]]/grand[[#This Row],[received]]</f>
        <v>490.63157894736844</v>
      </c>
      <c r="R2005" s="7">
        <f>grand[[#This Row],[transportation loss ]]/grand[[#This Row],[received]]</f>
        <v>0</v>
      </c>
      <c r="S2005" s="7">
        <f>grand[[#This Row],[ carcass weight]]/grand[[#This Row],[received]]</f>
        <v>305.67368421052635</v>
      </c>
      <c r="T2005" s="7">
        <f>grand[[#This Row],[ kidneys fat quantity]]/grand[[#This Row],[received]]</f>
        <v>0</v>
      </c>
      <c r="U2005" s="1">
        <v>25</v>
      </c>
      <c r="V2005" s="1">
        <v>4</v>
      </c>
      <c r="W2005" s="1">
        <v>50</v>
      </c>
      <c r="X2005" s="1">
        <v>10</v>
      </c>
      <c r="Y2005" s="1">
        <v>8.5</v>
      </c>
      <c r="Z2005" s="18">
        <f>grand[[#This Row],[av. Transportation loss]]/grand[[#This Row],[av.total weight]]</f>
        <v>0</v>
      </c>
      <c r="AA2005" s="12">
        <f>AVERAGE((grand[[#This Row],[am]]/25),(grand[[#This Row],[pm]]/50))</f>
        <v>1</v>
      </c>
      <c r="AB2005" s="3">
        <f>grand[[#This Row],[ carcass weight]]/grand[[#This Row],[total weight]]</f>
        <v>0.62302081098476725</v>
      </c>
      <c r="AC2005" s="18">
        <f>SUM(grand[[#This Row],[am]:[meat transportation]])/100</f>
        <v>0.97499999999999998</v>
      </c>
      <c r="AK2005" s="1"/>
      <c r="AL2005" s="1"/>
    </row>
    <row r="2006" spans="1:38" hidden="1" x14ac:dyDescent="0.2">
      <c r="A2006" s="11">
        <v>45227</v>
      </c>
      <c r="B2006" s="53" t="s">
        <v>2839</v>
      </c>
      <c r="C2006" s="52" t="str">
        <f>IF(MID(B2006,4,2)="09","Ramadan",IF(AND(MID(B2006,4,2)="12",VALUE(LEFT(B2006,2))&lt;=9),"Adha Season","Normal"))</f>
        <v>Normal</v>
      </c>
      <c r="D2006" s="1" t="s">
        <v>45</v>
      </c>
      <c r="E2006" s="1" t="s">
        <v>483</v>
      </c>
      <c r="F2006" s="4" t="s">
        <v>280</v>
      </c>
      <c r="G2006" s="1">
        <v>36</v>
      </c>
      <c r="H2006" s="1">
        <v>35</v>
      </c>
      <c r="I2006" s="1">
        <f>grand[[#This Row],[number]]-grand[[#This Row],[received]]</f>
        <v>1</v>
      </c>
      <c r="J2006" s="30" t="s">
        <v>596</v>
      </c>
      <c r="K2006" s="2">
        <v>15904</v>
      </c>
      <c r="L2006" s="2">
        <v>15335</v>
      </c>
      <c r="M2006" s="2">
        <f>K2006-L2006</f>
        <v>569</v>
      </c>
      <c r="N2006" s="2">
        <v>9616.6</v>
      </c>
      <c r="O2006" s="2">
        <v>339</v>
      </c>
      <c r="P2006" s="7">
        <f>grand[[#This Row],[total weight]]/grand[[#This Row],[received]]</f>
        <v>454.4</v>
      </c>
      <c r="Q2006" s="7">
        <f>grand[[#This Row],[receiving weight]]/grand[[#This Row],[received]]</f>
        <v>438.14285714285717</v>
      </c>
      <c r="R2006" s="7">
        <f>grand[[#This Row],[transportation loss ]]/grand[[#This Row],[received]]</f>
        <v>16.257142857142856</v>
      </c>
      <c r="S2006" s="7">
        <f>grand[[#This Row],[ carcass weight]]/grand[[#This Row],[received]]</f>
        <v>274.76</v>
      </c>
      <c r="T2006" s="7">
        <f>grand[[#This Row],[ kidneys fat quantity]]/grand[[#This Row],[received]]</f>
        <v>9.6857142857142851</v>
      </c>
      <c r="U2006" s="1">
        <v>25</v>
      </c>
      <c r="V2006" s="1">
        <v>0</v>
      </c>
      <c r="W2006" s="1">
        <v>49.657142857142851</v>
      </c>
      <c r="X2006" s="1">
        <v>10</v>
      </c>
      <c r="Y2006" s="1">
        <v>8.5</v>
      </c>
      <c r="Z2006" s="18">
        <f>grand[[#This Row],[av. Transportation loss]]/grand[[#This Row],[av.total weight]]</f>
        <v>3.5777162977867205E-2</v>
      </c>
      <c r="AA2006" s="12">
        <f>AVERAGE((grand[[#This Row],[am]]/25),(grand[[#This Row],[pm]]/50))</f>
        <v>0.99657142857142844</v>
      </c>
      <c r="AB2006" s="3">
        <f>grand[[#This Row],[ carcass weight]]/grand[[#This Row],[total weight]]</f>
        <v>0.60466549295774652</v>
      </c>
      <c r="AC2006" s="18">
        <f>SUM(grand[[#This Row],[am]:[meat transportation]])/100</f>
        <v>0.93157142857142849</v>
      </c>
      <c r="AJ2006" s="1">
        <v>9</v>
      </c>
      <c r="AK2006" s="1"/>
      <c r="AL2006" s="1"/>
    </row>
    <row r="2007" spans="1:38" hidden="1" x14ac:dyDescent="0.2">
      <c r="A2007" s="11">
        <v>45229</v>
      </c>
      <c r="B2007" s="53" t="s">
        <v>1900</v>
      </c>
      <c r="C2007" s="52" t="str">
        <f>IF(MID(B2007,4,2)="09","Ramadan",IF(AND(MID(B2007,4,2)="12",VALUE(LEFT(B2007,2))&lt;=9),"Adha Season","Normal"))</f>
        <v>Normal</v>
      </c>
      <c r="D2007" s="1" t="s">
        <v>45</v>
      </c>
      <c r="E2007" s="1" t="s">
        <v>528</v>
      </c>
      <c r="F2007" s="4" t="s">
        <v>462</v>
      </c>
      <c r="G2007" s="1">
        <v>47</v>
      </c>
      <c r="H2007" s="1">
        <v>46</v>
      </c>
      <c r="I2007" s="1">
        <f>grand[[#This Row],[number]]-grand[[#This Row],[received]]</f>
        <v>1</v>
      </c>
      <c r="J2007" s="30" t="s">
        <v>597</v>
      </c>
      <c r="K2007" s="2">
        <v>22093</v>
      </c>
      <c r="L2007" s="2">
        <v>22093</v>
      </c>
      <c r="M2007" s="2">
        <f>K2007-L2007</f>
        <v>0</v>
      </c>
      <c r="N2007" s="2">
        <v>13764</v>
      </c>
      <c r="O2007" s="2">
        <v>0</v>
      </c>
      <c r="P2007" s="7">
        <f>grand[[#This Row],[total weight]]/grand[[#This Row],[received]]</f>
        <v>480.28260869565219</v>
      </c>
      <c r="Q2007" s="7">
        <f>grand[[#This Row],[receiving weight]]/grand[[#This Row],[received]]</f>
        <v>480.28260869565219</v>
      </c>
      <c r="R2007" s="7">
        <f>grand[[#This Row],[transportation loss ]]/grand[[#This Row],[received]]</f>
        <v>0</v>
      </c>
      <c r="S2007" s="7">
        <f>grand[[#This Row],[ carcass weight]]/grand[[#This Row],[received]]</f>
        <v>299.21739130434781</v>
      </c>
      <c r="T2007" s="7">
        <f>grand[[#This Row],[ kidneys fat quantity]]/grand[[#This Row],[received]]</f>
        <v>0</v>
      </c>
      <c r="U2007" s="1">
        <v>25</v>
      </c>
      <c r="V2007" s="1">
        <v>4</v>
      </c>
      <c r="W2007" s="1">
        <v>50</v>
      </c>
      <c r="X2007" s="1">
        <v>9.6739130434782616</v>
      </c>
      <c r="Y2007" s="1">
        <v>8.5</v>
      </c>
      <c r="Z2007" s="18">
        <f>grand[[#This Row],[av. Transportation loss]]/grand[[#This Row],[av.total weight]]</f>
        <v>0</v>
      </c>
      <c r="AA2007" s="12">
        <f>AVERAGE((grand[[#This Row],[am]]/25),(grand[[#This Row],[pm]]/50))</f>
        <v>1</v>
      </c>
      <c r="AB2007" s="3">
        <f>grand[[#This Row],[ carcass weight]]/grand[[#This Row],[total weight]]</f>
        <v>0.62300276105553798</v>
      </c>
      <c r="AC2007" s="18">
        <f>SUM(grand[[#This Row],[am]:[meat transportation]])/100</f>
        <v>0.97173913043478266</v>
      </c>
      <c r="AK2007" s="1"/>
      <c r="AL2007" s="1"/>
    </row>
    <row r="2008" spans="1:38" hidden="1" x14ac:dyDescent="0.2">
      <c r="A2008" s="11">
        <v>45232</v>
      </c>
      <c r="B2008" s="53" t="s">
        <v>2840</v>
      </c>
      <c r="C2008" s="52" t="str">
        <f>IF(MID(B2008,4,2)="09","Ramadan",IF(AND(MID(B2008,4,2)="12",VALUE(LEFT(B2008,2))&lt;=9),"Adha Season","Normal"))</f>
        <v>Normal</v>
      </c>
      <c r="D2008" s="1" t="s">
        <v>45</v>
      </c>
      <c r="E2008" s="1" t="s">
        <v>483</v>
      </c>
      <c r="F2008" s="4" t="s">
        <v>280</v>
      </c>
      <c r="G2008" s="1">
        <v>45</v>
      </c>
      <c r="H2008" s="1">
        <v>44</v>
      </c>
      <c r="I2008" s="1">
        <f>grand[[#This Row],[number]]-grand[[#This Row],[received]]</f>
        <v>1</v>
      </c>
      <c r="J2008" s="30" t="s">
        <v>598</v>
      </c>
      <c r="K2008" s="2">
        <v>19900</v>
      </c>
      <c r="L2008" s="2">
        <v>19900</v>
      </c>
      <c r="M2008" s="2">
        <f>K2008-L2008</f>
        <v>0</v>
      </c>
      <c r="N2008" s="2">
        <v>11971.2</v>
      </c>
      <c r="O2008" s="2">
        <v>372</v>
      </c>
      <c r="P2008" s="7">
        <f>grand[[#This Row],[total weight]]/grand[[#This Row],[received]]</f>
        <v>452.27272727272725</v>
      </c>
      <c r="Q2008" s="7">
        <f>grand[[#This Row],[receiving weight]]/grand[[#This Row],[received]]</f>
        <v>452.27272727272725</v>
      </c>
      <c r="R2008" s="7">
        <f>grand[[#This Row],[transportation loss ]]/grand[[#This Row],[received]]</f>
        <v>0</v>
      </c>
      <c r="S2008" s="7">
        <f>grand[[#This Row],[ carcass weight]]/grand[[#This Row],[received]]</f>
        <v>272.07272727272726</v>
      </c>
      <c r="T2008" s="7">
        <f>grand[[#This Row],[ kidneys fat quantity]]/grand[[#This Row],[received]]</f>
        <v>8.454545454545455</v>
      </c>
      <c r="U2008" s="1">
        <v>24.43181818181818</v>
      </c>
      <c r="V2008" s="1">
        <v>0</v>
      </c>
      <c r="W2008" s="1">
        <v>48.886363636363633</v>
      </c>
      <c r="X2008" s="1">
        <v>10</v>
      </c>
      <c r="Y2008" s="1">
        <v>8.5</v>
      </c>
      <c r="Z2008" s="18">
        <f>grand[[#This Row],[av. Transportation loss]]/grand[[#This Row],[av.total weight]]</f>
        <v>0</v>
      </c>
      <c r="AA2008" s="12">
        <f>AVERAGE((grand[[#This Row],[am]]/25),(grand[[#This Row],[pm]]/50))</f>
        <v>0.97749999999999992</v>
      </c>
      <c r="AB2008" s="3">
        <f>grand[[#This Row],[ carcass weight]]/grand[[#This Row],[total weight]]</f>
        <v>0.60156783919597989</v>
      </c>
      <c r="AC2008" s="18">
        <f>SUM(grand[[#This Row],[am]:[meat transportation]])/100</f>
        <v>0.9181818181818181</v>
      </c>
      <c r="AJ2008" s="1">
        <v>29</v>
      </c>
      <c r="AK2008" s="1"/>
      <c r="AL2008" s="1"/>
    </row>
    <row r="2009" spans="1:38" hidden="1" x14ac:dyDescent="0.2">
      <c r="A2009" s="11">
        <v>45239</v>
      </c>
      <c r="B2009" s="53" t="s">
        <v>1903</v>
      </c>
      <c r="C2009" s="52" t="str">
        <f>IF(MID(B2009,4,2)="09","Ramadan",IF(AND(MID(B2009,4,2)="12",VALUE(LEFT(B2009,2))&lt;=9),"Adha Season","Normal"))</f>
        <v>Normal</v>
      </c>
      <c r="D2009" s="1" t="s">
        <v>45</v>
      </c>
      <c r="E2009" s="1" t="s">
        <v>483</v>
      </c>
      <c r="F2009" s="4" t="s">
        <v>280</v>
      </c>
      <c r="G2009" s="1">
        <v>64</v>
      </c>
      <c r="H2009" s="1">
        <v>63</v>
      </c>
      <c r="I2009" s="1">
        <f>grand[[#This Row],[number]]-grand[[#This Row],[received]]</f>
        <v>1</v>
      </c>
      <c r="J2009" s="30" t="s">
        <v>596</v>
      </c>
      <c r="K2009" s="2">
        <v>27140</v>
      </c>
      <c r="L2009" s="2">
        <v>26265</v>
      </c>
      <c r="M2009" s="2">
        <f>K2009-L2009</f>
        <v>875</v>
      </c>
      <c r="N2009" s="2">
        <v>16294.3</v>
      </c>
      <c r="O2009" s="2">
        <v>493</v>
      </c>
      <c r="P2009" s="7">
        <f>grand[[#This Row],[total weight]]/grand[[#This Row],[received]]</f>
        <v>430.79365079365078</v>
      </c>
      <c r="Q2009" s="7">
        <f>grand[[#This Row],[receiving weight]]/grand[[#This Row],[received]]</f>
        <v>416.90476190476193</v>
      </c>
      <c r="R2009" s="7">
        <f>grand[[#This Row],[transportation loss ]]/grand[[#This Row],[received]]</f>
        <v>13.888888888888889</v>
      </c>
      <c r="S2009" s="7">
        <f>grand[[#This Row],[ carcass weight]]/grand[[#This Row],[received]]</f>
        <v>258.63968253968255</v>
      </c>
      <c r="T2009" s="7">
        <f>grand[[#This Row],[ kidneys fat quantity]]/grand[[#This Row],[received]]</f>
        <v>7.8253968253968251</v>
      </c>
      <c r="U2009" s="1">
        <v>25</v>
      </c>
      <c r="V2009" s="1">
        <v>0</v>
      </c>
      <c r="W2009" s="1">
        <v>48.38095238095238</v>
      </c>
      <c r="X2009" s="1">
        <v>10</v>
      </c>
      <c r="Y2009" s="1">
        <v>8.5</v>
      </c>
      <c r="Z2009" s="18">
        <f>grand[[#This Row],[av. Transportation loss]]/grand[[#This Row],[av.total weight]]</f>
        <v>3.2240235814296241E-2</v>
      </c>
      <c r="AA2009" s="12">
        <f>AVERAGE((grand[[#This Row],[am]]/25),(grand[[#This Row],[pm]]/50))</f>
        <v>0.9838095238095238</v>
      </c>
      <c r="AB2009" s="3">
        <f>grand[[#This Row],[ carcass weight]]/grand[[#This Row],[total weight]]</f>
        <v>0.60037951363301401</v>
      </c>
      <c r="AC2009" s="18">
        <f>SUM(grand[[#This Row],[am]:[meat transportation]])/100</f>
        <v>0.91880952380952374</v>
      </c>
      <c r="AJ2009" s="1">
        <v>20</v>
      </c>
      <c r="AK2009" s="1"/>
      <c r="AL2009" s="1"/>
    </row>
    <row r="2010" spans="1:38" hidden="1" x14ac:dyDescent="0.2">
      <c r="A2010" s="11">
        <v>45241</v>
      </c>
      <c r="B2010" s="53" t="s">
        <v>2843</v>
      </c>
      <c r="C2010" s="52" t="str">
        <f>IF(MID(B2010,4,2)="09","Ramadan",IF(AND(MID(B2010,4,2)="12",VALUE(LEFT(B2010,2))&lt;=9),"Adha Season","Normal"))</f>
        <v>Normal</v>
      </c>
      <c r="D2010" s="1" t="s">
        <v>45</v>
      </c>
      <c r="E2010" s="1" t="s">
        <v>483</v>
      </c>
      <c r="F2010" s="4" t="s">
        <v>280</v>
      </c>
      <c r="G2010" s="1">
        <v>26</v>
      </c>
      <c r="H2010" s="1">
        <v>25</v>
      </c>
      <c r="I2010" s="1">
        <f>grand[[#This Row],[number]]-grand[[#This Row],[received]]</f>
        <v>1</v>
      </c>
      <c r="J2010" s="30" t="s">
        <v>596</v>
      </c>
      <c r="K2010" s="2">
        <v>11100</v>
      </c>
      <c r="L2010" s="2">
        <v>10560</v>
      </c>
      <c r="M2010" s="2">
        <f>K2010-L2010</f>
        <v>540</v>
      </c>
      <c r="N2010" s="2">
        <v>6667.7</v>
      </c>
      <c r="O2010" s="2">
        <v>238</v>
      </c>
      <c r="P2010" s="7">
        <f>grand[[#This Row],[total weight]]/grand[[#This Row],[received]]</f>
        <v>444</v>
      </c>
      <c r="Q2010" s="7">
        <f>grand[[#This Row],[receiving weight]]/grand[[#This Row],[received]]</f>
        <v>422.4</v>
      </c>
      <c r="R2010" s="7">
        <f>grand[[#This Row],[transportation loss ]]/grand[[#This Row],[received]]</f>
        <v>21.6</v>
      </c>
      <c r="S2010" s="7">
        <f>grand[[#This Row],[ carcass weight]]/grand[[#This Row],[received]]</f>
        <v>266.70799999999997</v>
      </c>
      <c r="T2010" s="7">
        <f>grand[[#This Row],[ kidneys fat quantity]]/grand[[#This Row],[received]]</f>
        <v>9.52</v>
      </c>
      <c r="U2010" s="1">
        <v>25</v>
      </c>
      <c r="V2010" s="1">
        <v>0</v>
      </c>
      <c r="W2010" s="1">
        <v>49.72</v>
      </c>
      <c r="X2010" s="1">
        <v>10</v>
      </c>
      <c r="Y2010" s="1">
        <v>8.5</v>
      </c>
      <c r="Z2010" s="18">
        <f>grand[[#This Row],[av. Transportation loss]]/grand[[#This Row],[av.total weight]]</f>
        <v>4.8648648648648651E-2</v>
      </c>
      <c r="AA2010" s="12">
        <f>AVERAGE((grand[[#This Row],[am]]/25),(grand[[#This Row],[pm]]/50))</f>
        <v>0.99719999999999998</v>
      </c>
      <c r="AB2010" s="3">
        <f>grand[[#This Row],[ carcass weight]]/grand[[#This Row],[total weight]]</f>
        <v>0.60069369369369363</v>
      </c>
      <c r="AC2010" s="18">
        <f>SUM(grand[[#This Row],[am]:[meat transportation]])/100</f>
        <v>0.93220000000000003</v>
      </c>
      <c r="AJ2010" s="1">
        <v>6</v>
      </c>
      <c r="AK2010" s="1"/>
      <c r="AL2010" s="1"/>
    </row>
    <row r="2011" spans="1:38" hidden="1" x14ac:dyDescent="0.2">
      <c r="A2011" s="11">
        <v>45242</v>
      </c>
      <c r="B2011" s="53" t="s">
        <v>1904</v>
      </c>
      <c r="C2011" s="52" t="str">
        <f>IF(MID(B2011,4,2)="09","Ramadan",IF(AND(MID(B2011,4,2)="12",VALUE(LEFT(B2011,2))&lt;=9),"Adha Season","Normal"))</f>
        <v>Normal</v>
      </c>
      <c r="D2011" s="1" t="s">
        <v>45</v>
      </c>
      <c r="E2011" s="1" t="s">
        <v>483</v>
      </c>
      <c r="F2011" s="4" t="s">
        <v>576</v>
      </c>
      <c r="G2011" s="1">
        <v>59</v>
      </c>
      <c r="H2011" s="1">
        <v>58</v>
      </c>
      <c r="I2011" s="1">
        <f>grand[[#This Row],[number]]-grand[[#This Row],[received]]</f>
        <v>1</v>
      </c>
      <c r="J2011" s="30" t="s">
        <v>601</v>
      </c>
      <c r="K2011" s="2">
        <v>28780</v>
      </c>
      <c r="L2011" s="2">
        <v>27845</v>
      </c>
      <c r="M2011" s="2">
        <f>K2011-L2011</f>
        <v>935</v>
      </c>
      <c r="N2011" s="2">
        <v>17726.099999999999</v>
      </c>
      <c r="O2011" s="2">
        <v>415</v>
      </c>
      <c r="P2011" s="7">
        <f>grand[[#This Row],[total weight]]/grand[[#This Row],[received]]</f>
        <v>496.20689655172413</v>
      </c>
      <c r="Q2011" s="7">
        <f>grand[[#This Row],[receiving weight]]/grand[[#This Row],[received]]</f>
        <v>480.08620689655174</v>
      </c>
      <c r="R2011" s="7">
        <f>grand[[#This Row],[transportation loss ]]/grand[[#This Row],[received]]</f>
        <v>16.120689655172413</v>
      </c>
      <c r="S2011" s="7">
        <f>grand[[#This Row],[ carcass weight]]/grand[[#This Row],[received]]</f>
        <v>305.62241379310342</v>
      </c>
      <c r="T2011" s="7">
        <f>grand[[#This Row],[ kidneys fat quantity]]/grand[[#This Row],[received]]</f>
        <v>7.1551724137931032</v>
      </c>
      <c r="U2011" s="1">
        <v>25</v>
      </c>
      <c r="V2011" s="1">
        <v>0</v>
      </c>
      <c r="W2011" s="1">
        <v>44.637931034482762</v>
      </c>
      <c r="X2011" s="1">
        <v>9.9137931034482758</v>
      </c>
      <c r="Y2011" s="1">
        <v>8.5</v>
      </c>
      <c r="Z2011" s="18">
        <f>grand[[#This Row],[av. Transportation loss]]/grand[[#This Row],[av.total weight]]</f>
        <v>3.2487838776928422E-2</v>
      </c>
      <c r="AA2011" s="12">
        <f>AVERAGE((grand[[#This Row],[am]]/25),(grand[[#This Row],[pm]]/50))</f>
        <v>0.9463793103448277</v>
      </c>
      <c r="AB2011" s="3">
        <f>grand[[#This Row],[ carcass weight]]/grand[[#This Row],[total weight]]</f>
        <v>0.61591730368311326</v>
      </c>
      <c r="AC2011" s="18">
        <f>SUM(grand[[#This Row],[am]:[meat transportation]])/100</f>
        <v>0.88051724137931031</v>
      </c>
      <c r="AJ2011" s="1">
        <v>48</v>
      </c>
      <c r="AK2011" s="1"/>
      <c r="AL2011" s="1"/>
    </row>
    <row r="2012" spans="1:38" hidden="1" x14ac:dyDescent="0.2">
      <c r="A2012" s="11">
        <v>45245</v>
      </c>
      <c r="B2012" s="53" t="s">
        <v>2844</v>
      </c>
      <c r="C2012" s="52" t="str">
        <f>IF(MID(B2012,4,2)="09","Ramadan",IF(AND(MID(B2012,4,2)="12",VALUE(LEFT(B2012,2))&lt;=9),"Adha Season","Normal"))</f>
        <v>Normal</v>
      </c>
      <c r="D2012" s="1" t="s">
        <v>45</v>
      </c>
      <c r="E2012" s="1" t="s">
        <v>528</v>
      </c>
      <c r="F2012" s="4" t="s">
        <v>462</v>
      </c>
      <c r="G2012" s="1">
        <v>38</v>
      </c>
      <c r="H2012" s="1">
        <v>37</v>
      </c>
      <c r="I2012" s="1">
        <f>grand[[#This Row],[number]]-grand[[#This Row],[received]]</f>
        <v>1</v>
      </c>
      <c r="J2012" s="30" t="s">
        <v>602</v>
      </c>
      <c r="K2012" s="2">
        <v>17726</v>
      </c>
      <c r="L2012" s="2">
        <v>17726</v>
      </c>
      <c r="M2012" s="2">
        <f>K2012-L2012</f>
        <v>0</v>
      </c>
      <c r="N2012" s="2">
        <v>11202.8</v>
      </c>
      <c r="O2012" s="2">
        <v>0</v>
      </c>
      <c r="P2012" s="7">
        <f>grand[[#This Row],[total weight]]/grand[[#This Row],[received]]</f>
        <v>479.08108108108109</v>
      </c>
      <c r="Q2012" s="7">
        <f>grand[[#This Row],[receiving weight]]/grand[[#This Row],[received]]</f>
        <v>479.08108108108109</v>
      </c>
      <c r="R2012" s="7">
        <f>grand[[#This Row],[transportation loss ]]/grand[[#This Row],[received]]</f>
        <v>0</v>
      </c>
      <c r="S2012" s="7">
        <f>grand[[#This Row],[ carcass weight]]/grand[[#This Row],[received]]</f>
        <v>302.77837837837836</v>
      </c>
      <c r="T2012" s="7">
        <f>grand[[#This Row],[ kidneys fat quantity]]/grand[[#This Row],[received]]</f>
        <v>0</v>
      </c>
      <c r="U2012" s="1">
        <v>25</v>
      </c>
      <c r="V2012" s="1">
        <v>4</v>
      </c>
      <c r="W2012" s="1">
        <v>45</v>
      </c>
      <c r="X2012" s="1">
        <v>9.7297297297297298</v>
      </c>
      <c r="Y2012" s="1">
        <v>8.5</v>
      </c>
      <c r="Z2012" s="18">
        <f>grand[[#This Row],[av. Transportation loss]]/grand[[#This Row],[av.total weight]]</f>
        <v>0</v>
      </c>
      <c r="AA2012" s="12">
        <f>AVERAGE((grand[[#This Row],[am]]/25),(grand[[#This Row],[pm]]/50))</f>
        <v>0.95</v>
      </c>
      <c r="AB2012" s="3">
        <f>grand[[#This Row],[ carcass weight]]/grand[[#This Row],[total weight]]</f>
        <v>0.63199819474218655</v>
      </c>
      <c r="AC2012" s="18">
        <f>SUM(grand[[#This Row],[am]:[meat transportation]])/100</f>
        <v>0.92229729729729726</v>
      </c>
      <c r="AK2012" s="1"/>
      <c r="AL2012" s="1"/>
    </row>
    <row r="2013" spans="1:38" hidden="1" x14ac:dyDescent="0.2">
      <c r="A2013" s="11">
        <v>45248</v>
      </c>
      <c r="B2013" s="53" t="s">
        <v>2845</v>
      </c>
      <c r="C2013" s="52" t="str">
        <f>IF(MID(B2013,4,2)="09","Ramadan",IF(AND(MID(B2013,4,2)="12",VALUE(LEFT(B2013,2))&lt;=9),"Adha Season","Normal"))</f>
        <v>Normal</v>
      </c>
      <c r="D2013" s="1" t="s">
        <v>45</v>
      </c>
      <c r="E2013" s="1" t="s">
        <v>483</v>
      </c>
      <c r="F2013" s="4" t="s">
        <v>280</v>
      </c>
      <c r="G2013" s="1">
        <v>28</v>
      </c>
      <c r="H2013" s="1">
        <v>27</v>
      </c>
      <c r="I2013" s="1">
        <f>grand[[#This Row],[number]]-grand[[#This Row],[received]]</f>
        <v>1</v>
      </c>
      <c r="J2013" s="30" t="s">
        <v>596</v>
      </c>
      <c r="K2013" s="2">
        <v>13438</v>
      </c>
      <c r="L2013" s="2">
        <v>12930</v>
      </c>
      <c r="M2013" s="2">
        <f>K2013-L2013</f>
        <v>508</v>
      </c>
      <c r="N2013" s="2">
        <v>8169.4</v>
      </c>
      <c r="O2013" s="2">
        <v>337</v>
      </c>
      <c r="P2013" s="7">
        <f>grand[[#This Row],[total weight]]/grand[[#This Row],[received]]</f>
        <v>497.7037037037037</v>
      </c>
      <c r="Q2013" s="7">
        <f>grand[[#This Row],[receiving weight]]/grand[[#This Row],[received]]</f>
        <v>478.88888888888891</v>
      </c>
      <c r="R2013" s="7">
        <f>grand[[#This Row],[transportation loss ]]/grand[[#This Row],[received]]</f>
        <v>18.814814814814813</v>
      </c>
      <c r="S2013" s="7">
        <f>grand[[#This Row],[ carcass weight]]/grand[[#This Row],[received]]</f>
        <v>302.57037037037037</v>
      </c>
      <c r="T2013" s="7">
        <f>grand[[#This Row],[ kidneys fat quantity]]/grand[[#This Row],[received]]</f>
        <v>12.481481481481481</v>
      </c>
      <c r="U2013" s="1">
        <v>25</v>
      </c>
      <c r="V2013" s="1">
        <v>0</v>
      </c>
      <c r="W2013" s="1">
        <v>48.148148148148152</v>
      </c>
      <c r="X2013" s="1">
        <v>10</v>
      </c>
      <c r="Y2013" s="1">
        <v>8.5</v>
      </c>
      <c r="Z2013" s="18">
        <f>grand[[#This Row],[av. Transportation loss]]/grand[[#This Row],[av.total weight]]</f>
        <v>3.7803244530436077E-2</v>
      </c>
      <c r="AA2013" s="12">
        <f>AVERAGE((grand[[#This Row],[am]]/25),(grand[[#This Row],[pm]]/50))</f>
        <v>0.98148148148148151</v>
      </c>
      <c r="AB2013" s="3">
        <f>grand[[#This Row],[ carcass weight]]/grand[[#This Row],[total weight]]</f>
        <v>0.60793272808453636</v>
      </c>
      <c r="AC2013" s="18">
        <f>SUM(grand[[#This Row],[am]:[meat transportation]])/100</f>
        <v>0.91648148148148156</v>
      </c>
      <c r="AJ2013" s="1">
        <v>9</v>
      </c>
      <c r="AK2013" s="1"/>
      <c r="AL2013" s="1"/>
    </row>
    <row r="2014" spans="1:38" hidden="1" x14ac:dyDescent="0.2">
      <c r="A2014" s="11">
        <v>45250</v>
      </c>
      <c r="B2014" s="53" t="s">
        <v>1908</v>
      </c>
      <c r="C2014" s="52" t="str">
        <f>IF(MID(B2014,4,2)="09","Ramadan",IF(AND(MID(B2014,4,2)="12",VALUE(LEFT(B2014,2))&lt;=9),"Adha Season","Normal"))</f>
        <v>Normal</v>
      </c>
      <c r="D2014" s="1" t="s">
        <v>45</v>
      </c>
      <c r="E2014" s="1" t="s">
        <v>528</v>
      </c>
      <c r="F2014" s="4" t="s">
        <v>462</v>
      </c>
      <c r="G2014" s="1">
        <v>39</v>
      </c>
      <c r="H2014" s="1">
        <v>38</v>
      </c>
      <c r="I2014" s="1">
        <f>grand[[#This Row],[number]]-grand[[#This Row],[received]]</f>
        <v>1</v>
      </c>
      <c r="J2014" s="30" t="s">
        <v>603</v>
      </c>
      <c r="K2014" s="2">
        <v>18765</v>
      </c>
      <c r="L2014" s="2">
        <v>18765</v>
      </c>
      <c r="M2014" s="2">
        <f>K2014-L2014</f>
        <v>0</v>
      </c>
      <c r="N2014" s="2">
        <v>11859.4</v>
      </c>
      <c r="O2014" s="2">
        <v>0</v>
      </c>
      <c r="P2014" s="7">
        <f>grand[[#This Row],[total weight]]/grand[[#This Row],[received]]</f>
        <v>493.81578947368422</v>
      </c>
      <c r="Q2014" s="7">
        <f>grand[[#This Row],[receiving weight]]/grand[[#This Row],[received]]</f>
        <v>493.81578947368422</v>
      </c>
      <c r="R2014" s="7">
        <f>grand[[#This Row],[transportation loss ]]/grand[[#This Row],[received]]</f>
        <v>0</v>
      </c>
      <c r="S2014" s="7">
        <f>grand[[#This Row],[ carcass weight]]/grand[[#This Row],[received]]</f>
        <v>312.08947368421053</v>
      </c>
      <c r="T2014" s="7">
        <f>grand[[#This Row],[ kidneys fat quantity]]/grand[[#This Row],[received]]</f>
        <v>0</v>
      </c>
      <c r="U2014" s="1">
        <v>25</v>
      </c>
      <c r="V2014" s="1">
        <v>4</v>
      </c>
      <c r="W2014" s="1">
        <v>50</v>
      </c>
      <c r="X2014" s="1">
        <v>9.6052631578947363</v>
      </c>
      <c r="Y2014" s="1">
        <v>8.5</v>
      </c>
      <c r="Z2014" s="18">
        <f>grand[[#This Row],[av. Transportation loss]]/grand[[#This Row],[av.total weight]]</f>
        <v>0</v>
      </c>
      <c r="AA2014" s="12">
        <f>AVERAGE((grand[[#This Row],[am]]/25),(grand[[#This Row],[pm]]/50))</f>
        <v>1</v>
      </c>
      <c r="AB2014" s="3">
        <f>grand[[#This Row],[ carcass weight]]/grand[[#This Row],[total weight]]</f>
        <v>0.63199573674393816</v>
      </c>
      <c r="AC2014" s="18">
        <f>SUM(grand[[#This Row],[am]:[meat transportation]])/100</f>
        <v>0.97105263157894739</v>
      </c>
      <c r="AK2014" s="1"/>
      <c r="AL2014" s="1"/>
    </row>
    <row r="2015" spans="1:38" hidden="1" x14ac:dyDescent="0.2">
      <c r="A2015" s="11">
        <v>45253</v>
      </c>
      <c r="B2015" s="53" t="s">
        <v>2846</v>
      </c>
      <c r="C2015" s="52" t="str">
        <f>IF(MID(B2015,4,2)="09","Ramadan",IF(AND(MID(B2015,4,2)="12",VALUE(LEFT(B2015,2))&lt;=9),"Adha Season","Normal"))</f>
        <v>Normal</v>
      </c>
      <c r="D2015" s="1" t="s">
        <v>45</v>
      </c>
      <c r="E2015" s="1" t="s">
        <v>483</v>
      </c>
      <c r="F2015" s="4" t="s">
        <v>280</v>
      </c>
      <c r="G2015" s="1">
        <v>22</v>
      </c>
      <c r="H2015" s="1">
        <v>21</v>
      </c>
      <c r="I2015" s="1">
        <f>grand[[#This Row],[number]]-grand[[#This Row],[received]]</f>
        <v>1</v>
      </c>
      <c r="J2015" s="30" t="s">
        <v>604</v>
      </c>
      <c r="K2015" s="2">
        <v>9414</v>
      </c>
      <c r="L2015" s="2">
        <v>8850</v>
      </c>
      <c r="M2015" s="2">
        <f>K2015-L2015</f>
        <v>564</v>
      </c>
      <c r="N2015" s="2">
        <v>5648.1</v>
      </c>
      <c r="O2015" s="2">
        <v>227</v>
      </c>
      <c r="P2015" s="7">
        <f>grand[[#This Row],[total weight]]/grand[[#This Row],[received]]</f>
        <v>448.28571428571428</v>
      </c>
      <c r="Q2015" s="7">
        <f>grand[[#This Row],[receiving weight]]/grand[[#This Row],[received]]</f>
        <v>421.42857142857144</v>
      </c>
      <c r="R2015" s="7">
        <f>grand[[#This Row],[transportation loss ]]/grand[[#This Row],[received]]</f>
        <v>26.857142857142858</v>
      </c>
      <c r="S2015" s="7">
        <f>grand[[#This Row],[ carcass weight]]/grand[[#This Row],[received]]</f>
        <v>268.95714285714286</v>
      </c>
      <c r="T2015" s="7">
        <f>grand[[#This Row],[ kidneys fat quantity]]/grand[[#This Row],[received]]</f>
        <v>10.80952380952381</v>
      </c>
      <c r="U2015" s="1">
        <v>25</v>
      </c>
      <c r="V2015" s="1">
        <v>0</v>
      </c>
      <c r="W2015" s="1">
        <v>49</v>
      </c>
      <c r="X2015" s="1">
        <v>10</v>
      </c>
      <c r="Y2015" s="1">
        <v>8.5</v>
      </c>
      <c r="Z2015" s="18">
        <f>grand[[#This Row],[av. Transportation loss]]/grand[[#This Row],[av.total weight]]</f>
        <v>5.991077119184194E-2</v>
      </c>
      <c r="AA2015" s="12">
        <f>AVERAGE((grand[[#This Row],[am]]/25),(grand[[#This Row],[pm]]/50))</f>
        <v>0.99</v>
      </c>
      <c r="AB2015" s="3">
        <f>grand[[#This Row],[ carcass weight]]/grand[[#This Row],[total weight]]</f>
        <v>0.599968132568515</v>
      </c>
      <c r="AC2015" s="18">
        <f>SUM(grand[[#This Row],[am]:[meat transportation]])/100</f>
        <v>0.92500000000000004</v>
      </c>
      <c r="AJ2015" s="1">
        <v>5</v>
      </c>
      <c r="AK2015" s="1"/>
      <c r="AL2015" s="1"/>
    </row>
    <row r="2016" spans="1:38" hidden="1" x14ac:dyDescent="0.2">
      <c r="A2016" s="11">
        <v>45263</v>
      </c>
      <c r="B2016" s="53" t="s">
        <v>1911</v>
      </c>
      <c r="C2016" s="52" t="str">
        <f>IF(MID(B2016,4,2)="09","Ramadan",IF(AND(MID(B2016,4,2)="12",VALUE(LEFT(B2016,2))&lt;=9),"Adha Season","Normal"))</f>
        <v>Normal</v>
      </c>
      <c r="D2016" s="1" t="s">
        <v>45</v>
      </c>
      <c r="E2016" s="1" t="s">
        <v>483</v>
      </c>
      <c r="F2016" s="4" t="s">
        <v>39</v>
      </c>
      <c r="G2016" s="1">
        <v>75</v>
      </c>
      <c r="H2016" s="1">
        <v>74</v>
      </c>
      <c r="I2016" s="1">
        <f>grand[[#This Row],[number]]-grand[[#This Row],[received]]</f>
        <v>1</v>
      </c>
      <c r="J2016" s="30" t="s">
        <v>607</v>
      </c>
      <c r="K2016" s="2">
        <v>32326</v>
      </c>
      <c r="L2016" s="2">
        <v>30738</v>
      </c>
      <c r="M2016" s="2">
        <f>K2016-L2016</f>
        <v>1588</v>
      </c>
      <c r="N2016" s="2">
        <v>19663.8</v>
      </c>
      <c r="O2016" s="2">
        <v>565</v>
      </c>
      <c r="P2016" s="7">
        <f>grand[[#This Row],[total weight]]/grand[[#This Row],[received]]</f>
        <v>436.83783783783781</v>
      </c>
      <c r="Q2016" s="7">
        <f>grand[[#This Row],[receiving weight]]/grand[[#This Row],[received]]</f>
        <v>415.37837837837839</v>
      </c>
      <c r="R2016" s="7">
        <f>grand[[#This Row],[transportation loss ]]/grand[[#This Row],[received]]</f>
        <v>21.45945945945946</v>
      </c>
      <c r="S2016" s="7">
        <f>grand[[#This Row],[ carcass weight]]/grand[[#This Row],[received]]</f>
        <v>265.72702702702702</v>
      </c>
      <c r="T2016" s="7">
        <f>grand[[#This Row],[ kidneys fat quantity]]/grand[[#This Row],[received]]</f>
        <v>7.6351351351351351</v>
      </c>
      <c r="U2016" s="1">
        <v>25</v>
      </c>
      <c r="V2016" s="1">
        <v>0</v>
      </c>
      <c r="W2016" s="1">
        <v>48.986486486486491</v>
      </c>
      <c r="X2016" s="1">
        <v>10</v>
      </c>
      <c r="Y2016" s="1">
        <v>8.5</v>
      </c>
      <c r="Z2016" s="18">
        <f>grand[[#This Row],[av. Transportation loss]]/grand[[#This Row],[av.total weight]]</f>
        <v>4.9124543710944754E-2</v>
      </c>
      <c r="AA2016" s="12">
        <f>AVERAGE((grand[[#This Row],[am]]/25),(grand[[#This Row],[pm]]/50))</f>
        <v>0.98986486486486491</v>
      </c>
      <c r="AB2016" s="3">
        <f>grand[[#This Row],[ carcass weight]]/grand[[#This Row],[total weight]]</f>
        <v>0.60829672709274263</v>
      </c>
      <c r="AC2016" s="18">
        <f>SUM(grand[[#This Row],[am]:[meat transportation]])/100</f>
        <v>0.92486486486486486</v>
      </c>
      <c r="AJ2016" s="1">
        <v>31</v>
      </c>
      <c r="AK2016" s="1"/>
      <c r="AL2016" s="1"/>
    </row>
    <row r="2017" spans="1:38" hidden="1" x14ac:dyDescent="0.2">
      <c r="A2017" s="11">
        <v>45277</v>
      </c>
      <c r="B2017" s="53" t="s">
        <v>1916</v>
      </c>
      <c r="C2017" s="52" t="str">
        <f>IF(MID(B2017,4,2)="09","Ramadan",IF(AND(MID(B2017,4,2)="12",VALUE(LEFT(B2017,2))&lt;=9),"Adha Season","Normal"))</f>
        <v>Normal</v>
      </c>
      <c r="D2017" s="1" t="s">
        <v>45</v>
      </c>
      <c r="E2017" s="1" t="s">
        <v>483</v>
      </c>
      <c r="F2017" s="4" t="s">
        <v>44</v>
      </c>
      <c r="G2017" s="1">
        <v>58</v>
      </c>
      <c r="H2017" s="1">
        <v>57</v>
      </c>
      <c r="I2017" s="1">
        <f>grand[[#This Row],[number]]-grand[[#This Row],[received]]</f>
        <v>1</v>
      </c>
      <c r="J2017" s="30" t="s">
        <v>551</v>
      </c>
      <c r="K2017" s="2">
        <v>22829</v>
      </c>
      <c r="L2017" s="2">
        <v>22324</v>
      </c>
      <c r="M2017" s="2">
        <f>K2017-L2017</f>
        <v>505</v>
      </c>
      <c r="N2017" s="2">
        <v>13696.8</v>
      </c>
      <c r="O2017" s="2">
        <v>367</v>
      </c>
      <c r="P2017" s="7">
        <f>grand[[#This Row],[total weight]]/grand[[#This Row],[received]]</f>
        <v>400.50877192982455</v>
      </c>
      <c r="Q2017" s="7">
        <f>grand[[#This Row],[receiving weight]]/grand[[#This Row],[received]]</f>
        <v>391.64912280701753</v>
      </c>
      <c r="R2017" s="7">
        <f>grand[[#This Row],[transportation loss ]]/grand[[#This Row],[received]]</f>
        <v>8.8596491228070171</v>
      </c>
      <c r="S2017" s="7">
        <f>grand[[#This Row],[ carcass weight]]/grand[[#This Row],[received]]</f>
        <v>240.29473684210524</v>
      </c>
      <c r="T2017" s="7">
        <f>grand[[#This Row],[ kidneys fat quantity]]/grand[[#This Row],[received]]</f>
        <v>6.4385964912280702</v>
      </c>
      <c r="U2017" s="1">
        <v>25</v>
      </c>
      <c r="V2017" s="1">
        <v>0</v>
      </c>
      <c r="W2017" s="1">
        <v>48.631578947368425</v>
      </c>
      <c r="X2017" s="1">
        <v>10</v>
      </c>
      <c r="Y2017" s="1">
        <v>8.5</v>
      </c>
      <c r="Z2017" s="18">
        <f>grand[[#This Row],[av. Transportation loss]]/grand[[#This Row],[av.total weight]]</f>
        <v>2.2120986464584519E-2</v>
      </c>
      <c r="AA2017" s="12">
        <f>AVERAGE((grand[[#This Row],[am]]/25),(grand[[#This Row],[pm]]/50))</f>
        <v>0.98631578947368426</v>
      </c>
      <c r="AB2017" s="3">
        <f>grand[[#This Row],[ carcass weight]]/grand[[#This Row],[total weight]]</f>
        <v>0.59997371763984397</v>
      </c>
      <c r="AC2017" s="18">
        <f>SUM(grand[[#This Row],[am]:[meat transportation]])/100</f>
        <v>0.9213157894736842</v>
      </c>
      <c r="AJ2017" s="1">
        <v>12</v>
      </c>
      <c r="AK2017" s="1"/>
      <c r="AL2017" s="1"/>
    </row>
    <row r="2018" spans="1:38" hidden="1" x14ac:dyDescent="0.2">
      <c r="A2018" s="11">
        <v>45304</v>
      </c>
      <c r="B2018" s="53" t="s">
        <v>2860</v>
      </c>
      <c r="C2018" s="52" t="str">
        <f>IF(MID(B2018,4,2)="09","Ramadan",IF(AND(MID(B2018,4,2)="12",VALUE(LEFT(B2018,2))&lt;=9),"Adha Season","Normal"))</f>
        <v>Normal</v>
      </c>
      <c r="D2018" s="1" t="s">
        <v>45</v>
      </c>
      <c r="E2018" s="1" t="s">
        <v>483</v>
      </c>
      <c r="F2018" s="4" t="s">
        <v>39</v>
      </c>
      <c r="G2018" s="1">
        <v>40</v>
      </c>
      <c r="H2018" s="1">
        <v>39</v>
      </c>
      <c r="I2018" s="1">
        <f>grand[[#This Row],[number]]-grand[[#This Row],[received]]</f>
        <v>1</v>
      </c>
      <c r="J2018" s="30" t="s">
        <v>302</v>
      </c>
      <c r="K2018" s="2">
        <v>17814</v>
      </c>
      <c r="L2018" s="2">
        <v>17814</v>
      </c>
      <c r="M2018" s="2">
        <f>K2018-L2018</f>
        <v>0</v>
      </c>
      <c r="N2018" s="2">
        <v>10883.6</v>
      </c>
      <c r="O2018" s="2">
        <v>374</v>
      </c>
      <c r="P2018" s="7">
        <f>grand[[#This Row],[total weight]]/grand[[#This Row],[received]]</f>
        <v>456.76923076923077</v>
      </c>
      <c r="Q2018" s="7">
        <f>grand[[#This Row],[receiving weight]]/grand[[#This Row],[received]]</f>
        <v>456.76923076923077</v>
      </c>
      <c r="R2018" s="7">
        <f>grand[[#This Row],[transportation loss ]]/grand[[#This Row],[received]]</f>
        <v>0</v>
      </c>
      <c r="S2018" s="7">
        <f>grand[[#This Row],[ carcass weight]]/grand[[#This Row],[received]]</f>
        <v>279.06666666666666</v>
      </c>
      <c r="T2018" s="7">
        <f>grand[[#This Row],[ kidneys fat quantity]]/grand[[#This Row],[received]]</f>
        <v>9.5897435897435894</v>
      </c>
      <c r="U2018" s="1">
        <v>24.871794871794872</v>
      </c>
      <c r="V2018" s="1">
        <v>0</v>
      </c>
      <c r="W2018" s="1">
        <v>49.179487179487182</v>
      </c>
      <c r="X2018" s="1">
        <v>10</v>
      </c>
      <c r="Y2018" s="1">
        <v>8.5</v>
      </c>
      <c r="Z2018" s="18">
        <f>grand[[#This Row],[av. Transportation loss]]/grand[[#This Row],[av.total weight]]</f>
        <v>0</v>
      </c>
      <c r="AA2018" s="12">
        <f>AVERAGE((grand[[#This Row],[am]]/25),(grand[[#This Row],[pm]]/50))</f>
        <v>0.98923076923076925</v>
      </c>
      <c r="AB2018" s="3">
        <f>grand[[#This Row],[ carcass weight]]/grand[[#This Row],[total weight]]</f>
        <v>0.61095767373975529</v>
      </c>
      <c r="AC2018" s="18">
        <f>SUM(grand[[#This Row],[am]:[meat transportation]])/100</f>
        <v>0.92551282051282058</v>
      </c>
      <c r="AJ2018" s="1">
        <v>11</v>
      </c>
      <c r="AK2018" s="1"/>
      <c r="AL2018" s="1"/>
    </row>
    <row r="2019" spans="1:38" hidden="1" x14ac:dyDescent="0.2">
      <c r="A2019" s="11">
        <v>45315</v>
      </c>
      <c r="B2019" s="53" t="s">
        <v>2864</v>
      </c>
      <c r="C2019" s="52" t="str">
        <f>IF(MID(B2019,4,2)="09","Ramadan",IF(AND(MID(B2019,4,2)="12",VALUE(LEFT(B2019,2))&lt;=9),"Adha Season","Normal"))</f>
        <v>Normal</v>
      </c>
      <c r="D2019" s="1" t="s">
        <v>45</v>
      </c>
      <c r="E2019" s="1" t="s">
        <v>528</v>
      </c>
      <c r="F2019" s="4" t="s">
        <v>462</v>
      </c>
      <c r="G2019" s="1">
        <v>52</v>
      </c>
      <c r="H2019" s="1">
        <v>51</v>
      </c>
      <c r="I2019" s="1">
        <f>grand[[#This Row],[number]]-grand[[#This Row],[received]]</f>
        <v>1</v>
      </c>
      <c r="J2019" s="30" t="s">
        <v>612</v>
      </c>
      <c r="K2019" s="2">
        <v>24512.974683544304</v>
      </c>
      <c r="L2019" s="2">
        <v>24512.974683544304</v>
      </c>
      <c r="M2019" s="2">
        <f>K2019-L2019</f>
        <v>0</v>
      </c>
      <c r="N2019" s="2">
        <v>15492.2</v>
      </c>
      <c r="O2019" s="2">
        <v>0</v>
      </c>
      <c r="P2019" s="7">
        <f>grand[[#This Row],[total weight]]/grand[[#This Row],[received]]</f>
        <v>480.64656242243734</v>
      </c>
      <c r="Q2019" s="7">
        <f>grand[[#This Row],[receiving weight]]/grand[[#This Row],[received]]</f>
        <v>480.64656242243734</v>
      </c>
      <c r="R2019" s="7">
        <f>grand[[#This Row],[transportation loss ]]/grand[[#This Row],[received]]</f>
        <v>0</v>
      </c>
      <c r="S2019" s="7">
        <f>grand[[#This Row],[ carcass weight]]/grand[[#This Row],[received]]</f>
        <v>303.76862745098043</v>
      </c>
      <c r="T2019" s="7">
        <f>grand[[#This Row],[ kidneys fat quantity]]/grand[[#This Row],[received]]</f>
        <v>0</v>
      </c>
      <c r="U2019" s="1">
        <v>25</v>
      </c>
      <c r="V2019" s="1">
        <v>4</v>
      </c>
      <c r="W2019" s="1">
        <v>50</v>
      </c>
      <c r="X2019" s="1">
        <v>9.9019607843137258</v>
      </c>
      <c r="Y2019" s="1">
        <v>8.5</v>
      </c>
      <c r="Z2019" s="18">
        <f>grand[[#This Row],[av. Transportation loss]]/grand[[#This Row],[av.total weight]]</f>
        <v>0</v>
      </c>
      <c r="AA2019" s="12">
        <f>AVERAGE((grand[[#This Row],[am]]/25),(grand[[#This Row],[pm]]/50))</f>
        <v>1</v>
      </c>
      <c r="AB2019" s="3">
        <f>grand[[#This Row],[ carcass weight]]/grand[[#This Row],[total weight]]</f>
        <v>0.63200000000000001</v>
      </c>
      <c r="AC2019" s="18">
        <f>SUM(grand[[#This Row],[am]:[meat transportation]])/100</f>
        <v>0.97401960784313735</v>
      </c>
      <c r="AK2019" s="1"/>
      <c r="AL2019" s="1"/>
    </row>
    <row r="2020" spans="1:38" hidden="1" x14ac:dyDescent="0.2">
      <c r="A2020" s="11">
        <v>45325</v>
      </c>
      <c r="B2020" s="53" t="s">
        <v>1934</v>
      </c>
      <c r="C2020" s="52" t="str">
        <f>IF(MID(B2020,4,2)="09","Ramadan",IF(AND(MID(B2020,4,2)="12",VALUE(LEFT(B2020,2))&lt;=9),"Adha Season","Normal"))</f>
        <v>Normal</v>
      </c>
      <c r="D2020" s="1" t="s">
        <v>45</v>
      </c>
      <c r="E2020" s="1" t="s">
        <v>483</v>
      </c>
      <c r="F2020" s="4" t="s">
        <v>39</v>
      </c>
      <c r="G2020" s="1">
        <v>36</v>
      </c>
      <c r="H2020" s="1">
        <v>35</v>
      </c>
      <c r="I2020" s="1">
        <f>grand[[#This Row],[number]]-grand[[#This Row],[received]]</f>
        <v>1</v>
      </c>
      <c r="J2020" s="30"/>
      <c r="K2020" s="2">
        <v>15164</v>
      </c>
      <c r="L2020" s="2">
        <v>14317</v>
      </c>
      <c r="M2020" s="2">
        <f>K2020-L2020</f>
        <v>847</v>
      </c>
      <c r="N2020" s="2">
        <v>9195.2999999999993</v>
      </c>
      <c r="O2020" s="2">
        <v>338</v>
      </c>
      <c r="P2020" s="7">
        <f>grand[[#This Row],[total weight]]/grand[[#This Row],[received]]</f>
        <v>433.25714285714287</v>
      </c>
      <c r="Q2020" s="7">
        <f>grand[[#This Row],[receiving weight]]/grand[[#This Row],[received]]</f>
        <v>409.05714285714288</v>
      </c>
      <c r="R2020" s="7">
        <f>grand[[#This Row],[transportation loss ]]/grand[[#This Row],[received]]</f>
        <v>24.2</v>
      </c>
      <c r="S2020" s="7">
        <f>grand[[#This Row],[ carcass weight]]/grand[[#This Row],[received]]</f>
        <v>262.72285714285709</v>
      </c>
      <c r="T2020" s="7">
        <f>grand[[#This Row],[ kidneys fat quantity]]/grand[[#This Row],[received]]</f>
        <v>9.6571428571428566</v>
      </c>
      <c r="U2020" s="1">
        <v>25</v>
      </c>
      <c r="V2020" s="1">
        <v>0</v>
      </c>
      <c r="W2020" s="1">
        <v>48.4</v>
      </c>
      <c r="X2020" s="1">
        <v>10</v>
      </c>
      <c r="Y2020" s="1">
        <v>8.5</v>
      </c>
      <c r="Z2020" s="18">
        <f>grand[[#This Row],[av. Transportation loss]]/grand[[#This Row],[av.total weight]]</f>
        <v>5.585597467686626E-2</v>
      </c>
      <c r="AA2020" s="12">
        <f>AVERAGE((grand[[#This Row],[am]]/25),(grand[[#This Row],[pm]]/50))</f>
        <v>0.98399999999999999</v>
      </c>
      <c r="AB2020" s="3">
        <f>grand[[#This Row],[ carcass weight]]/grand[[#This Row],[total weight]]</f>
        <v>0.60639013452914792</v>
      </c>
      <c r="AC2020" s="18">
        <f>SUM(grand[[#This Row],[am]:[meat transportation]])/100</f>
        <v>0.91900000000000004</v>
      </c>
      <c r="AK2020" s="1"/>
      <c r="AL2020" s="1"/>
    </row>
    <row r="2021" spans="1:38" hidden="1" x14ac:dyDescent="0.2">
      <c r="A2021" s="11">
        <v>45326</v>
      </c>
      <c r="B2021" s="53" t="s">
        <v>1935</v>
      </c>
      <c r="C2021" s="52" t="str">
        <f>IF(MID(B2021,4,2)="09","Ramadan",IF(AND(MID(B2021,4,2)="12",VALUE(LEFT(B2021,2))&lt;=9),"Adha Season","Normal"))</f>
        <v>Normal</v>
      </c>
      <c r="D2021" s="1" t="s">
        <v>45</v>
      </c>
      <c r="E2021" s="1" t="s">
        <v>483</v>
      </c>
      <c r="F2021" s="4" t="s">
        <v>550</v>
      </c>
      <c r="G2021" s="1">
        <v>18</v>
      </c>
      <c r="H2021" s="1">
        <v>17</v>
      </c>
      <c r="I2021" s="1">
        <f>grand[[#This Row],[number]]-grand[[#This Row],[received]]</f>
        <v>1</v>
      </c>
      <c r="J2021" s="30" t="s">
        <v>382</v>
      </c>
      <c r="K2021" s="2">
        <v>7665</v>
      </c>
      <c r="L2021" s="2">
        <v>7278</v>
      </c>
      <c r="M2021" s="2">
        <f>K2021-L2021</f>
        <v>387</v>
      </c>
      <c r="N2021" s="2">
        <v>4599.2</v>
      </c>
      <c r="O2021" s="2">
        <v>71</v>
      </c>
      <c r="P2021" s="7">
        <f>grand[[#This Row],[total weight]]/grand[[#This Row],[received]]</f>
        <v>450.88235294117646</v>
      </c>
      <c r="Q2021" s="7">
        <f>grand[[#This Row],[receiving weight]]/grand[[#This Row],[received]]</f>
        <v>428.11764705882354</v>
      </c>
      <c r="R2021" s="7">
        <f>grand[[#This Row],[transportation loss ]]/grand[[#This Row],[received]]</f>
        <v>22.764705882352942</v>
      </c>
      <c r="S2021" s="7">
        <f>grand[[#This Row],[ carcass weight]]/grand[[#This Row],[received]]</f>
        <v>270.5411764705882</v>
      </c>
      <c r="T2021" s="7">
        <f>grand[[#This Row],[ kidneys fat quantity]]/grand[[#This Row],[received]]</f>
        <v>4.1764705882352944</v>
      </c>
      <c r="U2021" s="1">
        <v>25</v>
      </c>
      <c r="V2021" s="1">
        <v>0</v>
      </c>
      <c r="W2021" s="1">
        <v>47</v>
      </c>
      <c r="X2021" s="1">
        <v>10</v>
      </c>
      <c r="Y2021" s="1">
        <v>8.5</v>
      </c>
      <c r="Z2021" s="18">
        <f>grand[[#This Row],[av. Transportation loss]]/grand[[#This Row],[av.total weight]]</f>
        <v>5.0489236790606656E-2</v>
      </c>
      <c r="AA2021" s="12">
        <f>AVERAGE((grand[[#This Row],[am]]/25),(grand[[#This Row],[pm]]/50))</f>
        <v>0.97</v>
      </c>
      <c r="AB2021" s="3">
        <f>grand[[#This Row],[ carcass weight]]/grand[[#This Row],[total weight]]</f>
        <v>0.60002609262883233</v>
      </c>
      <c r="AC2021" s="18">
        <f>SUM(grand[[#This Row],[am]:[meat transportation]])/100</f>
        <v>0.90500000000000003</v>
      </c>
      <c r="AJ2021" s="1">
        <v>8</v>
      </c>
      <c r="AK2021" s="1"/>
      <c r="AL2021" s="1"/>
    </row>
    <row r="2022" spans="1:38" hidden="1" x14ac:dyDescent="0.2">
      <c r="A2022" s="11">
        <v>45333</v>
      </c>
      <c r="B2022" s="53" t="s">
        <v>2869</v>
      </c>
      <c r="C2022" s="52" t="str">
        <f>IF(MID(B2022,4,2)="09","Ramadan",IF(AND(MID(B2022,4,2)="12",VALUE(LEFT(B2022,2))&lt;=9),"Adha Season","Normal"))</f>
        <v>Normal</v>
      </c>
      <c r="D2022" s="1" t="s">
        <v>45</v>
      </c>
      <c r="E2022" s="1" t="s">
        <v>483</v>
      </c>
      <c r="F2022" s="4" t="s">
        <v>280</v>
      </c>
      <c r="G2022" s="1">
        <v>53</v>
      </c>
      <c r="H2022" s="1">
        <v>52</v>
      </c>
      <c r="I2022" s="1">
        <f>grand[[#This Row],[number]]-grand[[#This Row],[received]]</f>
        <v>1</v>
      </c>
      <c r="J2022" s="30" t="s">
        <v>613</v>
      </c>
      <c r="K2022" s="2">
        <v>28087</v>
      </c>
      <c r="L2022" s="2">
        <v>27150</v>
      </c>
      <c r="M2022" s="2">
        <f>K2022-L2022</f>
        <v>937</v>
      </c>
      <c r="N2022" s="2">
        <v>16944.900000000001</v>
      </c>
      <c r="O2022" s="2">
        <v>622</v>
      </c>
      <c r="P2022" s="7">
        <f>grand[[#This Row],[total weight]]/grand[[#This Row],[received]]</f>
        <v>540.13461538461536</v>
      </c>
      <c r="Q2022" s="7">
        <f>grand[[#This Row],[receiving weight]]/grand[[#This Row],[received]]</f>
        <v>522.11538461538464</v>
      </c>
      <c r="R2022" s="7">
        <f>grand[[#This Row],[transportation loss ]]/grand[[#This Row],[received]]</f>
        <v>18.01923076923077</v>
      </c>
      <c r="S2022" s="7">
        <f>grand[[#This Row],[ carcass weight]]/grand[[#This Row],[received]]</f>
        <v>325.86346153846159</v>
      </c>
      <c r="T2022" s="7">
        <f>grand[[#This Row],[ kidneys fat quantity]]/grand[[#This Row],[received]]</f>
        <v>11.961538461538462</v>
      </c>
      <c r="U2022" s="1">
        <v>24.23076923076923</v>
      </c>
      <c r="V2022" s="1">
        <v>0</v>
      </c>
      <c r="W2022" s="1">
        <v>49.59615384615384</v>
      </c>
      <c r="X2022" s="1">
        <v>10</v>
      </c>
      <c r="Y2022" s="1">
        <v>8.5</v>
      </c>
      <c r="Z2022" s="18">
        <f>grand[[#This Row],[av. Transportation loss]]/grand[[#This Row],[av.total weight]]</f>
        <v>3.3360629472709798E-2</v>
      </c>
      <c r="AA2022" s="12">
        <f>AVERAGE((grand[[#This Row],[am]]/25),(grand[[#This Row],[pm]]/50))</f>
        <v>0.98057692307692301</v>
      </c>
      <c r="AB2022" s="3">
        <f>grand[[#This Row],[ carcass weight]]/grand[[#This Row],[total weight]]</f>
        <v>0.60330045928721476</v>
      </c>
      <c r="AC2022" s="18">
        <f>SUM(grand[[#This Row],[am]:[meat transportation]])/100</f>
        <v>0.92326923076923062</v>
      </c>
      <c r="AJ2022" s="1">
        <v>33</v>
      </c>
      <c r="AK2022" s="1"/>
      <c r="AL2022" s="1"/>
    </row>
    <row r="2023" spans="1:38" hidden="1" x14ac:dyDescent="0.2">
      <c r="A2023" s="11">
        <v>45334</v>
      </c>
      <c r="B2023" s="53" t="s">
        <v>1940</v>
      </c>
      <c r="C2023" s="52" t="str">
        <f>IF(MID(B2023,4,2)="09","Ramadan",IF(AND(MID(B2023,4,2)="12",VALUE(LEFT(B2023,2))&lt;=9),"Adha Season","Normal"))</f>
        <v>Normal</v>
      </c>
      <c r="D2023" s="1" t="s">
        <v>45</v>
      </c>
      <c r="E2023" s="1" t="s">
        <v>483</v>
      </c>
      <c r="F2023" s="4" t="s">
        <v>280</v>
      </c>
      <c r="G2023" s="1">
        <v>40</v>
      </c>
      <c r="H2023" s="1">
        <v>39</v>
      </c>
      <c r="I2023" s="1">
        <f>grand[[#This Row],[number]]-grand[[#This Row],[received]]</f>
        <v>1</v>
      </c>
      <c r="J2023" s="30" t="s">
        <v>614</v>
      </c>
      <c r="K2023" s="2">
        <v>20165</v>
      </c>
      <c r="L2023" s="2">
        <v>19415</v>
      </c>
      <c r="M2023" s="2">
        <f>K2023-L2023</f>
        <v>750</v>
      </c>
      <c r="N2023" s="2">
        <v>12116</v>
      </c>
      <c r="O2023" s="2">
        <v>446</v>
      </c>
      <c r="P2023" s="7">
        <f>grand[[#This Row],[total weight]]/grand[[#This Row],[received]]</f>
        <v>517.0512820512821</v>
      </c>
      <c r="Q2023" s="7">
        <f>grand[[#This Row],[receiving weight]]/grand[[#This Row],[received]]</f>
        <v>497.82051282051282</v>
      </c>
      <c r="R2023" s="7">
        <f>grand[[#This Row],[transportation loss ]]/grand[[#This Row],[received]]</f>
        <v>19.23076923076923</v>
      </c>
      <c r="S2023" s="7">
        <f>grand[[#This Row],[ carcass weight]]/grand[[#This Row],[received]]</f>
        <v>310.66666666666669</v>
      </c>
      <c r="T2023" s="7">
        <f>grand[[#This Row],[ kidneys fat quantity]]/grand[[#This Row],[received]]</f>
        <v>11.435897435897436</v>
      </c>
      <c r="U2023" s="1">
        <v>24.743589743589745</v>
      </c>
      <c r="V2023" s="1">
        <v>0</v>
      </c>
      <c r="W2023" s="1">
        <v>48.141025641025642</v>
      </c>
      <c r="X2023" s="1">
        <v>10</v>
      </c>
      <c r="Y2023" s="1">
        <v>8.5</v>
      </c>
      <c r="Z2023" s="18">
        <f>grand[[#This Row],[av. Transportation loss]]/grand[[#This Row],[av.total weight]]</f>
        <v>3.71931564592115E-2</v>
      </c>
      <c r="AA2023" s="12">
        <f>AVERAGE((grand[[#This Row],[am]]/25),(grand[[#This Row],[pm]]/50))</f>
        <v>0.97628205128205137</v>
      </c>
      <c r="AB2023" s="3">
        <f>grand[[#This Row],[ carcass weight]]/grand[[#This Row],[total weight]]</f>
        <v>0.60084304487974216</v>
      </c>
      <c r="AC2023" s="18">
        <f>SUM(grand[[#This Row],[am]:[meat transportation]])/100</f>
        <v>0.91384615384615386</v>
      </c>
      <c r="AJ2023" s="1">
        <v>11</v>
      </c>
      <c r="AK2023" s="1"/>
      <c r="AL2023" s="1"/>
    </row>
    <row r="2024" spans="1:38" hidden="1" x14ac:dyDescent="0.2">
      <c r="A2024" s="11">
        <v>45336</v>
      </c>
      <c r="B2024" s="53" t="s">
        <v>2870</v>
      </c>
      <c r="C2024" s="52" t="str">
        <f>IF(MID(B2024,4,2)="09","Ramadan",IF(AND(MID(B2024,4,2)="12",VALUE(LEFT(B2024,2))&lt;=9),"Adha Season","Normal"))</f>
        <v>Normal</v>
      </c>
      <c r="D2024" s="1" t="s">
        <v>45</v>
      </c>
      <c r="E2024" s="1" t="s">
        <v>528</v>
      </c>
      <c r="F2024" s="4" t="s">
        <v>462</v>
      </c>
      <c r="G2024" s="1">
        <v>48</v>
      </c>
      <c r="H2024" s="1">
        <v>47</v>
      </c>
      <c r="I2024" s="1">
        <f>grand[[#This Row],[number]]-grand[[#This Row],[received]]</f>
        <v>1</v>
      </c>
      <c r="J2024" s="30" t="s">
        <v>615</v>
      </c>
      <c r="K2024" s="2">
        <v>19406.32911392405</v>
      </c>
      <c r="L2024" s="2">
        <v>19406.32911392405</v>
      </c>
      <c r="M2024" s="2">
        <f>K2024-L2024</f>
        <v>0</v>
      </c>
      <c r="N2024" s="2">
        <v>12264.8</v>
      </c>
      <c r="O2024" s="2">
        <v>0</v>
      </c>
      <c r="P2024" s="7">
        <f>grand[[#This Row],[total weight]]/grand[[#This Row],[received]]</f>
        <v>412.90061944519255</v>
      </c>
      <c r="Q2024" s="7">
        <f>grand[[#This Row],[receiving weight]]/grand[[#This Row],[received]]</f>
        <v>412.90061944519255</v>
      </c>
      <c r="R2024" s="7">
        <f>grand[[#This Row],[transportation loss ]]/grand[[#This Row],[received]]</f>
        <v>0</v>
      </c>
      <c r="S2024" s="7">
        <f>grand[[#This Row],[ carcass weight]]/grand[[#This Row],[received]]</f>
        <v>260.9531914893617</v>
      </c>
      <c r="T2024" s="7">
        <f>grand[[#This Row],[ kidneys fat quantity]]/grand[[#This Row],[received]]</f>
        <v>0</v>
      </c>
      <c r="U2024" s="1">
        <v>25</v>
      </c>
      <c r="V2024" s="1">
        <v>4</v>
      </c>
      <c r="W2024" s="1">
        <v>50</v>
      </c>
      <c r="X2024" s="1">
        <v>10</v>
      </c>
      <c r="Y2024" s="1">
        <v>8.5</v>
      </c>
      <c r="Z2024" s="18">
        <f>grand[[#This Row],[av. Transportation loss]]/grand[[#This Row],[av.total weight]]</f>
        <v>0</v>
      </c>
      <c r="AA2024" s="12">
        <f>AVERAGE((grand[[#This Row],[am]]/25),(grand[[#This Row],[pm]]/50))</f>
        <v>1</v>
      </c>
      <c r="AB2024" s="3">
        <f>grand[[#This Row],[ carcass weight]]/grand[[#This Row],[total weight]]</f>
        <v>0.63200000000000001</v>
      </c>
      <c r="AC2024" s="18">
        <f>SUM(grand[[#This Row],[am]:[meat transportation]])/100</f>
        <v>0.97499999999999998</v>
      </c>
      <c r="AK2024" s="1"/>
      <c r="AL2024" s="1"/>
    </row>
    <row r="2025" spans="1:38" hidden="1" x14ac:dyDescent="0.2">
      <c r="A2025" s="11">
        <v>45344</v>
      </c>
      <c r="B2025" s="53" t="s">
        <v>2872</v>
      </c>
      <c r="C2025" s="52" t="str">
        <f>IF(MID(B2025,4,2)="09","Ramadan",IF(AND(MID(B2025,4,2)="12",VALUE(LEFT(B2025,2))&lt;=9),"Adha Season","Normal"))</f>
        <v>Normal</v>
      </c>
      <c r="D2025" s="1" t="s">
        <v>45</v>
      </c>
      <c r="E2025" s="1" t="s">
        <v>483</v>
      </c>
      <c r="F2025" s="4" t="s">
        <v>39</v>
      </c>
      <c r="G2025" s="1">
        <v>34</v>
      </c>
      <c r="H2025" s="1">
        <v>33</v>
      </c>
      <c r="I2025" s="1">
        <f>grand[[#This Row],[number]]-grand[[#This Row],[received]]</f>
        <v>1</v>
      </c>
      <c r="J2025" s="30" t="s">
        <v>557</v>
      </c>
      <c r="K2025" s="2">
        <v>14828</v>
      </c>
      <c r="L2025" s="2">
        <v>14265</v>
      </c>
      <c r="M2025" s="2">
        <f>K2025-L2025</f>
        <v>563</v>
      </c>
      <c r="N2025" s="2">
        <v>9193.9</v>
      </c>
      <c r="O2025" s="2">
        <v>362</v>
      </c>
      <c r="P2025" s="7">
        <f>grand[[#This Row],[total weight]]/grand[[#This Row],[received]]</f>
        <v>449.33333333333331</v>
      </c>
      <c r="Q2025" s="7">
        <f>grand[[#This Row],[receiving weight]]/grand[[#This Row],[received]]</f>
        <v>432.27272727272725</v>
      </c>
      <c r="R2025" s="7">
        <f>grand[[#This Row],[transportation loss ]]/grand[[#This Row],[received]]</f>
        <v>17.060606060606062</v>
      </c>
      <c r="S2025" s="7">
        <f>grand[[#This Row],[ carcass weight]]/grand[[#This Row],[received]]</f>
        <v>278.60303030303027</v>
      </c>
      <c r="T2025" s="7">
        <f>grand[[#This Row],[ kidneys fat quantity]]/grand[[#This Row],[received]]</f>
        <v>10.969696969696969</v>
      </c>
      <c r="U2025" s="1">
        <v>25</v>
      </c>
      <c r="V2025" s="1">
        <v>0</v>
      </c>
      <c r="W2025" s="1">
        <v>50</v>
      </c>
      <c r="X2025" s="1">
        <v>10</v>
      </c>
      <c r="Y2025" s="1">
        <v>8.5</v>
      </c>
      <c r="Z2025" s="18">
        <f>grand[[#This Row],[av. Transportation loss]]/grand[[#This Row],[av.total weight]]</f>
        <v>3.7968707850013494E-2</v>
      </c>
      <c r="AA2025" s="12">
        <f>AVERAGE((grand[[#This Row],[am]]/25),(grand[[#This Row],[pm]]/50))</f>
        <v>1</v>
      </c>
      <c r="AB2025" s="3">
        <f>grand[[#This Row],[ carcass weight]]/grand[[#This Row],[total weight]]</f>
        <v>0.62003641758834638</v>
      </c>
      <c r="AC2025" s="18">
        <f>SUM(grand[[#This Row],[am]:[meat transportation]])/100</f>
        <v>0.93500000000000005</v>
      </c>
      <c r="AJ2025" s="1">
        <v>6</v>
      </c>
      <c r="AK2025" s="1"/>
      <c r="AL2025" s="1"/>
    </row>
    <row r="2026" spans="1:38" hidden="1" x14ac:dyDescent="0.2">
      <c r="A2026" s="11">
        <v>45348</v>
      </c>
      <c r="B2026" s="53" t="s">
        <v>1943</v>
      </c>
      <c r="C2026" s="52" t="str">
        <f>IF(MID(B2026,4,2)="09","Ramadan",IF(AND(MID(B2026,4,2)="12",VALUE(LEFT(B2026,2))&lt;=9),"Adha Season","Normal"))</f>
        <v>Normal</v>
      </c>
      <c r="D2026" s="1" t="s">
        <v>45</v>
      </c>
      <c r="E2026" s="1" t="s">
        <v>483</v>
      </c>
      <c r="F2026" s="4" t="s">
        <v>43</v>
      </c>
      <c r="G2026" s="1">
        <v>32</v>
      </c>
      <c r="H2026" s="1">
        <v>31</v>
      </c>
      <c r="I2026" s="1">
        <f>grand[[#This Row],[number]]-grand[[#This Row],[received]]</f>
        <v>1</v>
      </c>
      <c r="J2026" s="30" t="s">
        <v>382</v>
      </c>
      <c r="K2026" s="2">
        <v>14997</v>
      </c>
      <c r="L2026" s="2">
        <v>14890</v>
      </c>
      <c r="M2026" s="2">
        <f>K2026-L2026</f>
        <v>107</v>
      </c>
      <c r="N2026" s="2">
        <v>8997.9</v>
      </c>
      <c r="O2026" s="2">
        <v>308</v>
      </c>
      <c r="P2026" s="7">
        <f>grand[[#This Row],[total weight]]/grand[[#This Row],[received]]</f>
        <v>483.77419354838707</v>
      </c>
      <c r="Q2026" s="7">
        <f>grand[[#This Row],[receiving weight]]/grand[[#This Row],[received]]</f>
        <v>480.32258064516128</v>
      </c>
      <c r="R2026" s="7">
        <f>grand[[#This Row],[transportation loss ]]/grand[[#This Row],[received]]</f>
        <v>3.4516129032258065</v>
      </c>
      <c r="S2026" s="7">
        <f>grand[[#This Row],[ carcass weight]]/grand[[#This Row],[received]]</f>
        <v>290.25483870967741</v>
      </c>
      <c r="T2026" s="7">
        <f>grand[[#This Row],[ kidneys fat quantity]]/grand[[#This Row],[received]]</f>
        <v>9.935483870967742</v>
      </c>
      <c r="U2026" s="1">
        <v>25</v>
      </c>
      <c r="V2026" s="1">
        <v>0</v>
      </c>
      <c r="W2026" s="1">
        <v>49.451612903225801</v>
      </c>
      <c r="X2026" s="1">
        <v>10</v>
      </c>
      <c r="Y2026" s="1">
        <v>8.5</v>
      </c>
      <c r="Z2026" s="18">
        <f>grand[[#This Row],[av. Transportation loss]]/grand[[#This Row],[av.total weight]]</f>
        <v>7.1347602853904122E-3</v>
      </c>
      <c r="AA2026" s="12">
        <f>AVERAGE((grand[[#This Row],[am]]/25),(grand[[#This Row],[pm]]/50))</f>
        <v>0.99451612903225795</v>
      </c>
      <c r="AB2026" s="3">
        <f>grand[[#This Row],[ carcass weight]]/grand[[#This Row],[total weight]]</f>
        <v>0.59997999599919982</v>
      </c>
      <c r="AC2026" s="18">
        <f>SUM(grand[[#This Row],[am]:[meat transportation]])/100</f>
        <v>0.92951612903225789</v>
      </c>
      <c r="AJ2026" s="1">
        <v>13</v>
      </c>
      <c r="AK2026" s="1"/>
      <c r="AL2026" s="1"/>
    </row>
    <row r="2027" spans="1:38" hidden="1" x14ac:dyDescent="0.2">
      <c r="A2027" s="11">
        <v>45350</v>
      </c>
      <c r="B2027" s="53" t="s">
        <v>2874</v>
      </c>
      <c r="C2027" s="52" t="str">
        <f>IF(MID(B2027,4,2)="09","Ramadan",IF(AND(MID(B2027,4,2)="12",VALUE(LEFT(B2027,2))&lt;=9),"Adha Season","Normal"))</f>
        <v>Normal</v>
      </c>
      <c r="D2027" s="1" t="s">
        <v>45</v>
      </c>
      <c r="E2027" s="1" t="s">
        <v>483</v>
      </c>
      <c r="F2027" s="4" t="s">
        <v>280</v>
      </c>
      <c r="G2027" s="1">
        <v>23</v>
      </c>
      <c r="H2027" s="1">
        <v>22</v>
      </c>
      <c r="I2027" s="1">
        <f>grand[[#This Row],[number]]-grand[[#This Row],[received]]</f>
        <v>1</v>
      </c>
      <c r="J2027" s="30" t="s">
        <v>617</v>
      </c>
      <c r="K2027" s="2">
        <v>11015</v>
      </c>
      <c r="L2027" s="2">
        <v>11015</v>
      </c>
      <c r="M2027" s="2">
        <f>K2027-L2027</f>
        <v>0</v>
      </c>
      <c r="N2027" s="2">
        <v>6632.5</v>
      </c>
      <c r="O2027" s="2">
        <v>238</v>
      </c>
      <c r="P2027" s="7">
        <f>grand[[#This Row],[total weight]]/grand[[#This Row],[received]]</f>
        <v>500.68181818181819</v>
      </c>
      <c r="Q2027" s="7">
        <f>grand[[#This Row],[receiving weight]]/grand[[#This Row],[received]]</f>
        <v>500.68181818181819</v>
      </c>
      <c r="R2027" s="7">
        <f>grand[[#This Row],[transportation loss ]]/grand[[#This Row],[received]]</f>
        <v>0</v>
      </c>
      <c r="S2027" s="7">
        <f>grand[[#This Row],[ carcass weight]]/grand[[#This Row],[received]]</f>
        <v>301.47727272727275</v>
      </c>
      <c r="T2027" s="7">
        <f>grand[[#This Row],[ kidneys fat quantity]]/grand[[#This Row],[received]]</f>
        <v>10.818181818181818</v>
      </c>
      <c r="U2027" s="1">
        <v>25</v>
      </c>
      <c r="V2027" s="1">
        <v>0</v>
      </c>
      <c r="W2027" s="1">
        <v>49.227272727272727</v>
      </c>
      <c r="X2027" s="1">
        <v>10</v>
      </c>
      <c r="Y2027" s="1">
        <v>8.5</v>
      </c>
      <c r="Z2027" s="18">
        <f>grand[[#This Row],[av. Transportation loss]]/grand[[#This Row],[av.total weight]]</f>
        <v>0</v>
      </c>
      <c r="AA2027" s="12">
        <f>AVERAGE((grand[[#This Row],[am]]/25),(grand[[#This Row],[pm]]/50))</f>
        <v>0.9922727272727272</v>
      </c>
      <c r="AB2027" s="3">
        <f>grand[[#This Row],[ carcass weight]]/grand[[#This Row],[total weight]]</f>
        <v>0.60213345438039034</v>
      </c>
      <c r="AC2027" s="18">
        <f>SUM(grand[[#This Row],[am]:[meat transportation]])/100</f>
        <v>0.92727272727272725</v>
      </c>
      <c r="AJ2027" s="1">
        <v>7</v>
      </c>
      <c r="AK2027" s="1"/>
      <c r="AL2027" s="1"/>
    </row>
    <row r="2028" spans="1:38" hidden="1" x14ac:dyDescent="0.2">
      <c r="A2028" s="11">
        <v>45353</v>
      </c>
      <c r="B2028" s="53" t="s">
        <v>2875</v>
      </c>
      <c r="C2028" s="52" t="str">
        <f>IF(MID(B2028,4,2)="09","Ramadan",IF(AND(MID(B2028,4,2)="12",VALUE(LEFT(B2028,2))&lt;=9),"Adha Season","Normal"))</f>
        <v>Normal</v>
      </c>
      <c r="D2028" s="1" t="s">
        <v>45</v>
      </c>
      <c r="E2028" s="1" t="s">
        <v>483</v>
      </c>
      <c r="F2028" s="4" t="s">
        <v>39</v>
      </c>
      <c r="G2028" s="1">
        <v>56</v>
      </c>
      <c r="H2028" s="1">
        <v>55</v>
      </c>
      <c r="I2028" s="1">
        <f>grand[[#This Row],[number]]-grand[[#This Row],[received]]</f>
        <v>1</v>
      </c>
      <c r="J2028" s="30" t="s">
        <v>619</v>
      </c>
      <c r="K2028" s="2">
        <v>23510</v>
      </c>
      <c r="L2028" s="2">
        <v>22495</v>
      </c>
      <c r="M2028" s="2">
        <f>K2028-L2028</f>
        <v>1015</v>
      </c>
      <c r="N2028" s="2">
        <v>14459</v>
      </c>
      <c r="O2028" s="2">
        <v>520</v>
      </c>
      <c r="P2028" s="7">
        <f>grand[[#This Row],[total weight]]/grand[[#This Row],[received]]</f>
        <v>427.45454545454544</v>
      </c>
      <c r="Q2028" s="7">
        <f>grand[[#This Row],[receiving weight]]/grand[[#This Row],[received]]</f>
        <v>409</v>
      </c>
      <c r="R2028" s="7">
        <f>grand[[#This Row],[transportation loss ]]/grand[[#This Row],[received]]</f>
        <v>18.454545454545453</v>
      </c>
      <c r="S2028" s="7">
        <f>grand[[#This Row],[ carcass weight]]/grand[[#This Row],[received]]</f>
        <v>262.89090909090908</v>
      </c>
      <c r="T2028" s="7">
        <f>grand[[#This Row],[ kidneys fat quantity]]/grand[[#This Row],[received]]</f>
        <v>9.454545454545455</v>
      </c>
      <c r="U2028" s="1">
        <v>25</v>
      </c>
      <c r="V2028" s="1">
        <v>0</v>
      </c>
      <c r="W2028" s="1">
        <v>49.163636363636357</v>
      </c>
      <c r="X2028" s="1">
        <v>9.9090909090909101</v>
      </c>
      <c r="Y2028" s="1">
        <v>8.5</v>
      </c>
      <c r="Z2028" s="18">
        <f>grand[[#This Row],[av. Transportation loss]]/grand[[#This Row],[av.total weight]]</f>
        <v>4.3173117822203316E-2</v>
      </c>
      <c r="AA2028" s="12">
        <f>AVERAGE((grand[[#This Row],[am]]/25),(grand[[#This Row],[pm]]/50))</f>
        <v>0.99163636363636365</v>
      </c>
      <c r="AB2028" s="3">
        <f>grand[[#This Row],[ carcass weight]]/grand[[#This Row],[total weight]]</f>
        <v>0.61501488728200771</v>
      </c>
      <c r="AC2028" s="18">
        <f>SUM(grand[[#This Row],[am]:[meat transportation]])/100</f>
        <v>0.92572727272727262</v>
      </c>
      <c r="AJ2028" s="1">
        <v>14</v>
      </c>
      <c r="AK2028" s="1"/>
      <c r="AL2028" s="1"/>
    </row>
    <row r="2029" spans="1:38" hidden="1" x14ac:dyDescent="0.2">
      <c r="A2029" s="11">
        <v>45357</v>
      </c>
      <c r="B2029" s="53" t="s">
        <v>1948</v>
      </c>
      <c r="C2029" s="52" t="str">
        <f>IF(MID(B2029,4,2)="09","Ramadan",IF(AND(MID(B2029,4,2)="12",VALUE(LEFT(B2029,2))&lt;=9),"Adha Season","Normal"))</f>
        <v>Normal</v>
      </c>
      <c r="D2029" s="1" t="s">
        <v>45</v>
      </c>
      <c r="E2029" s="1" t="s">
        <v>483</v>
      </c>
      <c r="F2029" s="4" t="s">
        <v>280</v>
      </c>
      <c r="G2029" s="1">
        <v>60</v>
      </c>
      <c r="H2029" s="1">
        <v>59</v>
      </c>
      <c r="I2029" s="1">
        <f>grand[[#This Row],[number]]-grand[[#This Row],[received]]</f>
        <v>1</v>
      </c>
      <c r="J2029" s="30" t="s">
        <v>596</v>
      </c>
      <c r="K2029" s="2">
        <v>30360</v>
      </c>
      <c r="L2029" s="2">
        <v>29395</v>
      </c>
      <c r="M2029" s="2">
        <f>K2029-L2029</f>
        <v>965</v>
      </c>
      <c r="N2029" s="2">
        <v>18236.5</v>
      </c>
      <c r="O2029" s="2">
        <v>669</v>
      </c>
      <c r="P2029" s="7">
        <f>grand[[#This Row],[total weight]]/grand[[#This Row],[received]]</f>
        <v>514.57627118644064</v>
      </c>
      <c r="Q2029" s="7">
        <f>grand[[#This Row],[receiving weight]]/grand[[#This Row],[received]]</f>
        <v>498.22033898305085</v>
      </c>
      <c r="R2029" s="7">
        <f>grand[[#This Row],[transportation loss ]]/grand[[#This Row],[received]]</f>
        <v>16.35593220338983</v>
      </c>
      <c r="S2029" s="7">
        <f>grand[[#This Row],[ carcass weight]]/grand[[#This Row],[received]]</f>
        <v>309.09322033898303</v>
      </c>
      <c r="T2029" s="7">
        <f>grand[[#This Row],[ kidneys fat quantity]]/grand[[#This Row],[received]]</f>
        <v>11.338983050847459</v>
      </c>
      <c r="U2029" s="1">
        <v>24.406779661016948</v>
      </c>
      <c r="V2029" s="1">
        <v>0</v>
      </c>
      <c r="W2029" s="1">
        <v>48.694915254237287</v>
      </c>
      <c r="X2029" s="1">
        <v>10</v>
      </c>
      <c r="Y2029" s="1">
        <v>8.5</v>
      </c>
      <c r="Z2029" s="18">
        <f>grand[[#This Row],[av. Transportation loss]]/grand[[#This Row],[av.total weight]]</f>
        <v>3.178524374176548E-2</v>
      </c>
      <c r="AA2029" s="12">
        <f>AVERAGE((grand[[#This Row],[am]]/25),(grand[[#This Row],[pm]]/50))</f>
        <v>0.97508474576271187</v>
      </c>
      <c r="AB2029" s="3">
        <f>grand[[#This Row],[ carcass weight]]/grand[[#This Row],[total weight]]</f>
        <v>0.60067523056653493</v>
      </c>
      <c r="AC2029" s="18">
        <f>SUM(grand[[#This Row],[am]:[meat transportation]])/100</f>
        <v>0.91601694915254228</v>
      </c>
      <c r="AJ2029" s="1">
        <v>39</v>
      </c>
      <c r="AK2029" s="1"/>
      <c r="AL2029" s="1"/>
    </row>
    <row r="2030" spans="1:38" hidden="1" x14ac:dyDescent="0.2">
      <c r="A2030" s="11">
        <v>45360</v>
      </c>
      <c r="B2030" s="53" t="s">
        <v>1951</v>
      </c>
      <c r="C2030" s="52" t="str">
        <f>IF(MID(B2030,4,2)="09","Ramadan",IF(AND(MID(B2030,4,2)="12",VALUE(LEFT(B2030,2))&lt;=9),"Adha Season","Normal"))</f>
        <v>Normal</v>
      </c>
      <c r="D2030" s="1" t="s">
        <v>45</v>
      </c>
      <c r="E2030" s="1" t="s">
        <v>483</v>
      </c>
      <c r="F2030" s="4" t="s">
        <v>43</v>
      </c>
      <c r="G2030" s="1">
        <v>47</v>
      </c>
      <c r="H2030" s="1">
        <v>46</v>
      </c>
      <c r="I2030" s="1">
        <f>grand[[#This Row],[number]]-grand[[#This Row],[received]]</f>
        <v>1</v>
      </c>
      <c r="J2030" s="30" t="s">
        <v>596</v>
      </c>
      <c r="K2030" s="2">
        <v>20973</v>
      </c>
      <c r="L2030" s="2">
        <v>20755</v>
      </c>
      <c r="M2030" s="2">
        <f>K2030-L2030</f>
        <v>218</v>
      </c>
      <c r="N2030" s="2">
        <v>12582.9</v>
      </c>
      <c r="O2030" s="2">
        <v>465</v>
      </c>
      <c r="P2030" s="7">
        <f>grand[[#This Row],[total weight]]/grand[[#This Row],[received]]</f>
        <v>455.93478260869563</v>
      </c>
      <c r="Q2030" s="7">
        <f>grand[[#This Row],[receiving weight]]/grand[[#This Row],[received]]</f>
        <v>451.19565217391306</v>
      </c>
      <c r="R2030" s="7">
        <f>grand[[#This Row],[transportation loss ]]/grand[[#This Row],[received]]</f>
        <v>4.7391304347826084</v>
      </c>
      <c r="S2030" s="7">
        <f>grand[[#This Row],[ carcass weight]]/grand[[#This Row],[received]]</f>
        <v>273.5413043478261</v>
      </c>
      <c r="T2030" s="7">
        <f>grand[[#This Row],[ kidneys fat quantity]]/grand[[#This Row],[received]]</f>
        <v>10.108695652173912</v>
      </c>
      <c r="U2030" s="1">
        <v>24.673913043478262</v>
      </c>
      <c r="V2030" s="1">
        <v>0</v>
      </c>
      <c r="W2030" s="1">
        <v>47.815217391304351</v>
      </c>
      <c r="X2030" s="1">
        <v>10</v>
      </c>
      <c r="Y2030" s="1">
        <v>8.5</v>
      </c>
      <c r="Z2030" s="18">
        <f>grand[[#This Row],[av. Transportation loss]]/grand[[#This Row],[av.total weight]]</f>
        <v>1.0394316502169456E-2</v>
      </c>
      <c r="AA2030" s="12">
        <f>AVERAGE((grand[[#This Row],[am]]/25),(grand[[#This Row],[pm]]/50))</f>
        <v>0.9716304347826088</v>
      </c>
      <c r="AB2030" s="3">
        <f>grand[[#This Row],[ carcass weight]]/grand[[#This Row],[total weight]]</f>
        <v>0.59995708768416534</v>
      </c>
      <c r="AC2030" s="18">
        <f>SUM(grand[[#This Row],[am]:[meat transportation]])/100</f>
        <v>0.90989130434782606</v>
      </c>
      <c r="AJ2030" s="1">
        <v>32</v>
      </c>
      <c r="AK2030" s="1"/>
      <c r="AL2030" s="1"/>
    </row>
    <row r="2031" spans="1:38" hidden="1" x14ac:dyDescent="0.2">
      <c r="A2031" s="11">
        <v>45360</v>
      </c>
      <c r="B2031" s="53" t="s">
        <v>1951</v>
      </c>
      <c r="C2031" s="52" t="str">
        <f>IF(MID(B2031,4,2)="09","Ramadan",IF(AND(MID(B2031,4,2)="12",VALUE(LEFT(B2031,2))&lt;=9),"Adha Season","Normal"))</f>
        <v>Normal</v>
      </c>
      <c r="D2031" s="1" t="s">
        <v>45</v>
      </c>
      <c r="E2031" s="1" t="s">
        <v>483</v>
      </c>
      <c r="F2031" s="4" t="s">
        <v>39</v>
      </c>
      <c r="G2031" s="1">
        <v>24</v>
      </c>
      <c r="H2031" s="1">
        <v>23</v>
      </c>
      <c r="I2031" s="1">
        <f>grand[[#This Row],[number]]-grand[[#This Row],[received]]</f>
        <v>1</v>
      </c>
      <c r="J2031" s="30" t="s">
        <v>596</v>
      </c>
      <c r="K2031" s="2">
        <v>9651</v>
      </c>
      <c r="L2031" s="2">
        <v>9595</v>
      </c>
      <c r="M2031" s="2">
        <f>K2031-L2031</f>
        <v>56</v>
      </c>
      <c r="N2031" s="2">
        <v>5900.6</v>
      </c>
      <c r="O2031" s="2">
        <v>205</v>
      </c>
      <c r="P2031" s="7">
        <f>grand[[#This Row],[total weight]]/grand[[#This Row],[received]]</f>
        <v>419.60869565217394</v>
      </c>
      <c r="Q2031" s="7">
        <f>grand[[#This Row],[receiving weight]]/grand[[#This Row],[received]]</f>
        <v>417.17391304347825</v>
      </c>
      <c r="R2031" s="7">
        <f>grand[[#This Row],[transportation loss ]]/grand[[#This Row],[received]]</f>
        <v>2.4347826086956523</v>
      </c>
      <c r="S2031" s="7">
        <f>grand[[#This Row],[ carcass weight]]/grand[[#This Row],[received]]</f>
        <v>256.54782608695655</v>
      </c>
      <c r="T2031" s="7">
        <f>grand[[#This Row],[ kidneys fat quantity]]/grand[[#This Row],[received]]</f>
        <v>8.9130434782608692</v>
      </c>
      <c r="U2031" s="1">
        <v>25</v>
      </c>
      <c r="V2031" s="1">
        <v>0</v>
      </c>
      <c r="W2031" s="1">
        <v>48.413043478260867</v>
      </c>
      <c r="X2031" s="1">
        <v>10</v>
      </c>
      <c r="Y2031" s="1">
        <v>8.5</v>
      </c>
      <c r="Z2031" s="18">
        <f>grand[[#This Row],[av. Transportation loss]]/grand[[#This Row],[av.total weight]]</f>
        <v>5.8025075121749042E-3</v>
      </c>
      <c r="AA2031" s="12">
        <f>AVERAGE((grand[[#This Row],[am]]/25),(grand[[#This Row],[pm]]/50))</f>
        <v>0.98413043478260875</v>
      </c>
      <c r="AB2031" s="3">
        <f>grand[[#This Row],[ carcass weight]]/grand[[#This Row],[total weight]]</f>
        <v>0.61139778261320077</v>
      </c>
      <c r="AC2031" s="18">
        <f>SUM(grand[[#This Row],[am]:[meat transportation]])/100</f>
        <v>0.9191304347826087</v>
      </c>
      <c r="AJ2031" s="1">
        <v>3</v>
      </c>
      <c r="AK2031" s="1"/>
      <c r="AL2031" s="1"/>
    </row>
    <row r="2032" spans="1:38" hidden="1" x14ac:dyDescent="0.2">
      <c r="A2032" s="11">
        <v>45368</v>
      </c>
      <c r="B2032" s="53" t="s">
        <v>1954</v>
      </c>
      <c r="C2032" s="52" t="str">
        <f>IF(MID(B2032,4,2)="09","Ramadan",IF(AND(MID(B2032,4,2)="12",VALUE(LEFT(B2032,2))&lt;=9),"Adha Season","Normal"))</f>
        <v>Ramadan</v>
      </c>
      <c r="D2032" s="1" t="s">
        <v>45</v>
      </c>
      <c r="E2032" s="1" t="s">
        <v>483</v>
      </c>
      <c r="F2032" s="4" t="s">
        <v>43</v>
      </c>
      <c r="G2032" s="1">
        <v>32</v>
      </c>
      <c r="H2032" s="1">
        <v>31</v>
      </c>
      <c r="I2032" s="1">
        <f>grand[[#This Row],[number]]-grand[[#This Row],[received]]</f>
        <v>1</v>
      </c>
      <c r="J2032" s="30" t="s">
        <v>596</v>
      </c>
      <c r="K2032" s="2">
        <v>16325</v>
      </c>
      <c r="L2032" s="2">
        <v>15690</v>
      </c>
      <c r="M2032" s="2">
        <f>K2032-L2032</f>
        <v>635</v>
      </c>
      <c r="N2032" s="2">
        <v>9847.5</v>
      </c>
      <c r="O2032" s="2">
        <v>386</v>
      </c>
      <c r="P2032" s="7">
        <f>grand[[#This Row],[total weight]]/grand[[#This Row],[received]]</f>
        <v>526.61290322580646</v>
      </c>
      <c r="Q2032" s="7">
        <f>grand[[#This Row],[receiving weight]]/grand[[#This Row],[received]]</f>
        <v>506.12903225806451</v>
      </c>
      <c r="R2032" s="7">
        <f>grand[[#This Row],[transportation loss ]]/grand[[#This Row],[received]]</f>
        <v>20.483870967741936</v>
      </c>
      <c r="S2032" s="7">
        <f>grand[[#This Row],[ carcass weight]]/grand[[#This Row],[received]]</f>
        <v>317.66129032258067</v>
      </c>
      <c r="T2032" s="7">
        <f>grand[[#This Row],[ kidneys fat quantity]]/grand[[#This Row],[received]]</f>
        <v>12.451612903225806</v>
      </c>
      <c r="U2032" s="1">
        <v>24.516129032258064</v>
      </c>
      <c r="V2032" s="1">
        <v>0</v>
      </c>
      <c r="W2032" s="1">
        <v>46.209677419354833</v>
      </c>
      <c r="X2032" s="1">
        <v>10</v>
      </c>
      <c r="Y2032" s="1">
        <v>8.5</v>
      </c>
      <c r="Z2032" s="18">
        <f>grand[[#This Row],[av. Transportation loss]]/grand[[#This Row],[av.total weight]]</f>
        <v>3.8897396630934153E-2</v>
      </c>
      <c r="AA2032" s="12">
        <f>AVERAGE((grand[[#This Row],[am]]/25),(grand[[#This Row],[pm]]/50))</f>
        <v>0.95241935483870965</v>
      </c>
      <c r="AB2032" s="3">
        <f>grand[[#This Row],[ carcass weight]]/grand[[#This Row],[total weight]]</f>
        <v>0.60321592649310873</v>
      </c>
      <c r="AC2032" s="18">
        <f>SUM(grand[[#This Row],[am]:[meat transportation]])/100</f>
        <v>0.89225806451612899</v>
      </c>
      <c r="AJ2032" s="1">
        <v>16</v>
      </c>
      <c r="AK2032" s="1"/>
      <c r="AL2032" s="1"/>
    </row>
    <row r="2033" spans="1:38" hidden="1" x14ac:dyDescent="0.2">
      <c r="A2033" s="11">
        <v>45384</v>
      </c>
      <c r="B2033" s="53" t="s">
        <v>1960</v>
      </c>
      <c r="C2033" s="52" t="str">
        <f>IF(MID(B2033,4,2)="09","Ramadan",IF(AND(MID(B2033,4,2)="12",VALUE(LEFT(B2033,2))&lt;=9),"Adha Season","Normal"))</f>
        <v>Ramadan</v>
      </c>
      <c r="D2033" s="1" t="s">
        <v>45</v>
      </c>
      <c r="E2033" s="1" t="s">
        <v>483</v>
      </c>
      <c r="F2033" s="4" t="s">
        <v>280</v>
      </c>
      <c r="G2033" s="1">
        <v>52</v>
      </c>
      <c r="H2033" s="1">
        <v>51</v>
      </c>
      <c r="I2033" s="1">
        <f>grand[[#This Row],[number]]-grand[[#This Row],[received]]</f>
        <v>1</v>
      </c>
      <c r="J2033" s="30" t="s">
        <v>625</v>
      </c>
      <c r="K2033" s="2">
        <v>23830</v>
      </c>
      <c r="L2033" s="2">
        <v>23830</v>
      </c>
      <c r="M2033" s="2">
        <f>K2033-L2033</f>
        <v>0</v>
      </c>
      <c r="N2033" s="2">
        <v>14303.3</v>
      </c>
      <c r="O2033" s="2">
        <v>511</v>
      </c>
      <c r="P2033" s="7">
        <f>grand[[#This Row],[total weight]]/grand[[#This Row],[received]]</f>
        <v>467.25490196078431</v>
      </c>
      <c r="Q2033" s="7">
        <f>grand[[#This Row],[receiving weight]]/grand[[#This Row],[received]]</f>
        <v>467.25490196078431</v>
      </c>
      <c r="R2033" s="7">
        <f>grand[[#This Row],[transportation loss ]]/grand[[#This Row],[received]]</f>
        <v>0</v>
      </c>
      <c r="S2033" s="7">
        <f>grand[[#This Row],[ carcass weight]]/grand[[#This Row],[received]]</f>
        <v>280.45686274509802</v>
      </c>
      <c r="T2033" s="7">
        <f>grand[[#This Row],[ kidneys fat quantity]]/grand[[#This Row],[received]]</f>
        <v>10.019607843137255</v>
      </c>
      <c r="U2033" s="1">
        <v>24.215686274509803</v>
      </c>
      <c r="V2033" s="1">
        <v>0</v>
      </c>
      <c r="W2033" s="1">
        <v>47.137254901960787</v>
      </c>
      <c r="X2033" s="1">
        <v>10</v>
      </c>
      <c r="Y2033" s="1">
        <v>8.5</v>
      </c>
      <c r="Z2033" s="18">
        <f>grand[[#This Row],[av. Transportation loss]]/grand[[#This Row],[av.total weight]]</f>
        <v>0</v>
      </c>
      <c r="AA2033" s="12">
        <f>AVERAGE((grand[[#This Row],[am]]/25),(grand[[#This Row],[pm]]/50))</f>
        <v>0.95568627450980403</v>
      </c>
      <c r="AB2033" s="3">
        <f>grand[[#This Row],[ carcass weight]]/grand[[#This Row],[total weight]]</f>
        <v>0.60022240872849342</v>
      </c>
      <c r="AC2033" s="18">
        <f>SUM(grand[[#This Row],[am]:[meat transportation]])/100</f>
        <v>0.89852941176470591</v>
      </c>
      <c r="AJ2033" s="1">
        <v>29</v>
      </c>
      <c r="AK2033" s="1"/>
      <c r="AL2033" s="1"/>
    </row>
    <row r="2034" spans="1:38" hidden="1" x14ac:dyDescent="0.2">
      <c r="A2034" s="11">
        <v>45388</v>
      </c>
      <c r="B2034" s="53" t="s">
        <v>2883</v>
      </c>
      <c r="C2034" s="52" t="str">
        <f>IF(MID(B2034,4,2)="09","Ramadan",IF(AND(MID(B2034,4,2)="12",VALUE(LEFT(B2034,2))&lt;=9),"Adha Season","Normal"))</f>
        <v>Ramadan</v>
      </c>
      <c r="D2034" s="1" t="s">
        <v>45</v>
      </c>
      <c r="E2034" s="1" t="s">
        <v>483</v>
      </c>
      <c r="F2034" s="4" t="s">
        <v>280</v>
      </c>
      <c r="G2034" s="1">
        <v>52</v>
      </c>
      <c r="H2034" s="1">
        <v>51</v>
      </c>
      <c r="I2034" s="1">
        <f>grand[[#This Row],[number]]-grand[[#This Row],[received]]</f>
        <v>1</v>
      </c>
      <c r="J2034" s="30" t="s">
        <v>626</v>
      </c>
      <c r="K2034" s="2">
        <v>25150</v>
      </c>
      <c r="L2034" s="2">
        <v>23559</v>
      </c>
      <c r="M2034" s="2">
        <f>K2034-L2034</f>
        <v>1591</v>
      </c>
      <c r="N2034" s="2">
        <v>15131.4</v>
      </c>
      <c r="O2034" s="2">
        <v>531</v>
      </c>
      <c r="P2034" s="7">
        <f>grand[[#This Row],[total weight]]/grand[[#This Row],[received]]</f>
        <v>493.13725490196077</v>
      </c>
      <c r="Q2034" s="7">
        <f>grand[[#This Row],[receiving weight]]/grand[[#This Row],[received]]</f>
        <v>461.94117647058823</v>
      </c>
      <c r="R2034" s="7">
        <f>grand[[#This Row],[transportation loss ]]/grand[[#This Row],[received]]</f>
        <v>31.196078431372548</v>
      </c>
      <c r="S2034" s="7">
        <f>grand[[#This Row],[ carcass weight]]/grand[[#This Row],[received]]</f>
        <v>296.69411764705882</v>
      </c>
      <c r="T2034" s="7">
        <f>grand[[#This Row],[ kidneys fat quantity]]/grand[[#This Row],[received]]</f>
        <v>10.411764705882353</v>
      </c>
      <c r="U2034" s="1">
        <v>25</v>
      </c>
      <c r="V2034" s="1">
        <v>0</v>
      </c>
      <c r="W2034" s="1">
        <v>49.215686274509807</v>
      </c>
      <c r="X2034" s="1">
        <v>10</v>
      </c>
      <c r="Y2034" s="1">
        <v>8.5</v>
      </c>
      <c r="Z2034" s="18">
        <f>grand[[#This Row],[av. Transportation loss]]/grand[[#This Row],[av.total weight]]</f>
        <v>6.3260437375745521E-2</v>
      </c>
      <c r="AA2034" s="12">
        <f>AVERAGE((grand[[#This Row],[am]]/25),(grand[[#This Row],[pm]]/50))</f>
        <v>0.99215686274509807</v>
      </c>
      <c r="AB2034" s="3">
        <f>grand[[#This Row],[ carcass weight]]/grand[[#This Row],[total weight]]</f>
        <v>0.60164612326043732</v>
      </c>
      <c r="AC2034" s="18">
        <f>SUM(grand[[#This Row],[am]:[meat transportation]])/100</f>
        <v>0.92715686274509812</v>
      </c>
      <c r="AJ2034" s="1">
        <v>17</v>
      </c>
      <c r="AK2034" s="1"/>
      <c r="AL2034" s="1"/>
    </row>
    <row r="2035" spans="1:38" hidden="1" x14ac:dyDescent="0.2">
      <c r="A2035" s="11">
        <v>45389</v>
      </c>
      <c r="B2035" s="53" t="s">
        <v>1963</v>
      </c>
      <c r="C2035" s="52" t="str">
        <f>IF(MID(B2035,4,2)="09","Ramadan",IF(AND(MID(B2035,4,2)="12",VALUE(LEFT(B2035,2))&lt;=9),"Adha Season","Normal"))</f>
        <v>Ramadan</v>
      </c>
      <c r="D2035" s="1" t="s">
        <v>45</v>
      </c>
      <c r="E2035" s="1" t="s">
        <v>483</v>
      </c>
      <c r="F2035" s="4" t="s">
        <v>39</v>
      </c>
      <c r="G2035" s="1">
        <v>54</v>
      </c>
      <c r="H2035" s="1">
        <v>53</v>
      </c>
      <c r="I2035" s="1">
        <f>grand[[#This Row],[number]]-grand[[#This Row],[received]]</f>
        <v>1</v>
      </c>
      <c r="J2035" s="30" t="s">
        <v>382</v>
      </c>
      <c r="K2035" s="2">
        <v>23208</v>
      </c>
      <c r="L2035" s="2">
        <v>22159</v>
      </c>
      <c r="M2035" s="2">
        <f>K2035-L2035</f>
        <v>1049</v>
      </c>
      <c r="N2035" s="2">
        <v>14177.6</v>
      </c>
      <c r="O2035" s="2">
        <v>497</v>
      </c>
      <c r="P2035" s="7">
        <f>grand[[#This Row],[total weight]]/grand[[#This Row],[received]]</f>
        <v>437.88679245283021</v>
      </c>
      <c r="Q2035" s="7">
        <f>grand[[#This Row],[receiving weight]]/grand[[#This Row],[received]]</f>
        <v>418.09433962264148</v>
      </c>
      <c r="R2035" s="7">
        <f>grand[[#This Row],[transportation loss ]]/grand[[#This Row],[received]]</f>
        <v>19.79245283018868</v>
      </c>
      <c r="S2035" s="7">
        <f>grand[[#This Row],[ carcass weight]]/grand[[#This Row],[received]]</f>
        <v>267.50188679245286</v>
      </c>
      <c r="T2035" s="7">
        <f>grand[[#This Row],[ kidneys fat quantity]]/grand[[#This Row],[received]]</f>
        <v>9.3773584905660385</v>
      </c>
      <c r="U2035" s="1">
        <v>25</v>
      </c>
      <c r="V2035" s="1">
        <v>0</v>
      </c>
      <c r="W2035" s="1">
        <v>49.160377358490564</v>
      </c>
      <c r="X2035" s="1">
        <v>9.9056603773584904</v>
      </c>
      <c r="Y2035" s="1">
        <v>8.5</v>
      </c>
      <c r="Z2035" s="18">
        <f>grand[[#This Row],[av. Transportation loss]]/grand[[#This Row],[av.total weight]]</f>
        <v>4.5199931058255774E-2</v>
      </c>
      <c r="AA2035" s="12">
        <f>AVERAGE((grand[[#This Row],[am]]/25),(grand[[#This Row],[pm]]/50))</f>
        <v>0.9916037735849057</v>
      </c>
      <c r="AB2035" s="3">
        <f>grand[[#This Row],[ carcass weight]]/grand[[#This Row],[total weight]]</f>
        <v>0.61089279558772835</v>
      </c>
      <c r="AC2035" s="18">
        <f>SUM(grand[[#This Row],[am]:[meat transportation]])/100</f>
        <v>0.92566037735849049</v>
      </c>
      <c r="AJ2035" s="1">
        <v>3</v>
      </c>
      <c r="AK2035" s="1"/>
      <c r="AL2035" s="1"/>
    </row>
    <row r="2036" spans="1:38" hidden="1" x14ac:dyDescent="0.2">
      <c r="A2036" s="11">
        <v>45400</v>
      </c>
      <c r="B2036" s="53" t="s">
        <v>1966</v>
      </c>
      <c r="C2036" s="52" t="str">
        <f>IF(MID(B2036,4,2)="09","Ramadan",IF(AND(MID(B2036,4,2)="12",VALUE(LEFT(B2036,2))&lt;=9),"Adha Season","Normal"))</f>
        <v>Normal</v>
      </c>
      <c r="D2036" s="1" t="s">
        <v>45</v>
      </c>
      <c r="E2036" s="1" t="s">
        <v>528</v>
      </c>
      <c r="F2036" s="4" t="s">
        <v>462</v>
      </c>
      <c r="G2036" s="1">
        <v>48</v>
      </c>
      <c r="H2036" s="1">
        <v>47</v>
      </c>
      <c r="I2036" s="1">
        <f>grand[[#This Row],[number]]-grand[[#This Row],[received]]</f>
        <v>1</v>
      </c>
      <c r="J2036" s="30" t="s">
        <v>596</v>
      </c>
      <c r="K2036" s="2">
        <v>20800</v>
      </c>
      <c r="L2036" s="2">
        <v>20800</v>
      </c>
      <c r="M2036" s="2">
        <f>K2036-L2036</f>
        <v>0</v>
      </c>
      <c r="N2036" s="2">
        <v>13145.6</v>
      </c>
      <c r="O2036" s="2">
        <v>0</v>
      </c>
      <c r="P2036" s="7">
        <f>grand[[#This Row],[total weight]]/grand[[#This Row],[received]]</f>
        <v>442.55319148936172</v>
      </c>
      <c r="Q2036" s="7">
        <f>grand[[#This Row],[receiving weight]]/grand[[#This Row],[received]]</f>
        <v>442.55319148936172</v>
      </c>
      <c r="R2036" s="7">
        <f>grand[[#This Row],[transportation loss ]]/grand[[#This Row],[received]]</f>
        <v>0</v>
      </c>
      <c r="S2036" s="7">
        <f>grand[[#This Row],[ carcass weight]]/grand[[#This Row],[received]]</f>
        <v>279.69361702127662</v>
      </c>
      <c r="T2036" s="7">
        <f>grand[[#This Row],[ kidneys fat quantity]]/grand[[#This Row],[received]]</f>
        <v>0</v>
      </c>
      <c r="U2036" s="1">
        <v>25</v>
      </c>
      <c r="V2036" s="1">
        <v>4</v>
      </c>
      <c r="W2036" s="1">
        <v>50</v>
      </c>
      <c r="X2036" s="1">
        <v>9.9</v>
      </c>
      <c r="Y2036" s="1">
        <v>8.5</v>
      </c>
      <c r="Z2036" s="18">
        <f>grand[[#This Row],[av. Transportation loss]]/grand[[#This Row],[av.total weight]]</f>
        <v>0</v>
      </c>
      <c r="AA2036" s="12">
        <f>AVERAGE((grand[[#This Row],[am]]/25),(grand[[#This Row],[pm]]/50))</f>
        <v>1</v>
      </c>
      <c r="AB2036" s="3">
        <f>grand[[#This Row],[ carcass weight]]/grand[[#This Row],[total weight]]</f>
        <v>0.63200000000000001</v>
      </c>
      <c r="AC2036" s="18">
        <f>SUM(grand[[#This Row],[am]:[meat transportation]])/100</f>
        <v>0.97400000000000009</v>
      </c>
      <c r="AK2036" s="1"/>
      <c r="AL2036" s="1"/>
    </row>
    <row r="2037" spans="1:38" hidden="1" x14ac:dyDescent="0.2">
      <c r="A2037" s="11">
        <v>45407</v>
      </c>
      <c r="B2037" s="53" t="s">
        <v>1968</v>
      </c>
      <c r="C2037" s="52" t="str">
        <f>IF(MID(B2037,4,2)="09","Ramadan",IF(AND(MID(B2037,4,2)="12",VALUE(LEFT(B2037,2))&lt;=9),"Adha Season","Normal"))</f>
        <v>Normal</v>
      </c>
      <c r="D2037" s="1" t="s">
        <v>45</v>
      </c>
      <c r="E2037" s="1" t="s">
        <v>528</v>
      </c>
      <c r="F2037" s="4" t="s">
        <v>39</v>
      </c>
      <c r="G2037" s="1">
        <v>60</v>
      </c>
      <c r="H2037" s="1">
        <v>59</v>
      </c>
      <c r="I2037" s="1">
        <f>grand[[#This Row],[number]]-grand[[#This Row],[received]]</f>
        <v>1</v>
      </c>
      <c r="J2037" s="30" t="s">
        <v>596</v>
      </c>
      <c r="K2037" s="2">
        <v>29267</v>
      </c>
      <c r="L2037" s="2">
        <v>28070</v>
      </c>
      <c r="M2037" s="2">
        <f>K2037-L2037</f>
        <v>1197</v>
      </c>
      <c r="N2037" s="2">
        <v>18027.599999999999</v>
      </c>
      <c r="O2037" s="2">
        <v>386</v>
      </c>
      <c r="P2037" s="7">
        <f>grand[[#This Row],[total weight]]/grand[[#This Row],[received]]</f>
        <v>496.05084745762713</v>
      </c>
      <c r="Q2037" s="7">
        <f>grand[[#This Row],[receiving weight]]/grand[[#This Row],[received]]</f>
        <v>475.76271186440675</v>
      </c>
      <c r="R2037" s="7">
        <f>grand[[#This Row],[transportation loss ]]/grand[[#This Row],[received]]</f>
        <v>20.288135593220339</v>
      </c>
      <c r="S2037" s="7">
        <f>grand[[#This Row],[ carcass weight]]/grand[[#This Row],[received]]</f>
        <v>305.55254237288131</v>
      </c>
      <c r="T2037" s="7">
        <f>grand[[#This Row],[ kidneys fat quantity]]/grand[[#This Row],[received]]</f>
        <v>6.5423728813559325</v>
      </c>
      <c r="U2037" s="1">
        <v>25</v>
      </c>
      <c r="V2037" s="1">
        <v>0</v>
      </c>
      <c r="W2037" s="1">
        <v>48.711864406779654</v>
      </c>
      <c r="X2037" s="1">
        <v>10</v>
      </c>
      <c r="Y2037" s="1">
        <v>8.5</v>
      </c>
      <c r="Z2037" s="18">
        <f>grand[[#This Row],[av. Transportation loss]]/grand[[#This Row],[av.total weight]]</f>
        <v>4.089930638603205E-2</v>
      </c>
      <c r="AA2037" s="12">
        <f>AVERAGE((grand[[#This Row],[am]]/25),(grand[[#This Row],[pm]]/50))</f>
        <v>0.98711864406779659</v>
      </c>
      <c r="AB2037" s="3">
        <f>grand[[#This Row],[ carcass weight]]/grand[[#This Row],[total weight]]</f>
        <v>0.61597020535073632</v>
      </c>
      <c r="AC2037" s="18">
        <f>SUM(grand[[#This Row],[am]:[meat transportation]])/100</f>
        <v>0.92211864406779653</v>
      </c>
      <c r="AK2037" s="1"/>
      <c r="AL2037" s="1"/>
    </row>
    <row r="2038" spans="1:38" hidden="1" x14ac:dyDescent="0.2">
      <c r="A2038" s="11">
        <v>45409</v>
      </c>
      <c r="B2038" s="53" t="s">
        <v>2888</v>
      </c>
      <c r="C2038" s="52" t="str">
        <f>IF(MID(B2038,4,2)="09","Ramadan",IF(AND(MID(B2038,4,2)="12",VALUE(LEFT(B2038,2))&lt;=9),"Adha Season","Normal"))</f>
        <v>Normal</v>
      </c>
      <c r="D2038" s="1" t="s">
        <v>45</v>
      </c>
      <c r="E2038" s="1" t="s">
        <v>528</v>
      </c>
      <c r="F2038" s="4" t="s">
        <v>462</v>
      </c>
      <c r="G2038" s="1">
        <v>60</v>
      </c>
      <c r="H2038" s="1">
        <v>59</v>
      </c>
      <c r="I2038" s="1">
        <f>grand[[#This Row],[number]]-grand[[#This Row],[received]]</f>
        <v>1</v>
      </c>
      <c r="J2038" s="30" t="s">
        <v>630</v>
      </c>
      <c r="K2038" s="2">
        <v>28957.911392405065</v>
      </c>
      <c r="L2038" s="2">
        <v>28957.911392405065</v>
      </c>
      <c r="M2038" s="2">
        <f>K2038-L2038</f>
        <v>0</v>
      </c>
      <c r="N2038" s="2">
        <v>18301.400000000001</v>
      </c>
      <c r="O2038" s="2">
        <v>0</v>
      </c>
      <c r="P2038" s="7">
        <f>grand[[#This Row],[total weight]]/grand[[#This Row],[received]]</f>
        <v>490.81205749839091</v>
      </c>
      <c r="Q2038" s="7">
        <f>grand[[#This Row],[receiving weight]]/grand[[#This Row],[received]]</f>
        <v>490.81205749839091</v>
      </c>
      <c r="R2038" s="7">
        <f>grand[[#This Row],[transportation loss ]]/grand[[#This Row],[received]]</f>
        <v>0</v>
      </c>
      <c r="S2038" s="7">
        <f>grand[[#This Row],[ carcass weight]]/grand[[#This Row],[received]]</f>
        <v>310.19322033898305</v>
      </c>
      <c r="T2038" s="7">
        <f>grand[[#This Row],[ kidneys fat quantity]]/grand[[#This Row],[received]]</f>
        <v>0</v>
      </c>
      <c r="U2038" s="1">
        <v>25</v>
      </c>
      <c r="V2038" s="1">
        <v>4</v>
      </c>
      <c r="W2038" s="1">
        <v>50</v>
      </c>
      <c r="X2038" s="1">
        <v>10</v>
      </c>
      <c r="Y2038" s="1">
        <v>8.5</v>
      </c>
      <c r="Z2038" s="18">
        <f>grand[[#This Row],[av. Transportation loss]]/grand[[#This Row],[av.total weight]]</f>
        <v>0</v>
      </c>
      <c r="AA2038" s="12">
        <f>AVERAGE((grand[[#This Row],[am]]/25),(grand[[#This Row],[pm]]/50))</f>
        <v>1</v>
      </c>
      <c r="AB2038" s="3">
        <f>grand[[#This Row],[ carcass weight]]/grand[[#This Row],[total weight]]</f>
        <v>0.63200000000000001</v>
      </c>
      <c r="AC2038" s="18">
        <f>SUM(grand[[#This Row],[am]:[meat transportation]])/100</f>
        <v>0.97499999999999998</v>
      </c>
      <c r="AK2038" s="1"/>
      <c r="AL2038" s="1"/>
    </row>
    <row r="2039" spans="1:38" hidden="1" x14ac:dyDescent="0.2">
      <c r="A2039" s="11">
        <v>45414</v>
      </c>
      <c r="B2039" s="53" t="s">
        <v>1970</v>
      </c>
      <c r="C2039" s="52" t="str">
        <f>IF(MID(B2039,4,2)="09","Ramadan",IF(AND(MID(B2039,4,2)="12",VALUE(LEFT(B2039,2))&lt;=9),"Adha Season","Normal"))</f>
        <v>Normal</v>
      </c>
      <c r="D2039" s="1" t="s">
        <v>45</v>
      </c>
      <c r="E2039" s="1" t="s">
        <v>483</v>
      </c>
      <c r="F2039" s="4" t="s">
        <v>43</v>
      </c>
      <c r="G2039" s="1">
        <v>45</v>
      </c>
      <c r="H2039" s="1">
        <v>44</v>
      </c>
      <c r="I2039" s="1">
        <f>grand[[#This Row],[number]]-grand[[#This Row],[received]]</f>
        <v>1</v>
      </c>
      <c r="J2039" s="30" t="s">
        <v>632</v>
      </c>
      <c r="K2039" s="2">
        <v>22660</v>
      </c>
      <c r="L2039" s="2">
        <v>21830</v>
      </c>
      <c r="M2039" s="2">
        <f>K2039-L2039</f>
        <v>830</v>
      </c>
      <c r="N2039" s="2">
        <v>13721.5</v>
      </c>
      <c r="O2039" s="2">
        <v>527</v>
      </c>
      <c r="P2039" s="7">
        <f>grand[[#This Row],[total weight]]/grand[[#This Row],[received]]</f>
        <v>515</v>
      </c>
      <c r="Q2039" s="7">
        <f>grand[[#This Row],[receiving weight]]/grand[[#This Row],[received]]</f>
        <v>496.13636363636363</v>
      </c>
      <c r="R2039" s="7">
        <f>grand[[#This Row],[transportation loss ]]/grand[[#This Row],[received]]</f>
        <v>18.863636363636363</v>
      </c>
      <c r="S2039" s="7">
        <f>grand[[#This Row],[ carcass weight]]/grand[[#This Row],[received]]</f>
        <v>311.85227272727275</v>
      </c>
      <c r="T2039" s="7">
        <f>grand[[#This Row],[ kidneys fat quantity]]/grand[[#This Row],[received]]</f>
        <v>11.977272727272727</v>
      </c>
      <c r="U2039" s="1">
        <v>25</v>
      </c>
      <c r="V2039" s="1">
        <v>0</v>
      </c>
      <c r="W2039" s="1">
        <v>46.386363636363633</v>
      </c>
      <c r="X2039" s="1">
        <v>10</v>
      </c>
      <c r="Y2039" s="1">
        <v>8.5</v>
      </c>
      <c r="Z2039" s="18">
        <f>grand[[#This Row],[av. Transportation loss]]/grand[[#This Row],[av.total weight]]</f>
        <v>3.6628420123565757E-2</v>
      </c>
      <c r="AA2039" s="12">
        <f>AVERAGE((grand[[#This Row],[am]]/25),(grand[[#This Row],[pm]]/50))</f>
        <v>0.96386363636363637</v>
      </c>
      <c r="AB2039" s="3">
        <f>grand[[#This Row],[ carcass weight]]/grand[[#This Row],[total weight]]</f>
        <v>0.6055383936451898</v>
      </c>
      <c r="AC2039" s="18">
        <f>SUM(grand[[#This Row],[am]:[meat transportation]])/100</f>
        <v>0.89886363636363631</v>
      </c>
      <c r="AJ2039" s="1">
        <v>31</v>
      </c>
      <c r="AK2039" s="1"/>
      <c r="AL2039" s="1"/>
    </row>
    <row r="2040" spans="1:38" hidden="1" x14ac:dyDescent="0.2">
      <c r="A2040" s="11">
        <v>45416</v>
      </c>
      <c r="B2040" s="53" t="s">
        <v>2890</v>
      </c>
      <c r="C2040" s="52" t="str">
        <f>IF(MID(B2040,4,2)="09","Ramadan",IF(AND(MID(B2040,4,2)="12",VALUE(LEFT(B2040,2))&lt;=9),"Adha Season","Normal"))</f>
        <v>Normal</v>
      </c>
      <c r="D2040" s="1" t="s">
        <v>45</v>
      </c>
      <c r="E2040" s="1" t="s">
        <v>483</v>
      </c>
      <c r="F2040" s="4" t="s">
        <v>43</v>
      </c>
      <c r="G2040" s="1">
        <v>50</v>
      </c>
      <c r="H2040" s="1">
        <v>49</v>
      </c>
      <c r="I2040" s="1">
        <f>grand[[#This Row],[number]]-grand[[#This Row],[received]]</f>
        <v>1</v>
      </c>
      <c r="J2040" s="30" t="s">
        <v>633</v>
      </c>
      <c r="K2040" s="2">
        <v>25185</v>
      </c>
      <c r="L2040" s="2">
        <v>24095</v>
      </c>
      <c r="M2040" s="2">
        <f>K2040-L2040</f>
        <v>1090</v>
      </c>
      <c r="N2040" s="2">
        <v>15361.3</v>
      </c>
      <c r="O2040" s="2">
        <v>640</v>
      </c>
      <c r="P2040" s="7">
        <f>grand[[#This Row],[total weight]]/grand[[#This Row],[received]]</f>
        <v>513.9795918367347</v>
      </c>
      <c r="Q2040" s="7">
        <f>grand[[#This Row],[receiving weight]]/grand[[#This Row],[received]]</f>
        <v>491.73469387755102</v>
      </c>
      <c r="R2040" s="7">
        <f>grand[[#This Row],[transportation loss ]]/grand[[#This Row],[received]]</f>
        <v>22.244897959183675</v>
      </c>
      <c r="S2040" s="7">
        <f>grand[[#This Row],[ carcass weight]]/grand[[#This Row],[received]]</f>
        <v>313.49591836734692</v>
      </c>
      <c r="T2040" s="7">
        <f>grand[[#This Row],[ kidneys fat quantity]]/grand[[#This Row],[received]]</f>
        <v>13.061224489795919</v>
      </c>
      <c r="U2040" s="1">
        <v>25</v>
      </c>
      <c r="V2040" s="1">
        <v>0</v>
      </c>
      <c r="W2040" s="1">
        <v>48.867346938775512</v>
      </c>
      <c r="X2040" s="1">
        <v>10</v>
      </c>
      <c r="Y2040" s="1">
        <v>8.5</v>
      </c>
      <c r="Z2040" s="18">
        <f>grand[[#This Row],[av. Transportation loss]]/grand[[#This Row],[av.total weight]]</f>
        <v>4.3279729998014695E-2</v>
      </c>
      <c r="AA2040" s="12">
        <f>AVERAGE((grand[[#This Row],[am]]/25),(grand[[#This Row],[pm]]/50))</f>
        <v>0.98867346938775513</v>
      </c>
      <c r="AB2040" s="3">
        <f>grand[[#This Row],[ carcass weight]]/grand[[#This Row],[total weight]]</f>
        <v>0.60993845542981928</v>
      </c>
      <c r="AC2040" s="18">
        <f>SUM(grand[[#This Row],[am]:[meat transportation]])/100</f>
        <v>0.92367346938775508</v>
      </c>
      <c r="AJ2040" s="1">
        <v>17</v>
      </c>
      <c r="AK2040" s="1"/>
      <c r="AL2040" s="1"/>
    </row>
    <row r="2041" spans="1:38" hidden="1" x14ac:dyDescent="0.2">
      <c r="A2041" s="11">
        <v>45431</v>
      </c>
      <c r="B2041" s="53" t="s">
        <v>1975</v>
      </c>
      <c r="C2041" s="52" t="str">
        <f>IF(MID(B2041,4,2)="09","Ramadan",IF(AND(MID(B2041,4,2)="12",VALUE(LEFT(B2041,2))&lt;=9),"Adha Season","Normal"))</f>
        <v>Normal</v>
      </c>
      <c r="D2041" s="1" t="s">
        <v>45</v>
      </c>
      <c r="E2041" s="1" t="s">
        <v>483</v>
      </c>
      <c r="F2041" s="4" t="s">
        <v>280</v>
      </c>
      <c r="G2041" s="1">
        <v>49</v>
      </c>
      <c r="H2041" s="1">
        <v>48</v>
      </c>
      <c r="I2041" s="1">
        <f>grand[[#This Row],[number]]-grand[[#This Row],[received]]</f>
        <v>1</v>
      </c>
      <c r="J2041" s="30" t="s">
        <v>634</v>
      </c>
      <c r="K2041" s="2">
        <v>24555</v>
      </c>
      <c r="L2041" s="2">
        <v>23690</v>
      </c>
      <c r="M2041" s="2">
        <f>K2041-L2041</f>
        <v>865</v>
      </c>
      <c r="N2041" s="2">
        <v>15035.4</v>
      </c>
      <c r="O2041" s="2">
        <v>566</v>
      </c>
      <c r="P2041" s="7">
        <f>grand[[#This Row],[total weight]]/grand[[#This Row],[received]]</f>
        <v>511.5625</v>
      </c>
      <c r="Q2041" s="7">
        <f>grand[[#This Row],[receiving weight]]/grand[[#This Row],[received]]</f>
        <v>493.54166666666669</v>
      </c>
      <c r="R2041" s="7">
        <f>grand[[#This Row],[transportation loss ]]/grand[[#This Row],[received]]</f>
        <v>18.020833333333332</v>
      </c>
      <c r="S2041" s="7">
        <f>grand[[#This Row],[ carcass weight]]/grand[[#This Row],[received]]</f>
        <v>313.23750000000001</v>
      </c>
      <c r="T2041" s="7">
        <f>grand[[#This Row],[ kidneys fat quantity]]/grand[[#This Row],[received]]</f>
        <v>11.791666666666666</v>
      </c>
      <c r="U2041" s="1">
        <v>24.6875</v>
      </c>
      <c r="V2041" s="1">
        <v>0</v>
      </c>
      <c r="W2041" s="1">
        <v>45.979166666666664</v>
      </c>
      <c r="X2041" s="1">
        <v>10</v>
      </c>
      <c r="Y2041" s="1">
        <v>8.5</v>
      </c>
      <c r="Z2041" s="18">
        <f>grand[[#This Row],[av. Transportation loss]]/grand[[#This Row],[av.total weight]]</f>
        <v>3.5227041335776824E-2</v>
      </c>
      <c r="AA2041" s="12">
        <f>AVERAGE((grand[[#This Row],[am]]/25),(grand[[#This Row],[pm]]/50))</f>
        <v>0.95354166666666673</v>
      </c>
      <c r="AB2041" s="3">
        <f>grand[[#This Row],[ carcass weight]]/grand[[#This Row],[total weight]]</f>
        <v>0.61231521075137441</v>
      </c>
      <c r="AC2041" s="18">
        <f>SUM(grand[[#This Row],[am]:[meat transportation]])/100</f>
        <v>0.89166666666666661</v>
      </c>
      <c r="AJ2041" s="1">
        <v>19</v>
      </c>
      <c r="AK2041" s="1"/>
      <c r="AL2041" s="1"/>
    </row>
    <row r="2042" spans="1:38" hidden="1" x14ac:dyDescent="0.2">
      <c r="A2042" s="11">
        <v>45437</v>
      </c>
      <c r="B2042" s="53" t="s">
        <v>2896</v>
      </c>
      <c r="C2042" s="52" t="str">
        <f>IF(MID(B2042,4,2)="09","Ramadan",IF(AND(MID(B2042,4,2)="12",VALUE(LEFT(B2042,2))&lt;=9),"Adha Season","Normal"))</f>
        <v>Normal</v>
      </c>
      <c r="D2042" s="1" t="s">
        <v>45</v>
      </c>
      <c r="E2042" s="1" t="s">
        <v>483</v>
      </c>
      <c r="F2042" s="4" t="s">
        <v>280</v>
      </c>
      <c r="G2042" s="1">
        <v>38</v>
      </c>
      <c r="H2042" s="1">
        <v>37</v>
      </c>
      <c r="I2042" s="1">
        <f>grand[[#This Row],[number]]-grand[[#This Row],[received]]</f>
        <v>1</v>
      </c>
      <c r="J2042" s="30" t="s">
        <v>596</v>
      </c>
      <c r="K2042" s="2">
        <v>17855</v>
      </c>
      <c r="L2042" s="2">
        <v>17375</v>
      </c>
      <c r="M2042" s="2">
        <f>K2042-L2042</f>
        <v>480</v>
      </c>
      <c r="N2042" s="2">
        <v>10801</v>
      </c>
      <c r="O2042" s="2">
        <v>369</v>
      </c>
      <c r="P2042" s="7">
        <f>grand[[#This Row],[total weight]]/grand[[#This Row],[received]]</f>
        <v>482.56756756756755</v>
      </c>
      <c r="Q2042" s="7">
        <f>grand[[#This Row],[receiving weight]]/grand[[#This Row],[received]]</f>
        <v>469.59459459459458</v>
      </c>
      <c r="R2042" s="7">
        <f>grand[[#This Row],[transportation loss ]]/grand[[#This Row],[received]]</f>
        <v>12.972972972972974</v>
      </c>
      <c r="S2042" s="7">
        <f>grand[[#This Row],[ carcass weight]]/grand[[#This Row],[received]]</f>
        <v>291.91891891891891</v>
      </c>
      <c r="T2042" s="7">
        <f>grand[[#This Row],[ kidneys fat quantity]]/grand[[#This Row],[received]]</f>
        <v>9.9729729729729737</v>
      </c>
      <c r="U2042" s="1">
        <v>24.594594594594597</v>
      </c>
      <c r="V2042" s="1">
        <v>0</v>
      </c>
      <c r="W2042" s="1">
        <v>47.432432432432428</v>
      </c>
      <c r="X2042" s="1">
        <v>10</v>
      </c>
      <c r="Y2042" s="1">
        <v>8.5</v>
      </c>
      <c r="Z2042" s="18">
        <f>grand[[#This Row],[av. Transportation loss]]/grand[[#This Row],[av.total weight]]</f>
        <v>2.6883225987118457E-2</v>
      </c>
      <c r="AA2042" s="12">
        <f>AVERAGE((grand[[#This Row],[am]]/25),(grand[[#This Row],[pm]]/50))</f>
        <v>0.96621621621621623</v>
      </c>
      <c r="AB2042" s="3">
        <f>grand[[#This Row],[ carcass weight]]/grand[[#This Row],[total weight]]</f>
        <v>0.60492859143097166</v>
      </c>
      <c r="AC2042" s="18">
        <f>SUM(grand[[#This Row],[am]:[meat transportation]])/100</f>
        <v>0.90527027027027029</v>
      </c>
      <c r="AJ2042" s="1">
        <v>26</v>
      </c>
      <c r="AK2042" s="1"/>
      <c r="AL2042" s="1"/>
    </row>
    <row r="2043" spans="1:38" hidden="1" x14ac:dyDescent="0.2">
      <c r="A2043" s="11">
        <v>45438</v>
      </c>
      <c r="B2043" s="53" t="s">
        <v>1978</v>
      </c>
      <c r="C2043" s="52" t="str">
        <f>IF(MID(B2043,4,2)="09","Ramadan",IF(AND(MID(B2043,4,2)="12",VALUE(LEFT(B2043,2))&lt;=9),"Adha Season","Normal"))</f>
        <v>Normal</v>
      </c>
      <c r="D2043" s="1" t="s">
        <v>45</v>
      </c>
      <c r="E2043" s="1" t="s">
        <v>483</v>
      </c>
      <c r="F2043" s="4" t="s">
        <v>550</v>
      </c>
      <c r="G2043" s="1">
        <v>18</v>
      </c>
      <c r="H2043" s="1">
        <v>17</v>
      </c>
      <c r="I2043" s="1">
        <f>grand[[#This Row],[number]]-grand[[#This Row],[received]]</f>
        <v>1</v>
      </c>
      <c r="J2043" s="30" t="s">
        <v>635</v>
      </c>
      <c r="K2043" s="2">
        <v>7414</v>
      </c>
      <c r="L2043" s="2">
        <v>6939</v>
      </c>
      <c r="M2043" s="2">
        <f>K2043-L2043</f>
        <v>475</v>
      </c>
      <c r="N2043" s="2">
        <v>4448.3</v>
      </c>
      <c r="O2043" s="2">
        <v>82</v>
      </c>
      <c r="P2043" s="7">
        <f>grand[[#This Row],[total weight]]/grand[[#This Row],[received]]</f>
        <v>436.11764705882354</v>
      </c>
      <c r="Q2043" s="7">
        <f>grand[[#This Row],[receiving weight]]/grand[[#This Row],[received]]</f>
        <v>408.1764705882353</v>
      </c>
      <c r="R2043" s="7">
        <f>grand[[#This Row],[transportation loss ]]/grand[[#This Row],[received]]</f>
        <v>27.941176470588236</v>
      </c>
      <c r="S2043" s="7">
        <f>grand[[#This Row],[ carcass weight]]/grand[[#This Row],[received]]</f>
        <v>261.66470588235296</v>
      </c>
      <c r="T2043" s="7">
        <f>grand[[#This Row],[ kidneys fat quantity]]/grand[[#This Row],[received]]</f>
        <v>4.8235294117647056</v>
      </c>
      <c r="U2043" s="1">
        <v>24.705882352941178</v>
      </c>
      <c r="V2043" s="1">
        <v>0</v>
      </c>
      <c r="W2043" s="1">
        <v>44.588235294117645</v>
      </c>
      <c r="X2043" s="1">
        <v>10</v>
      </c>
      <c r="Y2043" s="1">
        <v>8.5</v>
      </c>
      <c r="Z2043" s="18">
        <f>grand[[#This Row],[av. Transportation loss]]/grand[[#This Row],[av.total weight]]</f>
        <v>6.4067979498246566E-2</v>
      </c>
      <c r="AA2043" s="12">
        <f>AVERAGE((grand[[#This Row],[am]]/25),(grand[[#This Row],[pm]]/50))</f>
        <v>0.94</v>
      </c>
      <c r="AB2043" s="3">
        <f>grand[[#This Row],[ carcass weight]]/grand[[#This Row],[total weight]]</f>
        <v>0.59998651200431619</v>
      </c>
      <c r="AC2043" s="18">
        <f>SUM(grand[[#This Row],[am]:[meat transportation]])/100</f>
        <v>0.87794117647058822</v>
      </c>
      <c r="AJ2043" s="1">
        <v>13</v>
      </c>
      <c r="AK2043" s="1"/>
      <c r="AL2043" s="1"/>
    </row>
    <row r="2044" spans="1:38" hidden="1" x14ac:dyDescent="0.2">
      <c r="A2044" s="11">
        <v>45446</v>
      </c>
      <c r="B2044" s="53" t="s">
        <v>1981</v>
      </c>
      <c r="C2044" s="52" t="str">
        <f>IF(MID(B2044,4,2)="09","Ramadan",IF(AND(MID(B2044,4,2)="12",VALUE(LEFT(B2044,2))&lt;=9),"Adha Season","Normal"))</f>
        <v>Normal</v>
      </c>
      <c r="D2044" s="1" t="s">
        <v>45</v>
      </c>
      <c r="E2044" s="1" t="s">
        <v>528</v>
      </c>
      <c r="F2044" s="4" t="s">
        <v>462</v>
      </c>
      <c r="G2044" s="1">
        <v>72</v>
      </c>
      <c r="H2044" s="1">
        <v>71</v>
      </c>
      <c r="I2044" s="1">
        <f>grand[[#This Row],[number]]-grand[[#This Row],[received]]</f>
        <v>1</v>
      </c>
      <c r="J2044" s="30" t="s">
        <v>549</v>
      </c>
      <c r="K2044" s="2">
        <v>33342.405063291139</v>
      </c>
      <c r="L2044" s="2">
        <v>33342.405063291139</v>
      </c>
      <c r="M2044" s="2">
        <f>K2044-L2044</f>
        <v>0</v>
      </c>
      <c r="N2044" s="2">
        <v>21072.400000000001</v>
      </c>
      <c r="O2044" s="2">
        <v>0</v>
      </c>
      <c r="P2044" s="7">
        <f>grand[[#This Row],[total weight]]/grand[[#This Row],[received]]</f>
        <v>469.61133891959349</v>
      </c>
      <c r="Q2044" s="7">
        <f>grand[[#This Row],[receiving weight]]/grand[[#This Row],[received]]</f>
        <v>469.61133891959349</v>
      </c>
      <c r="R2044" s="7">
        <f>grand[[#This Row],[transportation loss ]]/grand[[#This Row],[received]]</f>
        <v>0</v>
      </c>
      <c r="S2044" s="7">
        <f>grand[[#This Row],[ carcass weight]]/grand[[#This Row],[received]]</f>
        <v>296.79436619718314</v>
      </c>
      <c r="T2044" s="7">
        <f>grand[[#This Row],[ kidneys fat quantity]]/grand[[#This Row],[received]]</f>
        <v>0</v>
      </c>
      <c r="U2044" s="1">
        <v>25</v>
      </c>
      <c r="V2044" s="1">
        <v>4</v>
      </c>
      <c r="W2044" s="1">
        <v>48.943661971830984</v>
      </c>
      <c r="X2044" s="1">
        <v>9.929577464788732</v>
      </c>
      <c r="Y2044" s="1">
        <v>8.5</v>
      </c>
      <c r="Z2044" s="18">
        <f>grand[[#This Row],[av. Transportation loss]]/grand[[#This Row],[av.total weight]]</f>
        <v>0</v>
      </c>
      <c r="AA2044" s="12">
        <f>AVERAGE((grand[[#This Row],[am]]/25),(grand[[#This Row],[pm]]/50))</f>
        <v>0.98943661971830976</v>
      </c>
      <c r="AB2044" s="3">
        <f>grand[[#This Row],[ carcass weight]]/grand[[#This Row],[total weight]]</f>
        <v>0.63200000000000001</v>
      </c>
      <c r="AC2044" s="18">
        <f>SUM(grand[[#This Row],[am]:[meat transportation]])/100</f>
        <v>0.96373239436619718</v>
      </c>
      <c r="AK2044" s="1"/>
      <c r="AL2044" s="1"/>
    </row>
    <row r="2045" spans="1:38" hidden="1" x14ac:dyDescent="0.2">
      <c r="A2045" s="11">
        <v>45461</v>
      </c>
      <c r="B2045" s="53" t="s">
        <v>1991</v>
      </c>
      <c r="C2045" s="52" t="str">
        <f>IF(MID(B2045,4,2)="09","Ramadan",IF(AND(MID(B2045,4,2)="12",VALUE(LEFT(B2045,2))&lt;=9),"Adha Season","Normal"))</f>
        <v>Normal</v>
      </c>
      <c r="D2045" s="1" t="s">
        <v>45</v>
      </c>
      <c r="E2045" s="1" t="s">
        <v>528</v>
      </c>
      <c r="F2045" s="4" t="s">
        <v>462</v>
      </c>
      <c r="G2045" s="1">
        <v>43</v>
      </c>
      <c r="H2045" s="1">
        <v>42</v>
      </c>
      <c r="I2045" s="1">
        <f>grand[[#This Row],[number]]-grand[[#This Row],[received]]</f>
        <v>1</v>
      </c>
      <c r="J2045" s="30" t="s">
        <v>551</v>
      </c>
      <c r="K2045" s="2">
        <v>20065.189873417723</v>
      </c>
      <c r="L2045" s="2">
        <v>20065.189873417723</v>
      </c>
      <c r="M2045" s="2">
        <f>K2045-L2045</f>
        <v>0</v>
      </c>
      <c r="N2045" s="2">
        <v>12681.2</v>
      </c>
      <c r="O2045" s="2">
        <v>0</v>
      </c>
      <c r="P2045" s="7">
        <f>grand[[#This Row],[total weight]]/grand[[#This Row],[received]]</f>
        <v>477.74261603375533</v>
      </c>
      <c r="Q2045" s="7">
        <f>grand[[#This Row],[receiving weight]]/grand[[#This Row],[received]]</f>
        <v>477.74261603375533</v>
      </c>
      <c r="R2045" s="7">
        <f>grand[[#This Row],[transportation loss ]]/grand[[#This Row],[received]]</f>
        <v>0</v>
      </c>
      <c r="S2045" s="7">
        <f>grand[[#This Row],[ carcass weight]]/grand[[#This Row],[received]]</f>
        <v>301.93333333333334</v>
      </c>
      <c r="T2045" s="7">
        <f>grand[[#This Row],[ kidneys fat quantity]]/grand[[#This Row],[received]]</f>
        <v>0</v>
      </c>
      <c r="U2045" s="1">
        <v>25</v>
      </c>
      <c r="V2045" s="1">
        <v>4</v>
      </c>
      <c r="W2045" s="1">
        <v>49.285714285714285</v>
      </c>
      <c r="X2045" s="1">
        <v>10</v>
      </c>
      <c r="Y2045" s="1">
        <v>8.5</v>
      </c>
      <c r="Z2045" s="18">
        <f>grand[[#This Row],[av. Transportation loss]]/grand[[#This Row],[av.total weight]]</f>
        <v>0</v>
      </c>
      <c r="AA2045" s="12">
        <f>AVERAGE((grand[[#This Row],[am]]/25),(grand[[#This Row],[pm]]/50))</f>
        <v>0.99285714285714288</v>
      </c>
      <c r="AB2045" s="3">
        <f>grand[[#This Row],[ carcass weight]]/grand[[#This Row],[total weight]]</f>
        <v>0.63200000000000001</v>
      </c>
      <c r="AC2045" s="18">
        <f>SUM(grand[[#This Row],[am]:[meat transportation]])/100</f>
        <v>0.96785714285714275</v>
      </c>
      <c r="AK2045" s="1"/>
      <c r="AL2045" s="1"/>
    </row>
    <row r="2046" spans="1:38" hidden="1" x14ac:dyDescent="0.2">
      <c r="A2046" s="11">
        <v>45519</v>
      </c>
      <c r="B2046" s="53" t="s">
        <v>2022</v>
      </c>
      <c r="C2046" s="52" t="str">
        <f>IF(MID(B2046,4,2)="09","Ramadan",IF(AND(MID(B2046,4,2)="12",VALUE(LEFT(B2046,2))&lt;=9),"Adha Season","Normal"))</f>
        <v>Normal</v>
      </c>
      <c r="D2046" s="1" t="s">
        <v>45</v>
      </c>
      <c r="E2046" s="1" t="s">
        <v>528</v>
      </c>
      <c r="F2046" s="4" t="s">
        <v>280</v>
      </c>
      <c r="G2046" s="1">
        <v>64</v>
      </c>
      <c r="H2046" s="1">
        <v>63</v>
      </c>
      <c r="I2046" s="1">
        <f>grand[[#This Row],[number]]-grand[[#This Row],[received]]</f>
        <v>1</v>
      </c>
      <c r="J2046" s="30" t="s">
        <v>643</v>
      </c>
      <c r="K2046" s="2">
        <v>31145</v>
      </c>
      <c r="L2046" s="2">
        <v>31145</v>
      </c>
      <c r="M2046" s="2">
        <f>K2046-L2046</f>
        <v>0</v>
      </c>
      <c r="N2046" s="2">
        <v>19451.599999999999</v>
      </c>
      <c r="O2046" s="2">
        <v>386</v>
      </c>
      <c r="P2046" s="7">
        <f>grand[[#This Row],[total weight]]/grand[[#This Row],[received]]</f>
        <v>494.36507936507934</v>
      </c>
      <c r="Q2046" s="7">
        <f>grand[[#This Row],[receiving weight]]/grand[[#This Row],[received]]</f>
        <v>494.36507936507934</v>
      </c>
      <c r="R2046" s="7">
        <f>grand[[#This Row],[transportation loss ]]/grand[[#This Row],[received]]</f>
        <v>0</v>
      </c>
      <c r="S2046" s="7">
        <f>grand[[#This Row],[ carcass weight]]/grand[[#This Row],[received]]</f>
        <v>308.75555555555553</v>
      </c>
      <c r="T2046" s="7">
        <f>grand[[#This Row],[ kidneys fat quantity]]/grand[[#This Row],[received]]</f>
        <v>6.1269841269841274</v>
      </c>
      <c r="U2046" s="1">
        <v>25</v>
      </c>
      <c r="V2046" s="1">
        <v>0</v>
      </c>
      <c r="W2046" s="1">
        <v>49.031746031746032</v>
      </c>
      <c r="X2046" s="1">
        <v>10</v>
      </c>
      <c r="Y2046" s="1">
        <v>8.5</v>
      </c>
      <c r="Z2046" s="18">
        <f>grand[[#This Row],[av. Transportation loss]]/grand[[#This Row],[av.total weight]]</f>
        <v>0</v>
      </c>
      <c r="AA2046" s="12">
        <f>AVERAGE((grand[[#This Row],[am]]/25),(grand[[#This Row],[pm]]/50))</f>
        <v>0.99031746031746026</v>
      </c>
      <c r="AB2046" s="3">
        <f>grand[[#This Row],[ carcass weight]]/grand[[#This Row],[total weight]]</f>
        <v>0.62454968694814572</v>
      </c>
      <c r="AC2046" s="18">
        <f>SUM(grand[[#This Row],[am]:[meat transportation]])/100</f>
        <v>0.92531746031746021</v>
      </c>
      <c r="AJ2046" s="1">
        <v>12</v>
      </c>
      <c r="AK2046" s="1"/>
      <c r="AL2046" s="1"/>
    </row>
    <row r="2047" spans="1:38" hidden="1" x14ac:dyDescent="0.2">
      <c r="A2047" s="11">
        <v>45571</v>
      </c>
      <c r="B2047" s="53" t="s">
        <v>2056</v>
      </c>
      <c r="C2047" s="52" t="str">
        <f>IF(MID(B2047,4,2)="09","Ramadan",IF(AND(MID(B2047,4,2)="12",VALUE(LEFT(B2047,2))&lt;=9),"Adha Season","Normal"))</f>
        <v>Normal</v>
      </c>
      <c r="D2047" s="1" t="s">
        <v>45</v>
      </c>
      <c r="E2047" s="1" t="s">
        <v>528</v>
      </c>
      <c r="F2047" s="4" t="s">
        <v>280</v>
      </c>
      <c r="G2047" s="1">
        <v>71</v>
      </c>
      <c r="H2047" s="1">
        <v>70</v>
      </c>
      <c r="I2047" s="1">
        <f>grand[[#This Row],[number]]-grand[[#This Row],[received]]</f>
        <v>1</v>
      </c>
      <c r="J2047" s="30" t="s">
        <v>648</v>
      </c>
      <c r="K2047" s="2">
        <v>40442</v>
      </c>
      <c r="L2047" s="2">
        <v>39005</v>
      </c>
      <c r="M2047" s="2">
        <f>K2047-L2047</f>
        <v>1437</v>
      </c>
      <c r="N2047" s="2">
        <v>25433.1</v>
      </c>
      <c r="O2047" s="2">
        <v>558</v>
      </c>
      <c r="P2047" s="7">
        <f>grand[[#This Row],[total weight]]/grand[[#This Row],[received]]</f>
        <v>577.74285714285713</v>
      </c>
      <c r="Q2047" s="7">
        <f>grand[[#This Row],[receiving weight]]/grand[[#This Row],[received]]</f>
        <v>557.21428571428567</v>
      </c>
      <c r="R2047" s="7">
        <f>grand[[#This Row],[transportation loss ]]/grand[[#This Row],[received]]</f>
        <v>20.528571428571428</v>
      </c>
      <c r="S2047" s="7">
        <f>grand[[#This Row],[ carcass weight]]/grand[[#This Row],[received]]</f>
        <v>363.33</v>
      </c>
      <c r="T2047" s="7">
        <f>grand[[#This Row],[ kidneys fat quantity]]/grand[[#This Row],[received]]</f>
        <v>7.9714285714285715</v>
      </c>
      <c r="U2047" s="1">
        <v>24.857142857142858</v>
      </c>
      <c r="V2047" s="1">
        <v>0</v>
      </c>
      <c r="W2047" s="1">
        <v>47.542857142857144</v>
      </c>
      <c r="X2047" s="1">
        <v>10</v>
      </c>
      <c r="Y2047" s="1">
        <v>8.5</v>
      </c>
      <c r="Z2047" s="18">
        <f>grand[[#This Row],[av. Transportation loss]]/grand[[#This Row],[av.total weight]]</f>
        <v>3.5532367340883241E-2</v>
      </c>
      <c r="AA2047" s="12">
        <f>AVERAGE((grand[[#This Row],[am]]/25),(grand[[#This Row],[pm]]/50))</f>
        <v>0.97257142857142864</v>
      </c>
      <c r="AB2047" s="3">
        <f>grand[[#This Row],[ carcass weight]]/grand[[#This Row],[total weight]]</f>
        <v>0.62887839374907273</v>
      </c>
      <c r="AC2047" s="18">
        <f>SUM(grand[[#This Row],[am]:[meat transportation]])/100</f>
        <v>0.90900000000000003</v>
      </c>
      <c r="AJ2047" s="1">
        <v>36</v>
      </c>
      <c r="AK2047" s="1"/>
      <c r="AL2047" s="1"/>
    </row>
    <row r="2048" spans="1:38" hidden="1" x14ac:dyDescent="0.2">
      <c r="A2048" s="11">
        <v>45574</v>
      </c>
      <c r="B2048" s="53" t="s">
        <v>2058</v>
      </c>
      <c r="C2048" s="52" t="str">
        <f>IF(MID(B2048,4,2)="09","Ramadan",IF(AND(MID(B2048,4,2)="12",VALUE(LEFT(B2048,2))&lt;=9),"Adha Season","Normal"))</f>
        <v>Normal</v>
      </c>
      <c r="D2048" s="1" t="s">
        <v>45</v>
      </c>
      <c r="E2048" s="1" t="s">
        <v>483</v>
      </c>
      <c r="F2048" s="4" t="s">
        <v>640</v>
      </c>
      <c r="G2048" s="1">
        <v>24</v>
      </c>
      <c r="H2048" s="1">
        <v>23</v>
      </c>
      <c r="I2048" s="1">
        <f>grand[[#This Row],[number]]-grand[[#This Row],[received]]</f>
        <v>1</v>
      </c>
      <c r="J2048" s="30" t="s">
        <v>557</v>
      </c>
      <c r="K2048" s="2">
        <v>10193</v>
      </c>
      <c r="L2048" s="2">
        <v>9744</v>
      </c>
      <c r="M2048" s="2">
        <f>K2048-L2048</f>
        <v>449</v>
      </c>
      <c r="N2048" s="2">
        <v>6232.8</v>
      </c>
      <c r="O2048" s="2">
        <v>139</v>
      </c>
      <c r="P2048" s="7">
        <f>grand[[#This Row],[total weight]]/grand[[#This Row],[received]]</f>
        <v>443.17391304347825</v>
      </c>
      <c r="Q2048" s="7">
        <f>grand[[#This Row],[receiving weight]]/grand[[#This Row],[received]]</f>
        <v>423.6521739130435</v>
      </c>
      <c r="R2048" s="7">
        <f>grand[[#This Row],[transportation loss ]]/grand[[#This Row],[received]]</f>
        <v>19.521739130434781</v>
      </c>
      <c r="S2048" s="7">
        <f>grand[[#This Row],[ carcass weight]]/grand[[#This Row],[received]]</f>
        <v>270.99130434782609</v>
      </c>
      <c r="T2048" s="7">
        <f>grand[[#This Row],[ kidneys fat quantity]]/grand[[#This Row],[received]]</f>
        <v>6.0434782608695654</v>
      </c>
      <c r="U2048" s="1">
        <v>24.565217391304348</v>
      </c>
      <c r="V2048" s="1">
        <v>0</v>
      </c>
      <c r="W2048" s="1">
        <v>49.260869565217391</v>
      </c>
      <c r="X2048" s="1">
        <v>10</v>
      </c>
      <c r="Y2048" s="1">
        <v>8.5</v>
      </c>
      <c r="Z2048" s="18">
        <f>grand[[#This Row],[av. Transportation loss]]/grand[[#This Row],[av.total weight]]</f>
        <v>4.4049838124202885E-2</v>
      </c>
      <c r="AA2048" s="12">
        <f>AVERAGE((grand[[#This Row],[am]]/25),(grand[[#This Row],[pm]]/50))</f>
        <v>0.98391304347826081</v>
      </c>
      <c r="AB2048" s="3">
        <f>grand[[#This Row],[ carcass weight]]/grand[[#This Row],[total weight]]</f>
        <v>0.61147846561365649</v>
      </c>
      <c r="AC2048" s="18">
        <f>SUM(grand[[#This Row],[am]:[meat transportation]])/100</f>
        <v>0.92326086956521736</v>
      </c>
      <c r="AJ2048" s="1">
        <v>6</v>
      </c>
      <c r="AK2048" s="1"/>
      <c r="AL2048" s="1"/>
    </row>
    <row r="2049" spans="1:38" hidden="1" x14ac:dyDescent="0.2">
      <c r="A2049" s="11">
        <v>45581</v>
      </c>
      <c r="B2049" s="53" t="s">
        <v>2063</v>
      </c>
      <c r="C2049" s="52" t="str">
        <f>IF(MID(B2049,4,2)="09","Ramadan",IF(AND(MID(B2049,4,2)="12",VALUE(LEFT(B2049,2))&lt;=9),"Adha Season","Normal"))</f>
        <v>Normal</v>
      </c>
      <c r="D2049" s="1" t="s">
        <v>45</v>
      </c>
      <c r="E2049" s="1" t="s">
        <v>528</v>
      </c>
      <c r="F2049" s="4" t="s">
        <v>462</v>
      </c>
      <c r="G2049" s="1">
        <v>26</v>
      </c>
      <c r="H2049" s="1">
        <v>25</v>
      </c>
      <c r="I2049" s="1">
        <f>grand[[#This Row],[number]]-grand[[#This Row],[received]]</f>
        <v>1</v>
      </c>
      <c r="J2049" s="30" t="s">
        <v>649</v>
      </c>
      <c r="K2049" s="2">
        <v>12323.417721518987</v>
      </c>
      <c r="L2049" s="2">
        <v>12323.417721518987</v>
      </c>
      <c r="M2049" s="2">
        <f>K2049-L2049</f>
        <v>0</v>
      </c>
      <c r="N2049" s="2">
        <v>7788.4</v>
      </c>
      <c r="O2049" s="2">
        <v>0</v>
      </c>
      <c r="P2049" s="7">
        <f>grand[[#This Row],[total weight]]/grand[[#This Row],[received]]</f>
        <v>492.93670886075944</v>
      </c>
      <c r="Q2049" s="7">
        <f>grand[[#This Row],[receiving weight]]/grand[[#This Row],[received]]</f>
        <v>492.93670886075944</v>
      </c>
      <c r="R2049" s="7">
        <f>grand[[#This Row],[transportation loss ]]/grand[[#This Row],[received]]</f>
        <v>0</v>
      </c>
      <c r="S2049" s="7">
        <f>grand[[#This Row],[ carcass weight]]/grand[[#This Row],[received]]</f>
        <v>311.536</v>
      </c>
      <c r="T2049" s="7">
        <f>grand[[#This Row],[ kidneys fat quantity]]/grand[[#This Row],[received]]</f>
        <v>0</v>
      </c>
      <c r="U2049" s="1">
        <v>25</v>
      </c>
      <c r="V2049" s="1">
        <v>4</v>
      </c>
      <c r="W2049" s="1">
        <v>50</v>
      </c>
      <c r="X2049" s="1">
        <v>10</v>
      </c>
      <c r="Y2049" s="1">
        <v>8.5</v>
      </c>
      <c r="Z2049" s="18">
        <f>grand[[#This Row],[av. Transportation loss]]/grand[[#This Row],[av.total weight]]</f>
        <v>0</v>
      </c>
      <c r="AA2049" s="12">
        <f>AVERAGE((grand[[#This Row],[am]]/25),(grand[[#This Row],[pm]]/50))</f>
        <v>1</v>
      </c>
      <c r="AB2049" s="3">
        <f>grand[[#This Row],[ carcass weight]]/grand[[#This Row],[total weight]]</f>
        <v>0.63200000000000001</v>
      </c>
      <c r="AC2049" s="18">
        <f>SUM(grand[[#This Row],[am]:[meat transportation]])/100</f>
        <v>0.97499999999999998</v>
      </c>
      <c r="AK2049" s="1"/>
      <c r="AL2049" s="1"/>
    </row>
    <row r="2050" spans="1:38" hidden="1" x14ac:dyDescent="0.2">
      <c r="A2050" s="11">
        <v>45586</v>
      </c>
      <c r="B2050" s="53" t="s">
        <v>2067</v>
      </c>
      <c r="C2050" s="52" t="str">
        <f>IF(MID(B2050,4,2)="09","Ramadan",IF(AND(MID(B2050,4,2)="12",VALUE(LEFT(B2050,2))&lt;=9),"Adha Season","Normal"))</f>
        <v>Normal</v>
      </c>
      <c r="D2050" s="1" t="s">
        <v>45</v>
      </c>
      <c r="E2050" s="1" t="s">
        <v>483</v>
      </c>
      <c r="F2050" s="4" t="s">
        <v>39</v>
      </c>
      <c r="G2050" s="1">
        <v>40</v>
      </c>
      <c r="H2050" s="1">
        <v>39</v>
      </c>
      <c r="I2050" s="1">
        <f>grand[[#This Row],[number]]-grand[[#This Row],[received]]</f>
        <v>1</v>
      </c>
      <c r="J2050" s="30" t="s">
        <v>650</v>
      </c>
      <c r="K2050" s="2">
        <v>16996.044303797469</v>
      </c>
      <c r="L2050" s="2">
        <v>16996.044303797469</v>
      </c>
      <c r="M2050" s="2">
        <f>K2050-L2050</f>
        <v>0</v>
      </c>
      <c r="N2050" s="2">
        <v>10741.5</v>
      </c>
      <c r="O2050" s="2">
        <v>0</v>
      </c>
      <c r="P2050" s="7">
        <f>grand[[#This Row],[total weight]]/grand[[#This Row],[received]]</f>
        <v>435.7960077896787</v>
      </c>
      <c r="Q2050" s="7">
        <f>grand[[#This Row],[receiving weight]]/grand[[#This Row],[received]]</f>
        <v>435.7960077896787</v>
      </c>
      <c r="R2050" s="7">
        <f>grand[[#This Row],[transportation loss ]]/grand[[#This Row],[received]]</f>
        <v>0</v>
      </c>
      <c r="S2050" s="7">
        <f>grand[[#This Row],[ carcass weight]]/grand[[#This Row],[received]]</f>
        <v>275.42307692307691</v>
      </c>
      <c r="T2050" s="7">
        <f>grand[[#This Row],[ kidneys fat quantity]]/grand[[#This Row],[received]]</f>
        <v>0</v>
      </c>
      <c r="U2050" s="1">
        <v>25</v>
      </c>
      <c r="V2050" s="1">
        <v>5</v>
      </c>
      <c r="W2050" s="1">
        <v>50</v>
      </c>
      <c r="X2050" s="1">
        <v>10</v>
      </c>
      <c r="Y2050" s="1">
        <v>8.5</v>
      </c>
      <c r="Z2050" s="18">
        <f>grand[[#This Row],[av. Transportation loss]]/grand[[#This Row],[av.total weight]]</f>
        <v>0</v>
      </c>
      <c r="AA2050" s="12">
        <f>AVERAGE((grand[[#This Row],[am]]/25),(grand[[#This Row],[pm]]/50))</f>
        <v>1</v>
      </c>
      <c r="AB2050" s="3">
        <f>grand[[#This Row],[ carcass weight]]/grand[[#This Row],[total weight]]</f>
        <v>0.63200000000000001</v>
      </c>
      <c r="AC2050" s="18">
        <f>SUM(grand[[#This Row],[am]:[meat transportation]])/100</f>
        <v>0.98499999999999999</v>
      </c>
      <c r="AK2050" s="1"/>
      <c r="AL2050" s="1"/>
    </row>
    <row r="2051" spans="1:38" hidden="1" x14ac:dyDescent="0.2">
      <c r="A2051" s="11">
        <v>45610</v>
      </c>
      <c r="B2051" s="53" t="s">
        <v>2083</v>
      </c>
      <c r="C2051" s="52" t="str">
        <f>IF(MID(B2051,4,2)="09","Ramadan",IF(AND(MID(B2051,4,2)="12",VALUE(LEFT(B2051,2))&lt;=9),"Adha Season","Normal"))</f>
        <v>Normal</v>
      </c>
      <c r="D2051" s="1" t="s">
        <v>45</v>
      </c>
      <c r="E2051" s="1" t="s">
        <v>483</v>
      </c>
      <c r="F2051" s="4" t="s">
        <v>576</v>
      </c>
      <c r="G2051" s="1">
        <v>66</v>
      </c>
      <c r="H2051" s="1">
        <v>65</v>
      </c>
      <c r="I2051" s="1">
        <f>grand[[#This Row],[number]]-grand[[#This Row],[received]]</f>
        <v>1</v>
      </c>
      <c r="J2051" s="30" t="s">
        <v>653</v>
      </c>
      <c r="K2051" s="2">
        <v>31589</v>
      </c>
      <c r="L2051" s="2">
        <v>30618</v>
      </c>
      <c r="M2051" s="2">
        <f>K2051-L2051</f>
        <v>971</v>
      </c>
      <c r="N2051" s="2">
        <v>19625.2</v>
      </c>
      <c r="O2051" s="2">
        <v>548</v>
      </c>
      <c r="P2051" s="7">
        <f>grand[[#This Row],[total weight]]/grand[[#This Row],[received]]</f>
        <v>485.98461538461538</v>
      </c>
      <c r="Q2051" s="7">
        <f>grand[[#This Row],[receiving weight]]/grand[[#This Row],[received]]</f>
        <v>471.04615384615386</v>
      </c>
      <c r="R2051" s="7">
        <f>grand[[#This Row],[transportation loss ]]/grand[[#This Row],[received]]</f>
        <v>14.938461538461539</v>
      </c>
      <c r="S2051" s="7">
        <f>grand[[#This Row],[ carcass weight]]/grand[[#This Row],[received]]</f>
        <v>301.92615384615385</v>
      </c>
      <c r="T2051" s="7">
        <f>grand[[#This Row],[ kidneys fat quantity]]/grand[[#This Row],[received]]</f>
        <v>8.430769230769231</v>
      </c>
      <c r="U2051" s="1">
        <v>25</v>
      </c>
      <c r="V2051" s="1">
        <v>0</v>
      </c>
      <c r="W2051" s="1">
        <v>47.969230769230769</v>
      </c>
      <c r="X2051" s="1">
        <v>10</v>
      </c>
      <c r="Y2051" s="1">
        <v>8.5</v>
      </c>
      <c r="Z2051" s="18">
        <f>grand[[#This Row],[av. Transportation loss]]/grand[[#This Row],[av.total weight]]</f>
        <v>3.073854822881383E-2</v>
      </c>
      <c r="AA2051" s="12">
        <f>AVERAGE((grand[[#This Row],[am]]/25),(grand[[#This Row],[pm]]/50))</f>
        <v>0.97969230769230764</v>
      </c>
      <c r="AB2051" s="3">
        <f>grand[[#This Row],[ carcass weight]]/grand[[#This Row],[total weight]]</f>
        <v>0.62126689670454904</v>
      </c>
      <c r="AC2051" s="18">
        <f>SUM(grand[[#This Row],[am]:[meat transportation]])/100</f>
        <v>0.91469230769230758</v>
      </c>
      <c r="AJ2051" s="1">
        <v>43</v>
      </c>
      <c r="AK2051" s="1"/>
      <c r="AL2051" s="1"/>
    </row>
    <row r="2052" spans="1:38" hidden="1" x14ac:dyDescent="0.2">
      <c r="A2052" s="11">
        <v>45616</v>
      </c>
      <c r="B2052" s="53" t="s">
        <v>2087</v>
      </c>
      <c r="C2052" s="52" t="str">
        <f>IF(MID(B2052,4,2)="09","Ramadan",IF(AND(MID(B2052,4,2)="12",VALUE(LEFT(B2052,2))&lt;=9),"Adha Season","Normal"))</f>
        <v>Normal</v>
      </c>
      <c r="D2052" s="1" t="s">
        <v>45</v>
      </c>
      <c r="E2052" s="1" t="s">
        <v>483</v>
      </c>
      <c r="F2052" s="4" t="s">
        <v>550</v>
      </c>
      <c r="G2052" s="1">
        <v>16</v>
      </c>
      <c r="H2052" s="1">
        <v>15</v>
      </c>
      <c r="I2052" s="1">
        <f>grand[[#This Row],[number]]-grand[[#This Row],[received]]</f>
        <v>1</v>
      </c>
      <c r="J2052" s="30" t="s">
        <v>310</v>
      </c>
      <c r="K2052" s="2">
        <v>6698</v>
      </c>
      <c r="L2052" s="2">
        <v>6698</v>
      </c>
      <c r="M2052" s="2">
        <f>K2052-L2052</f>
        <v>0</v>
      </c>
      <c r="N2052" s="2">
        <v>4018.8</v>
      </c>
      <c r="O2052" s="2">
        <v>84.5</v>
      </c>
      <c r="P2052" s="7">
        <f>grand[[#This Row],[total weight]]/grand[[#This Row],[received]]</f>
        <v>446.53333333333336</v>
      </c>
      <c r="Q2052" s="7">
        <f>grand[[#This Row],[receiving weight]]/grand[[#This Row],[received]]</f>
        <v>446.53333333333336</v>
      </c>
      <c r="R2052" s="7">
        <f>grand[[#This Row],[transportation loss ]]/grand[[#This Row],[received]]</f>
        <v>0</v>
      </c>
      <c r="S2052" s="7">
        <f>grand[[#This Row],[ carcass weight]]/grand[[#This Row],[received]]</f>
        <v>267.92</v>
      </c>
      <c r="T2052" s="7">
        <f>grand[[#This Row],[ kidneys fat quantity]]/grand[[#This Row],[received]]</f>
        <v>5.6333333333333337</v>
      </c>
      <c r="U2052" s="1">
        <v>25</v>
      </c>
      <c r="V2052" s="1">
        <v>0</v>
      </c>
      <c r="W2052" s="1">
        <v>49.06666666666667</v>
      </c>
      <c r="X2052" s="1">
        <v>10</v>
      </c>
      <c r="Y2052" s="1">
        <v>8.5</v>
      </c>
      <c r="Z2052" s="18">
        <f>grand[[#This Row],[av. Transportation loss]]/grand[[#This Row],[av.total weight]]</f>
        <v>0</v>
      </c>
      <c r="AA2052" s="12">
        <f>AVERAGE((grand[[#This Row],[am]]/25),(grand[[#This Row],[pm]]/50))</f>
        <v>0.9906666666666667</v>
      </c>
      <c r="AB2052" s="3">
        <f>grand[[#This Row],[ carcass weight]]/grand[[#This Row],[total weight]]</f>
        <v>0.6</v>
      </c>
      <c r="AC2052" s="18">
        <f>SUM(grand[[#This Row],[am]:[meat transportation]])/100</f>
        <v>0.92566666666666664</v>
      </c>
      <c r="AJ2052" s="1">
        <v>6</v>
      </c>
      <c r="AK2052" s="1"/>
      <c r="AL2052" s="1"/>
    </row>
    <row r="2053" spans="1:38" hidden="1" x14ac:dyDescent="0.2">
      <c r="A2053" s="11">
        <v>45619</v>
      </c>
      <c r="B2053" s="53" t="s">
        <v>2089</v>
      </c>
      <c r="C2053" s="52" t="str">
        <f>IF(MID(B2053,4,2)="09","Ramadan",IF(AND(MID(B2053,4,2)="12",VALUE(LEFT(B2053,2))&lt;=9),"Adha Season","Normal"))</f>
        <v>Normal</v>
      </c>
      <c r="D2053" s="1" t="s">
        <v>45</v>
      </c>
      <c r="E2053" s="1" t="s">
        <v>483</v>
      </c>
      <c r="F2053" s="4" t="s">
        <v>43</v>
      </c>
      <c r="G2053" s="1">
        <v>30</v>
      </c>
      <c r="H2053" s="1">
        <v>29</v>
      </c>
      <c r="I2053" s="1">
        <f>grand[[#This Row],[number]]-grand[[#This Row],[received]]</f>
        <v>1</v>
      </c>
      <c r="J2053" s="30" t="s">
        <v>302</v>
      </c>
      <c r="K2053" s="2">
        <v>14520</v>
      </c>
      <c r="L2053" s="2">
        <v>14230</v>
      </c>
      <c r="M2053" s="2">
        <f>K2053-L2053</f>
        <v>290</v>
      </c>
      <c r="N2053" s="2">
        <v>8753.4</v>
      </c>
      <c r="O2053" s="2">
        <v>300</v>
      </c>
      <c r="P2053" s="7">
        <f>grand[[#This Row],[total weight]]/grand[[#This Row],[received]]</f>
        <v>500.68965517241378</v>
      </c>
      <c r="Q2053" s="7">
        <f>grand[[#This Row],[receiving weight]]/grand[[#This Row],[received]]</f>
        <v>490.68965517241378</v>
      </c>
      <c r="R2053" s="7">
        <f>grand[[#This Row],[transportation loss ]]/grand[[#This Row],[received]]</f>
        <v>10</v>
      </c>
      <c r="S2053" s="7">
        <f>grand[[#This Row],[ carcass weight]]/grand[[#This Row],[received]]</f>
        <v>301.84137931034479</v>
      </c>
      <c r="T2053" s="7">
        <f>grand[[#This Row],[ kidneys fat quantity]]/grand[[#This Row],[received]]</f>
        <v>10.344827586206897</v>
      </c>
      <c r="U2053" s="1">
        <v>25</v>
      </c>
      <c r="V2053" s="1">
        <v>0</v>
      </c>
      <c r="W2053" s="1">
        <v>48.655172413793096</v>
      </c>
      <c r="X2053" s="1">
        <v>10</v>
      </c>
      <c r="Y2053" s="1">
        <v>8.5</v>
      </c>
      <c r="Z2053" s="18">
        <f>grand[[#This Row],[av. Transportation loss]]/grand[[#This Row],[av.total weight]]</f>
        <v>1.9972451790633609E-2</v>
      </c>
      <c r="AA2053" s="12">
        <f>AVERAGE((grand[[#This Row],[am]]/25),(grand[[#This Row],[pm]]/50))</f>
        <v>0.98655172413793091</v>
      </c>
      <c r="AB2053" s="3">
        <f>grand[[#This Row],[ carcass weight]]/grand[[#This Row],[total weight]]</f>
        <v>0.60285123966942145</v>
      </c>
      <c r="AC2053" s="18">
        <f>SUM(grand[[#This Row],[am]:[meat transportation]])/100</f>
        <v>0.92155172413793096</v>
      </c>
      <c r="AJ2053" s="1">
        <v>24</v>
      </c>
      <c r="AK2053" s="1"/>
      <c r="AL2053" s="1"/>
    </row>
    <row r="2054" spans="1:38" hidden="1" x14ac:dyDescent="0.2">
      <c r="A2054" s="11">
        <v>45620</v>
      </c>
      <c r="B2054" s="53" t="s">
        <v>2090</v>
      </c>
      <c r="C2054" s="52" t="str">
        <f>IF(MID(B2054,4,2)="09","Ramadan",IF(AND(MID(B2054,4,2)="12",VALUE(LEFT(B2054,2))&lt;=9),"Adha Season","Normal"))</f>
        <v>Normal</v>
      </c>
      <c r="D2054" s="1" t="s">
        <v>45</v>
      </c>
      <c r="E2054" s="1" t="s">
        <v>528</v>
      </c>
      <c r="F2054" s="4" t="s">
        <v>280</v>
      </c>
      <c r="G2054" s="1">
        <v>65</v>
      </c>
      <c r="H2054" s="1">
        <v>64</v>
      </c>
      <c r="I2054" s="1">
        <f>grand[[#This Row],[number]]-grand[[#This Row],[received]]</f>
        <v>1</v>
      </c>
      <c r="J2054" s="30" t="s">
        <v>310</v>
      </c>
      <c r="K2054" s="2">
        <v>32128</v>
      </c>
      <c r="L2054" s="2">
        <v>32128</v>
      </c>
      <c r="M2054" s="2">
        <f>K2054-L2054</f>
        <v>0</v>
      </c>
      <c r="N2054" s="2">
        <v>19606.2</v>
      </c>
      <c r="O2054" s="2">
        <v>689</v>
      </c>
      <c r="P2054" s="7">
        <f>grand[[#This Row],[total weight]]/grand[[#This Row],[received]]</f>
        <v>502</v>
      </c>
      <c r="Q2054" s="7">
        <f>grand[[#This Row],[receiving weight]]/grand[[#This Row],[received]]</f>
        <v>502</v>
      </c>
      <c r="R2054" s="7">
        <f>grand[[#This Row],[transportation loss ]]/grand[[#This Row],[received]]</f>
        <v>0</v>
      </c>
      <c r="S2054" s="7">
        <f>grand[[#This Row],[ carcass weight]]/grand[[#This Row],[received]]</f>
        <v>306.34687500000001</v>
      </c>
      <c r="T2054" s="7">
        <f>grand[[#This Row],[ kidneys fat quantity]]/grand[[#This Row],[received]]</f>
        <v>10.765625</v>
      </c>
      <c r="U2054" s="1">
        <v>25</v>
      </c>
      <c r="V2054" s="1">
        <v>0</v>
      </c>
      <c r="W2054" s="1">
        <v>46.515625</v>
      </c>
      <c r="X2054" s="1">
        <v>10</v>
      </c>
      <c r="Y2054" s="1">
        <v>8.5</v>
      </c>
      <c r="Z2054" s="18">
        <f>grand[[#This Row],[av. Transportation loss]]/grand[[#This Row],[av.total weight]]</f>
        <v>0</v>
      </c>
      <c r="AA2054" s="12">
        <f>AVERAGE((grand[[#This Row],[am]]/25),(grand[[#This Row],[pm]]/50))</f>
        <v>0.96515624999999994</v>
      </c>
      <c r="AB2054" s="3">
        <f>grand[[#This Row],[ carcass weight]]/grand[[#This Row],[total weight]]</f>
        <v>0.61025273904382471</v>
      </c>
      <c r="AC2054" s="18">
        <f>SUM(grand[[#This Row],[am]:[meat transportation]])/100</f>
        <v>0.90015624999999999</v>
      </c>
      <c r="AJ2054" s="1">
        <v>41</v>
      </c>
      <c r="AK2054" s="1"/>
      <c r="AL2054" s="1"/>
    </row>
    <row r="2055" spans="1:38" hidden="1" x14ac:dyDescent="0.2">
      <c r="A2055" s="11">
        <v>45627</v>
      </c>
      <c r="B2055" s="53" t="s">
        <v>2095</v>
      </c>
      <c r="C2055" s="52" t="str">
        <f>IF(MID(B2055,4,2)="09","Ramadan",IF(AND(MID(B2055,4,2)="12",VALUE(LEFT(B2055,2))&lt;=9),"Adha Season","Normal"))</f>
        <v>Normal</v>
      </c>
      <c r="D2055" s="2" t="s">
        <v>294</v>
      </c>
      <c r="F2055" s="4" t="s">
        <v>280</v>
      </c>
      <c r="G2055" s="1">
        <v>33</v>
      </c>
      <c r="H2055" s="1">
        <v>32</v>
      </c>
      <c r="I2055" s="1">
        <f>grand[[#This Row],[number]]-grand[[#This Row],[received]]</f>
        <v>1</v>
      </c>
      <c r="J2055" s="30" t="s">
        <v>315</v>
      </c>
      <c r="K2055" s="2">
        <v>1550</v>
      </c>
      <c r="L2055" s="2">
        <v>1550</v>
      </c>
      <c r="M2055" s="2">
        <f>K2055-L2055</f>
        <v>0</v>
      </c>
      <c r="N2055" s="2">
        <v>871.5</v>
      </c>
      <c r="O2055" s="2">
        <v>0</v>
      </c>
      <c r="P2055" s="7">
        <f>grand[[#This Row],[total weight]]/grand[[#This Row],[received]]</f>
        <v>48.4375</v>
      </c>
      <c r="Q2055" s="7">
        <f>grand[[#This Row],[receiving weight]]/grand[[#This Row],[received]]</f>
        <v>48.4375</v>
      </c>
      <c r="R2055" s="7">
        <f>grand[[#This Row],[transportation loss ]]/grand[[#This Row],[received]]</f>
        <v>0</v>
      </c>
      <c r="S2055" s="7">
        <f>grand[[#This Row],[ carcass weight]]/grand[[#This Row],[received]]</f>
        <v>27.234375</v>
      </c>
      <c r="T2055" s="7">
        <f>grand[[#This Row],[ kidneys fat quantity]]/grand[[#This Row],[received]]</f>
        <v>0</v>
      </c>
      <c r="U2055" s="1">
        <v>25</v>
      </c>
      <c r="V2055" s="1">
        <v>0</v>
      </c>
      <c r="W2055" s="1">
        <v>47.38</v>
      </c>
      <c r="X2055" s="1">
        <v>10</v>
      </c>
      <c r="Y2055" s="1">
        <v>8.5</v>
      </c>
      <c r="Z2055" s="18">
        <f>grand[[#This Row],[av. Transportation loss]]/grand[[#This Row],[av.total weight]]</f>
        <v>0</v>
      </c>
      <c r="AA2055" s="12">
        <f>AVERAGE((grand[[#This Row],[am]]/25),(grand[[#This Row],[pm]]/50))</f>
        <v>0.9738</v>
      </c>
      <c r="AB2055" s="3">
        <f>grand[[#This Row],[ carcass weight]]/grand[[#This Row],[total weight]]</f>
        <v>0.56225806451612903</v>
      </c>
      <c r="AC2055" s="18">
        <f>SUM(grand[[#This Row],[am]:[meat transportation]])/100</f>
        <v>0.90879999999999994</v>
      </c>
      <c r="AK2055" s="1"/>
      <c r="AL2055" s="1"/>
    </row>
    <row r="2056" spans="1:38" hidden="1" x14ac:dyDescent="0.2">
      <c r="A2056" s="11">
        <v>45628</v>
      </c>
      <c r="B2056" s="53" t="s">
        <v>2096</v>
      </c>
      <c r="C2056" s="52" t="str">
        <f>IF(MID(B2056,4,2)="09","Ramadan",IF(AND(MID(B2056,4,2)="12",VALUE(LEFT(B2056,2))&lt;=9),"Adha Season","Normal"))</f>
        <v>Normal</v>
      </c>
      <c r="D2056" s="1" t="s">
        <v>45</v>
      </c>
      <c r="E2056" s="1" t="s">
        <v>483</v>
      </c>
      <c r="F2056" s="4" t="s">
        <v>39</v>
      </c>
      <c r="G2056" s="1">
        <v>54</v>
      </c>
      <c r="H2056" s="1">
        <v>53</v>
      </c>
      <c r="I2056" s="1">
        <f>grand[[#This Row],[number]]-grand[[#This Row],[received]]</f>
        <v>1</v>
      </c>
      <c r="J2056" s="30" t="s">
        <v>643</v>
      </c>
      <c r="K2056" s="2">
        <v>20944.303797468354</v>
      </c>
      <c r="L2056" s="2">
        <v>20944.303797468354</v>
      </c>
      <c r="M2056" s="2">
        <f>K2056-L2056</f>
        <v>0</v>
      </c>
      <c r="N2056" s="2">
        <v>13236.8</v>
      </c>
      <c r="O2056" s="2">
        <v>0</v>
      </c>
      <c r="P2056" s="7">
        <f>grand[[#This Row],[total weight]]/grand[[#This Row],[received]]</f>
        <v>395.17554334845948</v>
      </c>
      <c r="Q2056" s="7">
        <f>grand[[#This Row],[receiving weight]]/grand[[#This Row],[received]]</f>
        <v>395.17554334845948</v>
      </c>
      <c r="R2056" s="7">
        <f>grand[[#This Row],[transportation loss ]]/grand[[#This Row],[received]]</f>
        <v>0</v>
      </c>
      <c r="S2056" s="7">
        <f>grand[[#This Row],[ carcass weight]]/grand[[#This Row],[received]]</f>
        <v>249.7509433962264</v>
      </c>
      <c r="T2056" s="7">
        <f>grand[[#This Row],[ kidneys fat quantity]]/grand[[#This Row],[received]]</f>
        <v>0</v>
      </c>
      <c r="U2056" s="1">
        <v>25</v>
      </c>
      <c r="V2056" s="1">
        <v>5</v>
      </c>
      <c r="W2056" s="1">
        <v>50</v>
      </c>
      <c r="X2056" s="1">
        <v>10</v>
      </c>
      <c r="Y2056" s="1">
        <v>8.5</v>
      </c>
      <c r="Z2056" s="18">
        <f>grand[[#This Row],[av. Transportation loss]]/grand[[#This Row],[av.total weight]]</f>
        <v>0</v>
      </c>
      <c r="AA2056" s="12">
        <f>AVERAGE((grand[[#This Row],[am]]/25),(grand[[#This Row],[pm]]/50))</f>
        <v>1</v>
      </c>
      <c r="AB2056" s="3">
        <f>grand[[#This Row],[ carcass weight]]/grand[[#This Row],[total weight]]</f>
        <v>0.63200000000000001</v>
      </c>
      <c r="AC2056" s="18">
        <f>SUM(grand[[#This Row],[am]:[meat transportation]])/100</f>
        <v>0.98499999999999999</v>
      </c>
      <c r="AK2056" s="1"/>
      <c r="AL2056" s="1"/>
    </row>
    <row r="2057" spans="1:38" hidden="1" x14ac:dyDescent="0.2">
      <c r="A2057" s="11">
        <v>45631</v>
      </c>
      <c r="B2057" s="53" t="s">
        <v>2098</v>
      </c>
      <c r="C2057" s="52" t="str">
        <f>IF(MID(B2057,4,2)="09","Ramadan",IF(AND(MID(B2057,4,2)="12",VALUE(LEFT(B2057,2))&lt;=9),"Adha Season","Normal"))</f>
        <v>Normal</v>
      </c>
      <c r="D2057" s="1" t="s">
        <v>45</v>
      </c>
      <c r="E2057" s="1" t="s">
        <v>483</v>
      </c>
      <c r="F2057" s="4" t="s">
        <v>280</v>
      </c>
      <c r="G2057" s="1">
        <v>46</v>
      </c>
      <c r="H2057" s="1">
        <v>45</v>
      </c>
      <c r="I2057" s="1">
        <f>grand[[#This Row],[number]]-grand[[#This Row],[received]]</f>
        <v>1</v>
      </c>
      <c r="J2057" s="30" t="s">
        <v>659</v>
      </c>
      <c r="K2057" s="2">
        <v>20917</v>
      </c>
      <c r="L2057" s="2">
        <v>20917</v>
      </c>
      <c r="M2057" s="2">
        <f>K2057-L2057</f>
        <v>0</v>
      </c>
      <c r="N2057" s="2">
        <v>12802.7</v>
      </c>
      <c r="O2057" s="2">
        <v>352</v>
      </c>
      <c r="P2057" s="7">
        <f>grand[[#This Row],[total weight]]/grand[[#This Row],[received]]</f>
        <v>464.82222222222219</v>
      </c>
      <c r="Q2057" s="7">
        <f>grand[[#This Row],[receiving weight]]/grand[[#This Row],[received]]</f>
        <v>464.82222222222219</v>
      </c>
      <c r="R2057" s="7">
        <f>grand[[#This Row],[transportation loss ]]/grand[[#This Row],[received]]</f>
        <v>0</v>
      </c>
      <c r="S2057" s="7">
        <f>grand[[#This Row],[ carcass weight]]/grand[[#This Row],[received]]</f>
        <v>284.50444444444446</v>
      </c>
      <c r="T2057" s="7">
        <f>grand[[#This Row],[ kidneys fat quantity]]/grand[[#This Row],[received]]</f>
        <v>7.822222222222222</v>
      </c>
      <c r="U2057" s="1">
        <v>25</v>
      </c>
      <c r="V2057" s="1">
        <v>0</v>
      </c>
      <c r="W2057" s="1">
        <v>47.36666666666666</v>
      </c>
      <c r="X2057" s="1">
        <v>10</v>
      </c>
      <c r="Y2057" s="1">
        <v>8.5</v>
      </c>
      <c r="Z2057" s="18">
        <f>grand[[#This Row],[av. Transportation loss]]/grand[[#This Row],[av.total weight]]</f>
        <v>0</v>
      </c>
      <c r="AA2057" s="12">
        <f>AVERAGE((grand[[#This Row],[am]]/25),(grand[[#This Row],[pm]]/50))</f>
        <v>0.97366666666666668</v>
      </c>
      <c r="AB2057" s="3">
        <f>grand[[#This Row],[ carcass weight]]/grand[[#This Row],[total weight]]</f>
        <v>0.61207152077257732</v>
      </c>
      <c r="AC2057" s="18">
        <f>SUM(grand[[#This Row],[am]:[meat transportation]])/100</f>
        <v>0.90866666666666662</v>
      </c>
      <c r="AJ2057" s="1">
        <v>19</v>
      </c>
      <c r="AK2057" s="1"/>
      <c r="AL2057" s="1"/>
    </row>
    <row r="2058" spans="1:38" hidden="1" x14ac:dyDescent="0.2">
      <c r="A2058" s="11">
        <v>45633</v>
      </c>
      <c r="B2058" s="53" t="s">
        <v>2099</v>
      </c>
      <c r="C2058" s="52" t="str">
        <f>IF(MID(B2058,4,2)="09","Ramadan",IF(AND(MID(B2058,4,2)="12",VALUE(LEFT(B2058,2))&lt;=9),"Adha Season","Normal"))</f>
        <v>Normal</v>
      </c>
      <c r="D2058" s="1" t="s">
        <v>45</v>
      </c>
      <c r="E2058" s="1" t="s">
        <v>483</v>
      </c>
      <c r="F2058" s="4" t="s">
        <v>959</v>
      </c>
      <c r="G2058" s="1">
        <v>34</v>
      </c>
      <c r="H2058" s="1">
        <v>33</v>
      </c>
      <c r="I2058" s="1">
        <f>grand[[#This Row],[number]]-grand[[#This Row],[received]]</f>
        <v>1</v>
      </c>
      <c r="J2058" s="30" t="s">
        <v>648</v>
      </c>
      <c r="K2058" s="2">
        <v>14709</v>
      </c>
      <c r="L2058" s="2">
        <v>14349</v>
      </c>
      <c r="M2058" s="2">
        <f>K2058-L2058</f>
        <v>360</v>
      </c>
      <c r="N2058" s="2">
        <v>8824.9</v>
      </c>
      <c r="O2058" s="2">
        <v>300</v>
      </c>
      <c r="P2058" s="7">
        <f>grand[[#This Row],[total weight]]/grand[[#This Row],[received]]</f>
        <v>445.72727272727275</v>
      </c>
      <c r="Q2058" s="7">
        <f>grand[[#This Row],[receiving weight]]/grand[[#This Row],[received]]</f>
        <v>434.81818181818181</v>
      </c>
      <c r="R2058" s="7">
        <f>grand[[#This Row],[transportation loss ]]/grand[[#This Row],[received]]</f>
        <v>10.909090909090908</v>
      </c>
      <c r="S2058" s="7">
        <f>grand[[#This Row],[ carcass weight]]/grand[[#This Row],[received]]</f>
        <v>267.42121212121214</v>
      </c>
      <c r="T2058" s="7">
        <f>grand[[#This Row],[ kidneys fat quantity]]/grand[[#This Row],[received]]</f>
        <v>9.0909090909090917</v>
      </c>
      <c r="U2058" s="1">
        <v>25</v>
      </c>
      <c r="V2058" s="1">
        <v>0</v>
      </c>
      <c r="W2058" s="1">
        <v>46.621212121212118</v>
      </c>
      <c r="X2058" s="1">
        <v>9.8484848484848477</v>
      </c>
      <c r="Y2058" s="1">
        <v>8.5</v>
      </c>
      <c r="Z2058" s="18">
        <f>grand[[#This Row],[av. Transportation loss]]/grand[[#This Row],[av.total weight]]</f>
        <v>2.4474811339995919E-2</v>
      </c>
      <c r="AA2058" s="12">
        <f>AVERAGE((grand[[#This Row],[am]]/25),(grand[[#This Row],[pm]]/50))</f>
        <v>0.96621212121212119</v>
      </c>
      <c r="AB2058" s="3">
        <f>grand[[#This Row],[ carcass weight]]/grand[[#This Row],[total weight]]</f>
        <v>0.5999660072064722</v>
      </c>
      <c r="AC2058" s="18">
        <f>SUM(grand[[#This Row],[am]:[meat transportation]])/100</f>
        <v>0.89969696969696966</v>
      </c>
      <c r="AK2058" s="1"/>
      <c r="AL2058" s="1"/>
    </row>
    <row r="2059" spans="1:38" hidden="1" x14ac:dyDescent="0.2">
      <c r="A2059" s="11">
        <v>45638</v>
      </c>
      <c r="B2059" s="53" t="s">
        <v>2103</v>
      </c>
      <c r="C2059" s="52" t="str">
        <f>IF(MID(B2059,4,2)="09","Ramadan",IF(AND(MID(B2059,4,2)="12",VALUE(LEFT(B2059,2))&lt;=9),"Adha Season","Normal"))</f>
        <v>Normal</v>
      </c>
      <c r="D2059" s="1" t="s">
        <v>45</v>
      </c>
      <c r="E2059" s="1" t="s">
        <v>483</v>
      </c>
      <c r="F2059" s="4" t="s">
        <v>44</v>
      </c>
      <c r="G2059" s="1">
        <v>24</v>
      </c>
      <c r="H2059" s="1">
        <v>23</v>
      </c>
      <c r="I2059" s="1">
        <f>grand[[#This Row],[number]]-grand[[#This Row],[received]]</f>
        <v>1</v>
      </c>
      <c r="J2059" s="30" t="s">
        <v>666</v>
      </c>
      <c r="K2059" s="2">
        <v>11382</v>
      </c>
      <c r="L2059" s="2">
        <v>10887</v>
      </c>
      <c r="M2059" s="2">
        <f>K2059-L2059</f>
        <v>495</v>
      </c>
      <c r="N2059" s="2">
        <v>6853</v>
      </c>
      <c r="O2059" s="2">
        <v>196</v>
      </c>
      <c r="P2059" s="7">
        <f>grand[[#This Row],[total weight]]/grand[[#This Row],[received]]</f>
        <v>494.86956521739131</v>
      </c>
      <c r="Q2059" s="7">
        <f>grand[[#This Row],[receiving weight]]/grand[[#This Row],[received]]</f>
        <v>473.3478260869565</v>
      </c>
      <c r="R2059" s="7">
        <f>grand[[#This Row],[transportation loss ]]/grand[[#This Row],[received]]</f>
        <v>21.521739130434781</v>
      </c>
      <c r="S2059" s="7">
        <f>grand[[#This Row],[ carcass weight]]/grand[[#This Row],[received]]</f>
        <v>297.95652173913044</v>
      </c>
      <c r="T2059" s="7">
        <f>grand[[#This Row],[ kidneys fat quantity]]/grand[[#This Row],[received]]</f>
        <v>8.5217391304347831</v>
      </c>
      <c r="U2059" s="1">
        <v>25</v>
      </c>
      <c r="V2059" s="1">
        <v>0</v>
      </c>
      <c r="W2059" s="1">
        <v>46.608695652173914</v>
      </c>
      <c r="X2059" s="1">
        <v>10</v>
      </c>
      <c r="Y2059" s="1">
        <v>8.5</v>
      </c>
      <c r="Z2059" s="18">
        <f>grand[[#This Row],[av. Transportation loss]]/grand[[#This Row],[av.total weight]]</f>
        <v>4.3489720611491825E-2</v>
      </c>
      <c r="AA2059" s="12">
        <f>AVERAGE((grand[[#This Row],[am]]/25),(grand[[#This Row],[pm]]/50))</f>
        <v>0.96608695652173915</v>
      </c>
      <c r="AB2059" s="3">
        <f>grand[[#This Row],[ carcass weight]]/grand[[#This Row],[total weight]]</f>
        <v>0.60209102091020905</v>
      </c>
      <c r="AC2059" s="18">
        <f>SUM(grand[[#This Row],[am]:[meat transportation]])/100</f>
        <v>0.90108695652173909</v>
      </c>
      <c r="AJ2059" s="1">
        <v>7</v>
      </c>
      <c r="AK2059" s="1"/>
      <c r="AL2059" s="1"/>
    </row>
    <row r="2060" spans="1:38" hidden="1" x14ac:dyDescent="0.2">
      <c r="A2060" s="11">
        <v>45642</v>
      </c>
      <c r="B2060" s="53" t="s">
        <v>2106</v>
      </c>
      <c r="C2060" s="52" t="str">
        <f>IF(MID(B2060,4,2)="09","Ramadan",IF(AND(MID(B2060,4,2)="12",VALUE(LEFT(B2060,2))&lt;=9),"Adha Season","Normal"))</f>
        <v>Normal</v>
      </c>
      <c r="D2060" s="1" t="s">
        <v>45</v>
      </c>
      <c r="E2060" s="1" t="s">
        <v>528</v>
      </c>
      <c r="F2060" s="4" t="s">
        <v>462</v>
      </c>
      <c r="G2060" s="1">
        <v>31</v>
      </c>
      <c r="H2060" s="1">
        <v>30</v>
      </c>
      <c r="I2060" s="1">
        <f>grand[[#This Row],[number]]-grand[[#This Row],[received]]</f>
        <v>1</v>
      </c>
      <c r="J2060" s="30" t="s">
        <v>661</v>
      </c>
      <c r="K2060" s="2">
        <v>15859.493670886077</v>
      </c>
      <c r="L2060" s="2">
        <v>15859.493670886077</v>
      </c>
      <c r="M2060" s="2">
        <f>K2060-L2060</f>
        <v>0</v>
      </c>
      <c r="N2060" s="2">
        <v>10023.200000000001</v>
      </c>
      <c r="O2060" s="2">
        <v>0</v>
      </c>
      <c r="P2060" s="7">
        <f>grand[[#This Row],[total weight]]/grand[[#This Row],[received]]</f>
        <v>528.6497890295359</v>
      </c>
      <c r="Q2060" s="7">
        <f>grand[[#This Row],[receiving weight]]/grand[[#This Row],[received]]</f>
        <v>528.6497890295359</v>
      </c>
      <c r="R2060" s="7">
        <f>grand[[#This Row],[transportation loss ]]/grand[[#This Row],[received]]</f>
        <v>0</v>
      </c>
      <c r="S2060" s="7">
        <f>grand[[#This Row],[ carcass weight]]/grand[[#This Row],[received]]</f>
        <v>334.10666666666668</v>
      </c>
      <c r="T2060" s="7">
        <f>grand[[#This Row],[ kidneys fat quantity]]/grand[[#This Row],[received]]</f>
        <v>0</v>
      </c>
      <c r="U2060" s="1">
        <v>25</v>
      </c>
      <c r="V2060" s="1">
        <v>4</v>
      </c>
      <c r="W2060" s="1">
        <v>50</v>
      </c>
      <c r="X2060" s="1">
        <v>10</v>
      </c>
      <c r="Y2060" s="1">
        <v>8.5</v>
      </c>
      <c r="Z2060" s="18">
        <f>grand[[#This Row],[av. Transportation loss]]/grand[[#This Row],[av.total weight]]</f>
        <v>0</v>
      </c>
      <c r="AA2060" s="12">
        <f>AVERAGE((grand[[#This Row],[am]]/25),(grand[[#This Row],[pm]]/50))</f>
        <v>1</v>
      </c>
      <c r="AB2060" s="3">
        <f>grand[[#This Row],[ carcass weight]]/grand[[#This Row],[total weight]]</f>
        <v>0.63200000000000001</v>
      </c>
      <c r="AC2060" s="18">
        <f>SUM(grand[[#This Row],[am]:[meat transportation]])/100</f>
        <v>0.97499999999999998</v>
      </c>
      <c r="AK2060" s="1"/>
      <c r="AL2060" s="1"/>
    </row>
    <row r="2061" spans="1:38" hidden="1" x14ac:dyDescent="0.2">
      <c r="A2061" s="11">
        <v>45647</v>
      </c>
      <c r="B2061" s="53" t="s">
        <v>2109</v>
      </c>
      <c r="C2061" s="52" t="str">
        <f>IF(MID(B2061,4,2)="09","Ramadan",IF(AND(MID(B2061,4,2)="12",VALUE(LEFT(B2061,2))&lt;=9),"Adha Season","Normal"))</f>
        <v>Normal</v>
      </c>
      <c r="D2061" s="1" t="s">
        <v>45</v>
      </c>
      <c r="E2061" s="1" t="s">
        <v>483</v>
      </c>
      <c r="F2061" s="4" t="s">
        <v>43</v>
      </c>
      <c r="G2061" s="1">
        <v>23</v>
      </c>
      <c r="H2061" s="1">
        <v>22</v>
      </c>
      <c r="I2061" s="1">
        <f>grand[[#This Row],[number]]-grand[[#This Row],[received]]</f>
        <v>1</v>
      </c>
      <c r="J2061" s="30" t="s">
        <v>382</v>
      </c>
      <c r="K2061" s="2">
        <v>11243</v>
      </c>
      <c r="L2061" s="2">
        <v>10840</v>
      </c>
      <c r="M2061" s="2">
        <f>K2061-L2061</f>
        <v>403</v>
      </c>
      <c r="N2061" s="2">
        <v>6745.7</v>
      </c>
      <c r="O2061" s="2">
        <v>255</v>
      </c>
      <c r="P2061" s="7">
        <f>grand[[#This Row],[total weight]]/grand[[#This Row],[received]]</f>
        <v>511.04545454545456</v>
      </c>
      <c r="Q2061" s="7">
        <f>grand[[#This Row],[receiving weight]]/grand[[#This Row],[received]]</f>
        <v>492.72727272727275</v>
      </c>
      <c r="R2061" s="7">
        <f>grand[[#This Row],[transportation loss ]]/grand[[#This Row],[received]]</f>
        <v>18.318181818181817</v>
      </c>
      <c r="S2061" s="7">
        <f>grand[[#This Row],[ carcass weight]]/grand[[#This Row],[received]]</f>
        <v>306.62272727272727</v>
      </c>
      <c r="T2061" s="7">
        <f>grand[[#This Row],[ kidneys fat quantity]]/grand[[#This Row],[received]]</f>
        <v>11.590909090909092</v>
      </c>
      <c r="U2061" s="1">
        <v>25</v>
      </c>
      <c r="V2061" s="1">
        <v>0</v>
      </c>
      <c r="W2061" s="1">
        <v>46.86363636363636</v>
      </c>
      <c r="X2061" s="1">
        <v>10</v>
      </c>
      <c r="Y2061" s="1">
        <v>8.5</v>
      </c>
      <c r="Z2061" s="18">
        <f>grand[[#This Row],[av. Transportation loss]]/grand[[#This Row],[av.total weight]]</f>
        <v>3.5844525482522455E-2</v>
      </c>
      <c r="AA2061" s="12">
        <f>AVERAGE((grand[[#This Row],[am]]/25),(grand[[#This Row],[pm]]/50))</f>
        <v>0.96863636363636352</v>
      </c>
      <c r="AB2061" s="3">
        <f>grand[[#This Row],[ carcass weight]]/grand[[#This Row],[total weight]]</f>
        <v>0.59999110557680335</v>
      </c>
      <c r="AC2061" s="18">
        <f>SUM(grand[[#This Row],[am]:[meat transportation]])/100</f>
        <v>0.90363636363636357</v>
      </c>
      <c r="AJ2061" s="1">
        <v>8</v>
      </c>
      <c r="AK2061" s="1"/>
      <c r="AL2061" s="1"/>
    </row>
    <row r="2062" spans="1:38" hidden="1" x14ac:dyDescent="0.2">
      <c r="A2062" s="11">
        <v>45649</v>
      </c>
      <c r="B2062" s="53" t="s">
        <v>2111</v>
      </c>
      <c r="C2062" s="52" t="str">
        <f>IF(MID(B2062,4,2)="09","Ramadan",IF(AND(MID(B2062,4,2)="12",VALUE(LEFT(B2062,2))&lt;=9),"Adha Season","Normal"))</f>
        <v>Normal</v>
      </c>
      <c r="D2062" s="1" t="s">
        <v>45</v>
      </c>
      <c r="E2062" s="1" t="s">
        <v>483</v>
      </c>
      <c r="F2062" s="4" t="s">
        <v>39</v>
      </c>
      <c r="G2062" s="1">
        <v>36</v>
      </c>
      <c r="H2062" s="1">
        <v>35</v>
      </c>
      <c r="I2062" s="1">
        <f>grand[[#This Row],[number]]-grand[[#This Row],[received]]</f>
        <v>1</v>
      </c>
      <c r="J2062" s="30" t="s">
        <v>662</v>
      </c>
      <c r="K2062" s="2">
        <v>14873.73417721519</v>
      </c>
      <c r="L2062" s="2">
        <v>14873.73417721519</v>
      </c>
      <c r="M2062" s="2">
        <f>K2062-L2062</f>
        <v>0</v>
      </c>
      <c r="N2062" s="2">
        <v>9400.2000000000007</v>
      </c>
      <c r="O2062" s="2">
        <v>0</v>
      </c>
      <c r="P2062" s="7">
        <f>grand[[#This Row],[total weight]]/grand[[#This Row],[received]]</f>
        <v>424.96383363471972</v>
      </c>
      <c r="Q2062" s="7">
        <f>grand[[#This Row],[receiving weight]]/grand[[#This Row],[received]]</f>
        <v>424.96383363471972</v>
      </c>
      <c r="R2062" s="7">
        <f>grand[[#This Row],[transportation loss ]]/grand[[#This Row],[received]]</f>
        <v>0</v>
      </c>
      <c r="S2062" s="7">
        <f>grand[[#This Row],[ carcass weight]]/grand[[#This Row],[received]]</f>
        <v>268.57714285714286</v>
      </c>
      <c r="T2062" s="7">
        <f>grand[[#This Row],[ kidneys fat quantity]]/grand[[#This Row],[received]]</f>
        <v>0</v>
      </c>
      <c r="U2062" s="1">
        <v>25</v>
      </c>
      <c r="V2062" s="1">
        <v>5</v>
      </c>
      <c r="W2062" s="1">
        <v>50</v>
      </c>
      <c r="X2062" s="1">
        <v>10</v>
      </c>
      <c r="Y2062" s="1">
        <v>8.5</v>
      </c>
      <c r="Z2062" s="18">
        <f>grand[[#This Row],[av. Transportation loss]]/grand[[#This Row],[av.total weight]]</f>
        <v>0</v>
      </c>
      <c r="AA2062" s="12">
        <f>AVERAGE((grand[[#This Row],[am]]/25),(grand[[#This Row],[pm]]/50))</f>
        <v>1</v>
      </c>
      <c r="AB2062" s="3">
        <f>grand[[#This Row],[ carcass weight]]/grand[[#This Row],[total weight]]</f>
        <v>0.63200000000000001</v>
      </c>
      <c r="AC2062" s="18">
        <f>SUM(grand[[#This Row],[am]:[meat transportation]])/100</f>
        <v>0.98499999999999999</v>
      </c>
      <c r="AK2062" s="1"/>
      <c r="AL2062" s="1"/>
    </row>
    <row r="2063" spans="1:38" x14ac:dyDescent="0.2">
      <c r="A2063" s="11">
        <v>46118</v>
      </c>
      <c r="B2063" s="53" t="s">
        <v>2471</v>
      </c>
      <c r="C2063" s="52" t="str">
        <f>IF(MID(B2063,4,2)="09","Ramadan",IF(AND(MID(B2063,4,2)="12",VALUE(LEFT(B2063,2))&lt;=9),"Adha Season","Normal"))</f>
        <v>Normal</v>
      </c>
      <c r="D2063" s="2" t="s">
        <v>45</v>
      </c>
      <c r="F2063" s="4" t="s">
        <v>954</v>
      </c>
      <c r="G2063" s="1">
        <v>72</v>
      </c>
      <c r="H2063">
        <v>71</v>
      </c>
      <c r="I2063">
        <f>grand[[#This Row],[number]]-grand[[#This Row],[received]]</f>
        <v>1</v>
      </c>
      <c r="J2063" s="9" t="s">
        <v>1189</v>
      </c>
      <c r="K2063" s="2">
        <v>30405</v>
      </c>
      <c r="L2063" s="2">
        <v>30405</v>
      </c>
      <c r="M2063" s="2">
        <f>K2063-L2063</f>
        <v>0</v>
      </c>
      <c r="N2063" s="2">
        <v>18280</v>
      </c>
      <c r="O2063" s="2">
        <v>467</v>
      </c>
      <c r="P2063" s="7">
        <f>grand[[#This Row],[total weight]]/grand[[#This Row],[received]]</f>
        <v>428.23943661971833</v>
      </c>
      <c r="Q2063" s="7">
        <f>grand[[#This Row],[receiving weight]]/grand[[#This Row],[received]]</f>
        <v>428.23943661971833</v>
      </c>
      <c r="R2063" s="7">
        <f>grand[[#This Row],[transportation loss ]]/grand[[#This Row],[received]]</f>
        <v>0</v>
      </c>
      <c r="S2063" s="7">
        <f>grand[[#This Row],[ carcass weight]]/grand[[#This Row],[received]]</f>
        <v>257.46478873239437</v>
      </c>
      <c r="T2063" s="7">
        <f>grand[[#This Row],[ kidneys fat quantity]]/grand[[#This Row],[received]]</f>
        <v>6.577464788732394</v>
      </c>
      <c r="U2063">
        <v>25</v>
      </c>
      <c r="V2063">
        <v>0</v>
      </c>
      <c r="W2063">
        <v>47.91549295774648</v>
      </c>
      <c r="X2063">
        <v>10</v>
      </c>
      <c r="Y2063">
        <v>8.5</v>
      </c>
      <c r="Z2063" s="18">
        <f>grand[[#This Row],[av. Transportation loss]]/grand[[#This Row],[av.total weight]]</f>
        <v>0</v>
      </c>
      <c r="AA2063" s="18">
        <f>AVERAGE((grand[[#This Row],[am]]/25),(grand[[#This Row],[pm]]/50))</f>
        <v>0.97915492957746486</v>
      </c>
      <c r="AB2063" s="3">
        <f>grand[[#This Row],[ carcass weight]]/grand[[#This Row],[total weight]]</f>
        <v>0.60121690511429038</v>
      </c>
      <c r="AC2063" s="18">
        <f>SUM(grand[[#This Row],[am]:[meat transportation]])/100</f>
        <v>0.9141549295774648</v>
      </c>
      <c r="AD2063" s="2" t="s">
        <v>1109</v>
      </c>
      <c r="AE2063" s="2"/>
      <c r="AF2063" s="2"/>
      <c r="AG2063" s="2"/>
      <c r="AH2063" s="2"/>
      <c r="AI2063" s="2"/>
      <c r="AJ2063" s="2">
        <v>0</v>
      </c>
    </row>
    <row r="2064" spans="1:38" x14ac:dyDescent="0.2">
      <c r="A2064" s="11">
        <v>46119</v>
      </c>
      <c r="B2064" s="53" t="s">
        <v>2472</v>
      </c>
      <c r="C2064" s="52" t="str">
        <f>IF(MID(B2064,4,2)="09","Ramadan",IF(AND(MID(B2064,4,2)="12",VALUE(LEFT(B2064,2))&lt;=9),"Adha Season","Normal"))</f>
        <v>Normal</v>
      </c>
      <c r="D2064" s="2" t="s">
        <v>45</v>
      </c>
      <c r="F2064" s="4" t="s">
        <v>46</v>
      </c>
      <c r="G2064" s="1">
        <v>72</v>
      </c>
      <c r="H2064">
        <v>68</v>
      </c>
      <c r="I2064">
        <f>grand[[#This Row],[number]]-grand[[#This Row],[received]]</f>
        <v>4</v>
      </c>
      <c r="J2064" s="9" t="s">
        <v>1190</v>
      </c>
      <c r="K2064" s="2">
        <v>36723</v>
      </c>
      <c r="L2064" s="2">
        <v>36723</v>
      </c>
      <c r="M2064" s="2">
        <f>K2064-L2064</f>
        <v>0</v>
      </c>
      <c r="N2064" s="2">
        <v>22034</v>
      </c>
      <c r="O2064" s="2">
        <v>799</v>
      </c>
      <c r="P2064" s="7">
        <f>grand[[#This Row],[total weight]]/grand[[#This Row],[received]]</f>
        <v>540.04411764705878</v>
      </c>
      <c r="Q2064" s="7">
        <f>grand[[#This Row],[receiving weight]]/grand[[#This Row],[received]]</f>
        <v>540.04411764705878</v>
      </c>
      <c r="R2064" s="7">
        <f>grand[[#This Row],[transportation loss ]]/grand[[#This Row],[received]]</f>
        <v>0</v>
      </c>
      <c r="S2064" s="7">
        <f>grand[[#This Row],[ carcass weight]]/grand[[#This Row],[received]]</f>
        <v>324.02941176470586</v>
      </c>
      <c r="T2064" s="7">
        <f>grand[[#This Row],[ kidneys fat quantity]]/grand[[#This Row],[received]]</f>
        <v>11.75</v>
      </c>
      <c r="U2064">
        <v>24.044117647058822</v>
      </c>
      <c r="V2064">
        <v>0</v>
      </c>
      <c r="W2064">
        <v>48.176470588235297</v>
      </c>
      <c r="X2064">
        <v>10</v>
      </c>
      <c r="Y2064">
        <v>8.5</v>
      </c>
      <c r="Z2064" s="18">
        <f>grand[[#This Row],[av. Transportation loss]]/grand[[#This Row],[av.total weight]]</f>
        <v>0</v>
      </c>
      <c r="AA2064" s="18">
        <f>AVERAGE((grand[[#This Row],[am]]/25),(grand[[#This Row],[pm]]/50))</f>
        <v>0.96264705882352941</v>
      </c>
      <c r="AB2064" s="3">
        <f>grand[[#This Row],[ carcass weight]]/grand[[#This Row],[total weight]]</f>
        <v>0.60000544617814444</v>
      </c>
      <c r="AC2064" s="18">
        <f>SUM(grand[[#This Row],[am]:[meat transportation]])/100</f>
        <v>0.9072058823529412</v>
      </c>
      <c r="AD2064" s="2" t="s">
        <v>1110</v>
      </c>
      <c r="AE2064" s="2"/>
      <c r="AF2064" s="2"/>
      <c r="AG2064" s="2"/>
      <c r="AH2064" s="2"/>
      <c r="AI2064" s="2"/>
      <c r="AJ2064" s="2">
        <v>24</v>
      </c>
    </row>
    <row r="2065" spans="1:36" hidden="1" x14ac:dyDescent="0.2">
      <c r="A2065" s="11">
        <v>46120</v>
      </c>
      <c r="B2065" s="53" t="s">
        <v>2473</v>
      </c>
      <c r="C2065" s="52" t="str">
        <f>IF(MID(B2065,4,2)="09","Ramadan",IF(AND(MID(B2065,4,2)="12",VALUE(LEFT(B2065,2))&lt;=9),"Adha Season","Normal"))</f>
        <v>Normal</v>
      </c>
      <c r="D2065" s="2" t="s">
        <v>1079</v>
      </c>
      <c r="F2065" s="4" t="s">
        <v>165</v>
      </c>
      <c r="G2065" s="1">
        <v>35</v>
      </c>
      <c r="H2065">
        <v>35</v>
      </c>
      <c r="I2065">
        <f>grand[[#This Row],[number]]-grand[[#This Row],[received]]</f>
        <v>0</v>
      </c>
      <c r="J2065" s="2"/>
      <c r="K2065" s="2">
        <v>1900</v>
      </c>
      <c r="L2065" s="2">
        <v>1900</v>
      </c>
      <c r="M2065" s="2">
        <f>K2065-L2065</f>
        <v>0</v>
      </c>
      <c r="N2065" s="2">
        <v>1035.7</v>
      </c>
      <c r="O2065" s="2">
        <v>0</v>
      </c>
      <c r="P2065" s="7">
        <f>grand[[#This Row],[total weight]]/grand[[#This Row],[received]]</f>
        <v>54.285714285714285</v>
      </c>
      <c r="Q2065" s="7">
        <f>grand[[#This Row],[receiving weight]]/grand[[#This Row],[received]]</f>
        <v>54.285714285714285</v>
      </c>
      <c r="R2065" s="7">
        <f>grand[[#This Row],[transportation loss ]]/grand[[#This Row],[received]]</f>
        <v>0</v>
      </c>
      <c r="S2065" s="7">
        <f>grand[[#This Row],[ carcass weight]]/grand[[#This Row],[received]]</f>
        <v>29.591428571428573</v>
      </c>
      <c r="T2065" s="7">
        <f>grand[[#This Row],[ kidneys fat quantity]]/grand[[#This Row],[received]]</f>
        <v>0</v>
      </c>
      <c r="U2065">
        <v>25</v>
      </c>
      <c r="V2065">
        <v>0</v>
      </c>
      <c r="W2065">
        <v>44.885714285714286</v>
      </c>
      <c r="X2065">
        <v>10</v>
      </c>
      <c r="Y2065">
        <v>8.5</v>
      </c>
      <c r="Z2065" s="18">
        <f>grand[[#This Row],[av. Transportation loss]]/grand[[#This Row],[av.total weight]]</f>
        <v>0</v>
      </c>
      <c r="AA2065" s="18">
        <f>AVERAGE((grand[[#This Row],[am]]/25),(grand[[#This Row],[pm]]/50))</f>
        <v>0.94885714285714284</v>
      </c>
      <c r="AB2065" s="3">
        <f>grand[[#This Row],[ carcass weight]]/grand[[#This Row],[total weight]]</f>
        <v>0.54510526315789476</v>
      </c>
      <c r="AC2065" s="18">
        <f>SUM(grand[[#This Row],[am]:[meat transportation]])/100</f>
        <v>0.8838571428571429</v>
      </c>
      <c r="AD2065" s="2" t="s">
        <v>987</v>
      </c>
      <c r="AE2065" s="2"/>
      <c r="AF2065" s="2"/>
      <c r="AG2065" s="2"/>
      <c r="AH2065" s="2"/>
      <c r="AI2065" s="2"/>
      <c r="AJ2065" s="2">
        <v>0</v>
      </c>
    </row>
    <row r="2066" spans="1:36" x14ac:dyDescent="0.2">
      <c r="A2066" s="11">
        <v>46120</v>
      </c>
      <c r="B2066" s="53" t="s">
        <v>2473</v>
      </c>
      <c r="C2066" s="52" t="str">
        <f>IF(MID(B2066,4,2)="09","Ramadan",IF(AND(MID(B2066,4,2)="12",VALUE(LEFT(B2066,2))&lt;=9),"Adha Season","Normal"))</f>
        <v>Normal</v>
      </c>
      <c r="D2066" s="2" t="s">
        <v>45</v>
      </c>
      <c r="F2066" s="4" t="s">
        <v>746</v>
      </c>
      <c r="G2066" s="1">
        <v>68</v>
      </c>
      <c r="H2066">
        <v>64</v>
      </c>
      <c r="I2066">
        <f>grand[[#This Row],[number]]-grand[[#This Row],[received]]</f>
        <v>4</v>
      </c>
      <c r="J2066" s="9" t="s">
        <v>1191</v>
      </c>
      <c r="K2066" s="2">
        <v>33763</v>
      </c>
      <c r="L2066" s="2">
        <v>33763</v>
      </c>
      <c r="M2066" s="2">
        <f>K2066-L2066</f>
        <v>0</v>
      </c>
      <c r="N2066" s="2">
        <v>20259</v>
      </c>
      <c r="O2066" s="2">
        <v>686</v>
      </c>
      <c r="P2066" s="7">
        <f>grand[[#This Row],[total weight]]/grand[[#This Row],[received]]</f>
        <v>527.546875</v>
      </c>
      <c r="Q2066" s="7">
        <f>grand[[#This Row],[receiving weight]]/grand[[#This Row],[received]]</f>
        <v>527.546875</v>
      </c>
      <c r="R2066" s="7">
        <f>grand[[#This Row],[transportation loss ]]/grand[[#This Row],[received]]</f>
        <v>0</v>
      </c>
      <c r="S2066" s="7">
        <f>grand[[#This Row],[ carcass weight]]/grand[[#This Row],[received]]</f>
        <v>316.546875</v>
      </c>
      <c r="T2066" s="7">
        <f>grand[[#This Row],[ kidneys fat quantity]]/grand[[#This Row],[received]]</f>
        <v>10.71875</v>
      </c>
      <c r="U2066">
        <v>24.296875</v>
      </c>
      <c r="V2066">
        <v>0</v>
      </c>
      <c r="W2066">
        <v>45.015625</v>
      </c>
      <c r="X2066">
        <v>10</v>
      </c>
      <c r="Y2066">
        <v>8.5</v>
      </c>
      <c r="Z2066" s="18">
        <f>grand[[#This Row],[av. Transportation loss]]/grand[[#This Row],[av.total weight]]</f>
        <v>0</v>
      </c>
      <c r="AA2066" s="18">
        <f>AVERAGE((grand[[#This Row],[am]]/25),(grand[[#This Row],[pm]]/50))</f>
        <v>0.93609374999999995</v>
      </c>
      <c r="AB2066" s="3">
        <f>grand[[#This Row],[ carcass weight]]/grand[[#This Row],[total weight]]</f>
        <v>0.60003554186535557</v>
      </c>
      <c r="AC2066" s="18">
        <f>SUM(grand[[#This Row],[am]:[meat transportation]])/100</f>
        <v>0.87812500000000004</v>
      </c>
      <c r="AD2066" s="2" t="s">
        <v>1111</v>
      </c>
      <c r="AE2066" s="2"/>
      <c r="AF2066" s="2"/>
      <c r="AG2066" s="2"/>
      <c r="AH2066" s="2"/>
      <c r="AI2066" s="2"/>
      <c r="AJ2066" s="2">
        <v>48</v>
      </c>
    </row>
    <row r="2067" spans="1:36" hidden="1" x14ac:dyDescent="0.2">
      <c r="A2067" s="11">
        <v>46121</v>
      </c>
      <c r="B2067" s="53" t="s">
        <v>2474</v>
      </c>
      <c r="C2067" s="52" t="str">
        <f>IF(MID(B2067,4,2)="09","Ramadan",IF(AND(MID(B2067,4,2)="12",VALUE(LEFT(B2067,2))&lt;=9),"Adha Season","Normal"))</f>
        <v>Normal</v>
      </c>
      <c r="D2067" s="2" t="s">
        <v>1079</v>
      </c>
      <c r="F2067" s="4" t="s">
        <v>165</v>
      </c>
      <c r="G2067" s="1">
        <v>63</v>
      </c>
      <c r="H2067">
        <v>63</v>
      </c>
      <c r="I2067">
        <f>grand[[#This Row],[number]]-grand[[#This Row],[received]]</f>
        <v>0</v>
      </c>
      <c r="J2067" s="2"/>
      <c r="K2067" s="2">
        <v>3585</v>
      </c>
      <c r="L2067" s="2">
        <v>3585</v>
      </c>
      <c r="M2067" s="2">
        <f>K2067-L2067</f>
        <v>0</v>
      </c>
      <c r="N2067" s="2">
        <v>2011.6</v>
      </c>
      <c r="O2067" s="2">
        <v>0</v>
      </c>
      <c r="P2067" s="7">
        <f>grand[[#This Row],[total weight]]/grand[[#This Row],[received]]</f>
        <v>56.904761904761905</v>
      </c>
      <c r="Q2067" s="7">
        <f>grand[[#This Row],[receiving weight]]/grand[[#This Row],[received]]</f>
        <v>56.904761904761905</v>
      </c>
      <c r="R2067" s="7">
        <f>grand[[#This Row],[transportation loss ]]/grand[[#This Row],[received]]</f>
        <v>0</v>
      </c>
      <c r="S2067" s="7">
        <f>grand[[#This Row],[ carcass weight]]/grand[[#This Row],[received]]</f>
        <v>31.93015873015873</v>
      </c>
      <c r="T2067" s="7">
        <f>grand[[#This Row],[ kidneys fat quantity]]/grand[[#This Row],[received]]</f>
        <v>0</v>
      </c>
      <c r="U2067">
        <v>25</v>
      </c>
      <c r="V2067">
        <v>0</v>
      </c>
      <c r="W2067">
        <v>49.476190476190474</v>
      </c>
      <c r="X2067">
        <v>10</v>
      </c>
      <c r="Y2067">
        <v>8.5</v>
      </c>
      <c r="Z2067" s="18">
        <f>grand[[#This Row],[av. Transportation loss]]/grand[[#This Row],[av.total weight]]</f>
        <v>0</v>
      </c>
      <c r="AA2067" s="18">
        <f>AVERAGE((grand[[#This Row],[am]]/25),(grand[[#This Row],[pm]]/50))</f>
        <v>0.99476190476190474</v>
      </c>
      <c r="AB2067" s="3">
        <f>grand[[#This Row],[ carcass weight]]/grand[[#This Row],[total weight]]</f>
        <v>0.56111576011157593</v>
      </c>
      <c r="AC2067" s="18">
        <f>SUM(grand[[#This Row],[am]:[meat transportation]])/100</f>
        <v>0.92976190476190479</v>
      </c>
      <c r="AD2067" s="2" t="s">
        <v>1107</v>
      </c>
      <c r="AE2067" s="2"/>
      <c r="AF2067" s="2"/>
      <c r="AG2067" s="2"/>
      <c r="AH2067" s="2"/>
      <c r="AI2067" s="2"/>
      <c r="AJ2067" s="2">
        <v>0</v>
      </c>
    </row>
    <row r="2068" spans="1:36" x14ac:dyDescent="0.2">
      <c r="A2068" s="11">
        <v>46121</v>
      </c>
      <c r="B2068" s="53" t="s">
        <v>2474</v>
      </c>
      <c r="C2068" s="52" t="str">
        <f>IF(MID(B2068,4,2)="09","Ramadan",IF(AND(MID(B2068,4,2)="12",VALUE(LEFT(B2068,2))&lt;=9),"Adha Season","Normal"))</f>
        <v>Normal</v>
      </c>
      <c r="D2068" s="2" t="s">
        <v>45</v>
      </c>
      <c r="F2068" s="4" t="s">
        <v>165</v>
      </c>
      <c r="G2068" s="1">
        <v>91</v>
      </c>
      <c r="H2068">
        <v>81</v>
      </c>
      <c r="I2068">
        <f>grand[[#This Row],[number]]-grand[[#This Row],[received]]</f>
        <v>10</v>
      </c>
      <c r="J2068" s="9" t="s">
        <v>1192</v>
      </c>
      <c r="K2068" s="2">
        <v>37699</v>
      </c>
      <c r="L2068" s="2">
        <v>37699</v>
      </c>
      <c r="M2068" s="2">
        <f>K2068-L2068</f>
        <v>0</v>
      </c>
      <c r="N2068" s="2">
        <v>22619.3</v>
      </c>
      <c r="O2068" s="2">
        <v>637</v>
      </c>
      <c r="P2068" s="7">
        <f>grand[[#This Row],[total weight]]/grand[[#This Row],[received]]</f>
        <v>465.41975308641975</v>
      </c>
      <c r="Q2068" s="7">
        <f>grand[[#This Row],[receiving weight]]/grand[[#This Row],[received]]</f>
        <v>465.41975308641975</v>
      </c>
      <c r="R2068" s="7">
        <f>grand[[#This Row],[transportation loss ]]/grand[[#This Row],[received]]</f>
        <v>0</v>
      </c>
      <c r="S2068" s="7">
        <f>grand[[#This Row],[ carcass weight]]/grand[[#This Row],[received]]</f>
        <v>279.25061728395059</v>
      </c>
      <c r="T2068" s="7">
        <f>grand[[#This Row],[ kidneys fat quantity]]/grand[[#This Row],[received]]</f>
        <v>7.8641975308641978</v>
      </c>
      <c r="U2068">
        <v>24.074074074074073</v>
      </c>
      <c r="V2068">
        <v>0</v>
      </c>
      <c r="W2068">
        <v>48.23456790123457</v>
      </c>
      <c r="X2068">
        <v>10</v>
      </c>
      <c r="Y2068">
        <v>8.5</v>
      </c>
      <c r="Z2068" s="18">
        <f>grand[[#This Row],[av. Transportation loss]]/grand[[#This Row],[av.total weight]]</f>
        <v>0</v>
      </c>
      <c r="AA2068" s="18">
        <f>AVERAGE((grand[[#This Row],[am]]/25),(grand[[#This Row],[pm]]/50))</f>
        <v>0.96382716049382711</v>
      </c>
      <c r="AB2068" s="3">
        <f>grand[[#This Row],[ carcass weight]]/grand[[#This Row],[total weight]]</f>
        <v>0.59999734740974564</v>
      </c>
      <c r="AC2068" s="18">
        <f>SUM(grand[[#This Row],[am]:[meat transportation]])/100</f>
        <v>0.90808641975308646</v>
      </c>
      <c r="AD2068" s="2" t="s">
        <v>1112</v>
      </c>
      <c r="AE2068" s="2"/>
      <c r="AF2068" s="2"/>
      <c r="AG2068" s="2"/>
      <c r="AH2068" s="2"/>
      <c r="AI2068" s="2"/>
      <c r="AJ2068" s="2">
        <v>33</v>
      </c>
    </row>
    <row r="2069" spans="1:36" hidden="1" x14ac:dyDescent="0.2">
      <c r="A2069" s="11">
        <v>46123</v>
      </c>
      <c r="B2069" s="53" t="s">
        <v>2475</v>
      </c>
      <c r="C2069" s="52" t="str">
        <f>IF(MID(B2069,4,2)="09","Ramadan",IF(AND(MID(B2069,4,2)="12",VALUE(LEFT(B2069,2))&lt;=9),"Adha Season","Normal"))</f>
        <v>Normal</v>
      </c>
      <c r="D2069" s="2" t="s">
        <v>45</v>
      </c>
      <c r="F2069" s="4" t="s">
        <v>954</v>
      </c>
      <c r="G2069" s="1">
        <v>48</v>
      </c>
      <c r="H2069">
        <v>48</v>
      </c>
      <c r="I2069">
        <f>grand[[#This Row],[number]]-grand[[#This Row],[received]]</f>
        <v>0</v>
      </c>
      <c r="J2069" s="2"/>
      <c r="K2069" s="2">
        <v>21284</v>
      </c>
      <c r="L2069" s="2">
        <v>21284</v>
      </c>
      <c r="M2069" s="2">
        <f>K2069-L2069</f>
        <v>0</v>
      </c>
      <c r="N2069" s="2">
        <v>12853.8</v>
      </c>
      <c r="O2069" s="2">
        <v>320</v>
      </c>
      <c r="P2069" s="7">
        <f>grand[[#This Row],[total weight]]/grand[[#This Row],[received]]</f>
        <v>443.41666666666669</v>
      </c>
      <c r="Q2069" s="7">
        <f>grand[[#This Row],[receiving weight]]/grand[[#This Row],[received]]</f>
        <v>443.41666666666669</v>
      </c>
      <c r="R2069" s="7">
        <f>grand[[#This Row],[transportation loss ]]/grand[[#This Row],[received]]</f>
        <v>0</v>
      </c>
      <c r="S2069" s="7">
        <f>grand[[#This Row],[ carcass weight]]/grand[[#This Row],[received]]</f>
        <v>267.78749999999997</v>
      </c>
      <c r="T2069" s="7">
        <f>grand[[#This Row],[ kidneys fat quantity]]/grand[[#This Row],[received]]</f>
        <v>6.666666666666667</v>
      </c>
      <c r="U2069">
        <v>24.895833333333332</v>
      </c>
      <c r="V2069">
        <v>0</v>
      </c>
      <c r="W2069">
        <v>47.177083333333336</v>
      </c>
      <c r="X2069">
        <v>10</v>
      </c>
      <c r="Y2069">
        <v>8.5</v>
      </c>
      <c r="Z2069" s="18">
        <f>grand[[#This Row],[av. Transportation loss]]/grand[[#This Row],[av.total weight]]</f>
        <v>0</v>
      </c>
      <c r="AA2069" s="18">
        <f>AVERAGE((grand[[#This Row],[am]]/25),(grand[[#This Row],[pm]]/50))</f>
        <v>0.96968750000000004</v>
      </c>
      <c r="AB2069" s="3">
        <f>grand[[#This Row],[ carcass weight]]/grand[[#This Row],[total weight]]</f>
        <v>0.60391843638413834</v>
      </c>
      <c r="AC2069" s="18">
        <f>SUM(grand[[#This Row],[am]:[meat transportation]])/100</f>
        <v>0.9057291666666667</v>
      </c>
      <c r="AD2069" s="2" t="s">
        <v>1078</v>
      </c>
      <c r="AE2069" s="2"/>
      <c r="AF2069" s="2"/>
      <c r="AG2069" s="2"/>
      <c r="AH2069" s="2"/>
      <c r="AI2069" s="2"/>
      <c r="AJ2069" s="2">
        <v>1</v>
      </c>
    </row>
    <row r="2070" spans="1:36" hidden="1" x14ac:dyDescent="0.2">
      <c r="A2070" s="11">
        <v>46123</v>
      </c>
      <c r="B2070" s="53" t="s">
        <v>2475</v>
      </c>
      <c r="C2070" s="52" t="str">
        <f>IF(MID(B2070,4,2)="09","Ramadan",IF(AND(MID(B2070,4,2)="12",VALUE(LEFT(B2070,2))&lt;=9),"Adha Season","Normal"))</f>
        <v>Normal</v>
      </c>
      <c r="D2070" s="2" t="s">
        <v>1079</v>
      </c>
      <c r="F2070" s="4" t="s">
        <v>165</v>
      </c>
      <c r="G2070" s="1">
        <v>36</v>
      </c>
      <c r="H2070">
        <v>36</v>
      </c>
      <c r="I2070">
        <f>grand[[#This Row],[number]]-grand[[#This Row],[received]]</f>
        <v>0</v>
      </c>
      <c r="J2070" s="2"/>
      <c r="K2070" s="2">
        <v>2036</v>
      </c>
      <c r="L2070" s="2">
        <v>2036</v>
      </c>
      <c r="M2070" s="2">
        <f>K2070-L2070</f>
        <v>0</v>
      </c>
      <c r="N2070" s="2">
        <v>1184.5999999999999</v>
      </c>
      <c r="O2070" s="2">
        <v>0</v>
      </c>
      <c r="P2070" s="7">
        <f>grand[[#This Row],[total weight]]/grand[[#This Row],[received]]</f>
        <v>56.555555555555557</v>
      </c>
      <c r="Q2070" s="7">
        <f>grand[[#This Row],[receiving weight]]/grand[[#This Row],[received]]</f>
        <v>56.555555555555557</v>
      </c>
      <c r="R2070" s="7">
        <f>grand[[#This Row],[transportation loss ]]/grand[[#This Row],[received]]</f>
        <v>0</v>
      </c>
      <c r="S2070" s="7">
        <f>grand[[#This Row],[ carcass weight]]/grand[[#This Row],[received]]</f>
        <v>32.905555555555551</v>
      </c>
      <c r="T2070" s="7">
        <f>grand[[#This Row],[ kidneys fat quantity]]/grand[[#This Row],[received]]</f>
        <v>0</v>
      </c>
      <c r="U2070">
        <v>25</v>
      </c>
      <c r="V2070">
        <v>0</v>
      </c>
      <c r="W2070">
        <v>48.472222222222229</v>
      </c>
      <c r="X2070">
        <v>10</v>
      </c>
      <c r="Y2070">
        <v>8.5</v>
      </c>
      <c r="Z2070" s="18">
        <f>grand[[#This Row],[av. Transportation loss]]/grand[[#This Row],[av.total weight]]</f>
        <v>0</v>
      </c>
      <c r="AA2070" s="18">
        <f>AVERAGE((grand[[#This Row],[am]]/25),(grand[[#This Row],[pm]]/50))</f>
        <v>0.98472222222222228</v>
      </c>
      <c r="AB2070" s="3">
        <f>grand[[#This Row],[ carcass weight]]/grand[[#This Row],[total weight]]</f>
        <v>0.58182711198428283</v>
      </c>
      <c r="AC2070" s="18">
        <f>SUM(grand[[#This Row],[am]:[meat transportation]])/100</f>
        <v>0.91972222222222233</v>
      </c>
      <c r="AD2070" s="2" t="s">
        <v>81</v>
      </c>
      <c r="AE2070" s="2"/>
      <c r="AF2070" s="2"/>
      <c r="AG2070" s="2"/>
      <c r="AH2070" s="2"/>
      <c r="AI2070" s="2"/>
      <c r="AJ2070" s="2">
        <v>0</v>
      </c>
    </row>
    <row r="2071" spans="1:36" hidden="1" x14ac:dyDescent="0.2">
      <c r="A2071" s="11">
        <v>46124</v>
      </c>
      <c r="B2071" s="53" t="s">
        <v>2908</v>
      </c>
      <c r="C2071" s="52" t="str">
        <f>IF(MID(B2071,4,2)="09","Ramadan",IF(AND(MID(B2071,4,2)="12",VALUE(LEFT(B2071,2))&lt;=9),"Adha Season","Normal"))</f>
        <v>Normal</v>
      </c>
      <c r="D2071" s="2" t="s">
        <v>45</v>
      </c>
      <c r="F2071" s="4" t="s">
        <v>954</v>
      </c>
      <c r="G2071" s="1">
        <v>97</v>
      </c>
      <c r="H2071">
        <v>97</v>
      </c>
      <c r="I2071">
        <f>grand[[#This Row],[number]]-grand[[#This Row],[received]]</f>
        <v>0</v>
      </c>
      <c r="J2071" s="2"/>
      <c r="K2071" s="2">
        <v>41148</v>
      </c>
      <c r="L2071" s="2">
        <v>41148</v>
      </c>
      <c r="M2071" s="2">
        <f>K2071-L2071</f>
        <v>0</v>
      </c>
      <c r="N2071" s="2">
        <v>24985.9</v>
      </c>
      <c r="O2071" s="2">
        <v>650</v>
      </c>
      <c r="P2071" s="7">
        <f>grand[[#This Row],[total weight]]/grand[[#This Row],[received]]</f>
        <v>424.20618556701032</v>
      </c>
      <c r="Q2071" s="7">
        <f>grand[[#This Row],[receiving weight]]/grand[[#This Row],[received]]</f>
        <v>424.20618556701032</v>
      </c>
      <c r="R2071" s="7">
        <f>grand[[#This Row],[transportation loss ]]/grand[[#This Row],[received]]</f>
        <v>0</v>
      </c>
      <c r="S2071" s="7">
        <f>grand[[#This Row],[ carcass weight]]/grand[[#This Row],[received]]</f>
        <v>257.58659793814434</v>
      </c>
      <c r="T2071" s="7">
        <f>grand[[#This Row],[ kidneys fat quantity]]/grand[[#This Row],[received]]</f>
        <v>6.7010309278350517</v>
      </c>
      <c r="U2071">
        <v>25</v>
      </c>
      <c r="V2071">
        <v>0</v>
      </c>
      <c r="W2071">
        <v>47.010309278350512</v>
      </c>
      <c r="X2071">
        <v>10</v>
      </c>
      <c r="Y2071">
        <v>8.5</v>
      </c>
      <c r="Z2071" s="18">
        <f>grand[[#This Row],[av. Transportation loss]]/grand[[#This Row],[av.total weight]]</f>
        <v>0</v>
      </c>
      <c r="AA2071" s="18">
        <f>AVERAGE((grand[[#This Row],[am]]/25),(grand[[#This Row],[pm]]/50))</f>
        <v>0.97010309278350504</v>
      </c>
      <c r="AB2071" s="3">
        <f>grand[[#This Row],[ carcass weight]]/grand[[#This Row],[total weight]]</f>
        <v>0.60722027802080303</v>
      </c>
      <c r="AC2071" s="18">
        <f>SUM(grand[[#This Row],[am]:[meat transportation]])/100</f>
        <v>0.9051030927835052</v>
      </c>
      <c r="AD2071" s="2" t="s">
        <v>1080</v>
      </c>
      <c r="AE2071" s="2"/>
      <c r="AF2071" s="2"/>
      <c r="AG2071" s="2"/>
      <c r="AH2071" s="2"/>
      <c r="AI2071" s="2"/>
      <c r="AJ2071" s="2">
        <v>3</v>
      </c>
    </row>
    <row r="2072" spans="1:36" hidden="1" x14ac:dyDescent="0.2">
      <c r="A2072" s="11">
        <v>46126</v>
      </c>
      <c r="B2072" s="53" t="s">
        <v>2476</v>
      </c>
      <c r="C2072" s="52" t="str">
        <f>IF(MID(B2072,4,2)="09","Ramadan",IF(AND(MID(B2072,4,2)="12",VALUE(LEFT(B2072,2))&lt;=9),"Adha Season","Normal"))</f>
        <v>Normal</v>
      </c>
      <c r="D2072" s="2" t="s">
        <v>45</v>
      </c>
      <c r="F2072" s="4" t="s">
        <v>954</v>
      </c>
      <c r="G2072" s="1">
        <v>43</v>
      </c>
      <c r="H2072">
        <v>43</v>
      </c>
      <c r="I2072">
        <f>grand[[#This Row],[number]]-grand[[#This Row],[received]]</f>
        <v>0</v>
      </c>
      <c r="J2072" s="2"/>
      <c r="K2072" s="2">
        <v>22718</v>
      </c>
      <c r="L2072" s="2">
        <v>22718</v>
      </c>
      <c r="M2072" s="2">
        <f>K2072-L2072</f>
        <v>0</v>
      </c>
      <c r="N2072" s="2">
        <v>14115.7</v>
      </c>
      <c r="O2072" s="2">
        <v>399</v>
      </c>
      <c r="P2072" s="7">
        <f>grand[[#This Row],[total weight]]/grand[[#This Row],[received]]</f>
        <v>528.32558139534888</v>
      </c>
      <c r="Q2072" s="7">
        <f>grand[[#This Row],[receiving weight]]/grand[[#This Row],[received]]</f>
        <v>528.32558139534888</v>
      </c>
      <c r="R2072" s="7">
        <f>grand[[#This Row],[transportation loss ]]/grand[[#This Row],[received]]</f>
        <v>0</v>
      </c>
      <c r="S2072" s="7">
        <f>grand[[#This Row],[ carcass weight]]/grand[[#This Row],[received]]</f>
        <v>328.27209302325582</v>
      </c>
      <c r="T2072" s="7">
        <f>grand[[#This Row],[ kidneys fat quantity]]/grand[[#This Row],[received]]</f>
        <v>9.279069767441861</v>
      </c>
      <c r="U2072">
        <v>25</v>
      </c>
      <c r="V2072">
        <v>0</v>
      </c>
      <c r="W2072">
        <v>47.232558139534888</v>
      </c>
      <c r="X2072">
        <v>10</v>
      </c>
      <c r="Y2072">
        <v>8.5</v>
      </c>
      <c r="Z2072" s="18">
        <f>grand[[#This Row],[av. Transportation loss]]/grand[[#This Row],[av.total weight]]</f>
        <v>0</v>
      </c>
      <c r="AA2072" s="18">
        <f>AVERAGE((grand[[#This Row],[am]]/25),(grand[[#This Row],[pm]]/50))</f>
        <v>0.97232558139534886</v>
      </c>
      <c r="AB2072" s="3">
        <f>grand[[#This Row],[ carcass weight]]/grand[[#This Row],[total weight]]</f>
        <v>0.62134430847785904</v>
      </c>
      <c r="AC2072" s="18">
        <f>SUM(grand[[#This Row],[am]:[meat transportation]])/100</f>
        <v>0.90732558139534891</v>
      </c>
      <c r="AD2072" s="2" t="s">
        <v>1081</v>
      </c>
      <c r="AE2072" s="2"/>
      <c r="AF2072" s="2"/>
      <c r="AG2072" s="2"/>
      <c r="AH2072" s="2"/>
      <c r="AI2072" s="2"/>
      <c r="AJ2072" s="2">
        <v>12</v>
      </c>
    </row>
    <row r="2073" spans="1:36" hidden="1" x14ac:dyDescent="0.2">
      <c r="A2073" s="11">
        <v>46126</v>
      </c>
      <c r="B2073" s="53" t="s">
        <v>2476</v>
      </c>
      <c r="C2073" s="52" t="str">
        <f>IF(MID(B2073,4,2)="09","Ramadan",IF(AND(MID(B2073,4,2)="12",VALUE(LEFT(B2073,2))&lt;=9),"Adha Season","Normal"))</f>
        <v>Normal</v>
      </c>
      <c r="D2073" s="2" t="s">
        <v>1079</v>
      </c>
      <c r="F2073" s="4" t="s">
        <v>165</v>
      </c>
      <c r="G2073" s="1">
        <v>36</v>
      </c>
      <c r="H2073">
        <v>36</v>
      </c>
      <c r="I2073">
        <f>grand[[#This Row],[number]]-grand[[#This Row],[received]]</f>
        <v>0</v>
      </c>
      <c r="J2073" s="2"/>
      <c r="K2073" s="2">
        <v>2025</v>
      </c>
      <c r="L2073" s="2">
        <v>2025</v>
      </c>
      <c r="M2073" s="2">
        <f>K2073-L2073</f>
        <v>0</v>
      </c>
      <c r="N2073" s="2">
        <v>1156.5999999999999</v>
      </c>
      <c r="O2073" s="2">
        <v>0</v>
      </c>
      <c r="P2073" s="7">
        <f>grand[[#This Row],[total weight]]/grand[[#This Row],[received]]</f>
        <v>56.25</v>
      </c>
      <c r="Q2073" s="7">
        <f>grand[[#This Row],[receiving weight]]/grand[[#This Row],[received]]</f>
        <v>56.25</v>
      </c>
      <c r="R2073" s="7">
        <f>grand[[#This Row],[transportation loss ]]/grand[[#This Row],[received]]</f>
        <v>0</v>
      </c>
      <c r="S2073" s="7">
        <f>grand[[#This Row],[ carcass weight]]/grand[[#This Row],[received]]</f>
        <v>32.127777777777773</v>
      </c>
      <c r="T2073" s="7">
        <f>grand[[#This Row],[ kidneys fat quantity]]/grand[[#This Row],[received]]</f>
        <v>0</v>
      </c>
      <c r="U2073">
        <v>25</v>
      </c>
      <c r="V2073">
        <v>0</v>
      </c>
      <c r="W2073">
        <v>47.277777777777779</v>
      </c>
      <c r="X2073">
        <v>10</v>
      </c>
      <c r="Y2073">
        <v>8.5</v>
      </c>
      <c r="Z2073" s="18">
        <f>grand[[#This Row],[av. Transportation loss]]/grand[[#This Row],[av.total weight]]</f>
        <v>0</v>
      </c>
      <c r="AA2073" s="18">
        <f>AVERAGE((grand[[#This Row],[am]]/25),(grand[[#This Row],[pm]]/50))</f>
        <v>0.97277777777777774</v>
      </c>
      <c r="AB2073" s="3">
        <f>grand[[#This Row],[ carcass weight]]/grand[[#This Row],[total weight]]</f>
        <v>0.5711604938271605</v>
      </c>
      <c r="AC2073" s="18">
        <f>SUM(grand[[#This Row],[am]:[meat transportation]])/100</f>
        <v>0.90777777777777768</v>
      </c>
      <c r="AD2073" s="2" t="s">
        <v>1082</v>
      </c>
      <c r="AE2073" s="2"/>
      <c r="AF2073" s="2"/>
      <c r="AG2073" s="2"/>
      <c r="AH2073" s="2"/>
      <c r="AI2073" s="2"/>
      <c r="AJ2073" s="2">
        <v>0</v>
      </c>
    </row>
    <row r="2074" spans="1:36" hidden="1" x14ac:dyDescent="0.2">
      <c r="A2074" s="11">
        <v>46127</v>
      </c>
      <c r="B2074" s="53" t="s">
        <v>2909</v>
      </c>
      <c r="C2074" s="52" t="str">
        <f>IF(MID(B2074,4,2)="09","Ramadan",IF(AND(MID(B2074,4,2)="12",VALUE(LEFT(B2074,2))&lt;=9),"Adha Season","Normal"))</f>
        <v>Normal</v>
      </c>
      <c r="D2074" s="2" t="s">
        <v>45</v>
      </c>
      <c r="F2074" s="4" t="s">
        <v>1023</v>
      </c>
      <c r="G2074" s="1">
        <v>50</v>
      </c>
      <c r="H2074">
        <v>50</v>
      </c>
      <c r="I2074">
        <f>grand[[#This Row],[number]]-grand[[#This Row],[received]]</f>
        <v>0</v>
      </c>
      <c r="J2074" s="2"/>
      <c r="K2074" s="2">
        <v>23150</v>
      </c>
      <c r="L2074" s="2">
        <v>23150</v>
      </c>
      <c r="M2074" s="2">
        <f>K2074-L2074</f>
        <v>0</v>
      </c>
      <c r="N2074" s="2">
        <v>14205.3</v>
      </c>
      <c r="O2074" s="2">
        <v>368</v>
      </c>
      <c r="P2074" s="7">
        <f>grand[[#This Row],[total weight]]/grand[[#This Row],[received]]</f>
        <v>463</v>
      </c>
      <c r="Q2074" s="7">
        <f>grand[[#This Row],[receiving weight]]/grand[[#This Row],[received]]</f>
        <v>463</v>
      </c>
      <c r="R2074" s="7">
        <f>grand[[#This Row],[transportation loss ]]/grand[[#This Row],[received]]</f>
        <v>0</v>
      </c>
      <c r="S2074" s="7">
        <f>grand[[#This Row],[ carcass weight]]/grand[[#This Row],[received]]</f>
        <v>284.10599999999999</v>
      </c>
      <c r="T2074" s="7">
        <f>grand[[#This Row],[ kidneys fat quantity]]/grand[[#This Row],[received]]</f>
        <v>7.36</v>
      </c>
      <c r="U2074">
        <v>25</v>
      </c>
      <c r="V2074">
        <v>0</v>
      </c>
      <c r="W2074">
        <v>43.650000000000006</v>
      </c>
      <c r="X2074">
        <v>10</v>
      </c>
      <c r="Y2074">
        <v>8.5</v>
      </c>
      <c r="Z2074" s="18">
        <f>grand[[#This Row],[av. Transportation loss]]/grand[[#This Row],[av.total weight]]</f>
        <v>0</v>
      </c>
      <c r="AA2074" s="18">
        <f>AVERAGE((grand[[#This Row],[am]]/25),(grand[[#This Row],[pm]]/50))</f>
        <v>0.93650000000000011</v>
      </c>
      <c r="AB2074" s="3">
        <f>grand[[#This Row],[ carcass weight]]/grand[[#This Row],[total weight]]</f>
        <v>0.61361987041036714</v>
      </c>
      <c r="AC2074" s="18">
        <f>SUM(grand[[#This Row],[am]:[meat transportation]])/100</f>
        <v>0.87150000000000005</v>
      </c>
      <c r="AD2074" s="2" t="s">
        <v>1083</v>
      </c>
      <c r="AE2074" s="2"/>
      <c r="AF2074" s="2"/>
      <c r="AG2074" s="2"/>
      <c r="AH2074" s="2"/>
      <c r="AI2074" s="2"/>
      <c r="AJ2074" s="2">
        <v>4</v>
      </c>
    </row>
    <row r="2075" spans="1:36" hidden="1" x14ac:dyDescent="0.2">
      <c r="A2075" s="11">
        <v>46127</v>
      </c>
      <c r="B2075" s="53" t="s">
        <v>2909</v>
      </c>
      <c r="C2075" s="52" t="str">
        <f>IF(MID(B2075,4,2)="09","Ramadan",IF(AND(MID(B2075,4,2)="12",VALUE(LEFT(B2075,2))&lt;=9),"Adha Season","Normal"))</f>
        <v>Normal</v>
      </c>
      <c r="D2075" s="2" t="s">
        <v>1079</v>
      </c>
      <c r="F2075" s="4" t="s">
        <v>165</v>
      </c>
      <c r="G2075" s="1">
        <v>28</v>
      </c>
      <c r="H2075">
        <v>28</v>
      </c>
      <c r="I2075">
        <f>grand[[#This Row],[number]]-grand[[#This Row],[received]]</f>
        <v>0</v>
      </c>
      <c r="J2075" s="2"/>
      <c r="K2075" s="2">
        <v>1469</v>
      </c>
      <c r="L2075" s="2">
        <v>1469</v>
      </c>
      <c r="M2075" s="2">
        <f>K2075-L2075</f>
        <v>0</v>
      </c>
      <c r="N2075" s="2">
        <v>844</v>
      </c>
      <c r="O2075" s="2">
        <v>0</v>
      </c>
      <c r="P2075" s="7">
        <f>grand[[#This Row],[total weight]]/grand[[#This Row],[received]]</f>
        <v>52.464285714285715</v>
      </c>
      <c r="Q2075" s="7">
        <f>grand[[#This Row],[receiving weight]]/grand[[#This Row],[received]]</f>
        <v>52.464285714285715</v>
      </c>
      <c r="R2075" s="7">
        <f>grand[[#This Row],[transportation loss ]]/grand[[#This Row],[received]]</f>
        <v>0</v>
      </c>
      <c r="S2075" s="7">
        <f>grand[[#This Row],[ carcass weight]]/grand[[#This Row],[received]]</f>
        <v>30.142857142857142</v>
      </c>
      <c r="T2075" s="7">
        <f>grand[[#This Row],[ kidneys fat quantity]]/grand[[#This Row],[received]]</f>
        <v>0</v>
      </c>
      <c r="U2075">
        <v>25</v>
      </c>
      <c r="V2075">
        <v>0</v>
      </c>
      <c r="W2075">
        <v>48.464285714285715</v>
      </c>
      <c r="X2075">
        <v>10</v>
      </c>
      <c r="Y2075">
        <v>8.5</v>
      </c>
      <c r="Z2075" s="18">
        <f>grand[[#This Row],[av. Transportation loss]]/grand[[#This Row],[av.total weight]]</f>
        <v>0</v>
      </c>
      <c r="AA2075" s="18">
        <f>AVERAGE((grand[[#This Row],[am]]/25),(grand[[#This Row],[pm]]/50))</f>
        <v>0.98464285714285715</v>
      </c>
      <c r="AB2075" s="3">
        <f>grand[[#This Row],[ carcass weight]]/grand[[#This Row],[total weight]]</f>
        <v>0.57454050374404353</v>
      </c>
      <c r="AC2075" s="18">
        <f>SUM(grand[[#This Row],[am]:[meat transportation]])/100</f>
        <v>0.91964285714285721</v>
      </c>
      <c r="AD2075" s="2" t="s">
        <v>411</v>
      </c>
      <c r="AE2075" s="2"/>
      <c r="AF2075" s="2"/>
      <c r="AG2075" s="2"/>
      <c r="AH2075" s="2"/>
      <c r="AI2075" s="2"/>
      <c r="AJ2075" s="2">
        <v>0</v>
      </c>
    </row>
    <row r="2076" spans="1:36" hidden="1" x14ac:dyDescent="0.2">
      <c r="A2076" s="11">
        <v>46128</v>
      </c>
      <c r="B2076" s="53" t="s">
        <v>2477</v>
      </c>
      <c r="C2076" s="52" t="str">
        <f>IF(MID(B2076,4,2)="09","Ramadan",IF(AND(MID(B2076,4,2)="12",VALUE(LEFT(B2076,2))&lt;=9),"Adha Season","Normal"))</f>
        <v>Normal</v>
      </c>
      <c r="D2076" s="2" t="s">
        <v>45</v>
      </c>
      <c r="F2076" s="4" t="s">
        <v>46</v>
      </c>
      <c r="G2076" s="1">
        <v>41</v>
      </c>
      <c r="H2076">
        <v>41</v>
      </c>
      <c r="I2076">
        <f>grand[[#This Row],[number]]-grand[[#This Row],[received]]</f>
        <v>0</v>
      </c>
      <c r="J2076" s="2"/>
      <c r="K2076" s="2">
        <v>20202</v>
      </c>
      <c r="L2076" s="2">
        <v>20202</v>
      </c>
      <c r="M2076" s="2">
        <f>K2076-L2076</f>
        <v>0</v>
      </c>
      <c r="N2076" s="2">
        <v>12121</v>
      </c>
      <c r="O2076" s="2">
        <v>347</v>
      </c>
      <c r="P2076" s="7">
        <f>grand[[#This Row],[total weight]]/grand[[#This Row],[received]]</f>
        <v>492.73170731707319</v>
      </c>
      <c r="Q2076" s="7">
        <f>grand[[#This Row],[receiving weight]]/grand[[#This Row],[received]]</f>
        <v>492.73170731707319</v>
      </c>
      <c r="R2076" s="7">
        <f>grand[[#This Row],[transportation loss ]]/grand[[#This Row],[received]]</f>
        <v>0</v>
      </c>
      <c r="S2076" s="7">
        <f>grand[[#This Row],[ carcass weight]]/grand[[#This Row],[received]]</f>
        <v>295.63414634146341</v>
      </c>
      <c r="T2076" s="7">
        <f>grand[[#This Row],[ kidneys fat quantity]]/grand[[#This Row],[received]]</f>
        <v>8.463414634146341</v>
      </c>
      <c r="U2076">
        <v>23.902439024390244</v>
      </c>
      <c r="V2076">
        <v>0</v>
      </c>
      <c r="W2076">
        <v>47.90243902439024</v>
      </c>
      <c r="X2076">
        <v>10</v>
      </c>
      <c r="Y2076">
        <v>8.5</v>
      </c>
      <c r="Z2076" s="18">
        <f>grand[[#This Row],[av. Transportation loss]]/grand[[#This Row],[av.total weight]]</f>
        <v>0</v>
      </c>
      <c r="AA2076" s="18">
        <f>AVERAGE((grand[[#This Row],[am]]/25),(grand[[#This Row],[pm]]/50))</f>
        <v>0.95707317073170728</v>
      </c>
      <c r="AB2076" s="3">
        <f>grand[[#This Row],[ carcass weight]]/grand[[#This Row],[total weight]]</f>
        <v>0.5999900999901</v>
      </c>
      <c r="AC2076" s="18">
        <f>SUM(grand[[#This Row],[am]:[meat transportation]])/100</f>
        <v>0.90304878048780479</v>
      </c>
      <c r="AD2076" s="2" t="s">
        <v>170</v>
      </c>
      <c r="AE2076" s="2"/>
      <c r="AF2076" s="2"/>
      <c r="AG2076" s="2"/>
      <c r="AH2076" s="2"/>
      <c r="AI2076" s="2"/>
      <c r="AJ2076" s="2">
        <v>23</v>
      </c>
    </row>
    <row r="2077" spans="1:36" hidden="1" x14ac:dyDescent="0.2">
      <c r="A2077" s="11">
        <v>46128</v>
      </c>
      <c r="B2077" s="53" t="s">
        <v>2477</v>
      </c>
      <c r="C2077" s="52" t="str">
        <f>IF(MID(B2077,4,2)="09","Ramadan",IF(AND(MID(B2077,4,2)="12",VALUE(LEFT(B2077,2))&lt;=9),"Adha Season","Normal"))</f>
        <v>Normal</v>
      </c>
      <c r="D2077" s="2" t="s">
        <v>1079</v>
      </c>
      <c r="F2077" s="4" t="s">
        <v>165</v>
      </c>
      <c r="G2077" s="1">
        <v>63</v>
      </c>
      <c r="H2077">
        <v>63</v>
      </c>
      <c r="I2077">
        <f>grand[[#This Row],[number]]-grand[[#This Row],[received]]</f>
        <v>0</v>
      </c>
      <c r="J2077" s="2"/>
      <c r="K2077" s="2">
        <v>3490</v>
      </c>
      <c r="L2077" s="2">
        <v>3490</v>
      </c>
      <c r="M2077" s="2">
        <f>K2077-L2077</f>
        <v>0</v>
      </c>
      <c r="N2077" s="2">
        <v>1970</v>
      </c>
      <c r="O2077" s="2">
        <v>0</v>
      </c>
      <c r="P2077" s="7">
        <f>grand[[#This Row],[total weight]]/grand[[#This Row],[received]]</f>
        <v>55.396825396825399</v>
      </c>
      <c r="Q2077" s="7">
        <f>grand[[#This Row],[receiving weight]]/grand[[#This Row],[received]]</f>
        <v>55.396825396825399</v>
      </c>
      <c r="R2077" s="7">
        <f>grand[[#This Row],[transportation loss ]]/grand[[#This Row],[received]]</f>
        <v>0</v>
      </c>
      <c r="S2077" s="7">
        <f>grand[[#This Row],[ carcass weight]]/grand[[#This Row],[received]]</f>
        <v>31.269841269841269</v>
      </c>
      <c r="T2077" s="7">
        <f>grand[[#This Row],[ kidneys fat quantity]]/grand[[#This Row],[received]]</f>
        <v>0</v>
      </c>
      <c r="U2077">
        <v>25</v>
      </c>
      <c r="V2077">
        <v>0</v>
      </c>
      <c r="W2077">
        <v>47.015873015873019</v>
      </c>
      <c r="X2077">
        <v>10</v>
      </c>
      <c r="Y2077">
        <v>8.5</v>
      </c>
      <c r="Z2077" s="18">
        <f>grand[[#This Row],[av. Transportation loss]]/grand[[#This Row],[av.total weight]]</f>
        <v>0</v>
      </c>
      <c r="AA2077" s="18">
        <f>AVERAGE((grand[[#This Row],[am]]/25),(grand[[#This Row],[pm]]/50))</f>
        <v>0.97015873015873022</v>
      </c>
      <c r="AB2077" s="3">
        <f>grand[[#This Row],[ carcass weight]]/grand[[#This Row],[total weight]]</f>
        <v>0.5644699140401146</v>
      </c>
      <c r="AC2077" s="18">
        <f>SUM(grand[[#This Row],[am]:[meat transportation]])/100</f>
        <v>0.90515873015873016</v>
      </c>
      <c r="AD2077" s="2" t="s">
        <v>1084</v>
      </c>
      <c r="AE2077" s="2"/>
      <c r="AF2077" s="2"/>
      <c r="AG2077" s="2"/>
      <c r="AH2077" s="2"/>
      <c r="AI2077" s="2"/>
      <c r="AJ2077" s="2">
        <v>0</v>
      </c>
    </row>
    <row r="2078" spans="1:36" hidden="1" x14ac:dyDescent="0.2">
      <c r="A2078" s="11">
        <v>46128</v>
      </c>
      <c r="B2078" s="53" t="s">
        <v>2477</v>
      </c>
      <c r="C2078" s="52" t="str">
        <f>IF(MID(B2078,4,2)="09","Ramadan",IF(AND(MID(B2078,4,2)="12",VALUE(LEFT(B2078,2))&lt;=9),"Adha Season","Normal"))</f>
        <v>Normal</v>
      </c>
      <c r="D2078" s="2" t="s">
        <v>45</v>
      </c>
      <c r="F2078" s="4" t="s">
        <v>1023</v>
      </c>
      <c r="G2078" s="1">
        <v>50</v>
      </c>
      <c r="H2078">
        <v>50</v>
      </c>
      <c r="I2078">
        <f>grand[[#This Row],[number]]-grand[[#This Row],[received]]</f>
        <v>0</v>
      </c>
      <c r="J2078" s="2"/>
      <c r="K2078" s="2">
        <v>21944</v>
      </c>
      <c r="L2078" s="2">
        <v>21944</v>
      </c>
      <c r="M2078" s="2">
        <f>K2078-L2078</f>
        <v>0</v>
      </c>
      <c r="N2078" s="2">
        <v>13572</v>
      </c>
      <c r="O2078" s="2">
        <v>337</v>
      </c>
      <c r="P2078" s="7">
        <f>grand[[#This Row],[total weight]]/grand[[#This Row],[received]]</f>
        <v>438.88</v>
      </c>
      <c r="Q2078" s="7">
        <f>grand[[#This Row],[receiving weight]]/grand[[#This Row],[received]]</f>
        <v>438.88</v>
      </c>
      <c r="R2078" s="7">
        <f>grand[[#This Row],[transportation loss ]]/grand[[#This Row],[received]]</f>
        <v>0</v>
      </c>
      <c r="S2078" s="7">
        <f>grand[[#This Row],[ carcass weight]]/grand[[#This Row],[received]]</f>
        <v>271.44</v>
      </c>
      <c r="T2078" s="7">
        <f>grand[[#This Row],[ kidneys fat quantity]]/grand[[#This Row],[received]]</f>
        <v>6.74</v>
      </c>
      <c r="U2078">
        <v>25</v>
      </c>
      <c r="V2078">
        <v>0</v>
      </c>
      <c r="W2078">
        <v>48.36</v>
      </c>
      <c r="X2078">
        <v>10</v>
      </c>
      <c r="Y2078">
        <v>8.5</v>
      </c>
      <c r="Z2078" s="18">
        <f>grand[[#This Row],[av. Transportation loss]]/grand[[#This Row],[av.total weight]]</f>
        <v>0</v>
      </c>
      <c r="AA2078" s="18">
        <f>AVERAGE((grand[[#This Row],[am]]/25),(grand[[#This Row],[pm]]/50))</f>
        <v>0.98360000000000003</v>
      </c>
      <c r="AB2078" s="3">
        <f>grand[[#This Row],[ carcass weight]]/grand[[#This Row],[total weight]]</f>
        <v>0.61848341232227488</v>
      </c>
      <c r="AC2078" s="18">
        <f>SUM(grand[[#This Row],[am]:[meat transportation]])/100</f>
        <v>0.91859999999999997</v>
      </c>
      <c r="AD2078" s="2" t="s">
        <v>1085</v>
      </c>
      <c r="AE2078" s="2"/>
      <c r="AF2078" s="2"/>
      <c r="AG2078" s="2"/>
      <c r="AH2078" s="2"/>
      <c r="AI2078" s="2"/>
      <c r="AJ2078" s="2">
        <v>0</v>
      </c>
    </row>
    <row r="2079" spans="1:36" hidden="1" x14ac:dyDescent="0.2">
      <c r="A2079" s="11">
        <v>46130</v>
      </c>
      <c r="B2079" s="53" t="s">
        <v>2478</v>
      </c>
      <c r="C2079" s="52" t="str">
        <f>IF(MID(B2079,4,2)="09","Ramadan",IF(AND(MID(B2079,4,2)="12",VALUE(LEFT(B2079,2))&lt;=9),"Adha Season","Normal"))</f>
        <v>Normal</v>
      </c>
      <c r="D2079" s="2" t="s">
        <v>45</v>
      </c>
      <c r="F2079" s="4" t="s">
        <v>46</v>
      </c>
      <c r="G2079" s="1">
        <v>32</v>
      </c>
      <c r="H2079">
        <v>32</v>
      </c>
      <c r="I2079">
        <f>grand[[#This Row],[number]]-grand[[#This Row],[received]]</f>
        <v>0</v>
      </c>
      <c r="J2079" s="2"/>
      <c r="K2079" s="2">
        <v>16495</v>
      </c>
      <c r="L2079" s="2">
        <v>16495</v>
      </c>
      <c r="M2079" s="2">
        <f>K2079-L2079</f>
        <v>0</v>
      </c>
      <c r="N2079" s="2">
        <v>9897</v>
      </c>
      <c r="O2079" s="2">
        <v>350</v>
      </c>
      <c r="P2079" s="7">
        <f>grand[[#This Row],[total weight]]/grand[[#This Row],[received]]</f>
        <v>515.46875</v>
      </c>
      <c r="Q2079" s="7">
        <f>grand[[#This Row],[receiving weight]]/grand[[#This Row],[received]]</f>
        <v>515.46875</v>
      </c>
      <c r="R2079" s="7">
        <f>grand[[#This Row],[transportation loss ]]/grand[[#This Row],[received]]</f>
        <v>0</v>
      </c>
      <c r="S2079" s="7">
        <f>grand[[#This Row],[ carcass weight]]/grand[[#This Row],[received]]</f>
        <v>309.28125</v>
      </c>
      <c r="T2079" s="7">
        <f>grand[[#This Row],[ kidneys fat quantity]]/grand[[#This Row],[received]]</f>
        <v>10.9375</v>
      </c>
      <c r="U2079">
        <v>25</v>
      </c>
      <c r="V2079">
        <v>0</v>
      </c>
      <c r="W2079">
        <v>48.78125</v>
      </c>
      <c r="X2079">
        <v>10</v>
      </c>
      <c r="Y2079">
        <v>8.5</v>
      </c>
      <c r="Z2079" s="18">
        <f>grand[[#This Row],[av. Transportation loss]]/grand[[#This Row],[av.total weight]]</f>
        <v>0</v>
      </c>
      <c r="AA2079" s="18">
        <f>AVERAGE((grand[[#This Row],[am]]/25),(grand[[#This Row],[pm]]/50))</f>
        <v>0.98781249999999998</v>
      </c>
      <c r="AB2079" s="3">
        <f>grand[[#This Row],[ carcass weight]]/grand[[#This Row],[total weight]]</f>
        <v>0.6</v>
      </c>
      <c r="AC2079" s="18">
        <f>SUM(grand[[#This Row],[am]:[meat transportation]])/100</f>
        <v>0.92281250000000004</v>
      </c>
      <c r="AD2079" s="2" t="s">
        <v>987</v>
      </c>
      <c r="AE2079" s="2"/>
      <c r="AF2079" s="2"/>
      <c r="AG2079" s="2"/>
      <c r="AH2079" s="2"/>
      <c r="AI2079" s="2"/>
      <c r="AJ2079" s="2">
        <v>0</v>
      </c>
    </row>
    <row r="2080" spans="1:36" hidden="1" x14ac:dyDescent="0.2">
      <c r="A2080" s="11">
        <v>46131</v>
      </c>
      <c r="B2080" s="53" t="s">
        <v>2910</v>
      </c>
      <c r="C2080" s="52" t="str">
        <f>IF(MID(B2080,4,2)="09","Ramadan",IF(AND(MID(B2080,4,2)="12",VALUE(LEFT(B2080,2))&lt;=9),"Adha Season","Normal"))</f>
        <v>Normal</v>
      </c>
      <c r="D2080" s="2" t="s">
        <v>1079</v>
      </c>
      <c r="F2080" s="4" t="s">
        <v>165</v>
      </c>
      <c r="G2080" s="1">
        <v>27</v>
      </c>
      <c r="H2080">
        <v>27</v>
      </c>
      <c r="I2080">
        <f>grand[[#This Row],[number]]-grand[[#This Row],[received]]</f>
        <v>0</v>
      </c>
      <c r="J2080" s="2"/>
      <c r="K2080" s="2">
        <v>1510</v>
      </c>
      <c r="L2080" s="2">
        <v>1510</v>
      </c>
      <c r="M2080" s="2">
        <f>K2080-L2080</f>
        <v>0</v>
      </c>
      <c r="N2080" s="2">
        <v>859</v>
      </c>
      <c r="O2080" s="2">
        <v>0</v>
      </c>
      <c r="P2080" s="7">
        <f>grand[[#This Row],[total weight]]/grand[[#This Row],[received]]</f>
        <v>55.925925925925924</v>
      </c>
      <c r="Q2080" s="7">
        <f>grand[[#This Row],[receiving weight]]/grand[[#This Row],[received]]</f>
        <v>55.925925925925924</v>
      </c>
      <c r="R2080" s="7">
        <f>grand[[#This Row],[transportation loss ]]/grand[[#This Row],[received]]</f>
        <v>0</v>
      </c>
      <c r="S2080" s="7">
        <f>grand[[#This Row],[ carcass weight]]/grand[[#This Row],[received]]</f>
        <v>31.814814814814813</v>
      </c>
      <c r="T2080" s="7">
        <f>grand[[#This Row],[ kidneys fat quantity]]/grand[[#This Row],[received]]</f>
        <v>0</v>
      </c>
      <c r="U2080">
        <v>25</v>
      </c>
      <c r="V2080">
        <v>0</v>
      </c>
      <c r="W2080">
        <v>46.222222222222229</v>
      </c>
      <c r="X2080">
        <v>10</v>
      </c>
      <c r="Y2080">
        <v>8.5</v>
      </c>
      <c r="Z2080" s="18">
        <f>grand[[#This Row],[av. Transportation loss]]/grand[[#This Row],[av.total weight]]</f>
        <v>0</v>
      </c>
      <c r="AA2080" s="18">
        <f>AVERAGE((grand[[#This Row],[am]]/25),(grand[[#This Row],[pm]]/50))</f>
        <v>0.96222222222222231</v>
      </c>
      <c r="AB2080" s="3">
        <f>grand[[#This Row],[ carcass weight]]/grand[[#This Row],[total weight]]</f>
        <v>0.56887417218543046</v>
      </c>
      <c r="AC2080" s="18">
        <f>SUM(grand[[#This Row],[am]:[meat transportation]])/100</f>
        <v>0.89722222222222225</v>
      </c>
      <c r="AD2080" s="2" t="s">
        <v>411</v>
      </c>
      <c r="AE2080" s="2"/>
      <c r="AF2080" s="2"/>
      <c r="AG2080" s="2"/>
      <c r="AH2080" s="2"/>
      <c r="AI2080" s="2"/>
      <c r="AJ2080" s="2">
        <v>0</v>
      </c>
    </row>
    <row r="2081" spans="1:36" x14ac:dyDescent="0.2">
      <c r="A2081" s="11">
        <v>46131</v>
      </c>
      <c r="B2081" s="53" t="s">
        <v>2910</v>
      </c>
      <c r="C2081" s="52" t="str">
        <f>IF(MID(B2081,4,2)="09","Ramadan",IF(AND(MID(B2081,4,2)="12",VALUE(LEFT(B2081,2))&lt;=9),"Adha Season","Normal"))</f>
        <v>Normal</v>
      </c>
      <c r="D2081" s="2" t="s">
        <v>45</v>
      </c>
      <c r="F2081" s="4" t="s">
        <v>165</v>
      </c>
      <c r="G2081" s="1">
        <v>45</v>
      </c>
      <c r="H2081">
        <v>41</v>
      </c>
      <c r="I2081">
        <f>grand[[#This Row],[number]]-grand[[#This Row],[received]]</f>
        <v>4</v>
      </c>
      <c r="J2081" s="9" t="s">
        <v>1194</v>
      </c>
      <c r="K2081" s="2">
        <v>19296</v>
      </c>
      <c r="L2081" s="2">
        <v>19296</v>
      </c>
      <c r="M2081" s="2">
        <f>K2081-L2081</f>
        <v>0</v>
      </c>
      <c r="N2081" s="2">
        <v>11578</v>
      </c>
      <c r="O2081" s="2">
        <v>354</v>
      </c>
      <c r="P2081" s="7">
        <f>grand[[#This Row],[total weight]]/grand[[#This Row],[received]]</f>
        <v>470.63414634146341</v>
      </c>
      <c r="Q2081" s="7">
        <f>grand[[#This Row],[receiving weight]]/grand[[#This Row],[received]]</f>
        <v>470.63414634146341</v>
      </c>
      <c r="R2081" s="7">
        <f>grand[[#This Row],[transportation loss ]]/grand[[#This Row],[received]]</f>
        <v>0</v>
      </c>
      <c r="S2081" s="7">
        <f>grand[[#This Row],[ carcass weight]]/grand[[#This Row],[received]]</f>
        <v>282.39024390243901</v>
      </c>
      <c r="T2081" s="7">
        <f>grand[[#This Row],[ kidneys fat quantity]]/grand[[#This Row],[received]]</f>
        <v>8.6341463414634152</v>
      </c>
      <c r="U2081">
        <v>23.878048780487809</v>
      </c>
      <c r="V2081">
        <v>0</v>
      </c>
      <c r="W2081">
        <v>48.09756097560976</v>
      </c>
      <c r="X2081">
        <v>10</v>
      </c>
      <c r="Y2081">
        <v>8.5</v>
      </c>
      <c r="Z2081" s="18">
        <f>grand[[#This Row],[av. Transportation loss]]/grand[[#This Row],[av.total weight]]</f>
        <v>0</v>
      </c>
      <c r="AA2081" s="18">
        <f>AVERAGE((grand[[#This Row],[am]]/25),(grand[[#This Row],[pm]]/50))</f>
        <v>0.95853658536585384</v>
      </c>
      <c r="AB2081" s="3">
        <f>grand[[#This Row],[ carcass weight]]/grand[[#This Row],[total weight]]</f>
        <v>0.60002072968490883</v>
      </c>
      <c r="AC2081" s="18">
        <f>SUM(grand[[#This Row],[am]:[meat transportation]])/100</f>
        <v>0.90475609756097564</v>
      </c>
      <c r="AD2081" s="2" t="s">
        <v>1086</v>
      </c>
      <c r="AE2081" s="2"/>
      <c r="AF2081" s="2"/>
      <c r="AG2081" s="2"/>
      <c r="AH2081" s="2"/>
      <c r="AI2081" s="2"/>
      <c r="AJ2081" s="2">
        <v>15</v>
      </c>
    </row>
    <row r="2082" spans="1:36" hidden="1" x14ac:dyDescent="0.2">
      <c r="A2082" s="11">
        <v>46132</v>
      </c>
      <c r="B2082" s="53" t="s">
        <v>2479</v>
      </c>
      <c r="C2082" s="52" t="str">
        <f>IF(MID(B2082,4,2)="09","Ramadan",IF(AND(MID(B2082,4,2)="12",VALUE(LEFT(B2082,2))&lt;=9),"Adha Season","Normal"))</f>
        <v>Normal</v>
      </c>
      <c r="D2082" s="2" t="s">
        <v>1079</v>
      </c>
      <c r="F2082" s="4" t="s">
        <v>165</v>
      </c>
      <c r="G2082" s="1">
        <v>28</v>
      </c>
      <c r="H2082">
        <v>28</v>
      </c>
      <c r="I2082">
        <f>grand[[#This Row],[number]]-grand[[#This Row],[received]]</f>
        <v>0</v>
      </c>
      <c r="J2082" s="2"/>
      <c r="K2082" s="2">
        <v>1555</v>
      </c>
      <c r="L2082" s="2">
        <v>1555</v>
      </c>
      <c r="M2082" s="2">
        <f>K2082-L2082</f>
        <v>0</v>
      </c>
      <c r="N2082" s="2">
        <v>896</v>
      </c>
      <c r="O2082" s="2">
        <v>0</v>
      </c>
      <c r="P2082" s="7">
        <f>grand[[#This Row],[total weight]]/grand[[#This Row],[received]]</f>
        <v>55.535714285714285</v>
      </c>
      <c r="Q2082" s="7">
        <f>grand[[#This Row],[receiving weight]]/grand[[#This Row],[received]]</f>
        <v>55.535714285714285</v>
      </c>
      <c r="R2082" s="7">
        <f>grand[[#This Row],[transportation loss ]]/grand[[#This Row],[received]]</f>
        <v>0</v>
      </c>
      <c r="S2082" s="7">
        <f>grand[[#This Row],[ carcass weight]]/grand[[#This Row],[received]]</f>
        <v>32</v>
      </c>
      <c r="T2082" s="7">
        <f>grand[[#This Row],[ kidneys fat quantity]]/grand[[#This Row],[received]]</f>
        <v>0</v>
      </c>
      <c r="U2082">
        <v>25</v>
      </c>
      <c r="V2082">
        <v>0</v>
      </c>
      <c r="W2082">
        <v>49.357142857142854</v>
      </c>
      <c r="X2082">
        <v>10</v>
      </c>
      <c r="Y2082">
        <v>8.5</v>
      </c>
      <c r="Z2082" s="18">
        <f>grand[[#This Row],[av. Transportation loss]]/grand[[#This Row],[av.total weight]]</f>
        <v>0</v>
      </c>
      <c r="AA2082" s="18">
        <f>AVERAGE((grand[[#This Row],[am]]/25),(grand[[#This Row],[pm]]/50))</f>
        <v>0.99357142857142855</v>
      </c>
      <c r="AB2082" s="3">
        <f>grand[[#This Row],[ carcass weight]]/grand[[#This Row],[total weight]]</f>
        <v>0.57620578778135045</v>
      </c>
      <c r="AC2082" s="18">
        <f>SUM(grand[[#This Row],[am]:[meat transportation]])/100</f>
        <v>0.9285714285714286</v>
      </c>
      <c r="AD2082" s="2" t="s">
        <v>81</v>
      </c>
      <c r="AE2082" s="2"/>
      <c r="AF2082" s="2"/>
      <c r="AG2082" s="2"/>
      <c r="AH2082" s="2"/>
      <c r="AI2082" s="2"/>
      <c r="AJ2082" s="2">
        <v>0</v>
      </c>
    </row>
    <row r="2083" spans="1:36" x14ac:dyDescent="0.2">
      <c r="A2083" s="11">
        <v>46132</v>
      </c>
      <c r="B2083" s="53" t="s">
        <v>2479</v>
      </c>
      <c r="C2083" s="52" t="str">
        <f>IF(MID(B2083,4,2)="09","Ramadan",IF(AND(MID(B2083,4,2)="12",VALUE(LEFT(B2083,2))&lt;=9),"Adha Season","Normal"))</f>
        <v>Normal</v>
      </c>
      <c r="D2083" s="2" t="s">
        <v>45</v>
      </c>
      <c r="F2083" s="4" t="s">
        <v>954</v>
      </c>
      <c r="G2083" s="1">
        <v>56</v>
      </c>
      <c r="H2083">
        <v>55</v>
      </c>
      <c r="I2083">
        <f>grand[[#This Row],[number]]-grand[[#This Row],[received]]</f>
        <v>1</v>
      </c>
      <c r="J2083" s="9" t="s">
        <v>1195</v>
      </c>
      <c r="K2083" s="2">
        <v>24335</v>
      </c>
      <c r="L2083" s="2">
        <v>24335</v>
      </c>
      <c r="M2083" s="2">
        <f>K2083-L2083</f>
        <v>0</v>
      </c>
      <c r="N2083" s="2">
        <v>14733</v>
      </c>
      <c r="O2083" s="2">
        <v>398</v>
      </c>
      <c r="P2083" s="7">
        <f>grand[[#This Row],[total weight]]/grand[[#This Row],[received]]</f>
        <v>442.45454545454544</v>
      </c>
      <c r="Q2083" s="7">
        <f>grand[[#This Row],[receiving weight]]/grand[[#This Row],[received]]</f>
        <v>442.45454545454544</v>
      </c>
      <c r="R2083" s="7">
        <f>grand[[#This Row],[transportation loss ]]/grand[[#This Row],[received]]</f>
        <v>0</v>
      </c>
      <c r="S2083" s="7">
        <f>grand[[#This Row],[ carcass weight]]/grand[[#This Row],[received]]</f>
        <v>267.87272727272727</v>
      </c>
      <c r="T2083" s="7">
        <f>grand[[#This Row],[ kidneys fat quantity]]/grand[[#This Row],[received]]</f>
        <v>7.2363636363636363</v>
      </c>
      <c r="U2083">
        <v>25</v>
      </c>
      <c r="V2083">
        <v>0</v>
      </c>
      <c r="W2083">
        <v>47.999999999999993</v>
      </c>
      <c r="X2083">
        <v>10</v>
      </c>
      <c r="Y2083">
        <v>8.5</v>
      </c>
      <c r="Z2083" s="18">
        <f>grand[[#This Row],[av. Transportation loss]]/grand[[#This Row],[av.total weight]]</f>
        <v>0</v>
      </c>
      <c r="AA2083" s="18">
        <f>AVERAGE((grand[[#This Row],[am]]/25),(grand[[#This Row],[pm]]/50))</f>
        <v>0.98</v>
      </c>
      <c r="AB2083" s="3">
        <f>grand[[#This Row],[ carcass weight]]/grand[[#This Row],[total weight]]</f>
        <v>0.60542428600780773</v>
      </c>
      <c r="AC2083" s="18">
        <f>SUM(grand[[#This Row],[am]:[meat transportation]])/100</f>
        <v>0.91500000000000004</v>
      </c>
      <c r="AD2083" s="2" t="s">
        <v>1089</v>
      </c>
      <c r="AE2083" s="2"/>
      <c r="AF2083" s="2"/>
      <c r="AG2083" s="2"/>
      <c r="AH2083" s="2"/>
      <c r="AI2083" s="2"/>
      <c r="AJ2083" s="2">
        <v>0</v>
      </c>
    </row>
    <row r="2084" spans="1:36" hidden="1" x14ac:dyDescent="0.2">
      <c r="A2084" s="11">
        <v>46133</v>
      </c>
      <c r="B2084" s="53" t="s">
        <v>2480</v>
      </c>
      <c r="C2084" s="52" t="str">
        <f>IF(MID(B2084,4,2)="09","Ramadan",IF(AND(MID(B2084,4,2)="12",VALUE(LEFT(B2084,2))&lt;=9),"Adha Season","Normal"))</f>
        <v>Normal</v>
      </c>
      <c r="D2084" s="2" t="s">
        <v>45</v>
      </c>
      <c r="F2084" s="4" t="s">
        <v>954</v>
      </c>
      <c r="G2084" s="1">
        <v>54</v>
      </c>
      <c r="H2084">
        <v>54</v>
      </c>
      <c r="I2084">
        <f>grand[[#This Row],[number]]-grand[[#This Row],[received]]</f>
        <v>0</v>
      </c>
      <c r="J2084" s="2"/>
      <c r="K2084" s="2">
        <v>23712</v>
      </c>
      <c r="L2084" s="2">
        <v>23712</v>
      </c>
      <c r="M2084" s="2">
        <f>K2084-L2084</f>
        <v>0</v>
      </c>
      <c r="N2084" s="2">
        <v>14355</v>
      </c>
      <c r="O2084" s="2">
        <v>443</v>
      </c>
      <c r="P2084" s="7">
        <f>grand[[#This Row],[total weight]]/grand[[#This Row],[received]]</f>
        <v>439.11111111111109</v>
      </c>
      <c r="Q2084" s="7">
        <f>grand[[#This Row],[receiving weight]]/grand[[#This Row],[received]]</f>
        <v>439.11111111111109</v>
      </c>
      <c r="R2084" s="7">
        <f>grand[[#This Row],[transportation loss ]]/grand[[#This Row],[received]]</f>
        <v>0</v>
      </c>
      <c r="S2084" s="7">
        <f>grand[[#This Row],[ carcass weight]]/grand[[#This Row],[received]]</f>
        <v>265.83333333333331</v>
      </c>
      <c r="T2084" s="7">
        <f>grand[[#This Row],[ kidneys fat quantity]]/grand[[#This Row],[received]]</f>
        <v>8.2037037037037042</v>
      </c>
      <c r="U2084">
        <v>25</v>
      </c>
      <c r="V2084">
        <v>0</v>
      </c>
      <c r="W2084">
        <v>49.351851851851855</v>
      </c>
      <c r="X2084">
        <v>10</v>
      </c>
      <c r="Y2084">
        <v>8.5</v>
      </c>
      <c r="Z2084" s="18">
        <f>grand[[#This Row],[av. Transportation loss]]/grand[[#This Row],[av.total weight]]</f>
        <v>0</v>
      </c>
      <c r="AA2084" s="18">
        <f>AVERAGE((grand[[#This Row],[am]]/25),(grand[[#This Row],[pm]]/50))</f>
        <v>0.99351851851851847</v>
      </c>
      <c r="AB2084" s="3">
        <f>grand[[#This Row],[ carcass weight]]/grand[[#This Row],[total weight]]</f>
        <v>0.60538967611336036</v>
      </c>
      <c r="AC2084" s="18">
        <f>SUM(grand[[#This Row],[am]:[meat transportation]])/100</f>
        <v>0.92851851851851852</v>
      </c>
      <c r="AD2084" s="2" t="s">
        <v>1090</v>
      </c>
      <c r="AE2084" s="2"/>
      <c r="AF2084" s="2"/>
      <c r="AG2084" s="2"/>
      <c r="AH2084" s="2"/>
      <c r="AI2084" s="2"/>
      <c r="AJ2084" s="2">
        <v>0</v>
      </c>
    </row>
    <row r="2085" spans="1:36" hidden="1" x14ac:dyDescent="0.2">
      <c r="A2085" s="11">
        <v>46134</v>
      </c>
      <c r="B2085" s="53" t="s">
        <v>2481</v>
      </c>
      <c r="C2085" s="52" t="str">
        <f>IF(MID(B2085,4,2)="09","Ramadan",IF(AND(MID(B2085,4,2)="12",VALUE(LEFT(B2085,2))&lt;=9),"Adha Season","Normal"))</f>
        <v>Normal</v>
      </c>
      <c r="D2085" s="2" t="s">
        <v>45</v>
      </c>
      <c r="F2085" s="4" t="s">
        <v>746</v>
      </c>
      <c r="G2085" s="1">
        <v>22</v>
      </c>
      <c r="H2085">
        <v>22</v>
      </c>
      <c r="I2085">
        <f>grand[[#This Row],[number]]-grand[[#This Row],[received]]</f>
        <v>0</v>
      </c>
      <c r="J2085" s="2"/>
      <c r="K2085" s="2">
        <v>11421</v>
      </c>
      <c r="L2085" s="2">
        <v>11421</v>
      </c>
      <c r="M2085" s="2">
        <f>K2085-L2085</f>
        <v>0</v>
      </c>
      <c r="N2085" s="2">
        <v>6853</v>
      </c>
      <c r="O2085" s="2">
        <v>229</v>
      </c>
      <c r="P2085" s="7">
        <f>grand[[#This Row],[total weight]]/grand[[#This Row],[received]]</f>
        <v>519.13636363636363</v>
      </c>
      <c r="Q2085" s="7">
        <f>grand[[#This Row],[receiving weight]]/grand[[#This Row],[received]]</f>
        <v>519.13636363636363</v>
      </c>
      <c r="R2085" s="7">
        <f>grand[[#This Row],[transportation loss ]]/grand[[#This Row],[received]]</f>
        <v>0</v>
      </c>
      <c r="S2085" s="7">
        <f>grand[[#This Row],[ carcass weight]]/grand[[#This Row],[received]]</f>
        <v>311.5</v>
      </c>
      <c r="T2085" s="7">
        <f>grand[[#This Row],[ kidneys fat quantity]]/grand[[#This Row],[received]]</f>
        <v>10.409090909090908</v>
      </c>
      <c r="U2085">
        <v>25</v>
      </c>
      <c r="V2085">
        <v>0</v>
      </c>
      <c r="W2085">
        <v>46.5</v>
      </c>
      <c r="X2085">
        <v>10</v>
      </c>
      <c r="Y2085">
        <v>8.5</v>
      </c>
      <c r="Z2085" s="18">
        <f>grand[[#This Row],[av. Transportation loss]]/grand[[#This Row],[av.total weight]]</f>
        <v>0</v>
      </c>
      <c r="AA2085" s="18">
        <f>AVERAGE((grand[[#This Row],[am]]/25),(grand[[#This Row],[pm]]/50))</f>
        <v>0.96500000000000008</v>
      </c>
      <c r="AB2085" s="3">
        <f>grand[[#This Row],[ carcass weight]]/grand[[#This Row],[total weight]]</f>
        <v>0.60003502320287194</v>
      </c>
      <c r="AC2085" s="18">
        <f>SUM(grand[[#This Row],[am]:[meat transportation]])/100</f>
        <v>0.9</v>
      </c>
      <c r="AD2085" s="2" t="s">
        <v>1091</v>
      </c>
      <c r="AE2085" s="2"/>
      <c r="AF2085" s="2"/>
      <c r="AG2085" s="2"/>
      <c r="AH2085" s="2"/>
      <c r="AI2085" s="2"/>
      <c r="AJ2085" s="2">
        <v>0</v>
      </c>
    </row>
    <row r="2086" spans="1:36" hidden="1" x14ac:dyDescent="0.2">
      <c r="A2086" s="11">
        <v>46134</v>
      </c>
      <c r="B2086" s="53" t="s">
        <v>2481</v>
      </c>
      <c r="C2086" s="52" t="str">
        <f>IF(MID(B2086,4,2)="09","Ramadan",IF(AND(MID(B2086,4,2)="12",VALUE(LEFT(B2086,2))&lt;=9),"Adha Season","Normal"))</f>
        <v>Normal</v>
      </c>
      <c r="D2086" s="2" t="s">
        <v>45</v>
      </c>
      <c r="F2086" s="4" t="s">
        <v>46</v>
      </c>
      <c r="G2086" s="1">
        <v>34</v>
      </c>
      <c r="H2086">
        <v>34</v>
      </c>
      <c r="I2086">
        <f>grand[[#This Row],[number]]-grand[[#This Row],[received]]</f>
        <v>0</v>
      </c>
      <c r="J2086" s="2"/>
      <c r="K2086" s="2">
        <v>19729</v>
      </c>
      <c r="L2086" s="2">
        <v>19729</v>
      </c>
      <c r="M2086" s="2">
        <f>K2086-L2086</f>
        <v>0</v>
      </c>
      <c r="N2086" s="2">
        <v>11838</v>
      </c>
      <c r="O2086" s="2">
        <v>381</v>
      </c>
      <c r="P2086" s="7">
        <f>grand[[#This Row],[total weight]]/grand[[#This Row],[received]]</f>
        <v>580.26470588235293</v>
      </c>
      <c r="Q2086" s="7">
        <f>grand[[#This Row],[receiving weight]]/grand[[#This Row],[received]]</f>
        <v>580.26470588235293</v>
      </c>
      <c r="R2086" s="7">
        <f>grand[[#This Row],[transportation loss ]]/grand[[#This Row],[received]]</f>
        <v>0</v>
      </c>
      <c r="S2086" s="7">
        <f>grand[[#This Row],[ carcass weight]]/grand[[#This Row],[received]]</f>
        <v>348.1764705882353</v>
      </c>
      <c r="T2086" s="7">
        <f>grand[[#This Row],[ kidneys fat quantity]]/grand[[#This Row],[received]]</f>
        <v>11.205882352941176</v>
      </c>
      <c r="U2086">
        <v>25</v>
      </c>
      <c r="V2086">
        <v>0</v>
      </c>
      <c r="W2086">
        <v>48.897058823529406</v>
      </c>
      <c r="X2086">
        <v>10</v>
      </c>
      <c r="Y2086">
        <v>8.5</v>
      </c>
      <c r="Z2086" s="18">
        <f>grand[[#This Row],[av. Transportation loss]]/grand[[#This Row],[av.total weight]]</f>
        <v>0</v>
      </c>
      <c r="AA2086" s="18">
        <f>AVERAGE((grand[[#This Row],[am]]/25),(grand[[#This Row],[pm]]/50))</f>
        <v>0.98897058823529405</v>
      </c>
      <c r="AB2086" s="3">
        <f>grand[[#This Row],[ carcass weight]]/grand[[#This Row],[total weight]]</f>
        <v>0.60003041208373464</v>
      </c>
      <c r="AC2086" s="18">
        <f>SUM(grand[[#This Row],[am]:[meat transportation]])/100</f>
        <v>0.9239705882352941</v>
      </c>
      <c r="AD2086" s="2" t="s">
        <v>1092</v>
      </c>
      <c r="AE2086" s="2"/>
      <c r="AF2086" s="2"/>
      <c r="AG2086" s="2"/>
      <c r="AH2086" s="2"/>
      <c r="AI2086" s="2"/>
      <c r="AJ2086" s="2">
        <v>0</v>
      </c>
    </row>
    <row r="2087" spans="1:36" hidden="1" x14ac:dyDescent="0.2">
      <c r="A2087" s="11">
        <v>46134</v>
      </c>
      <c r="B2087" s="53" t="s">
        <v>2481</v>
      </c>
      <c r="C2087" s="52" t="str">
        <f>IF(MID(B2087,4,2)="09","Ramadan",IF(AND(MID(B2087,4,2)="12",VALUE(LEFT(B2087,2))&lt;=9),"Adha Season","Normal"))</f>
        <v>Normal</v>
      </c>
      <c r="D2087" s="2" t="s">
        <v>1079</v>
      </c>
      <c r="F2087" s="4" t="s">
        <v>165</v>
      </c>
      <c r="G2087" s="1">
        <v>61</v>
      </c>
      <c r="H2087">
        <v>61</v>
      </c>
      <c r="I2087">
        <f>grand[[#This Row],[number]]-grand[[#This Row],[received]]</f>
        <v>0</v>
      </c>
      <c r="J2087" s="2"/>
      <c r="K2087" s="2">
        <v>3265</v>
      </c>
      <c r="L2087" s="2">
        <v>3265</v>
      </c>
      <c r="M2087" s="2">
        <f>K2087-L2087</f>
        <v>0</v>
      </c>
      <c r="N2087" s="2">
        <v>1905</v>
      </c>
      <c r="O2087" s="2">
        <v>0</v>
      </c>
      <c r="P2087" s="7">
        <f>grand[[#This Row],[total weight]]/grand[[#This Row],[received]]</f>
        <v>53.524590163934427</v>
      </c>
      <c r="Q2087" s="7">
        <f>grand[[#This Row],[receiving weight]]/grand[[#This Row],[received]]</f>
        <v>53.524590163934427</v>
      </c>
      <c r="R2087" s="7">
        <f>grand[[#This Row],[transportation loss ]]/grand[[#This Row],[received]]</f>
        <v>0</v>
      </c>
      <c r="S2087" s="7">
        <f>grand[[#This Row],[ carcass weight]]/grand[[#This Row],[received]]</f>
        <v>31.229508196721312</v>
      </c>
      <c r="T2087" s="7">
        <f>grand[[#This Row],[ kidneys fat quantity]]/grand[[#This Row],[received]]</f>
        <v>0</v>
      </c>
      <c r="U2087">
        <v>25</v>
      </c>
      <c r="V2087">
        <v>0</v>
      </c>
      <c r="W2087">
        <v>49.188524590163929</v>
      </c>
      <c r="X2087">
        <v>10</v>
      </c>
      <c r="Y2087">
        <v>8.5</v>
      </c>
      <c r="Z2087" s="18">
        <f>grand[[#This Row],[av. Transportation loss]]/grand[[#This Row],[av.total weight]]</f>
        <v>0</v>
      </c>
      <c r="AA2087" s="18">
        <f>AVERAGE((grand[[#This Row],[am]]/25),(grand[[#This Row],[pm]]/50))</f>
        <v>0.99188524590163929</v>
      </c>
      <c r="AB2087" s="3">
        <f>grand[[#This Row],[ carcass weight]]/grand[[#This Row],[total weight]]</f>
        <v>0.58346094946401228</v>
      </c>
      <c r="AC2087" s="18">
        <f>SUM(grand[[#This Row],[am]:[meat transportation]])/100</f>
        <v>0.92688524590163923</v>
      </c>
      <c r="AD2087" s="2" t="s">
        <v>1093</v>
      </c>
      <c r="AE2087" s="2"/>
      <c r="AF2087" s="2"/>
      <c r="AG2087" s="2"/>
      <c r="AH2087" s="2"/>
      <c r="AI2087" s="2"/>
      <c r="AJ2087" s="2">
        <v>0</v>
      </c>
    </row>
    <row r="2088" spans="1:36" hidden="1" x14ac:dyDescent="0.2">
      <c r="A2088" s="11">
        <v>46134</v>
      </c>
      <c r="B2088" s="53" t="s">
        <v>2481</v>
      </c>
      <c r="C2088" s="52" t="str">
        <f>IF(MID(B2088,4,2)="09","Ramadan",IF(AND(MID(B2088,4,2)="12",VALUE(LEFT(B2088,2))&lt;=9),"Adha Season","Normal"))</f>
        <v>Normal</v>
      </c>
      <c r="D2088" s="2" t="s">
        <v>45</v>
      </c>
      <c r="F2088" s="4" t="s">
        <v>1023</v>
      </c>
      <c r="G2088" s="1">
        <v>50</v>
      </c>
      <c r="H2088">
        <v>50</v>
      </c>
      <c r="I2088">
        <f>grand[[#This Row],[number]]-grand[[#This Row],[received]]</f>
        <v>0</v>
      </c>
      <c r="J2088" s="2"/>
      <c r="K2088" s="2">
        <v>22112</v>
      </c>
      <c r="L2088" s="2">
        <v>22112</v>
      </c>
      <c r="M2088" s="2">
        <f>K2088-L2088</f>
        <v>0</v>
      </c>
      <c r="N2088" s="2">
        <v>13276</v>
      </c>
      <c r="O2088" s="2">
        <v>0</v>
      </c>
      <c r="P2088" s="7">
        <f>grand[[#This Row],[total weight]]/grand[[#This Row],[received]]</f>
        <v>442.24</v>
      </c>
      <c r="Q2088" s="7">
        <f>grand[[#This Row],[receiving weight]]/grand[[#This Row],[received]]</f>
        <v>442.24</v>
      </c>
      <c r="R2088" s="7">
        <f>grand[[#This Row],[transportation loss ]]/grand[[#This Row],[received]]</f>
        <v>0</v>
      </c>
      <c r="S2088" s="7">
        <f>grand[[#This Row],[ carcass weight]]/grand[[#This Row],[received]]</f>
        <v>265.52</v>
      </c>
      <c r="T2088" s="7">
        <f>grand[[#This Row],[ kidneys fat quantity]]/grand[[#This Row],[received]]</f>
        <v>0</v>
      </c>
      <c r="U2088">
        <v>25</v>
      </c>
      <c r="V2088">
        <v>0</v>
      </c>
      <c r="W2088">
        <v>49.69</v>
      </c>
      <c r="X2088">
        <v>10</v>
      </c>
      <c r="Y2088">
        <v>8.5</v>
      </c>
      <c r="Z2088" s="18">
        <f>grand[[#This Row],[av. Transportation loss]]/grand[[#This Row],[av.total weight]]</f>
        <v>0</v>
      </c>
      <c r="AA2088" s="18">
        <f>AVERAGE((grand[[#This Row],[am]]/25),(grand[[#This Row],[pm]]/50))</f>
        <v>0.9968999999999999</v>
      </c>
      <c r="AB2088" s="3">
        <f>grand[[#This Row],[ carcass weight]]/grand[[#This Row],[total weight]]</f>
        <v>0.60039797395079597</v>
      </c>
      <c r="AC2088" s="18">
        <f>SUM(grand[[#This Row],[am]:[meat transportation]])/100</f>
        <v>0.93189999999999995</v>
      </c>
      <c r="AD2088" s="2" t="s">
        <v>1094</v>
      </c>
      <c r="AE2088" s="2"/>
      <c r="AF2088" s="2"/>
      <c r="AG2088" s="2"/>
      <c r="AH2088" s="2"/>
      <c r="AI2088" s="2"/>
      <c r="AJ2088" s="2">
        <v>0</v>
      </c>
    </row>
    <row r="2089" spans="1:36" hidden="1" x14ac:dyDescent="0.2">
      <c r="A2089" s="11">
        <v>46135</v>
      </c>
      <c r="B2089" s="53" t="s">
        <v>2482</v>
      </c>
      <c r="C2089" s="52" t="str">
        <f>IF(MID(B2089,4,2)="09","Ramadan",IF(AND(MID(B2089,4,2)="12",VALUE(LEFT(B2089,2))&lt;=9),"Adha Season","Normal"))</f>
        <v>Normal</v>
      </c>
      <c r="D2089" s="2" t="s">
        <v>45</v>
      </c>
      <c r="F2089" s="4" t="s">
        <v>46</v>
      </c>
      <c r="G2089" s="1">
        <v>45</v>
      </c>
      <c r="H2089">
        <v>45</v>
      </c>
      <c r="I2089">
        <f>grand[[#This Row],[number]]-grand[[#This Row],[received]]</f>
        <v>0</v>
      </c>
      <c r="J2089" s="2"/>
      <c r="K2089" s="2">
        <v>21613</v>
      </c>
      <c r="L2089" s="2">
        <v>21613</v>
      </c>
      <c r="M2089" s="2">
        <f>K2089-L2089</f>
        <v>0</v>
      </c>
      <c r="N2089" s="2">
        <v>12968</v>
      </c>
      <c r="O2089" s="2">
        <v>400</v>
      </c>
      <c r="P2089" s="7">
        <f>grand[[#This Row],[total weight]]/grand[[#This Row],[received]]</f>
        <v>480.28888888888889</v>
      </c>
      <c r="Q2089" s="7">
        <f>grand[[#This Row],[receiving weight]]/grand[[#This Row],[received]]</f>
        <v>480.28888888888889</v>
      </c>
      <c r="R2089" s="7">
        <f>grand[[#This Row],[transportation loss ]]/grand[[#This Row],[received]]</f>
        <v>0</v>
      </c>
      <c r="S2089" s="7">
        <f>grand[[#This Row],[ carcass weight]]/grand[[#This Row],[received]]</f>
        <v>288.17777777777781</v>
      </c>
      <c r="T2089" s="7">
        <f>grand[[#This Row],[ kidneys fat quantity]]/grand[[#This Row],[received]]</f>
        <v>8.8888888888888893</v>
      </c>
      <c r="U2089">
        <v>24.755555555555556</v>
      </c>
      <c r="V2089">
        <v>0</v>
      </c>
      <c r="W2089">
        <v>48.822222222222223</v>
      </c>
      <c r="X2089">
        <v>10</v>
      </c>
      <c r="Y2089">
        <v>8.5</v>
      </c>
      <c r="Z2089" s="18">
        <f>grand[[#This Row],[av. Transportation loss]]/grand[[#This Row],[av.total weight]]</f>
        <v>0</v>
      </c>
      <c r="AA2089" s="18">
        <f>AVERAGE((grand[[#This Row],[am]]/25),(grand[[#This Row],[pm]]/50))</f>
        <v>0.98333333333333339</v>
      </c>
      <c r="AB2089" s="3">
        <f>grand[[#This Row],[ carcass weight]]/grand[[#This Row],[total weight]]</f>
        <v>0.60000925368990887</v>
      </c>
      <c r="AC2089" s="18">
        <f>SUM(grand[[#This Row],[am]:[meat transportation]])/100</f>
        <v>0.92077777777777781</v>
      </c>
      <c r="AD2089" s="2" t="s">
        <v>1095</v>
      </c>
      <c r="AE2089" s="2"/>
      <c r="AF2089" s="2"/>
      <c r="AG2089" s="2"/>
      <c r="AH2089" s="2"/>
      <c r="AI2089" s="2"/>
      <c r="AJ2089" s="2">
        <v>6</v>
      </c>
    </row>
    <row r="2090" spans="1:36" hidden="1" x14ac:dyDescent="0.2">
      <c r="A2090" s="11">
        <v>46137</v>
      </c>
      <c r="B2090" s="53" t="s">
        <v>2483</v>
      </c>
      <c r="C2090" s="52" t="str">
        <f>IF(MID(B2090,4,2)="09","Ramadan",IF(AND(MID(B2090,4,2)="12",VALUE(LEFT(B2090,2))&lt;=9),"Adha Season","Normal"))</f>
        <v>Normal</v>
      </c>
      <c r="D2090" s="2" t="s">
        <v>1079</v>
      </c>
      <c r="F2090" s="4" t="s">
        <v>165</v>
      </c>
      <c r="G2090" s="1">
        <v>38</v>
      </c>
      <c r="H2090">
        <v>37</v>
      </c>
      <c r="I2090">
        <f>grand[[#This Row],[number]]-grand[[#This Row],[received]]</f>
        <v>1</v>
      </c>
      <c r="J2090" s="9" t="s">
        <v>1197</v>
      </c>
      <c r="K2090" s="2">
        <v>2114</v>
      </c>
      <c r="L2090" s="2">
        <v>2114</v>
      </c>
      <c r="M2090" s="2">
        <f>K2090-L2090</f>
        <v>0</v>
      </c>
      <c r="N2090" s="2">
        <v>1259</v>
      </c>
      <c r="O2090" s="2">
        <v>0</v>
      </c>
      <c r="P2090" s="7">
        <f>grand[[#This Row],[total weight]]/grand[[#This Row],[received]]</f>
        <v>57.135135135135137</v>
      </c>
      <c r="Q2090" s="7">
        <f>grand[[#This Row],[receiving weight]]/grand[[#This Row],[received]]</f>
        <v>57.135135135135137</v>
      </c>
      <c r="R2090" s="7">
        <f>grand[[#This Row],[transportation loss ]]/grand[[#This Row],[received]]</f>
        <v>0</v>
      </c>
      <c r="S2090" s="7">
        <f>grand[[#This Row],[ carcass weight]]/grand[[#This Row],[received]]</f>
        <v>34.027027027027025</v>
      </c>
      <c r="T2090" s="7">
        <f>grand[[#This Row],[ kidneys fat quantity]]/grand[[#This Row],[received]]</f>
        <v>0</v>
      </c>
      <c r="U2090">
        <v>25</v>
      </c>
      <c r="V2090">
        <v>0</v>
      </c>
      <c r="W2090">
        <v>48.648648648648646</v>
      </c>
      <c r="X2090">
        <v>10</v>
      </c>
      <c r="Y2090">
        <v>8.5</v>
      </c>
      <c r="Z2090" s="18">
        <f>grand[[#This Row],[av. Transportation loss]]/grand[[#This Row],[av.total weight]]</f>
        <v>0</v>
      </c>
      <c r="AA2090" s="18">
        <f>AVERAGE((grand[[#This Row],[am]]/25),(grand[[#This Row],[pm]]/50))</f>
        <v>0.9864864864864864</v>
      </c>
      <c r="AB2090" s="3">
        <f>grand[[#This Row],[ carcass weight]]/grand[[#This Row],[total weight]]</f>
        <v>0.59555345316934716</v>
      </c>
      <c r="AC2090" s="18">
        <f>SUM(grand[[#This Row],[am]:[meat transportation]])/100</f>
        <v>0.92148648648648646</v>
      </c>
      <c r="AD2090" s="2" t="s">
        <v>1097</v>
      </c>
      <c r="AE2090" s="2"/>
      <c r="AF2090" s="2"/>
      <c r="AG2090" s="2"/>
      <c r="AH2090" s="2"/>
      <c r="AI2090" s="2"/>
      <c r="AJ2090" s="2">
        <v>0</v>
      </c>
    </row>
    <row r="2091" spans="1:36" x14ac:dyDescent="0.2">
      <c r="A2091" s="11">
        <v>46137</v>
      </c>
      <c r="B2091" s="53" t="s">
        <v>2483</v>
      </c>
      <c r="C2091" s="52" t="str">
        <f>IF(MID(B2091,4,2)="09","Ramadan",IF(AND(MID(B2091,4,2)="12",VALUE(LEFT(B2091,2))&lt;=9),"Adha Season","Normal"))</f>
        <v>Normal</v>
      </c>
      <c r="D2091" s="2" t="s">
        <v>45</v>
      </c>
      <c r="F2091" s="4" t="s">
        <v>746</v>
      </c>
      <c r="G2091" s="1">
        <v>35</v>
      </c>
      <c r="H2091">
        <v>29</v>
      </c>
      <c r="I2091">
        <f>grand[[#This Row],[number]]-grand[[#This Row],[received]]</f>
        <v>6</v>
      </c>
      <c r="J2091" s="9" t="s">
        <v>1196</v>
      </c>
      <c r="K2091" s="2">
        <v>15428</v>
      </c>
      <c r="L2091" s="2">
        <v>15428</v>
      </c>
      <c r="M2091" s="2">
        <f>K2091-L2091</f>
        <v>0</v>
      </c>
      <c r="N2091" s="2">
        <v>9257</v>
      </c>
      <c r="O2091" s="2">
        <v>339</v>
      </c>
      <c r="P2091" s="7">
        <f>grand[[#This Row],[total weight]]/grand[[#This Row],[received]]</f>
        <v>532</v>
      </c>
      <c r="Q2091" s="7">
        <f>grand[[#This Row],[receiving weight]]/grand[[#This Row],[received]]</f>
        <v>532</v>
      </c>
      <c r="R2091" s="7">
        <f>grand[[#This Row],[transportation loss ]]/grand[[#This Row],[received]]</f>
        <v>0</v>
      </c>
      <c r="S2091" s="7">
        <f>grand[[#This Row],[ carcass weight]]/grand[[#This Row],[received]]</f>
        <v>319.20689655172413</v>
      </c>
      <c r="T2091" s="7">
        <f>grand[[#This Row],[ kidneys fat quantity]]/grand[[#This Row],[received]]</f>
        <v>11.689655172413794</v>
      </c>
      <c r="U2091">
        <v>24.482758620689655</v>
      </c>
      <c r="V2091">
        <v>0</v>
      </c>
      <c r="W2091">
        <v>43.931034482758619</v>
      </c>
      <c r="X2091">
        <v>10</v>
      </c>
      <c r="Y2091">
        <v>8.5</v>
      </c>
      <c r="Z2091" s="18">
        <f>grand[[#This Row],[av. Transportation loss]]/grand[[#This Row],[av.total weight]]</f>
        <v>0</v>
      </c>
      <c r="AA2091" s="18">
        <f>AVERAGE((grand[[#This Row],[am]]/25),(grand[[#This Row],[pm]]/50))</f>
        <v>0.92896551724137932</v>
      </c>
      <c r="AB2091" s="3">
        <f>grand[[#This Row],[ carcass weight]]/grand[[#This Row],[total weight]]</f>
        <v>0.60001296344309052</v>
      </c>
      <c r="AC2091" s="18">
        <f>SUM(grand[[#This Row],[am]:[meat transportation]])/100</f>
        <v>0.86913793103448267</v>
      </c>
      <c r="AD2091" s="2" t="s">
        <v>1096</v>
      </c>
      <c r="AE2091" s="2"/>
      <c r="AF2091" s="2"/>
      <c r="AG2091" s="2"/>
      <c r="AH2091" s="2"/>
      <c r="AI2091" s="2"/>
      <c r="AJ2091" s="2">
        <v>11</v>
      </c>
    </row>
    <row r="2092" spans="1:36" x14ac:dyDescent="0.2">
      <c r="A2092" s="11">
        <v>46138</v>
      </c>
      <c r="B2092" s="53" t="s">
        <v>2911</v>
      </c>
      <c r="C2092" s="52" t="str">
        <f>IF(MID(B2092,4,2)="09","Ramadan",IF(AND(MID(B2092,4,2)="12",VALUE(LEFT(B2092,2))&lt;=9),"Adha Season","Normal"))</f>
        <v>Normal</v>
      </c>
      <c r="D2092" s="2" t="s">
        <v>45</v>
      </c>
      <c r="F2092" s="4" t="s">
        <v>954</v>
      </c>
      <c r="G2092" s="1">
        <v>56</v>
      </c>
      <c r="H2092">
        <v>55</v>
      </c>
      <c r="I2092">
        <f>grand[[#This Row],[number]]-grand[[#This Row],[received]]</f>
        <v>1</v>
      </c>
      <c r="J2092" s="9" t="s">
        <v>1188</v>
      </c>
      <c r="K2092" s="2">
        <v>24539</v>
      </c>
      <c r="L2092" s="2">
        <v>24539</v>
      </c>
      <c r="M2092" s="2">
        <f>K2092-L2092</f>
        <v>0</v>
      </c>
      <c r="N2092" s="2">
        <v>14892</v>
      </c>
      <c r="O2092" s="2">
        <v>455</v>
      </c>
      <c r="P2092" s="7">
        <f>grand[[#This Row],[total weight]]/grand[[#This Row],[received]]</f>
        <v>446.16363636363639</v>
      </c>
      <c r="Q2092" s="7">
        <f>grand[[#This Row],[receiving weight]]/grand[[#This Row],[received]]</f>
        <v>446.16363636363639</v>
      </c>
      <c r="R2092" s="7">
        <f>grand[[#This Row],[transportation loss ]]/grand[[#This Row],[received]]</f>
        <v>0</v>
      </c>
      <c r="S2092" s="7">
        <f>grand[[#This Row],[ carcass weight]]/grand[[#This Row],[received]]</f>
        <v>270.76363636363635</v>
      </c>
      <c r="T2092" s="7">
        <f>grand[[#This Row],[ kidneys fat quantity]]/grand[[#This Row],[received]]</f>
        <v>8.2727272727272734</v>
      </c>
      <c r="U2092">
        <v>25</v>
      </c>
      <c r="V2092">
        <v>0</v>
      </c>
      <c r="W2092">
        <v>48.545454545454547</v>
      </c>
      <c r="X2092">
        <v>10</v>
      </c>
      <c r="Y2092">
        <v>8.5</v>
      </c>
      <c r="Z2092" s="18">
        <f>grand[[#This Row],[av. Transportation loss]]/grand[[#This Row],[av.total weight]]</f>
        <v>0</v>
      </c>
      <c r="AA2092" s="18">
        <f>AVERAGE((grand[[#This Row],[am]]/25),(grand[[#This Row],[pm]]/50))</f>
        <v>0.98545454545454547</v>
      </c>
      <c r="AB2092" s="3">
        <f>grand[[#This Row],[ carcass weight]]/grand[[#This Row],[total weight]]</f>
        <v>0.60687069562736873</v>
      </c>
      <c r="AC2092" s="18">
        <f>SUM(grand[[#This Row],[am]:[meat transportation]])/100</f>
        <v>0.92045454545454541</v>
      </c>
      <c r="AD2092" s="2" t="s">
        <v>778</v>
      </c>
      <c r="AE2092" s="2"/>
      <c r="AF2092" s="2"/>
      <c r="AG2092" s="2"/>
      <c r="AH2092" s="2"/>
      <c r="AI2092" s="2"/>
      <c r="AJ2092" s="2">
        <v>0</v>
      </c>
    </row>
    <row r="2093" spans="1:36" hidden="1" x14ac:dyDescent="0.2">
      <c r="A2093" s="11">
        <v>46139</v>
      </c>
      <c r="B2093" s="53" t="s">
        <v>2484</v>
      </c>
      <c r="C2093" s="52" t="str">
        <f>IF(MID(B2093,4,2)="09","Ramadan",IF(AND(MID(B2093,4,2)="12",VALUE(LEFT(B2093,2))&lt;=9),"Adha Season","Normal"))</f>
        <v>Normal</v>
      </c>
      <c r="D2093" s="2" t="s">
        <v>1079</v>
      </c>
      <c r="F2093" s="4" t="s">
        <v>165</v>
      </c>
      <c r="G2093" s="1">
        <v>53</v>
      </c>
      <c r="H2093">
        <v>53</v>
      </c>
      <c r="I2093">
        <f>grand[[#This Row],[number]]-grand[[#This Row],[received]]</f>
        <v>0</v>
      </c>
      <c r="J2093" s="2"/>
      <c r="K2093" s="2">
        <v>2744</v>
      </c>
      <c r="L2093" s="2">
        <v>2744</v>
      </c>
      <c r="M2093" s="2">
        <f>K2093-L2093</f>
        <v>0</v>
      </c>
      <c r="N2093" s="2">
        <v>1567</v>
      </c>
      <c r="O2093" s="2">
        <v>0</v>
      </c>
      <c r="P2093" s="7">
        <f>grand[[#This Row],[total weight]]/grand[[#This Row],[received]]</f>
        <v>51.773584905660378</v>
      </c>
      <c r="Q2093" s="7">
        <f>grand[[#This Row],[receiving weight]]/grand[[#This Row],[received]]</f>
        <v>51.773584905660378</v>
      </c>
      <c r="R2093" s="7">
        <f>grand[[#This Row],[transportation loss ]]/grand[[#This Row],[received]]</f>
        <v>0</v>
      </c>
      <c r="S2093" s="7">
        <f>grand[[#This Row],[ carcass weight]]/grand[[#This Row],[received]]</f>
        <v>29.566037735849058</v>
      </c>
      <c r="T2093" s="7">
        <f>grand[[#This Row],[ kidneys fat quantity]]/grand[[#This Row],[received]]</f>
        <v>0</v>
      </c>
      <c r="U2093">
        <v>25</v>
      </c>
      <c r="V2093">
        <v>0</v>
      </c>
      <c r="W2093">
        <v>49.490566037735853</v>
      </c>
      <c r="X2093">
        <v>10</v>
      </c>
      <c r="Y2093">
        <v>8.5</v>
      </c>
      <c r="Z2093" s="18">
        <f>grand[[#This Row],[av. Transportation loss]]/grand[[#This Row],[av.total weight]]</f>
        <v>0</v>
      </c>
      <c r="AA2093" s="18">
        <f>AVERAGE((grand[[#This Row],[am]]/25),(grand[[#This Row],[pm]]/50))</f>
        <v>0.9949056603773585</v>
      </c>
      <c r="AB2093" s="3">
        <f>grand[[#This Row],[ carcass weight]]/grand[[#This Row],[total weight]]</f>
        <v>0.57106413994169092</v>
      </c>
      <c r="AC2093" s="18">
        <f>SUM(grand[[#This Row],[am]:[meat transportation]])/100</f>
        <v>0.92990566037735845</v>
      </c>
      <c r="AD2093" s="2" t="s">
        <v>1099</v>
      </c>
      <c r="AE2093" s="2"/>
      <c r="AF2093" s="2"/>
      <c r="AG2093" s="2"/>
      <c r="AH2093" s="2"/>
      <c r="AI2093" s="2"/>
      <c r="AJ2093" s="2">
        <v>0</v>
      </c>
    </row>
    <row r="2094" spans="1:36" x14ac:dyDescent="0.2">
      <c r="A2094" s="11">
        <v>46139</v>
      </c>
      <c r="B2094" s="53" t="s">
        <v>2484</v>
      </c>
      <c r="C2094" s="52" t="str">
        <f>IF(MID(B2094,4,2)="09","Ramadan",IF(AND(MID(B2094,4,2)="12",VALUE(LEFT(B2094,2))&lt;=9),"Adha Season","Normal"))</f>
        <v>Normal</v>
      </c>
      <c r="D2094" s="2" t="s">
        <v>45</v>
      </c>
      <c r="F2094" s="4" t="s">
        <v>954</v>
      </c>
      <c r="G2094" s="1">
        <v>65</v>
      </c>
      <c r="H2094">
        <v>64</v>
      </c>
      <c r="I2094">
        <f>grand[[#This Row],[number]]-grand[[#This Row],[received]]</f>
        <v>1</v>
      </c>
      <c r="J2094" s="9" t="s">
        <v>1193</v>
      </c>
      <c r="K2094" s="2">
        <v>28291</v>
      </c>
      <c r="L2094" s="2">
        <v>28291</v>
      </c>
      <c r="M2094" s="2">
        <f>K2094-L2094</f>
        <v>0</v>
      </c>
      <c r="N2094" s="2">
        <v>17144</v>
      </c>
      <c r="O2094" s="2">
        <v>398</v>
      </c>
      <c r="P2094" s="7">
        <f>grand[[#This Row],[total weight]]/grand[[#This Row],[received]]</f>
        <v>442.046875</v>
      </c>
      <c r="Q2094" s="7">
        <f>grand[[#This Row],[receiving weight]]/grand[[#This Row],[received]]</f>
        <v>442.046875</v>
      </c>
      <c r="R2094" s="7">
        <f>grand[[#This Row],[transportation loss ]]/grand[[#This Row],[received]]</f>
        <v>0</v>
      </c>
      <c r="S2094" s="7">
        <f>grand[[#This Row],[ carcass weight]]/grand[[#This Row],[received]]</f>
        <v>267.875</v>
      </c>
      <c r="T2094" s="7">
        <f>grand[[#This Row],[ kidneys fat quantity]]/grand[[#This Row],[received]]</f>
        <v>6.21875</v>
      </c>
      <c r="U2094">
        <v>25</v>
      </c>
      <c r="V2094">
        <v>0</v>
      </c>
      <c r="W2094">
        <v>46.5</v>
      </c>
      <c r="X2094">
        <v>10</v>
      </c>
      <c r="Y2094">
        <v>8.5</v>
      </c>
      <c r="Z2094" s="18">
        <f>grand[[#This Row],[av. Transportation loss]]/grand[[#This Row],[av.total weight]]</f>
        <v>0</v>
      </c>
      <c r="AA2094" s="18">
        <f>AVERAGE((grand[[#This Row],[am]]/25),(grand[[#This Row],[pm]]/50))</f>
        <v>0.96500000000000008</v>
      </c>
      <c r="AB2094" s="3">
        <f>grand[[#This Row],[ carcass weight]]/grand[[#This Row],[total weight]]</f>
        <v>0.60598776996217874</v>
      </c>
      <c r="AC2094" s="18">
        <f>SUM(grand[[#This Row],[am]:[meat transportation]])/100</f>
        <v>0.9</v>
      </c>
      <c r="AD2094" s="2" t="s">
        <v>1098</v>
      </c>
      <c r="AE2094" s="2"/>
      <c r="AF2094" s="2"/>
      <c r="AG2094" s="2"/>
      <c r="AH2094" s="2"/>
      <c r="AI2094" s="2"/>
      <c r="AJ2094" s="2">
        <v>0</v>
      </c>
    </row>
    <row r="2095" spans="1:36" hidden="1" x14ac:dyDescent="0.2">
      <c r="A2095" s="11">
        <v>46140</v>
      </c>
      <c r="B2095" s="53" t="s">
        <v>2485</v>
      </c>
      <c r="C2095" s="52" t="str">
        <f>IF(MID(B2095,4,2)="09","Ramadan",IF(AND(MID(B2095,4,2)="12",VALUE(LEFT(B2095,2))&lt;=9),"Adha Season","Normal"))</f>
        <v>Normal</v>
      </c>
      <c r="D2095" s="2" t="s">
        <v>45</v>
      </c>
      <c r="F2095" s="4" t="s">
        <v>954</v>
      </c>
      <c r="G2095" s="1">
        <v>62</v>
      </c>
      <c r="H2095">
        <v>62</v>
      </c>
      <c r="I2095">
        <f>grand[[#This Row],[number]]-grand[[#This Row],[received]]</f>
        <v>0</v>
      </c>
      <c r="J2095" s="2"/>
      <c r="K2095" s="2">
        <v>27136</v>
      </c>
      <c r="L2095" s="2">
        <v>27136</v>
      </c>
      <c r="M2095" s="2">
        <f>K2095-L2095</f>
        <v>0</v>
      </c>
      <c r="N2095" s="2">
        <v>16487</v>
      </c>
      <c r="O2095" s="2">
        <v>454</v>
      </c>
      <c r="P2095" s="7">
        <f>grand[[#This Row],[total weight]]/grand[[#This Row],[received]]</f>
        <v>437.67741935483872</v>
      </c>
      <c r="Q2095" s="7">
        <f>grand[[#This Row],[receiving weight]]/grand[[#This Row],[received]]</f>
        <v>437.67741935483872</v>
      </c>
      <c r="R2095" s="7">
        <f>grand[[#This Row],[transportation loss ]]/grand[[#This Row],[received]]</f>
        <v>0</v>
      </c>
      <c r="S2095" s="7">
        <f>grand[[#This Row],[ carcass weight]]/grand[[#This Row],[received]]</f>
        <v>265.91935483870969</v>
      </c>
      <c r="T2095" s="7">
        <f>grand[[#This Row],[ kidneys fat quantity]]/grand[[#This Row],[received]]</f>
        <v>7.32258064516129</v>
      </c>
      <c r="U2095">
        <v>25</v>
      </c>
      <c r="V2095">
        <v>0</v>
      </c>
      <c r="W2095">
        <v>47.467741935483872</v>
      </c>
      <c r="X2095">
        <v>10</v>
      </c>
      <c r="Y2095">
        <v>8.5</v>
      </c>
      <c r="Z2095" s="18">
        <f>grand[[#This Row],[av. Transportation loss]]/grand[[#This Row],[av.total weight]]</f>
        <v>0</v>
      </c>
      <c r="AA2095" s="18">
        <f>AVERAGE((grand[[#This Row],[am]]/25),(grand[[#This Row],[pm]]/50))</f>
        <v>0.97467741935483865</v>
      </c>
      <c r="AB2095" s="3">
        <f>grand[[#This Row],[ carcass weight]]/grand[[#This Row],[total weight]]</f>
        <v>0.60756928066037741</v>
      </c>
      <c r="AC2095" s="18">
        <f>SUM(grand[[#This Row],[am]:[meat transportation]])/100</f>
        <v>0.9096774193548387</v>
      </c>
      <c r="AD2095" s="2" t="s">
        <v>1102</v>
      </c>
      <c r="AE2095" s="2"/>
      <c r="AF2095" s="2"/>
      <c r="AG2095" s="2"/>
      <c r="AH2095" s="2"/>
      <c r="AI2095" s="2"/>
      <c r="AJ2095" s="2">
        <v>0</v>
      </c>
    </row>
    <row r="2096" spans="1:36" x14ac:dyDescent="0.2">
      <c r="A2096" s="11">
        <v>46140</v>
      </c>
      <c r="B2096" s="53" t="s">
        <v>2485</v>
      </c>
      <c r="C2096" s="52" t="str">
        <f>IF(MID(B2096,4,2)="09","Ramadan",IF(AND(MID(B2096,4,2)="12",VALUE(LEFT(B2096,2))&lt;=9),"Adha Season","Normal"))</f>
        <v>Normal</v>
      </c>
      <c r="D2096" s="2" t="s">
        <v>45</v>
      </c>
      <c r="F2096" s="4" t="s">
        <v>1023</v>
      </c>
      <c r="G2096" s="1">
        <v>61</v>
      </c>
      <c r="H2096">
        <v>60</v>
      </c>
      <c r="I2096">
        <f>grand[[#This Row],[number]]-grand[[#This Row],[received]]</f>
        <v>1</v>
      </c>
      <c r="J2096" s="9" t="s">
        <v>1193</v>
      </c>
      <c r="K2096" s="2">
        <v>24412</v>
      </c>
      <c r="L2096" s="2">
        <v>24412</v>
      </c>
      <c r="M2096" s="2">
        <f>K2096-L2096</f>
        <v>0</v>
      </c>
      <c r="N2096" s="2">
        <v>14583</v>
      </c>
      <c r="O2096" s="2">
        <v>0</v>
      </c>
      <c r="P2096" s="7">
        <f>grand[[#This Row],[total weight]]/grand[[#This Row],[received]]</f>
        <v>406.86666666666667</v>
      </c>
      <c r="Q2096" s="7">
        <f>grand[[#This Row],[receiving weight]]/grand[[#This Row],[received]]</f>
        <v>406.86666666666667</v>
      </c>
      <c r="R2096" s="7">
        <f>grand[[#This Row],[transportation loss ]]/grand[[#This Row],[received]]</f>
        <v>0</v>
      </c>
      <c r="S2096" s="7">
        <f>grand[[#This Row],[ carcass weight]]/grand[[#This Row],[received]]</f>
        <v>243.05</v>
      </c>
      <c r="T2096" s="7">
        <f>grand[[#This Row],[ kidneys fat quantity]]/grand[[#This Row],[received]]</f>
        <v>0</v>
      </c>
      <c r="U2096">
        <v>25</v>
      </c>
      <c r="V2096">
        <v>0</v>
      </c>
      <c r="W2096">
        <v>44.775000000000006</v>
      </c>
      <c r="X2096">
        <v>10</v>
      </c>
      <c r="Y2096">
        <v>8.5</v>
      </c>
      <c r="Z2096" s="18">
        <f>grand[[#This Row],[av. Transportation loss]]/grand[[#This Row],[av.total weight]]</f>
        <v>0</v>
      </c>
      <c r="AA2096" s="18">
        <f>AVERAGE((grand[[#This Row],[am]]/25),(grand[[#This Row],[pm]]/50))</f>
        <v>0.94775000000000009</v>
      </c>
      <c r="AB2096" s="3">
        <f>grand[[#This Row],[ carcass weight]]/grand[[#This Row],[total weight]]</f>
        <v>0.59737014582991976</v>
      </c>
      <c r="AC2096" s="18">
        <f>SUM(grand[[#This Row],[am]:[meat transportation]])/100</f>
        <v>0.88275000000000003</v>
      </c>
      <c r="AD2096" s="2" t="s">
        <v>1100</v>
      </c>
      <c r="AE2096" s="2"/>
      <c r="AF2096" s="2"/>
      <c r="AG2096" s="2"/>
      <c r="AH2096" s="2"/>
      <c r="AI2096" s="2"/>
      <c r="AJ2096" s="2">
        <v>0</v>
      </c>
    </row>
    <row r="2097" spans="1:36" hidden="1" x14ac:dyDescent="0.2">
      <c r="A2097" s="11">
        <v>46140</v>
      </c>
      <c r="B2097" s="53" t="s">
        <v>2485</v>
      </c>
      <c r="C2097" s="52" t="str">
        <f>IF(MID(B2097,4,2)="09","Ramadan",IF(AND(MID(B2097,4,2)="12",VALUE(LEFT(B2097,2))&lt;=9),"Adha Season","Normal"))</f>
        <v>Normal</v>
      </c>
      <c r="D2097" s="2" t="s">
        <v>1079</v>
      </c>
      <c r="F2097" s="4" t="s">
        <v>772</v>
      </c>
      <c r="G2097" s="1">
        <v>35</v>
      </c>
      <c r="H2097">
        <v>33</v>
      </c>
      <c r="I2097">
        <f>grand[[#This Row],[number]]-grand[[#This Row],[received]]</f>
        <v>2</v>
      </c>
      <c r="J2097" s="9" t="s">
        <v>1198</v>
      </c>
      <c r="K2097" s="2">
        <v>1594</v>
      </c>
      <c r="L2097" s="2">
        <v>1594</v>
      </c>
      <c r="M2097" s="2">
        <f>K2097-L2097</f>
        <v>0</v>
      </c>
      <c r="N2097" s="2">
        <v>834</v>
      </c>
      <c r="O2097" s="2">
        <v>0</v>
      </c>
      <c r="P2097" s="7">
        <f>grand[[#This Row],[total weight]]/grand[[#This Row],[received]]</f>
        <v>48.303030303030305</v>
      </c>
      <c r="Q2097" s="7">
        <f>grand[[#This Row],[receiving weight]]/grand[[#This Row],[received]]</f>
        <v>48.303030303030305</v>
      </c>
      <c r="R2097" s="7">
        <f>grand[[#This Row],[transportation loss ]]/grand[[#This Row],[received]]</f>
        <v>0</v>
      </c>
      <c r="S2097" s="7">
        <f>grand[[#This Row],[ carcass weight]]/grand[[#This Row],[received]]</f>
        <v>25.272727272727273</v>
      </c>
      <c r="T2097" s="7">
        <f>grand[[#This Row],[ kidneys fat quantity]]/grand[[#This Row],[received]]</f>
        <v>0</v>
      </c>
      <c r="U2097">
        <v>25</v>
      </c>
      <c r="V2097">
        <v>0</v>
      </c>
      <c r="W2097">
        <v>47</v>
      </c>
      <c r="X2097">
        <v>10</v>
      </c>
      <c r="Y2097">
        <v>8.5</v>
      </c>
      <c r="Z2097" s="18">
        <f>grand[[#This Row],[av. Transportation loss]]/grand[[#This Row],[av.total weight]]</f>
        <v>0</v>
      </c>
      <c r="AA2097" s="18">
        <f>AVERAGE((grand[[#This Row],[am]]/25),(grand[[#This Row],[pm]]/50))</f>
        <v>0.97</v>
      </c>
      <c r="AB2097" s="3">
        <f>grand[[#This Row],[ carcass weight]]/grand[[#This Row],[total weight]]</f>
        <v>0.52321204516938524</v>
      </c>
      <c r="AC2097" s="18">
        <f>SUM(grand[[#This Row],[am]:[meat transportation]])/100</f>
        <v>0.90500000000000003</v>
      </c>
      <c r="AD2097" s="2" t="s">
        <v>1101</v>
      </c>
      <c r="AE2097" s="2"/>
      <c r="AF2097" s="2"/>
      <c r="AG2097" s="2"/>
      <c r="AH2097" s="2"/>
      <c r="AI2097" s="2"/>
      <c r="AJ2097" s="2">
        <v>0</v>
      </c>
    </row>
    <row r="2098" spans="1:36" x14ac:dyDescent="0.2">
      <c r="A2098" s="11">
        <v>46141</v>
      </c>
      <c r="B2098" s="53" t="s">
        <v>2486</v>
      </c>
      <c r="C2098" s="52" t="str">
        <f>IF(MID(B2098,4,2)="09","Ramadan",IF(AND(MID(B2098,4,2)="12",VALUE(LEFT(B2098,2))&lt;=9),"Adha Season","Normal"))</f>
        <v>Normal</v>
      </c>
      <c r="D2098" s="2" t="s">
        <v>45</v>
      </c>
      <c r="F2098" s="4" t="s">
        <v>1023</v>
      </c>
      <c r="G2098" s="1">
        <v>60</v>
      </c>
      <c r="H2098">
        <v>59</v>
      </c>
      <c r="I2098">
        <f>grand[[#This Row],[number]]-grand[[#This Row],[received]]</f>
        <v>1</v>
      </c>
      <c r="J2098" s="9" t="s">
        <v>1193</v>
      </c>
      <c r="K2098" s="2">
        <v>25765</v>
      </c>
      <c r="L2098" s="2">
        <v>25765</v>
      </c>
      <c r="M2098" s="2">
        <f>K2098-L2098</f>
        <v>0</v>
      </c>
      <c r="N2098" s="2">
        <v>15408</v>
      </c>
      <c r="O2098" s="2">
        <v>0</v>
      </c>
      <c r="P2098" s="7">
        <f>grand[[#This Row],[total weight]]/grand[[#This Row],[received]]</f>
        <v>436.69491525423729</v>
      </c>
      <c r="Q2098" s="7">
        <f>grand[[#This Row],[receiving weight]]/grand[[#This Row],[received]]</f>
        <v>436.69491525423729</v>
      </c>
      <c r="R2098" s="7">
        <f>grand[[#This Row],[transportation loss ]]/grand[[#This Row],[received]]</f>
        <v>0</v>
      </c>
      <c r="S2098" s="7">
        <f>grand[[#This Row],[ carcass weight]]/grand[[#This Row],[received]]</f>
        <v>261.15254237288133</v>
      </c>
      <c r="T2098" s="7">
        <f>grand[[#This Row],[ kidneys fat quantity]]/grand[[#This Row],[received]]</f>
        <v>0</v>
      </c>
      <c r="U2098">
        <v>25</v>
      </c>
      <c r="V2098">
        <v>0</v>
      </c>
      <c r="W2098">
        <v>46.983050847457619</v>
      </c>
      <c r="X2098">
        <v>10</v>
      </c>
      <c r="Y2098">
        <v>8.5</v>
      </c>
      <c r="Z2098" s="18">
        <f>grand[[#This Row],[av. Transportation loss]]/grand[[#This Row],[av.total weight]]</f>
        <v>0</v>
      </c>
      <c r="AA2098" s="18">
        <f>AVERAGE((grand[[#This Row],[am]]/25),(grand[[#This Row],[pm]]/50))</f>
        <v>0.96983050847457619</v>
      </c>
      <c r="AB2098" s="3">
        <f>grand[[#This Row],[ carcass weight]]/grand[[#This Row],[total weight]]</f>
        <v>0.59802057054143221</v>
      </c>
      <c r="AC2098" s="18">
        <f>SUM(grand[[#This Row],[am]:[meat transportation]])/100</f>
        <v>0.90483050847457624</v>
      </c>
      <c r="AD2098" s="2" t="s">
        <v>1103</v>
      </c>
      <c r="AE2098" s="2"/>
      <c r="AF2098" s="2"/>
      <c r="AG2098" s="2"/>
      <c r="AH2098" s="2"/>
      <c r="AI2098" s="2"/>
      <c r="AJ2098" s="2">
        <v>3</v>
      </c>
    </row>
    <row r="2099" spans="1:36" hidden="1" x14ac:dyDescent="0.2">
      <c r="A2099" s="11">
        <v>46142</v>
      </c>
      <c r="B2099" s="53" t="s">
        <v>2487</v>
      </c>
      <c r="C2099" s="52" t="str">
        <f>IF(MID(B2099,4,2)="09","Ramadan",IF(AND(MID(B2099,4,2)="12",VALUE(LEFT(B2099,2))&lt;=9),"Adha Season","Normal"))</f>
        <v>Normal</v>
      </c>
      <c r="D2099" s="2" t="s">
        <v>1079</v>
      </c>
      <c r="F2099" s="4" t="s">
        <v>165</v>
      </c>
      <c r="G2099" s="1">
        <v>60</v>
      </c>
      <c r="H2099">
        <v>60</v>
      </c>
      <c r="I2099">
        <f>grand[[#This Row],[number]]-grand[[#This Row],[received]]</f>
        <v>0</v>
      </c>
      <c r="J2099" s="2"/>
      <c r="K2099" s="2">
        <v>3331</v>
      </c>
      <c r="L2099" s="2">
        <v>3331</v>
      </c>
      <c r="M2099" s="2">
        <f>K2099-L2099</f>
        <v>0</v>
      </c>
      <c r="N2099" s="2">
        <v>1951</v>
      </c>
      <c r="O2099" s="2">
        <v>0</v>
      </c>
      <c r="P2099" s="7">
        <f>grand[[#This Row],[total weight]]/grand[[#This Row],[received]]</f>
        <v>55.516666666666666</v>
      </c>
      <c r="Q2099" s="7">
        <f>grand[[#This Row],[receiving weight]]/grand[[#This Row],[received]]</f>
        <v>55.516666666666666</v>
      </c>
      <c r="R2099" s="7">
        <f>grand[[#This Row],[transportation loss ]]/grand[[#This Row],[received]]</f>
        <v>0</v>
      </c>
      <c r="S2099" s="7">
        <f>grand[[#This Row],[ carcass weight]]/grand[[#This Row],[received]]</f>
        <v>32.516666666666666</v>
      </c>
      <c r="T2099" s="7">
        <f>grand[[#This Row],[ kidneys fat quantity]]/grand[[#This Row],[received]]</f>
        <v>0</v>
      </c>
      <c r="U2099">
        <v>25</v>
      </c>
      <c r="V2099">
        <v>0</v>
      </c>
      <c r="W2099">
        <v>48.116666666666667</v>
      </c>
      <c r="X2099">
        <v>10</v>
      </c>
      <c r="Y2099">
        <v>8.5</v>
      </c>
      <c r="Z2099" s="18">
        <f>grand[[#This Row],[av. Transportation loss]]/grand[[#This Row],[av.total weight]]</f>
        <v>0</v>
      </c>
      <c r="AA2099" s="18">
        <f>AVERAGE((grand[[#This Row],[am]]/25),(grand[[#This Row],[pm]]/50))</f>
        <v>0.98116666666666674</v>
      </c>
      <c r="AB2099" s="3">
        <f>grand[[#This Row],[ carcass weight]]/grand[[#This Row],[total weight]]</f>
        <v>0.5857099969978985</v>
      </c>
      <c r="AC2099" s="18">
        <f>SUM(grand[[#This Row],[am]:[meat transportation]])/100</f>
        <v>0.9161666666666668</v>
      </c>
      <c r="AD2099" s="2" t="s">
        <v>1104</v>
      </c>
      <c r="AE2099" s="2"/>
      <c r="AF2099" s="2"/>
      <c r="AG2099" s="2"/>
      <c r="AH2099" s="2"/>
      <c r="AI2099" s="2"/>
      <c r="AJ2099" s="2">
        <v>0</v>
      </c>
    </row>
    <row r="2100" spans="1:36" hidden="1" x14ac:dyDescent="0.2">
      <c r="A2100" s="11">
        <v>46142</v>
      </c>
      <c r="B2100" s="53" t="s">
        <v>2487</v>
      </c>
      <c r="C2100" s="52" t="str">
        <f>IF(MID(B2100,4,2)="09","Ramadan",IF(AND(MID(B2100,4,2)="12",VALUE(LEFT(B2100,2))&lt;=9),"Adha Season","Normal"))</f>
        <v>Normal</v>
      </c>
      <c r="D2100" s="2" t="s">
        <v>45</v>
      </c>
      <c r="F2100" s="4" t="s">
        <v>46</v>
      </c>
      <c r="G2100" s="1">
        <v>32</v>
      </c>
      <c r="H2100">
        <v>32</v>
      </c>
      <c r="I2100">
        <f>grand[[#This Row],[number]]-grand[[#This Row],[received]]</f>
        <v>0</v>
      </c>
      <c r="J2100" s="2"/>
      <c r="K2100" s="2">
        <v>17554</v>
      </c>
      <c r="L2100" s="2">
        <v>17554</v>
      </c>
      <c r="M2100" s="2">
        <f>K2100-L2100</f>
        <v>0</v>
      </c>
      <c r="N2100" s="2">
        <v>10533</v>
      </c>
      <c r="O2100" s="2">
        <v>337</v>
      </c>
      <c r="P2100" s="7">
        <f>grand[[#This Row],[total weight]]/grand[[#This Row],[received]]</f>
        <v>548.5625</v>
      </c>
      <c r="Q2100" s="7">
        <f>grand[[#This Row],[receiving weight]]/grand[[#This Row],[received]]</f>
        <v>548.5625</v>
      </c>
      <c r="R2100" s="7">
        <f>grand[[#This Row],[transportation loss ]]/grand[[#This Row],[received]]</f>
        <v>0</v>
      </c>
      <c r="S2100" s="7">
        <f>grand[[#This Row],[ carcass weight]]/grand[[#This Row],[received]]</f>
        <v>329.15625</v>
      </c>
      <c r="T2100" s="7">
        <f>grand[[#This Row],[ kidneys fat quantity]]/grand[[#This Row],[received]]</f>
        <v>10.53125</v>
      </c>
      <c r="U2100">
        <v>25</v>
      </c>
      <c r="V2100">
        <v>0</v>
      </c>
      <c r="W2100">
        <v>48.4375</v>
      </c>
      <c r="X2100">
        <v>10</v>
      </c>
      <c r="Y2100">
        <v>8.5</v>
      </c>
      <c r="Z2100" s="18">
        <f>grand[[#This Row],[av. Transportation loss]]/grand[[#This Row],[av.total weight]]</f>
        <v>0</v>
      </c>
      <c r="AA2100" s="18">
        <f>AVERAGE((grand[[#This Row],[am]]/25),(grand[[#This Row],[pm]]/50))</f>
        <v>0.984375</v>
      </c>
      <c r="AB2100" s="3">
        <f>grand[[#This Row],[ carcass weight]]/grand[[#This Row],[total weight]]</f>
        <v>0.60003418024381905</v>
      </c>
      <c r="AC2100" s="18">
        <f>SUM(grand[[#This Row],[am]:[meat transportation]])/100</f>
        <v>0.91937500000000005</v>
      </c>
      <c r="AD2100" s="2" t="s">
        <v>1105</v>
      </c>
      <c r="AE2100" s="2"/>
      <c r="AF2100" s="2"/>
      <c r="AG2100" s="2"/>
      <c r="AH2100" s="2"/>
      <c r="AI2100" s="2"/>
      <c r="AJ2100" s="2">
        <v>0</v>
      </c>
    </row>
    <row r="2101" spans="1:36" hidden="1" x14ac:dyDescent="0.2">
      <c r="A2101" s="11">
        <v>46144</v>
      </c>
      <c r="B2101" s="53" t="s">
        <v>2488</v>
      </c>
      <c r="C2101" s="52" t="str">
        <f>IF(MID(B2101,4,2)="09","Ramadan",IF(AND(MID(B2101,4,2)="12",VALUE(LEFT(B2101,2))&lt;=9),"Adha Season","Normal"))</f>
        <v>Normal</v>
      </c>
      <c r="D2101" s="2" t="s">
        <v>1079</v>
      </c>
      <c r="F2101" s="4" t="s">
        <v>165</v>
      </c>
      <c r="G2101" s="1">
        <v>36</v>
      </c>
      <c r="H2101">
        <v>36</v>
      </c>
      <c r="I2101">
        <f>grand[[#This Row],[number]]-grand[[#This Row],[received]]</f>
        <v>0</v>
      </c>
      <c r="J2101" s="2"/>
      <c r="K2101" s="2">
        <v>1914</v>
      </c>
      <c r="L2101" s="2">
        <v>1914</v>
      </c>
      <c r="M2101" s="2">
        <f>K2101-L2101</f>
        <v>0</v>
      </c>
      <c r="N2101" s="2">
        <v>1078</v>
      </c>
      <c r="O2101" s="2">
        <v>0</v>
      </c>
      <c r="P2101" s="7">
        <f>grand[[#This Row],[total weight]]/grand[[#This Row],[received]]</f>
        <v>53.166666666666664</v>
      </c>
      <c r="Q2101" s="7">
        <f>grand[[#This Row],[receiving weight]]/grand[[#This Row],[received]]</f>
        <v>53.166666666666664</v>
      </c>
      <c r="R2101" s="7">
        <f>grand[[#This Row],[transportation loss ]]/grand[[#This Row],[received]]</f>
        <v>0</v>
      </c>
      <c r="S2101" s="7">
        <f>grand[[#This Row],[ carcass weight]]/grand[[#This Row],[received]]</f>
        <v>29.944444444444443</v>
      </c>
      <c r="T2101" s="7">
        <f>grand[[#This Row],[ kidneys fat quantity]]/grand[[#This Row],[received]]</f>
        <v>0</v>
      </c>
      <c r="U2101">
        <v>25</v>
      </c>
      <c r="V2101">
        <v>0</v>
      </c>
      <c r="W2101">
        <v>48.486111111111107</v>
      </c>
      <c r="X2101">
        <v>10</v>
      </c>
      <c r="Y2101">
        <v>8.5</v>
      </c>
      <c r="Z2101" s="18">
        <f>grand[[#This Row],[av. Transportation loss]]/grand[[#This Row],[av.total weight]]</f>
        <v>0</v>
      </c>
      <c r="AA2101" s="18">
        <f>AVERAGE((grand[[#This Row],[am]]/25),(grand[[#This Row],[pm]]/50))</f>
        <v>0.98486111111111108</v>
      </c>
      <c r="AB2101" s="3">
        <f>grand[[#This Row],[ carcass weight]]/grand[[#This Row],[total weight]]</f>
        <v>0.56321839080459768</v>
      </c>
      <c r="AC2101" s="18">
        <f>SUM(grand[[#This Row],[am]:[meat transportation]])/100</f>
        <v>0.91986111111111113</v>
      </c>
      <c r="AD2101" s="2" t="s">
        <v>1163</v>
      </c>
      <c r="AE2101" s="2"/>
      <c r="AF2101" s="2"/>
      <c r="AG2101" s="2"/>
      <c r="AH2101" s="2"/>
      <c r="AI2101" s="2"/>
      <c r="AJ2101" s="2">
        <v>0</v>
      </c>
    </row>
    <row r="2102" spans="1:36" x14ac:dyDescent="0.2">
      <c r="A2102" s="11">
        <v>46144</v>
      </c>
      <c r="B2102" s="53" t="s">
        <v>2488</v>
      </c>
      <c r="C2102" s="52" t="str">
        <f>IF(MID(B2102,4,2)="09","Ramadan",IF(AND(MID(B2102,4,2)="12",VALUE(LEFT(B2102,2))&lt;=9),"Adha Season","Normal"))</f>
        <v>Normal</v>
      </c>
      <c r="D2102" s="2" t="s">
        <v>1187</v>
      </c>
      <c r="F2102" s="4" t="s">
        <v>46</v>
      </c>
      <c r="G2102" s="1">
        <v>48</v>
      </c>
      <c r="H2102">
        <v>47</v>
      </c>
      <c r="I2102">
        <f>grand[[#This Row],[number]]-grand[[#This Row],[received]]</f>
        <v>1</v>
      </c>
      <c r="J2102" s="9" t="s">
        <v>1199</v>
      </c>
      <c r="K2102" s="2">
        <v>24473</v>
      </c>
      <c r="L2102" s="2">
        <v>24473</v>
      </c>
      <c r="M2102" s="2">
        <f>K2102-L2102</f>
        <v>0</v>
      </c>
      <c r="N2102" s="2">
        <v>14684</v>
      </c>
      <c r="O2102" s="2">
        <v>474</v>
      </c>
      <c r="P2102" s="7">
        <f>grand[[#This Row],[total weight]]/grand[[#This Row],[received]]</f>
        <v>520.70212765957444</v>
      </c>
      <c r="Q2102" s="7">
        <f>grand[[#This Row],[receiving weight]]/grand[[#This Row],[received]]</f>
        <v>520.70212765957444</v>
      </c>
      <c r="R2102" s="7">
        <f>grand[[#This Row],[transportation loss ]]/grand[[#This Row],[received]]</f>
        <v>0</v>
      </c>
      <c r="S2102" s="7">
        <f>grand[[#This Row],[ carcass weight]]/grand[[#This Row],[received]]</f>
        <v>312.42553191489361</v>
      </c>
      <c r="T2102" s="7">
        <f>grand[[#This Row],[ kidneys fat quantity]]/grand[[#This Row],[received]]</f>
        <v>10.085106382978724</v>
      </c>
      <c r="U2102">
        <v>24.787234042553191</v>
      </c>
      <c r="V2102">
        <v>0</v>
      </c>
      <c r="W2102">
        <v>49.59574468085107</v>
      </c>
      <c r="X2102">
        <v>10</v>
      </c>
      <c r="Y2102">
        <v>8.5</v>
      </c>
      <c r="Z2102" s="18">
        <f>grand[[#This Row],[av. Transportation loss]]/grand[[#This Row],[av.total weight]]</f>
        <v>0</v>
      </c>
      <c r="AA2102" s="18">
        <f>AVERAGE((grand[[#This Row],[am]]/25),(grand[[#This Row],[pm]]/50))</f>
        <v>0.99170212765957455</v>
      </c>
      <c r="AB2102" s="3">
        <f>grand[[#This Row],[ carcass weight]]/grand[[#This Row],[total weight]]</f>
        <v>0.60000817227148284</v>
      </c>
      <c r="AC2102" s="18">
        <f>SUM(grand[[#This Row],[am]:[meat transportation]])/100</f>
        <v>0.92882978723404264</v>
      </c>
      <c r="AD2102" s="2" t="s">
        <v>81</v>
      </c>
      <c r="AE2102" s="2"/>
      <c r="AF2102" s="2"/>
      <c r="AG2102" s="2"/>
      <c r="AH2102" s="2"/>
      <c r="AI2102" s="2"/>
      <c r="AJ2102" s="2">
        <v>6</v>
      </c>
    </row>
    <row r="2103" spans="1:36" x14ac:dyDescent="0.2">
      <c r="A2103" s="11">
        <v>46145</v>
      </c>
      <c r="B2103" s="53" t="s">
        <v>2912</v>
      </c>
      <c r="C2103" s="52" t="str">
        <f>IF(MID(B2103,4,2)="09","Ramadan",IF(AND(MID(B2103,4,2)="12",VALUE(LEFT(B2103,2))&lt;=9),"Adha Season","Normal"))</f>
        <v>Normal</v>
      </c>
      <c r="D2103" s="2" t="s">
        <v>1187</v>
      </c>
      <c r="F2103" s="4" t="s">
        <v>954</v>
      </c>
      <c r="G2103" s="1">
        <v>75</v>
      </c>
      <c r="H2103">
        <v>74</v>
      </c>
      <c r="I2103">
        <f>grand[[#This Row],[number]]-grand[[#This Row],[received]]</f>
        <v>1</v>
      </c>
      <c r="J2103" s="9" t="s">
        <v>1200</v>
      </c>
      <c r="K2103" s="2">
        <v>32303</v>
      </c>
      <c r="L2103" s="2">
        <v>32303</v>
      </c>
      <c r="M2103" s="2">
        <f>K2103-L2103</f>
        <v>0</v>
      </c>
      <c r="N2103" s="2">
        <v>19590</v>
      </c>
      <c r="O2103" s="2">
        <v>560</v>
      </c>
      <c r="P2103" s="7">
        <f>grand[[#This Row],[total weight]]/grand[[#This Row],[received]]</f>
        <v>436.52702702702703</v>
      </c>
      <c r="Q2103" s="7">
        <f>grand[[#This Row],[receiving weight]]/grand[[#This Row],[received]]</f>
        <v>436.52702702702703</v>
      </c>
      <c r="R2103" s="7">
        <f>grand[[#This Row],[transportation loss ]]/grand[[#This Row],[received]]</f>
        <v>0</v>
      </c>
      <c r="S2103" s="7">
        <f>grand[[#This Row],[ carcass weight]]/grand[[#This Row],[received]]</f>
        <v>264.72972972972974</v>
      </c>
      <c r="T2103" s="7">
        <f>grand[[#This Row],[ kidneys fat quantity]]/grand[[#This Row],[received]]</f>
        <v>7.5675675675675675</v>
      </c>
      <c r="U2103">
        <v>25</v>
      </c>
      <c r="V2103">
        <v>0</v>
      </c>
      <c r="W2103">
        <v>47.560810810810814</v>
      </c>
      <c r="X2103">
        <v>10</v>
      </c>
      <c r="Y2103">
        <v>8.5</v>
      </c>
      <c r="Z2103" s="18">
        <f>grand[[#This Row],[av. Transportation loss]]/grand[[#This Row],[av.total weight]]</f>
        <v>0</v>
      </c>
      <c r="AA2103" s="18">
        <f>AVERAGE((grand[[#This Row],[am]]/25),(grand[[#This Row],[pm]]/50))</f>
        <v>0.97560810810810816</v>
      </c>
      <c r="AB2103" s="3">
        <f>grand[[#This Row],[ carcass weight]]/grand[[#This Row],[total weight]]</f>
        <v>0.60644522180602423</v>
      </c>
      <c r="AC2103" s="18">
        <f>SUM(grand[[#This Row],[am]:[meat transportation]])/100</f>
        <v>0.91060810810810811</v>
      </c>
      <c r="AD2103" s="2" t="s">
        <v>1174</v>
      </c>
      <c r="AE2103" s="2"/>
      <c r="AF2103" s="2"/>
      <c r="AG2103" s="2"/>
      <c r="AH2103" s="2"/>
      <c r="AI2103" s="2"/>
      <c r="AJ2103" s="2">
        <v>0</v>
      </c>
    </row>
    <row r="2104" spans="1:36" hidden="1" x14ac:dyDescent="0.2">
      <c r="A2104" s="11">
        <v>46145</v>
      </c>
      <c r="B2104" s="53" t="s">
        <v>2912</v>
      </c>
      <c r="C2104" s="52" t="str">
        <f>IF(MID(B2104,4,2)="09","Ramadan",IF(AND(MID(B2104,4,2)="12",VALUE(LEFT(B2104,2))&lt;=9),"Adha Season","Normal"))</f>
        <v>Normal</v>
      </c>
      <c r="D2104" s="2" t="s">
        <v>1079</v>
      </c>
      <c r="F2104" s="4" t="s">
        <v>165</v>
      </c>
      <c r="G2104" s="1">
        <v>35</v>
      </c>
      <c r="H2104">
        <v>34</v>
      </c>
      <c r="I2104">
        <f>grand[[#This Row],[number]]-grand[[#This Row],[received]]</f>
        <v>1</v>
      </c>
      <c r="J2104" s="9" t="s">
        <v>1201</v>
      </c>
      <c r="K2104" s="2">
        <v>1906</v>
      </c>
      <c r="L2104" s="2">
        <v>1906</v>
      </c>
      <c r="M2104" s="2">
        <f>K2104-L2104</f>
        <v>0</v>
      </c>
      <c r="N2104" s="2">
        <v>1043</v>
      </c>
      <c r="O2104" s="2">
        <v>0</v>
      </c>
      <c r="P2104" s="7">
        <f>grand[[#This Row],[total weight]]/grand[[#This Row],[received]]</f>
        <v>56.058823529411768</v>
      </c>
      <c r="Q2104" s="7">
        <f>grand[[#This Row],[receiving weight]]/grand[[#This Row],[received]]</f>
        <v>56.058823529411768</v>
      </c>
      <c r="R2104" s="7">
        <f>grand[[#This Row],[transportation loss ]]/grand[[#This Row],[received]]</f>
        <v>0</v>
      </c>
      <c r="S2104" s="7">
        <f>grand[[#This Row],[ carcass weight]]/grand[[#This Row],[received]]</f>
        <v>30.676470588235293</v>
      </c>
      <c r="T2104" s="7">
        <f>grand[[#This Row],[ kidneys fat quantity]]/grand[[#This Row],[received]]</f>
        <v>0</v>
      </c>
      <c r="U2104">
        <v>25</v>
      </c>
      <c r="V2104">
        <v>0</v>
      </c>
      <c r="W2104">
        <v>48.029411764705877</v>
      </c>
      <c r="X2104">
        <v>10</v>
      </c>
      <c r="Y2104">
        <v>8.5</v>
      </c>
      <c r="Z2104" s="18">
        <f>grand[[#This Row],[av. Transportation loss]]/grand[[#This Row],[av.total weight]]</f>
        <v>0</v>
      </c>
      <c r="AA2104" s="18">
        <f>AVERAGE((grand[[#This Row],[am]]/25),(grand[[#This Row],[pm]]/50))</f>
        <v>0.98029411764705876</v>
      </c>
      <c r="AB2104" s="3">
        <f>grand[[#This Row],[ carcass weight]]/grand[[#This Row],[total weight]]</f>
        <v>0.54721930745015734</v>
      </c>
      <c r="AC2104" s="18">
        <f>SUM(grand[[#This Row],[am]:[meat transportation]])/100</f>
        <v>0.91529411764705881</v>
      </c>
      <c r="AD2104" s="2" t="s">
        <v>1175</v>
      </c>
      <c r="AE2104" s="2"/>
      <c r="AF2104" s="2"/>
      <c r="AG2104" s="2"/>
      <c r="AH2104" s="2"/>
      <c r="AI2104" s="2"/>
      <c r="AJ2104" s="2">
        <v>0</v>
      </c>
    </row>
    <row r="2105" spans="1:36" hidden="1" x14ac:dyDescent="0.2">
      <c r="A2105" s="11">
        <v>46146</v>
      </c>
      <c r="B2105" s="53" t="s">
        <v>2489</v>
      </c>
      <c r="C2105" s="52" t="str">
        <f>IF(MID(B2105,4,2)="09","Ramadan",IF(AND(MID(B2105,4,2)="12",VALUE(LEFT(B2105,2))&lt;=9),"Adha Season","Normal"))</f>
        <v>Normal</v>
      </c>
      <c r="D2105" s="2" t="s">
        <v>1187</v>
      </c>
      <c r="F2105" s="4" t="s">
        <v>1023</v>
      </c>
      <c r="G2105" s="1">
        <v>80</v>
      </c>
      <c r="H2105">
        <v>80</v>
      </c>
      <c r="I2105">
        <f>grand[[#This Row],[number]]-grand[[#This Row],[received]]</f>
        <v>0</v>
      </c>
      <c r="J2105" s="2"/>
      <c r="K2105" s="2">
        <v>34702</v>
      </c>
      <c r="L2105" s="2">
        <v>34702</v>
      </c>
      <c r="M2105" s="2">
        <f>K2105-L2105</f>
        <v>0</v>
      </c>
      <c r="N2105" s="2">
        <v>21312</v>
      </c>
      <c r="O2105" s="2">
        <v>0</v>
      </c>
      <c r="P2105" s="7">
        <f>grand[[#This Row],[total weight]]/grand[[#This Row],[received]]</f>
        <v>433.77499999999998</v>
      </c>
      <c r="Q2105" s="7">
        <f>grand[[#This Row],[receiving weight]]/grand[[#This Row],[received]]</f>
        <v>433.77499999999998</v>
      </c>
      <c r="R2105" s="7">
        <f>grand[[#This Row],[transportation loss ]]/grand[[#This Row],[received]]</f>
        <v>0</v>
      </c>
      <c r="S2105" s="7">
        <f>grand[[#This Row],[ carcass weight]]/grand[[#This Row],[received]]</f>
        <v>266.39999999999998</v>
      </c>
      <c r="T2105" s="7">
        <f>grand[[#This Row],[ kidneys fat quantity]]/grand[[#This Row],[received]]</f>
        <v>0</v>
      </c>
      <c r="U2105">
        <v>25</v>
      </c>
      <c r="V2105">
        <v>0</v>
      </c>
      <c r="W2105">
        <v>45.9</v>
      </c>
      <c r="X2105">
        <v>10</v>
      </c>
      <c r="Y2105">
        <v>8.5</v>
      </c>
      <c r="Z2105" s="18">
        <f>grand[[#This Row],[av. Transportation loss]]/grand[[#This Row],[av.total weight]]</f>
        <v>0</v>
      </c>
      <c r="AA2105" s="18">
        <f>AVERAGE((grand[[#This Row],[am]]/25),(grand[[#This Row],[pm]]/50))</f>
        <v>0.95899999999999996</v>
      </c>
      <c r="AB2105" s="3">
        <f>grand[[#This Row],[ carcass weight]]/grand[[#This Row],[total weight]]</f>
        <v>0.61414327704455074</v>
      </c>
      <c r="AC2105" s="18">
        <f>SUM(grand[[#This Row],[am]:[meat transportation]])/100</f>
        <v>0.89400000000000002</v>
      </c>
      <c r="AD2105" s="2" t="s">
        <v>1178</v>
      </c>
      <c r="AE2105" s="2"/>
      <c r="AF2105" s="2"/>
      <c r="AG2105" s="2"/>
      <c r="AH2105" s="2"/>
      <c r="AI2105" s="2"/>
      <c r="AJ2105" s="2">
        <v>3</v>
      </c>
    </row>
    <row r="2106" spans="1:36" hidden="1" x14ac:dyDescent="0.2">
      <c r="A2106" s="11">
        <v>46146</v>
      </c>
      <c r="B2106" s="53" t="s">
        <v>2489</v>
      </c>
      <c r="C2106" s="52" t="str">
        <f>IF(MID(B2106,4,2)="09","Ramadan",IF(AND(MID(B2106,4,2)="12",VALUE(LEFT(B2106,2))&lt;=9),"Adha Season","Normal"))</f>
        <v>Normal</v>
      </c>
      <c r="D2106" s="2" t="s">
        <v>1187</v>
      </c>
      <c r="F2106" s="4" t="s">
        <v>954</v>
      </c>
      <c r="G2106" s="1">
        <v>88</v>
      </c>
      <c r="H2106">
        <v>88</v>
      </c>
      <c r="I2106">
        <f>grand[[#This Row],[number]]-grand[[#This Row],[received]]</f>
        <v>0</v>
      </c>
      <c r="J2106" s="2"/>
      <c r="K2106" s="2">
        <v>37803</v>
      </c>
      <c r="L2106" s="2">
        <v>37803</v>
      </c>
      <c r="M2106" s="2">
        <f>K2106-L2106</f>
        <v>0</v>
      </c>
      <c r="N2106" s="2">
        <v>22988</v>
      </c>
      <c r="O2106" s="2">
        <v>624</v>
      </c>
      <c r="P2106" s="7">
        <f>grand[[#This Row],[total weight]]/grand[[#This Row],[received]]</f>
        <v>429.57954545454544</v>
      </c>
      <c r="Q2106" s="7">
        <f>grand[[#This Row],[receiving weight]]/grand[[#This Row],[received]]</f>
        <v>429.57954545454544</v>
      </c>
      <c r="R2106" s="7">
        <f>grand[[#This Row],[transportation loss ]]/grand[[#This Row],[received]]</f>
        <v>0</v>
      </c>
      <c r="S2106" s="7">
        <f>grand[[#This Row],[ carcass weight]]/grand[[#This Row],[received]]</f>
        <v>261.22727272727275</v>
      </c>
      <c r="T2106" s="7">
        <f>grand[[#This Row],[ kidneys fat quantity]]/grand[[#This Row],[received]]</f>
        <v>7.0909090909090908</v>
      </c>
      <c r="U2106">
        <v>25</v>
      </c>
      <c r="V2106">
        <v>0</v>
      </c>
      <c r="W2106">
        <v>48.528409090909086</v>
      </c>
      <c r="X2106">
        <v>10</v>
      </c>
      <c r="Y2106">
        <v>8.5</v>
      </c>
      <c r="Z2106" s="18">
        <f>grand[[#This Row],[av. Transportation loss]]/grand[[#This Row],[av.total weight]]</f>
        <v>0</v>
      </c>
      <c r="AA2106" s="18">
        <f>AVERAGE((grand[[#This Row],[am]]/25),(grand[[#This Row],[pm]]/50))</f>
        <v>0.98528409090909086</v>
      </c>
      <c r="AB2106" s="3">
        <f>grand[[#This Row],[ carcass weight]]/grand[[#This Row],[total weight]]</f>
        <v>0.60809988625241385</v>
      </c>
      <c r="AC2106" s="18">
        <f>SUM(grand[[#This Row],[am]:[meat transportation]])/100</f>
        <v>0.92028409090909091</v>
      </c>
      <c r="AD2106" s="2" t="s">
        <v>1179</v>
      </c>
      <c r="AE2106" s="2"/>
      <c r="AF2106" s="2"/>
      <c r="AG2106" s="2"/>
      <c r="AH2106" s="2"/>
      <c r="AI2106" s="2"/>
      <c r="AJ2106" s="2">
        <v>0</v>
      </c>
    </row>
    <row r="2107" spans="1:36" hidden="1" x14ac:dyDescent="0.2">
      <c r="A2107" s="11">
        <v>46146</v>
      </c>
      <c r="B2107" s="53" t="s">
        <v>2489</v>
      </c>
      <c r="C2107" s="52" t="str">
        <f>IF(MID(B2107,4,2)="09","Ramadan",IF(AND(MID(B2107,4,2)="12",VALUE(LEFT(B2107,2))&lt;=9),"Adha Season","Normal"))</f>
        <v>Normal</v>
      </c>
      <c r="D2107" s="2" t="s">
        <v>1079</v>
      </c>
      <c r="F2107" s="4" t="s">
        <v>165</v>
      </c>
      <c r="G2107" s="1">
        <v>58</v>
      </c>
      <c r="H2107">
        <v>58</v>
      </c>
      <c r="I2107">
        <f>grand[[#This Row],[number]]-grand[[#This Row],[received]]</f>
        <v>0</v>
      </c>
      <c r="J2107" s="2"/>
      <c r="K2107" s="2">
        <v>2910</v>
      </c>
      <c r="L2107" s="2">
        <v>2910</v>
      </c>
      <c r="M2107" s="2">
        <f>K2107-L2107</f>
        <v>0</v>
      </c>
      <c r="N2107" s="2">
        <v>1592</v>
      </c>
      <c r="O2107" s="2">
        <v>0</v>
      </c>
      <c r="P2107" s="7">
        <f>grand[[#This Row],[total weight]]/grand[[#This Row],[received]]</f>
        <v>50.172413793103445</v>
      </c>
      <c r="Q2107" s="7">
        <f>grand[[#This Row],[receiving weight]]/grand[[#This Row],[received]]</f>
        <v>50.172413793103445</v>
      </c>
      <c r="R2107" s="7">
        <f>grand[[#This Row],[transportation loss ]]/grand[[#This Row],[received]]</f>
        <v>0</v>
      </c>
      <c r="S2107" s="7">
        <f>grand[[#This Row],[ carcass weight]]/grand[[#This Row],[received]]</f>
        <v>27.448275862068964</v>
      </c>
      <c r="T2107" s="7">
        <f>grand[[#This Row],[ kidneys fat quantity]]/grand[[#This Row],[received]]</f>
        <v>0</v>
      </c>
      <c r="U2107">
        <v>25</v>
      </c>
      <c r="V2107">
        <v>0</v>
      </c>
      <c r="W2107">
        <v>49.327586206896541</v>
      </c>
      <c r="X2107">
        <v>10</v>
      </c>
      <c r="Y2107">
        <v>8.5</v>
      </c>
      <c r="Z2107" s="18">
        <f>grand[[#This Row],[av. Transportation loss]]/grand[[#This Row],[av.total weight]]</f>
        <v>0</v>
      </c>
      <c r="AA2107" s="18">
        <f>AVERAGE((grand[[#This Row],[am]]/25),(grand[[#This Row],[pm]]/50))</f>
        <v>0.99327586206896545</v>
      </c>
      <c r="AB2107" s="3">
        <f>grand[[#This Row],[ carcass weight]]/grand[[#This Row],[total weight]]</f>
        <v>0.54707903780068734</v>
      </c>
      <c r="AC2107" s="18">
        <f>SUM(grand[[#This Row],[am]:[meat transportation]])/100</f>
        <v>0.9282758620689654</v>
      </c>
      <c r="AD2107" s="2" t="s">
        <v>1180</v>
      </c>
      <c r="AE2107" s="2"/>
      <c r="AF2107" s="2"/>
      <c r="AG2107" s="2"/>
      <c r="AH2107" s="2"/>
      <c r="AI2107" s="2"/>
      <c r="AJ2107" s="2">
        <v>0</v>
      </c>
    </row>
    <row r="2108" spans="1:36" hidden="1" x14ac:dyDescent="0.2">
      <c r="A2108" s="11">
        <v>46147</v>
      </c>
      <c r="B2108" s="53" t="s">
        <v>2490</v>
      </c>
      <c r="C2108" s="52" t="str">
        <f>IF(MID(B2108,4,2)="09","Ramadan",IF(AND(MID(B2108,4,2)="12",VALUE(LEFT(B2108,2))&lt;=9),"Adha Season","Normal"))</f>
        <v>Normal</v>
      </c>
      <c r="D2108" s="2" t="s">
        <v>1187</v>
      </c>
      <c r="F2108" s="4" t="s">
        <v>1023</v>
      </c>
      <c r="G2108" s="1">
        <v>72</v>
      </c>
      <c r="H2108">
        <v>72</v>
      </c>
      <c r="I2108">
        <f>grand[[#This Row],[number]]-grand[[#This Row],[received]]</f>
        <v>0</v>
      </c>
      <c r="J2108" s="2"/>
      <c r="K2108" s="2">
        <v>29258</v>
      </c>
      <c r="L2108" s="2">
        <v>29258</v>
      </c>
      <c r="M2108" s="2">
        <f>K2108-L2108</f>
        <v>0</v>
      </c>
      <c r="N2108" s="2">
        <v>17588</v>
      </c>
      <c r="O2108" s="2">
        <v>0</v>
      </c>
      <c r="P2108" s="7">
        <f>grand[[#This Row],[total weight]]/grand[[#This Row],[received]]</f>
        <v>406.36111111111109</v>
      </c>
      <c r="Q2108" s="7">
        <f>grand[[#This Row],[receiving weight]]/grand[[#This Row],[received]]</f>
        <v>406.36111111111109</v>
      </c>
      <c r="R2108" s="7">
        <f>grand[[#This Row],[transportation loss ]]/grand[[#This Row],[received]]</f>
        <v>0</v>
      </c>
      <c r="S2108" s="7">
        <f>grand[[#This Row],[ carcass weight]]/grand[[#This Row],[received]]</f>
        <v>244.27777777777777</v>
      </c>
      <c r="T2108" s="7">
        <f>grand[[#This Row],[ kidneys fat quantity]]/grand[[#This Row],[received]]</f>
        <v>0</v>
      </c>
      <c r="U2108">
        <v>25</v>
      </c>
      <c r="V2108">
        <v>0</v>
      </c>
      <c r="W2108">
        <v>47.736111111111114</v>
      </c>
      <c r="X2108">
        <v>10</v>
      </c>
      <c r="Y2108">
        <v>8.5</v>
      </c>
      <c r="Z2108" s="18">
        <f>grand[[#This Row],[av. Transportation loss]]/grand[[#This Row],[av.total weight]]</f>
        <v>0</v>
      </c>
      <c r="AA2108" s="18">
        <f>AVERAGE((grand[[#This Row],[am]]/25),(grand[[#This Row],[pm]]/50))</f>
        <v>0.97736111111111112</v>
      </c>
      <c r="AB2108" s="3">
        <f>grand[[#This Row],[ carcass weight]]/grand[[#This Row],[total weight]]</f>
        <v>0.60113473238088733</v>
      </c>
      <c r="AC2108" s="18">
        <f>SUM(grand[[#This Row],[am]:[meat transportation]])/100</f>
        <v>0.91236111111111118</v>
      </c>
      <c r="AD2108" s="2" t="s">
        <v>1181</v>
      </c>
      <c r="AE2108" s="2"/>
      <c r="AF2108" s="2"/>
      <c r="AG2108" s="2"/>
      <c r="AH2108" s="2"/>
      <c r="AI2108" s="2"/>
      <c r="AJ2108" s="2">
        <v>4</v>
      </c>
    </row>
    <row r="2109" spans="1:36" hidden="1" x14ac:dyDescent="0.2">
      <c r="A2109" s="11">
        <v>46149</v>
      </c>
      <c r="B2109" s="53" t="s">
        <v>2491</v>
      </c>
      <c r="C2109" s="52" t="str">
        <f>IF(MID(B2109,4,2)="09","Ramadan",IF(AND(MID(B2109,4,2)="12",VALUE(LEFT(B2109,2))&lt;=9),"Adha Season","Normal"))</f>
        <v>Normal</v>
      </c>
      <c r="D2109" s="2" t="s">
        <v>1079</v>
      </c>
      <c r="F2109" s="4" t="s">
        <v>165</v>
      </c>
      <c r="G2109" s="1">
        <v>71</v>
      </c>
      <c r="H2109">
        <v>71</v>
      </c>
      <c r="I2109">
        <f>grand[[#This Row],[number]]-grand[[#This Row],[received]]</f>
        <v>0</v>
      </c>
      <c r="J2109" s="2"/>
      <c r="K2109" s="2">
        <v>3989</v>
      </c>
      <c r="L2109" s="2">
        <v>3989</v>
      </c>
      <c r="M2109" s="2">
        <f>K2109-L2109</f>
        <v>0</v>
      </c>
      <c r="N2109" s="2">
        <v>2259</v>
      </c>
      <c r="O2109" s="2">
        <v>0</v>
      </c>
      <c r="P2109" s="7">
        <f>grand[[#This Row],[total weight]]/grand[[#This Row],[received]]</f>
        <v>56.183098591549296</v>
      </c>
      <c r="Q2109" s="7">
        <f>grand[[#This Row],[receiving weight]]/grand[[#This Row],[received]]</f>
        <v>56.183098591549296</v>
      </c>
      <c r="R2109" s="7">
        <f>grand[[#This Row],[transportation loss ]]/grand[[#This Row],[received]]</f>
        <v>0</v>
      </c>
      <c r="S2109" s="7">
        <f>grand[[#This Row],[ carcass weight]]/grand[[#This Row],[received]]</f>
        <v>31.816901408450704</v>
      </c>
      <c r="T2109" s="7">
        <f>grand[[#This Row],[ kidneys fat quantity]]/grand[[#This Row],[received]]</f>
        <v>0</v>
      </c>
      <c r="U2109">
        <v>25</v>
      </c>
      <c r="V2109">
        <v>0</v>
      </c>
      <c r="W2109">
        <v>48.281690140845065</v>
      </c>
      <c r="X2109">
        <v>10</v>
      </c>
      <c r="Y2109">
        <v>8.5</v>
      </c>
      <c r="Z2109" s="18">
        <f>grand[[#This Row],[av. Transportation loss]]/grand[[#This Row],[av.total weight]]</f>
        <v>0</v>
      </c>
      <c r="AA2109" s="18">
        <f>AVERAGE((grand[[#This Row],[am]]/25),(grand[[#This Row],[pm]]/50))</f>
        <v>0.98281690140845068</v>
      </c>
      <c r="AB2109" s="3">
        <f>grand[[#This Row],[ carcass weight]]/grand[[#This Row],[total weight]]</f>
        <v>0.56630734519929804</v>
      </c>
      <c r="AC2109" s="18">
        <f>SUM(grand[[#This Row],[am]:[meat transportation]])/100</f>
        <v>0.91781690140845062</v>
      </c>
      <c r="AD2109" s="2" t="s">
        <v>1183</v>
      </c>
      <c r="AE2109" s="2"/>
      <c r="AF2109" s="2"/>
      <c r="AG2109" s="2"/>
      <c r="AH2109" s="2"/>
      <c r="AI2109" s="2"/>
      <c r="AJ2109" s="2">
        <v>0</v>
      </c>
    </row>
    <row r="2110" spans="1:36" hidden="1" x14ac:dyDescent="0.2">
      <c r="A2110" s="11">
        <v>46149</v>
      </c>
      <c r="B2110" s="53" t="s">
        <v>2491</v>
      </c>
      <c r="C2110" s="52" t="str">
        <f>IF(MID(B2110,4,2)="09","Ramadan",IF(AND(MID(B2110,4,2)="12",VALUE(LEFT(B2110,2))&lt;=9),"Adha Season","Normal"))</f>
        <v>Normal</v>
      </c>
      <c r="D2110" s="2" t="s">
        <v>1187</v>
      </c>
      <c r="F2110" s="4" t="s">
        <v>954</v>
      </c>
      <c r="G2110" s="1">
        <v>60</v>
      </c>
      <c r="H2110">
        <v>60</v>
      </c>
      <c r="I2110">
        <f>grand[[#This Row],[number]]-grand[[#This Row],[received]]</f>
        <v>0</v>
      </c>
      <c r="J2110" s="2"/>
      <c r="K2110" s="2">
        <v>25743</v>
      </c>
      <c r="L2110" s="2">
        <v>25743</v>
      </c>
      <c r="M2110" s="2">
        <f>K2110-L2110</f>
        <v>0</v>
      </c>
      <c r="N2110" s="2">
        <v>15464</v>
      </c>
      <c r="O2110" s="2">
        <v>342</v>
      </c>
      <c r="P2110" s="7">
        <f>grand[[#This Row],[total weight]]/grand[[#This Row],[received]]</f>
        <v>429.05</v>
      </c>
      <c r="Q2110" s="7">
        <f>grand[[#This Row],[receiving weight]]/grand[[#This Row],[received]]</f>
        <v>429.05</v>
      </c>
      <c r="R2110" s="7">
        <f>grand[[#This Row],[transportation loss ]]/grand[[#This Row],[received]]</f>
        <v>0</v>
      </c>
      <c r="S2110" s="7">
        <f>grand[[#This Row],[ carcass weight]]/grand[[#This Row],[received]]</f>
        <v>257.73333333333335</v>
      </c>
      <c r="T2110" s="7">
        <f>grand[[#This Row],[ kidneys fat quantity]]/grand[[#This Row],[received]]</f>
        <v>5.7</v>
      </c>
      <c r="U2110">
        <v>25</v>
      </c>
      <c r="V2110">
        <v>0</v>
      </c>
      <c r="W2110">
        <v>49.033333333333331</v>
      </c>
      <c r="X2110">
        <v>10</v>
      </c>
      <c r="Y2110">
        <v>8.5</v>
      </c>
      <c r="Z2110" s="18">
        <f>grand[[#This Row],[av. Transportation loss]]/grand[[#This Row],[av.total weight]]</f>
        <v>0</v>
      </c>
      <c r="AA2110" s="18">
        <f>AVERAGE((grand[[#This Row],[am]]/25),(grand[[#This Row],[pm]]/50))</f>
        <v>0.99033333333333329</v>
      </c>
      <c r="AB2110" s="3">
        <f>grand[[#This Row],[ carcass weight]]/grand[[#This Row],[total weight]]</f>
        <v>0.60070698830750102</v>
      </c>
      <c r="AC2110" s="18">
        <f>SUM(grand[[#This Row],[am]:[meat transportation]])/100</f>
        <v>0.92533333333333334</v>
      </c>
      <c r="AD2110" s="2" t="s">
        <v>1184</v>
      </c>
      <c r="AE2110" s="2"/>
      <c r="AF2110" s="2"/>
      <c r="AG2110" s="2"/>
      <c r="AH2110" s="2"/>
      <c r="AI2110" s="2"/>
      <c r="AJ2110" s="2">
        <v>0</v>
      </c>
    </row>
    <row r="2111" spans="1:36" x14ac:dyDescent="0.2">
      <c r="A2111" s="11">
        <v>46149</v>
      </c>
      <c r="B2111" s="53" t="s">
        <v>2491</v>
      </c>
      <c r="C2111" s="52" t="str">
        <f>IF(MID(B2111,4,2)="09","Ramadan",IF(AND(MID(B2111,4,2)="12",VALUE(LEFT(B2111,2))&lt;=9),"Adha Season","Normal"))</f>
        <v>Normal</v>
      </c>
      <c r="D2111" s="2" t="s">
        <v>1187</v>
      </c>
      <c r="F2111" s="4" t="s">
        <v>746</v>
      </c>
      <c r="G2111" s="1">
        <v>40</v>
      </c>
      <c r="H2111">
        <v>35</v>
      </c>
      <c r="I2111">
        <f>grand[[#This Row],[number]]-grand[[#This Row],[received]]</f>
        <v>5</v>
      </c>
      <c r="J2111" s="9" t="s">
        <v>1202</v>
      </c>
      <c r="K2111" s="2">
        <v>18202</v>
      </c>
      <c r="L2111" s="2">
        <v>18202</v>
      </c>
      <c r="M2111" s="2">
        <f>K2111-L2111</f>
        <v>0</v>
      </c>
      <c r="N2111" s="2">
        <v>10921</v>
      </c>
      <c r="O2111" s="2">
        <v>300</v>
      </c>
      <c r="P2111" s="7">
        <f>grand[[#This Row],[total weight]]/grand[[#This Row],[received]]</f>
        <v>520.05714285714282</v>
      </c>
      <c r="Q2111" s="7">
        <f>grand[[#This Row],[receiving weight]]/grand[[#This Row],[received]]</f>
        <v>520.05714285714282</v>
      </c>
      <c r="R2111" s="7">
        <f>grand[[#This Row],[transportation loss ]]/grand[[#This Row],[received]]</f>
        <v>0</v>
      </c>
      <c r="S2111" s="7">
        <f>grand[[#This Row],[ carcass weight]]/grand[[#This Row],[received]]</f>
        <v>312.02857142857141</v>
      </c>
      <c r="T2111" s="7">
        <f>grand[[#This Row],[ kidneys fat quantity]]/grand[[#This Row],[received]]</f>
        <v>8.5714285714285712</v>
      </c>
      <c r="U2111">
        <v>23.142857142857142</v>
      </c>
      <c r="V2111">
        <v>0</v>
      </c>
      <c r="W2111">
        <v>46.142857142857139</v>
      </c>
      <c r="X2111">
        <v>10</v>
      </c>
      <c r="Y2111">
        <v>8.5</v>
      </c>
      <c r="Z2111" s="18">
        <f>grand[[#This Row],[av. Transportation loss]]/grand[[#This Row],[av.total weight]]</f>
        <v>0</v>
      </c>
      <c r="AA2111" s="18">
        <f>AVERAGE((grand[[#This Row],[am]]/25),(grand[[#This Row],[pm]]/50))</f>
        <v>0.92428571428571427</v>
      </c>
      <c r="AB2111" s="3">
        <f>grand[[#This Row],[ carcass weight]]/grand[[#This Row],[total weight]]</f>
        <v>0.59998901219646195</v>
      </c>
      <c r="AC2111" s="18">
        <f>SUM(grand[[#This Row],[am]:[meat transportation]])/100</f>
        <v>0.87785714285714278</v>
      </c>
      <c r="AD2111" s="2" t="s">
        <v>1182</v>
      </c>
      <c r="AE2111" s="2"/>
      <c r="AF2111" s="2"/>
      <c r="AG2111" s="2"/>
      <c r="AH2111" s="2"/>
      <c r="AI2111" s="2"/>
      <c r="AJ2111" s="2">
        <v>22</v>
      </c>
    </row>
    <row r="2112" spans="1:36" hidden="1" x14ac:dyDescent="0.2">
      <c r="A2112" s="11">
        <v>46151</v>
      </c>
      <c r="B2112" s="53" t="s">
        <v>2492</v>
      </c>
      <c r="C2112" s="52" t="str">
        <f>IF(MID(B2112,4,2)="09","Ramadan",IF(AND(MID(B2112,4,2)="12",VALUE(LEFT(B2112,2))&lt;=9),"Adha Season","Normal"))</f>
        <v>Normal</v>
      </c>
      <c r="D2112" s="2" t="s">
        <v>1079</v>
      </c>
      <c r="F2112" s="4" t="s">
        <v>165</v>
      </c>
      <c r="G2112" s="1">
        <v>71</v>
      </c>
      <c r="H2112">
        <v>71</v>
      </c>
      <c r="I2112">
        <f>grand[[#This Row],[number]]-grand[[#This Row],[received]]</f>
        <v>0</v>
      </c>
      <c r="J2112" s="2"/>
      <c r="K2112" s="2">
        <v>4095</v>
      </c>
      <c r="L2112" s="2">
        <v>4095</v>
      </c>
      <c r="M2112" s="2">
        <f>K2112-L2112</f>
        <v>0</v>
      </c>
      <c r="N2112" s="2">
        <v>2370</v>
      </c>
      <c r="O2112" s="2">
        <v>0</v>
      </c>
      <c r="P2112" s="7">
        <f>grand[[#This Row],[total weight]]/grand[[#This Row],[received]]</f>
        <v>57.676056338028168</v>
      </c>
      <c r="Q2112" s="7">
        <f>grand[[#This Row],[receiving weight]]/grand[[#This Row],[received]]</f>
        <v>57.676056338028168</v>
      </c>
      <c r="R2112" s="7">
        <f>grand[[#This Row],[transportation loss ]]/grand[[#This Row],[received]]</f>
        <v>0</v>
      </c>
      <c r="S2112" s="7">
        <f>grand[[#This Row],[ carcass weight]]/grand[[#This Row],[received]]</f>
        <v>33.380281690140848</v>
      </c>
      <c r="T2112" s="7">
        <f>grand[[#This Row],[ kidneys fat quantity]]/grand[[#This Row],[received]]</f>
        <v>0</v>
      </c>
      <c r="U2112">
        <v>25</v>
      </c>
      <c r="V2112">
        <v>0</v>
      </c>
      <c r="W2112">
        <v>47.605633802816904</v>
      </c>
      <c r="X2112">
        <v>10</v>
      </c>
      <c r="Y2112">
        <v>8.5</v>
      </c>
      <c r="Z2112" s="18">
        <f>grand[[#This Row],[av. Transportation loss]]/grand[[#This Row],[av.total weight]]</f>
        <v>0</v>
      </c>
      <c r="AA2112" s="18">
        <f>AVERAGE((grand[[#This Row],[am]]/25),(grand[[#This Row],[pm]]/50))</f>
        <v>0.97605633802816905</v>
      </c>
      <c r="AB2112" s="3">
        <f>grand[[#This Row],[ carcass weight]]/grand[[#This Row],[total weight]]</f>
        <v>0.57875457875457881</v>
      </c>
      <c r="AC2112" s="18">
        <f>SUM(grand[[#This Row],[am]:[meat transportation]])/100</f>
        <v>0.91105633802816899</v>
      </c>
      <c r="AD2112" s="2" t="s">
        <v>969</v>
      </c>
      <c r="AE2112" s="2"/>
      <c r="AF2112" s="2"/>
      <c r="AG2112" s="2"/>
      <c r="AH2112" s="2"/>
      <c r="AI2112" s="2"/>
      <c r="AJ2112" s="2">
        <v>0</v>
      </c>
    </row>
    <row r="2113" spans="1:38" hidden="1" x14ac:dyDescent="0.2">
      <c r="A2113" s="11">
        <v>46151</v>
      </c>
      <c r="B2113" s="53" t="s">
        <v>2492</v>
      </c>
      <c r="C2113" s="52" t="str">
        <f>IF(MID(B2113,4,2)="09","Ramadan",IF(AND(MID(B2113,4,2)="12",VALUE(LEFT(B2113,2))&lt;=9),"Adha Season","Normal"))</f>
        <v>Normal</v>
      </c>
      <c r="D2113" s="2" t="s">
        <v>1187</v>
      </c>
      <c r="F2113" s="4" t="s">
        <v>954</v>
      </c>
      <c r="G2113" s="1">
        <v>66</v>
      </c>
      <c r="H2113">
        <v>66</v>
      </c>
      <c r="I2113">
        <f>grand[[#This Row],[number]]-grand[[#This Row],[received]]</f>
        <v>0</v>
      </c>
      <c r="J2113" s="2"/>
      <c r="K2113" s="2">
        <v>28597</v>
      </c>
      <c r="L2113" s="2">
        <v>28597</v>
      </c>
      <c r="M2113" s="2">
        <f>K2113-L2113</f>
        <v>0</v>
      </c>
      <c r="N2113" s="2">
        <v>17351</v>
      </c>
      <c r="O2113" s="2">
        <v>478</v>
      </c>
      <c r="P2113" s="7">
        <f>grand[[#This Row],[total weight]]/grand[[#This Row],[received]]</f>
        <v>433.28787878787881</v>
      </c>
      <c r="Q2113" s="7">
        <f>grand[[#This Row],[receiving weight]]/grand[[#This Row],[received]]</f>
        <v>433.28787878787881</v>
      </c>
      <c r="R2113" s="7">
        <f>grand[[#This Row],[transportation loss ]]/grand[[#This Row],[received]]</f>
        <v>0</v>
      </c>
      <c r="S2113" s="7">
        <f>grand[[#This Row],[ carcass weight]]/grand[[#This Row],[received]]</f>
        <v>262.89393939393938</v>
      </c>
      <c r="T2113" s="7">
        <f>grand[[#This Row],[ kidneys fat quantity]]/grand[[#This Row],[received]]</f>
        <v>7.2424242424242422</v>
      </c>
      <c r="U2113">
        <v>25</v>
      </c>
      <c r="V2113">
        <v>0</v>
      </c>
      <c r="W2113">
        <v>48.878787878787875</v>
      </c>
      <c r="X2113">
        <v>10</v>
      </c>
      <c r="Y2113">
        <v>8.5</v>
      </c>
      <c r="Z2113" s="18">
        <f>grand[[#This Row],[av. Transportation loss]]/grand[[#This Row],[av.total weight]]</f>
        <v>0</v>
      </c>
      <c r="AA2113" s="18">
        <f>AVERAGE((grand[[#This Row],[am]]/25),(grand[[#This Row],[pm]]/50))</f>
        <v>0.98878787878787877</v>
      </c>
      <c r="AB2113" s="3">
        <f>grand[[#This Row],[ carcass weight]]/grand[[#This Row],[total weight]]</f>
        <v>0.60674196594048324</v>
      </c>
      <c r="AC2113" s="18">
        <f>SUM(grand[[#This Row],[am]:[meat transportation]])/100</f>
        <v>0.92378787878787871</v>
      </c>
      <c r="AD2113" s="2" t="s">
        <v>1186</v>
      </c>
      <c r="AE2113" s="2"/>
      <c r="AF2113" s="2"/>
      <c r="AG2113" s="2"/>
      <c r="AH2113" s="2"/>
      <c r="AI2113" s="2"/>
      <c r="AJ2113" s="2">
        <v>0</v>
      </c>
    </row>
    <row r="2114" spans="1:38" hidden="1" x14ac:dyDescent="0.2">
      <c r="A2114" s="11">
        <v>45901</v>
      </c>
      <c r="B2114" s="53" t="s">
        <v>2299</v>
      </c>
      <c r="C2114" s="52" t="str">
        <f>IF(MID(B2114,4,2)="09","Ramadan",IF(AND(MID(B2114,4,2)="12",VALUE(LEFT(B2114,2))&lt;=9),"Adha Season","Normal"))</f>
        <v>Normal</v>
      </c>
      <c r="D2114" s="1" t="s">
        <v>45</v>
      </c>
      <c r="E2114" s="1" t="s">
        <v>483</v>
      </c>
      <c r="F2114" s="4" t="s">
        <v>280</v>
      </c>
      <c r="G2114" s="1">
        <v>29</v>
      </c>
      <c r="H2114" s="1">
        <v>28</v>
      </c>
      <c r="I2114" s="1">
        <f>grand[[#This Row],[number]]-grand[[#This Row],[received]]</f>
        <v>1</v>
      </c>
      <c r="J2114" s="30"/>
      <c r="K2114" s="2">
        <v>13290</v>
      </c>
      <c r="L2114" s="2">
        <v>12785</v>
      </c>
      <c r="M2114" s="2">
        <f>K2114-L2114</f>
        <v>505</v>
      </c>
      <c r="N2114" s="2">
        <v>8013.4</v>
      </c>
      <c r="O2114" s="2">
        <v>240</v>
      </c>
      <c r="P2114" s="7">
        <f>grand[[#This Row],[total weight]]/grand[[#This Row],[received]]</f>
        <v>474.64285714285717</v>
      </c>
      <c r="Q2114" s="7">
        <f>grand[[#This Row],[receiving weight]]/grand[[#This Row],[received]]</f>
        <v>456.60714285714283</v>
      </c>
      <c r="R2114" s="7">
        <f>grand[[#This Row],[transportation loss ]]/grand[[#This Row],[received]]</f>
        <v>18.035714285714285</v>
      </c>
      <c r="S2114" s="7">
        <f>grand[[#This Row],[ carcass weight]]/grand[[#This Row],[received]]</f>
        <v>286.19285714285712</v>
      </c>
      <c r="T2114" s="7">
        <f>grand[[#This Row],[ kidneys fat quantity]]/grand[[#This Row],[received]]</f>
        <v>8.5714285714285712</v>
      </c>
      <c r="U2114">
        <v>23.333333333333332</v>
      </c>
      <c r="V2114">
        <v>0</v>
      </c>
      <c r="W2114">
        <v>48.61904761904762</v>
      </c>
      <c r="X2114">
        <v>10</v>
      </c>
      <c r="Y2114">
        <v>8.5</v>
      </c>
      <c r="Z2114" s="18">
        <f>grand[[#This Row],[av. Transportation loss]]/grand[[#This Row],[av.total weight]]</f>
        <v>3.7998495109104587E-2</v>
      </c>
      <c r="AA2114" s="18">
        <f>AVERAGE((grand[[#This Row],[am]]/25),(grand[[#This Row],[pm]]/50))</f>
        <v>0.95285714285714285</v>
      </c>
      <c r="AB2114" s="3">
        <f>grand[[#This Row],[ carcass weight]]/grand[[#This Row],[total weight]]</f>
        <v>0.60296463506395781</v>
      </c>
      <c r="AC2114" s="18">
        <f>SUM(grand[[#This Row],[am]:[meat transportation]])/100</f>
        <v>0.90452380952380951</v>
      </c>
      <c r="AJ2114" s="1">
        <v>10</v>
      </c>
      <c r="AK2114" s="1"/>
      <c r="AL2114" s="1"/>
    </row>
    <row r="2115" spans="1:38" hidden="1" x14ac:dyDescent="0.2">
      <c r="A2115" s="11">
        <v>45904</v>
      </c>
      <c r="B2115" s="53" t="s">
        <v>2302</v>
      </c>
      <c r="C2115" s="52" t="str">
        <f>IF(MID(B2115,4,2)="09","Ramadan",IF(AND(MID(B2115,4,2)="12",VALUE(LEFT(B2115,2))&lt;=9),"Adha Season","Normal"))</f>
        <v>Normal</v>
      </c>
      <c r="D2115" s="1" t="s">
        <v>45</v>
      </c>
      <c r="E2115" s="1" t="s">
        <v>483</v>
      </c>
      <c r="F2115" s="4" t="s">
        <v>43</v>
      </c>
      <c r="G2115" s="1">
        <v>39</v>
      </c>
      <c r="H2115" s="1">
        <v>38</v>
      </c>
      <c r="I2115" s="1">
        <f>grand[[#This Row],[number]]-grand[[#This Row],[received]]</f>
        <v>1</v>
      </c>
      <c r="J2115" s="30"/>
      <c r="K2115" s="2">
        <v>17151</v>
      </c>
      <c r="L2115" s="2">
        <v>17151</v>
      </c>
      <c r="M2115" s="2">
        <f>K2115-L2115</f>
        <v>0</v>
      </c>
      <c r="N2115" s="2">
        <v>10290.200000000001</v>
      </c>
      <c r="O2115" s="2">
        <v>284</v>
      </c>
      <c r="P2115" s="7">
        <f>grand[[#This Row],[total weight]]/grand[[#This Row],[received]]</f>
        <v>451.34210526315792</v>
      </c>
      <c r="Q2115" s="7">
        <f>grand[[#This Row],[receiving weight]]/grand[[#This Row],[received]]</f>
        <v>451.34210526315792</v>
      </c>
      <c r="R2115" s="7">
        <f>grand[[#This Row],[transportation loss ]]/grand[[#This Row],[received]]</f>
        <v>0</v>
      </c>
      <c r="S2115" s="7">
        <f>grand[[#This Row],[ carcass weight]]/grand[[#This Row],[received]]</f>
        <v>270.79473684210529</v>
      </c>
      <c r="T2115" s="7">
        <f>grand[[#This Row],[ kidneys fat quantity]]/grand[[#This Row],[received]]</f>
        <v>7.4736842105263159</v>
      </c>
      <c r="U2115">
        <v>24.423076923076923</v>
      </c>
      <c r="V2115">
        <v>0</v>
      </c>
      <c r="W2115">
        <v>45.884615384615387</v>
      </c>
      <c r="X2115">
        <v>10</v>
      </c>
      <c r="Y2115">
        <v>8.5</v>
      </c>
      <c r="Z2115" s="18">
        <f>grand[[#This Row],[av. Transportation loss]]/grand[[#This Row],[av.total weight]]</f>
        <v>0</v>
      </c>
      <c r="AA2115" s="18">
        <f>AVERAGE((grand[[#This Row],[am]]/25),(grand[[#This Row],[pm]]/50))</f>
        <v>0.9473076923076923</v>
      </c>
      <c r="AB2115" s="3">
        <f>grand[[#This Row],[ carcass weight]]/grand[[#This Row],[total weight]]</f>
        <v>0.59997667774473795</v>
      </c>
      <c r="AC2115" s="18">
        <f>SUM(grand[[#This Row],[am]:[meat transportation]])/100</f>
        <v>0.8880769230769231</v>
      </c>
      <c r="AJ2115" s="1">
        <v>7</v>
      </c>
      <c r="AK2115" s="1"/>
      <c r="AL2115" s="1"/>
    </row>
    <row r="2116" spans="1:38" hidden="1" x14ac:dyDescent="0.2">
      <c r="A2116" s="11">
        <v>45907</v>
      </c>
      <c r="B2116" s="53" t="s">
        <v>2304</v>
      </c>
      <c r="C2116" s="52" t="str">
        <f>IF(MID(B2116,4,2)="09","Ramadan",IF(AND(MID(B2116,4,2)="12",VALUE(LEFT(B2116,2))&lt;=9),"Adha Season","Normal"))</f>
        <v>Normal</v>
      </c>
      <c r="D2116" s="1" t="s">
        <v>45</v>
      </c>
      <c r="E2116" s="1" t="s">
        <v>483</v>
      </c>
      <c r="F2116" s="4" t="s">
        <v>280</v>
      </c>
      <c r="G2116" s="1">
        <v>65</v>
      </c>
      <c r="H2116" s="1">
        <v>64</v>
      </c>
      <c r="I2116" s="1">
        <f>grand[[#This Row],[number]]-grand[[#This Row],[received]]</f>
        <v>1</v>
      </c>
      <c r="J2116" s="30"/>
      <c r="K2116" s="2">
        <v>26950</v>
      </c>
      <c r="L2116" s="2">
        <v>26130</v>
      </c>
      <c r="M2116" s="2">
        <f>K2116-L2116</f>
        <v>820</v>
      </c>
      <c r="N2116" s="2">
        <v>16189.099999999997</v>
      </c>
      <c r="O2116" s="2">
        <v>518</v>
      </c>
      <c r="P2116" s="7">
        <f>grand[[#This Row],[total weight]]/grand[[#This Row],[received]]</f>
        <v>421.09375</v>
      </c>
      <c r="Q2116" s="7">
        <f>grand[[#This Row],[receiving weight]]/grand[[#This Row],[received]]</f>
        <v>408.28125</v>
      </c>
      <c r="R2116" s="7">
        <f>grand[[#This Row],[transportation loss ]]/grand[[#This Row],[received]]</f>
        <v>12.8125</v>
      </c>
      <c r="S2116" s="7">
        <f>grand[[#This Row],[ carcass weight]]/grand[[#This Row],[received]]</f>
        <v>252.95468749999995</v>
      </c>
      <c r="T2116" s="7">
        <f>grand[[#This Row],[ kidneys fat quantity]]/grand[[#This Row],[received]]</f>
        <v>8.09375</v>
      </c>
      <c r="U2116">
        <v>23.333333333333332</v>
      </c>
      <c r="V2116">
        <v>0</v>
      </c>
      <c r="W2116">
        <v>48.61904761904762</v>
      </c>
      <c r="X2116">
        <v>10</v>
      </c>
      <c r="Y2116">
        <v>8.5</v>
      </c>
      <c r="Z2116" s="18">
        <f>grand[[#This Row],[av. Transportation loss]]/grand[[#This Row],[av.total weight]]</f>
        <v>3.0426716141001856E-2</v>
      </c>
      <c r="AA2116" s="18">
        <f>AVERAGE((grand[[#This Row],[am]]/25),(grand[[#This Row],[pm]]/50))</f>
        <v>0.95285714285714285</v>
      </c>
      <c r="AB2116" s="3">
        <f>grand[[#This Row],[ carcass weight]]/grand[[#This Row],[total weight]]</f>
        <v>0.60070871985157692</v>
      </c>
      <c r="AC2116" s="18">
        <f>SUM(grand[[#This Row],[am]:[meat transportation]])/100</f>
        <v>0.90452380952380951</v>
      </c>
      <c r="AJ2116" s="1">
        <v>17</v>
      </c>
      <c r="AK2116" s="1"/>
      <c r="AL2116" s="1"/>
    </row>
    <row r="2117" spans="1:38" hidden="1" x14ac:dyDescent="0.2">
      <c r="A2117" s="11">
        <v>45911</v>
      </c>
      <c r="B2117" s="53" t="s">
        <v>2308</v>
      </c>
      <c r="C2117" s="52" t="str">
        <f>IF(MID(B2117,4,2)="09","Ramadan",IF(AND(MID(B2117,4,2)="12",VALUE(LEFT(B2117,2))&lt;=9),"Adha Season","Normal"))</f>
        <v>Normal</v>
      </c>
      <c r="D2117" s="1" t="s">
        <v>45</v>
      </c>
      <c r="E2117" s="1" t="s">
        <v>483</v>
      </c>
      <c r="F2117" s="4" t="s">
        <v>757</v>
      </c>
      <c r="G2117" s="1">
        <v>83</v>
      </c>
      <c r="H2117" s="1">
        <v>82</v>
      </c>
      <c r="I2117" s="1">
        <f>grand[[#This Row],[number]]-grand[[#This Row],[received]]</f>
        <v>1</v>
      </c>
      <c r="J2117" s="30"/>
      <c r="K2117" s="2">
        <v>39200</v>
      </c>
      <c r="L2117" s="2">
        <v>37950</v>
      </c>
      <c r="M2117" s="2">
        <f>K2117-L2117</f>
        <v>1250</v>
      </c>
      <c r="N2117" s="2">
        <v>23516.799999999999</v>
      </c>
      <c r="O2117" s="2">
        <v>835</v>
      </c>
      <c r="P2117" s="7">
        <f>grand[[#This Row],[total weight]]/grand[[#This Row],[received]]</f>
        <v>478.04878048780489</v>
      </c>
      <c r="Q2117" s="7">
        <f>grand[[#This Row],[receiving weight]]/grand[[#This Row],[received]]</f>
        <v>462.80487804878049</v>
      </c>
      <c r="R2117" s="7">
        <f>grand[[#This Row],[transportation loss ]]/grand[[#This Row],[received]]</f>
        <v>15.24390243902439</v>
      </c>
      <c r="S2117" s="7">
        <f>grand[[#This Row],[ carcass weight]]/grand[[#This Row],[received]]</f>
        <v>286.79024390243899</v>
      </c>
      <c r="T2117" s="7">
        <f>grand[[#This Row],[ kidneys fat quantity]]/grand[[#This Row],[received]]</f>
        <v>10.182926829268293</v>
      </c>
      <c r="U2117">
        <v>24.423076923076923</v>
      </c>
      <c r="V2117">
        <v>0</v>
      </c>
      <c r="W2117">
        <v>45.884615384615387</v>
      </c>
      <c r="X2117">
        <v>10</v>
      </c>
      <c r="Y2117" s="8">
        <v>10</v>
      </c>
      <c r="Z2117" s="18">
        <f>grand[[#This Row],[av. Transportation loss]]/grand[[#This Row],[av.total weight]]</f>
        <v>3.1887755102040817E-2</v>
      </c>
      <c r="AA2117" s="18">
        <f>AVERAGE((grand[[#This Row],[am]]/25),(grand[[#This Row],[pm]]/50))</f>
        <v>0.9473076923076923</v>
      </c>
      <c r="AB2117" s="3">
        <f>grand[[#This Row],[ carcass weight]]/grand[[#This Row],[total weight]]</f>
        <v>0.59991836734693871</v>
      </c>
      <c r="AC2117" s="18">
        <f>SUM(grand[[#This Row],[am]:[meat transportation]])/100</f>
        <v>0.90307692307692311</v>
      </c>
      <c r="AJ2117" s="1">
        <v>13</v>
      </c>
      <c r="AK2117" s="1"/>
      <c r="AL2117" s="1"/>
    </row>
    <row r="2118" spans="1:38" hidden="1" x14ac:dyDescent="0.2">
      <c r="A2118" s="11">
        <v>45913</v>
      </c>
      <c r="B2118" s="53" t="s">
        <v>2309</v>
      </c>
      <c r="C2118" s="52" t="str">
        <f>IF(MID(B2118,4,2)="09","Ramadan",IF(AND(MID(B2118,4,2)="12",VALUE(LEFT(B2118,2))&lt;=9),"Adha Season","Normal"))</f>
        <v>Normal</v>
      </c>
      <c r="D2118" s="1" t="s">
        <v>45</v>
      </c>
      <c r="E2118" s="1" t="s">
        <v>483</v>
      </c>
      <c r="F2118" s="4" t="s">
        <v>280</v>
      </c>
      <c r="G2118" s="1">
        <v>33</v>
      </c>
      <c r="H2118" s="1">
        <v>32</v>
      </c>
      <c r="I2118" s="1">
        <f>grand[[#This Row],[number]]-grand[[#This Row],[received]]</f>
        <v>1</v>
      </c>
      <c r="J2118" s="30"/>
      <c r="K2118" s="2">
        <v>14390</v>
      </c>
      <c r="L2118" s="2">
        <v>14315</v>
      </c>
      <c r="M2118" s="2">
        <f>K2118-L2118</f>
        <v>75</v>
      </c>
      <c r="N2118" s="2">
        <v>8642.2999999999993</v>
      </c>
      <c r="O2118" s="2">
        <v>221</v>
      </c>
      <c r="P2118" s="7">
        <f>grand[[#This Row],[total weight]]/grand[[#This Row],[received]]</f>
        <v>449.6875</v>
      </c>
      <c r="Q2118" s="7">
        <f>grand[[#This Row],[receiving weight]]/grand[[#This Row],[received]]</f>
        <v>447.34375</v>
      </c>
      <c r="R2118" s="7">
        <f>grand[[#This Row],[transportation loss ]]/grand[[#This Row],[received]]</f>
        <v>2.34375</v>
      </c>
      <c r="S2118" s="7">
        <f>grand[[#This Row],[ carcass weight]]/grand[[#This Row],[received]]</f>
        <v>270.07187499999998</v>
      </c>
      <c r="T2118" s="7">
        <f>grand[[#This Row],[ kidneys fat quantity]]/grand[[#This Row],[received]]</f>
        <v>6.90625</v>
      </c>
      <c r="U2118">
        <v>23.333333333333332</v>
      </c>
      <c r="V2118">
        <v>0</v>
      </c>
      <c r="W2118">
        <v>48.61904761904762</v>
      </c>
      <c r="X2118">
        <v>10</v>
      </c>
      <c r="Y2118">
        <v>8.5</v>
      </c>
      <c r="Z2118" s="18">
        <f>grand[[#This Row],[av. Transportation loss]]/grand[[#This Row],[av.total weight]]</f>
        <v>5.2119527449617786E-3</v>
      </c>
      <c r="AA2118" s="18">
        <f>AVERAGE((grand[[#This Row],[am]]/25),(grand[[#This Row],[pm]]/50))</f>
        <v>0.95285714285714285</v>
      </c>
      <c r="AB2118" s="3">
        <f>grand[[#This Row],[ carcass weight]]/grand[[#This Row],[total weight]]</f>
        <v>0.60057678943710902</v>
      </c>
      <c r="AC2118" s="18">
        <f>SUM(grand[[#This Row],[am]:[meat transportation]])/100</f>
        <v>0.90452380952380951</v>
      </c>
      <c r="AJ2118" s="1">
        <v>6</v>
      </c>
      <c r="AK2118" s="1"/>
      <c r="AL2118" s="1"/>
    </row>
    <row r="2119" spans="1:38" hidden="1" x14ac:dyDescent="0.2">
      <c r="A2119" s="11">
        <v>45915</v>
      </c>
      <c r="B2119" s="53" t="s">
        <v>2311</v>
      </c>
      <c r="C2119" s="52" t="str">
        <f>IF(MID(B2119,4,2)="09","Ramadan",IF(AND(MID(B2119,4,2)="12",VALUE(LEFT(B2119,2))&lt;=9),"Adha Season","Normal"))</f>
        <v>Normal</v>
      </c>
      <c r="D2119" s="1" t="s">
        <v>45</v>
      </c>
      <c r="E2119" s="1" t="s">
        <v>483</v>
      </c>
      <c r="F2119" s="4" t="s">
        <v>280</v>
      </c>
      <c r="G2119" s="1">
        <v>50</v>
      </c>
      <c r="H2119" s="1">
        <v>49</v>
      </c>
      <c r="I2119" s="1">
        <f>grand[[#This Row],[number]]-grand[[#This Row],[received]]</f>
        <v>1</v>
      </c>
      <c r="J2119" s="30"/>
      <c r="K2119" s="2">
        <v>22210</v>
      </c>
      <c r="L2119" s="2">
        <v>20985</v>
      </c>
      <c r="M2119" s="2">
        <f>K2119-L2119</f>
        <v>1225</v>
      </c>
      <c r="N2119" s="2">
        <v>13375.3</v>
      </c>
      <c r="O2119" s="2">
        <v>443</v>
      </c>
      <c r="P2119" s="7">
        <f>grand[[#This Row],[total weight]]/grand[[#This Row],[received]]</f>
        <v>453.26530612244898</v>
      </c>
      <c r="Q2119" s="7">
        <f>grand[[#This Row],[receiving weight]]/grand[[#This Row],[received]]</f>
        <v>428.26530612244898</v>
      </c>
      <c r="R2119" s="7">
        <f>grand[[#This Row],[transportation loss ]]/grand[[#This Row],[received]]</f>
        <v>25</v>
      </c>
      <c r="S2119" s="7">
        <f>grand[[#This Row],[ carcass weight]]/grand[[#This Row],[received]]</f>
        <v>272.96530612244896</v>
      </c>
      <c r="T2119" s="7">
        <f>grand[[#This Row],[ kidneys fat quantity]]/grand[[#This Row],[received]]</f>
        <v>9.0408163265306118</v>
      </c>
      <c r="U2119">
        <v>23.333333333333332</v>
      </c>
      <c r="V2119">
        <v>0</v>
      </c>
      <c r="W2119">
        <v>48.61904761904762</v>
      </c>
      <c r="X2119">
        <v>10</v>
      </c>
      <c r="Y2119">
        <v>8.5</v>
      </c>
      <c r="Z2119" s="18">
        <f>grand[[#This Row],[av. Transportation loss]]/grand[[#This Row],[av.total weight]]</f>
        <v>5.5155335434488972E-2</v>
      </c>
      <c r="AA2119" s="18">
        <f>AVERAGE((grand[[#This Row],[am]]/25),(grand[[#This Row],[pm]]/50))</f>
        <v>0.95285714285714285</v>
      </c>
      <c r="AB2119" s="3">
        <f>grand[[#This Row],[ carcass weight]]/grand[[#This Row],[total weight]]</f>
        <v>0.60221972084646558</v>
      </c>
      <c r="AC2119" s="18">
        <f>SUM(grand[[#This Row],[am]:[meat transportation]])/100</f>
        <v>0.90452380952380951</v>
      </c>
      <c r="AK2119" s="1"/>
      <c r="AL2119" s="1"/>
    </row>
    <row r="2120" spans="1:38" hidden="1" x14ac:dyDescent="0.2">
      <c r="A2120" s="11">
        <v>45921</v>
      </c>
      <c r="B2120" s="53" t="s">
        <v>2316</v>
      </c>
      <c r="C2120" s="52" t="str">
        <f>IF(MID(B2120,4,2)="09","Ramadan",IF(AND(MID(B2120,4,2)="12",VALUE(LEFT(B2120,2))&lt;=9),"Adha Season","Normal"))</f>
        <v>Normal</v>
      </c>
      <c r="D2120" s="1" t="s">
        <v>45</v>
      </c>
      <c r="E2120" s="1" t="s">
        <v>483</v>
      </c>
      <c r="F2120" s="4" t="s">
        <v>280</v>
      </c>
      <c r="G2120" s="1">
        <v>47</v>
      </c>
      <c r="H2120" s="1">
        <v>46</v>
      </c>
      <c r="I2120" s="1">
        <f>grand[[#This Row],[number]]-grand[[#This Row],[received]]</f>
        <v>1</v>
      </c>
      <c r="J2120" s="30"/>
      <c r="K2120" s="2">
        <v>20420</v>
      </c>
      <c r="L2120" s="2">
        <v>19570</v>
      </c>
      <c r="M2120" s="2">
        <f>K2120-L2120</f>
        <v>850</v>
      </c>
      <c r="N2120" s="2">
        <v>12280.799999999997</v>
      </c>
      <c r="O2120" s="2">
        <v>372</v>
      </c>
      <c r="P2120" s="7">
        <f>grand[[#This Row],[total weight]]/grand[[#This Row],[received]]</f>
        <v>443.91304347826087</v>
      </c>
      <c r="Q2120" s="7">
        <f>grand[[#This Row],[receiving weight]]/grand[[#This Row],[received]]</f>
        <v>425.43478260869563</v>
      </c>
      <c r="R2120" s="7">
        <f>grand[[#This Row],[transportation loss ]]/grand[[#This Row],[received]]</f>
        <v>18.478260869565219</v>
      </c>
      <c r="S2120" s="7">
        <f>grand[[#This Row],[ carcass weight]]/grand[[#This Row],[received]]</f>
        <v>266.97391304347821</v>
      </c>
      <c r="T2120" s="7">
        <f>grand[[#This Row],[ kidneys fat quantity]]/grand[[#This Row],[received]]</f>
        <v>8.0869565217391308</v>
      </c>
      <c r="U2120">
        <v>23.333333333333332</v>
      </c>
      <c r="V2120">
        <v>0</v>
      </c>
      <c r="W2120">
        <v>48.61904761904762</v>
      </c>
      <c r="X2120">
        <v>10</v>
      </c>
      <c r="Y2120">
        <v>8.5</v>
      </c>
      <c r="Z2120" s="18">
        <f>grand[[#This Row],[av. Transportation loss]]/grand[[#This Row],[av.total weight]]</f>
        <v>4.1625857002938298E-2</v>
      </c>
      <c r="AA2120" s="18">
        <f>AVERAGE((grand[[#This Row],[am]]/25),(grand[[#This Row],[pm]]/50))</f>
        <v>0.95285714285714285</v>
      </c>
      <c r="AB2120" s="3">
        <f>grand[[#This Row],[ carcass weight]]/grand[[#This Row],[total weight]]</f>
        <v>0.60141038197845242</v>
      </c>
      <c r="AC2120" s="18">
        <f>SUM(grand[[#This Row],[am]:[meat transportation]])/100</f>
        <v>0.90452380952380951</v>
      </c>
      <c r="AJ2120" s="1">
        <v>12</v>
      </c>
      <c r="AK2120" s="1"/>
      <c r="AL2120" s="1"/>
    </row>
    <row r="2121" spans="1:38" hidden="1" x14ac:dyDescent="0.2">
      <c r="A2121" s="11">
        <v>45922</v>
      </c>
      <c r="B2121" s="53" t="s">
        <v>2317</v>
      </c>
      <c r="C2121" s="52" t="str">
        <f>IF(MID(B2121,4,2)="09","Ramadan",IF(AND(MID(B2121,4,2)="12",VALUE(LEFT(B2121,2))&lt;=9),"Adha Season","Normal"))</f>
        <v>Normal</v>
      </c>
      <c r="D2121" s="1" t="s">
        <v>45</v>
      </c>
      <c r="E2121" s="1" t="s">
        <v>528</v>
      </c>
      <c r="F2121" s="4" t="s">
        <v>462</v>
      </c>
      <c r="G2121" s="1">
        <v>45</v>
      </c>
      <c r="H2121" s="1">
        <v>44</v>
      </c>
      <c r="I2121" s="1">
        <f>grand[[#This Row],[number]]-grand[[#This Row],[received]]</f>
        <v>1</v>
      </c>
      <c r="J2121" s="30"/>
      <c r="K2121" s="2">
        <v>21363.924050632912</v>
      </c>
      <c r="L2121" s="2">
        <v>21363.924050632912</v>
      </c>
      <c r="M2121" s="2">
        <f>K2121-L2121</f>
        <v>0</v>
      </c>
      <c r="N2121" s="2">
        <v>13502</v>
      </c>
      <c r="O2121" s="2"/>
      <c r="P2121" s="7">
        <f>grand[[#This Row],[total weight]]/grand[[#This Row],[received]]</f>
        <v>485.54372842347527</v>
      </c>
      <c r="Q2121" s="7">
        <f>grand[[#This Row],[receiving weight]]/grand[[#This Row],[received]]</f>
        <v>485.54372842347527</v>
      </c>
      <c r="R2121" s="7">
        <f>grand[[#This Row],[transportation loss ]]/grand[[#This Row],[received]]</f>
        <v>0</v>
      </c>
      <c r="S2121" s="7">
        <f>grand[[#This Row],[ carcass weight]]/grand[[#This Row],[received]]</f>
        <v>306.86363636363637</v>
      </c>
      <c r="T2121" s="7">
        <f>grand[[#This Row],[ kidneys fat quantity]]/grand[[#This Row],[received]]</f>
        <v>0</v>
      </c>
      <c r="U2121">
        <v>23.846153846153847</v>
      </c>
      <c r="V2121">
        <v>0</v>
      </c>
      <c r="W2121">
        <v>49.615384615384613</v>
      </c>
      <c r="X2121">
        <v>9.8076923076923066</v>
      </c>
      <c r="Y2121">
        <v>8.5</v>
      </c>
      <c r="Z2121" s="18">
        <f>grand[[#This Row],[av. Transportation loss]]/grand[[#This Row],[av.total weight]]</f>
        <v>0</v>
      </c>
      <c r="AA2121" s="18">
        <f>AVERAGE((grand[[#This Row],[am]]/25),(grand[[#This Row],[pm]]/50))</f>
        <v>0.97307692307692306</v>
      </c>
      <c r="AB2121" s="3">
        <f>grand[[#This Row],[ carcass weight]]/grand[[#This Row],[total weight]]</f>
        <v>0.63200000000000001</v>
      </c>
      <c r="AC2121" s="18">
        <f>SUM(grand[[#This Row],[am]:[meat transportation]])/100</f>
        <v>0.91769230769230759</v>
      </c>
      <c r="AJ2121" s="1">
        <v>14</v>
      </c>
      <c r="AK2121" s="1"/>
      <c r="AL2121" s="1"/>
    </row>
    <row r="2122" spans="1:38" hidden="1" x14ac:dyDescent="0.2">
      <c r="A2122" s="11">
        <v>45928</v>
      </c>
      <c r="B2122" s="53" t="s">
        <v>2322</v>
      </c>
      <c r="C2122" s="52" t="str">
        <f>IF(MID(B2122,4,2)="09","Ramadan",IF(AND(MID(B2122,4,2)="12",VALUE(LEFT(B2122,2))&lt;=9),"Adha Season","Normal"))</f>
        <v>Normal</v>
      </c>
      <c r="D2122" s="1" t="s">
        <v>45</v>
      </c>
      <c r="F2122" s="4" t="s">
        <v>280</v>
      </c>
      <c r="G2122" s="1">
        <v>61</v>
      </c>
      <c r="H2122" s="1">
        <v>60</v>
      </c>
      <c r="I2122" s="1">
        <f>grand[[#This Row],[number]]-grand[[#This Row],[received]]</f>
        <v>1</v>
      </c>
      <c r="J2122" s="30"/>
      <c r="K2122" s="2">
        <v>28140</v>
      </c>
      <c r="L2122" s="2">
        <v>27855</v>
      </c>
      <c r="M2122" s="2">
        <f>K2122-L2122</f>
        <v>285</v>
      </c>
      <c r="N2122" s="2">
        <v>16913.2</v>
      </c>
      <c r="O2122" s="2">
        <v>265</v>
      </c>
      <c r="P2122" s="7">
        <f>grand[[#This Row],[total weight]]/grand[[#This Row],[received]]</f>
        <v>469</v>
      </c>
      <c r="Q2122" s="7">
        <f>grand[[#This Row],[receiving weight]]/grand[[#This Row],[received]]</f>
        <v>464.25</v>
      </c>
      <c r="R2122" s="7">
        <f>grand[[#This Row],[transportation loss ]]/grand[[#This Row],[received]]</f>
        <v>4.75</v>
      </c>
      <c r="S2122" s="7">
        <f>grand[[#This Row],[ carcass weight]]/grand[[#This Row],[received]]</f>
        <v>281.88666666666666</v>
      </c>
      <c r="T2122" s="7">
        <f>grand[[#This Row],[ kidneys fat quantity]]/grand[[#This Row],[received]]</f>
        <v>4.416666666666667</v>
      </c>
      <c r="U2122">
        <v>23.333333333333332</v>
      </c>
      <c r="V2122">
        <v>0</v>
      </c>
      <c r="W2122">
        <v>48.61904761904762</v>
      </c>
      <c r="X2122">
        <v>10</v>
      </c>
      <c r="Y2122">
        <v>8.5</v>
      </c>
      <c r="Z2122" s="18">
        <f>grand[[#This Row],[av. Transportation loss]]/grand[[#This Row],[av.total weight]]</f>
        <v>1.0127931769722815E-2</v>
      </c>
      <c r="AA2122" s="18">
        <f>AVERAGE((grand[[#This Row],[am]]/25),(grand[[#This Row],[pm]]/50))</f>
        <v>0.95285714285714285</v>
      </c>
      <c r="AB2122" s="3">
        <f>grand[[#This Row],[ carcass weight]]/grand[[#This Row],[total weight]]</f>
        <v>0.60103766879886289</v>
      </c>
      <c r="AC2122" s="18">
        <f>SUM(grand[[#This Row],[am]:[meat transportation]])/100</f>
        <v>0.90452380952380951</v>
      </c>
      <c r="AJ2122" s="1">
        <v>21</v>
      </c>
      <c r="AK2122" s="1"/>
      <c r="AL2122" s="1"/>
    </row>
    <row r="2123" spans="1:38" hidden="1" x14ac:dyDescent="0.2">
      <c r="A2123" s="11">
        <v>45931</v>
      </c>
      <c r="B2123" s="53" t="s">
        <v>2325</v>
      </c>
      <c r="C2123" s="52" t="str">
        <f>IF(MID(B2123,4,2)="09","Ramadan",IF(AND(MID(B2123,4,2)="12",VALUE(LEFT(B2123,2))&lt;=9),"Adha Season","Normal"))</f>
        <v>Normal</v>
      </c>
      <c r="D2123" s="1" t="s">
        <v>45</v>
      </c>
      <c r="E2123" s="1" t="s">
        <v>809</v>
      </c>
      <c r="F2123" s="4" t="s">
        <v>46</v>
      </c>
      <c r="G2123" s="1">
        <v>25</v>
      </c>
      <c r="H2123" s="1">
        <v>24</v>
      </c>
      <c r="I2123" s="1">
        <f>grand[[#This Row],[number]]-grand[[#This Row],[received]]</f>
        <v>1</v>
      </c>
      <c r="J2123" s="30"/>
      <c r="K2123" s="2">
        <v>10515</v>
      </c>
      <c r="L2123" s="2">
        <v>10515</v>
      </c>
      <c r="M2123" s="2">
        <f>K2123-L2123</f>
        <v>0</v>
      </c>
      <c r="N2123" s="2">
        <v>6308.8</v>
      </c>
      <c r="O2123" s="2">
        <v>236</v>
      </c>
      <c r="P2123" s="7">
        <f>grand[[#This Row],[total weight]]/grand[[#This Row],[received]]</f>
        <v>438.125</v>
      </c>
      <c r="Q2123" s="7">
        <f>grand[[#This Row],[receiving weight]]/grand[[#This Row],[received]]</f>
        <v>438.125</v>
      </c>
      <c r="R2123" s="7">
        <f>grand[[#This Row],[transportation loss ]]/grand[[#This Row],[received]]</f>
        <v>0</v>
      </c>
      <c r="S2123" s="7">
        <f>grand[[#This Row],[ carcass weight]]/grand[[#This Row],[received]]</f>
        <v>262.86666666666667</v>
      </c>
      <c r="T2123" s="7">
        <f>grand[[#This Row],[ kidneys fat quantity]]/grand[[#This Row],[received]]</f>
        <v>9.8333333333333339</v>
      </c>
      <c r="U2123" s="1">
        <v>25</v>
      </c>
      <c r="V2123" s="1">
        <v>0</v>
      </c>
      <c r="W2123" s="1">
        <v>48.416666666666664</v>
      </c>
      <c r="X2123" s="1">
        <v>10</v>
      </c>
      <c r="Y2123" s="1">
        <v>8.5</v>
      </c>
      <c r="Z2123" s="18">
        <f>grand[[#This Row],[av. Transportation loss]]/grand[[#This Row],[av.total weight]]</f>
        <v>0</v>
      </c>
      <c r="AA2123" s="18">
        <f>AVERAGE((grand[[#This Row],[am]]/25),(grand[[#This Row],[pm]]/50))</f>
        <v>0.98416666666666663</v>
      </c>
      <c r="AB2123" s="3">
        <f>grand[[#This Row],[ carcass weight]]/grand[[#This Row],[total weight]]</f>
        <v>0.59998097955301954</v>
      </c>
      <c r="AC2123" s="18">
        <f>SUM(grand[[#This Row],[am]:[meat transportation]])/100</f>
        <v>0.91916666666666658</v>
      </c>
      <c r="AD2123" s="1" t="s">
        <v>781</v>
      </c>
      <c r="AJ2123" s="1">
        <v>5</v>
      </c>
      <c r="AK2123" s="1"/>
      <c r="AL2123" s="1"/>
    </row>
    <row r="2124" spans="1:38" hidden="1" x14ac:dyDescent="0.2">
      <c r="A2124" s="11">
        <v>45931</v>
      </c>
      <c r="B2124" s="53" t="s">
        <v>2325</v>
      </c>
      <c r="C2124" s="52" t="str">
        <f>IF(MID(B2124,4,2)="09","Ramadan",IF(AND(MID(B2124,4,2)="12",VALUE(LEFT(B2124,2))&lt;=9),"Adha Season","Normal"))</f>
        <v>Normal</v>
      </c>
      <c r="D2124" s="1" t="s">
        <v>45</v>
      </c>
      <c r="E2124" s="1" t="s">
        <v>809</v>
      </c>
      <c r="F2124" s="4" t="s">
        <v>746</v>
      </c>
      <c r="G2124" s="1">
        <v>24</v>
      </c>
      <c r="H2124" s="1">
        <v>23</v>
      </c>
      <c r="I2124" s="1">
        <f>grand[[#This Row],[number]]-grand[[#This Row],[received]]</f>
        <v>1</v>
      </c>
      <c r="J2124" s="30"/>
      <c r="K2124" s="2">
        <v>12070</v>
      </c>
      <c r="L2124" s="2">
        <v>11715</v>
      </c>
      <c r="M2124" s="2">
        <f>K2124-L2124</f>
        <v>355</v>
      </c>
      <c r="N2124" s="2">
        <v>7242.1</v>
      </c>
      <c r="O2124" s="2">
        <v>274</v>
      </c>
      <c r="P2124" s="7">
        <f>grand[[#This Row],[total weight]]/grand[[#This Row],[received]]</f>
        <v>524.78260869565213</v>
      </c>
      <c r="Q2124" s="7">
        <f>grand[[#This Row],[receiving weight]]/grand[[#This Row],[received]]</f>
        <v>509.3478260869565</v>
      </c>
      <c r="R2124" s="7">
        <f>grand[[#This Row],[transportation loss ]]/grand[[#This Row],[received]]</f>
        <v>15.434782608695652</v>
      </c>
      <c r="S2124" s="7">
        <f>grand[[#This Row],[ carcass weight]]/grand[[#This Row],[received]]</f>
        <v>314.8739130434783</v>
      </c>
      <c r="T2124" s="7">
        <f>grand[[#This Row],[ kidneys fat quantity]]/grand[[#This Row],[received]]</f>
        <v>11.913043478260869</v>
      </c>
      <c r="U2124" s="1">
        <v>23.260869565217391</v>
      </c>
      <c r="V2124" s="1">
        <v>0</v>
      </c>
      <c r="W2124" s="1">
        <v>43.521739130434781</v>
      </c>
      <c r="X2124" s="1">
        <v>10</v>
      </c>
      <c r="Y2124" s="1">
        <v>8.5</v>
      </c>
      <c r="Z2124" s="18">
        <f>grand[[#This Row],[av. Transportation loss]]/grand[[#This Row],[av.total weight]]</f>
        <v>2.9411764705882356E-2</v>
      </c>
      <c r="AA2124" s="18">
        <f>AVERAGE((grand[[#This Row],[am]]/25),(grand[[#This Row],[pm]]/50))</f>
        <v>0.90043478260869558</v>
      </c>
      <c r="AB2124" s="3">
        <f>grand[[#This Row],[ carcass weight]]/grand[[#This Row],[total weight]]</f>
        <v>0.60000828500414249</v>
      </c>
      <c r="AC2124" s="18">
        <f>SUM(grand[[#This Row],[am]:[meat transportation]])/100</f>
        <v>0.85282608695652173</v>
      </c>
      <c r="AD2124" s="1" t="s">
        <v>427</v>
      </c>
      <c r="AJ2124" s="1">
        <v>23</v>
      </c>
      <c r="AK2124" s="1"/>
      <c r="AL2124" s="1"/>
    </row>
    <row r="2125" spans="1:38" hidden="1" x14ac:dyDescent="0.2">
      <c r="A2125" s="11">
        <v>45936</v>
      </c>
      <c r="B2125" s="53" t="s">
        <v>2329</v>
      </c>
      <c r="C2125" s="52" t="str">
        <f>IF(MID(B2125,4,2)="09","Ramadan",IF(AND(MID(B2125,4,2)="12",VALUE(LEFT(B2125,2))&lt;=9),"Adha Season","Normal"))</f>
        <v>Normal</v>
      </c>
      <c r="D2125" s="2" t="s">
        <v>294</v>
      </c>
      <c r="F2125" s="4" t="s">
        <v>749</v>
      </c>
      <c r="G2125" s="1">
        <v>50</v>
      </c>
      <c r="H2125" s="1">
        <v>49</v>
      </c>
      <c r="I2125" s="1">
        <f>grand[[#This Row],[number]]-grand[[#This Row],[received]]</f>
        <v>1</v>
      </c>
      <c r="J2125" s="30"/>
      <c r="K2125" s="2">
        <v>2299</v>
      </c>
      <c r="L2125" s="2">
        <v>2299</v>
      </c>
      <c r="M2125" s="2">
        <f>K2125-L2125</f>
        <v>0</v>
      </c>
      <c r="N2125" s="2">
        <v>1309.9000000000001</v>
      </c>
      <c r="O2125" s="2">
        <v>0</v>
      </c>
      <c r="P2125" s="7">
        <f>grand[[#This Row],[total weight]]/grand[[#This Row],[received]]</f>
        <v>46.918367346938773</v>
      </c>
      <c r="Q2125" s="7">
        <f>grand[[#This Row],[receiving weight]]/grand[[#This Row],[received]]</f>
        <v>46.918367346938773</v>
      </c>
      <c r="R2125" s="7">
        <f>grand[[#This Row],[transportation loss ]]/grand[[#This Row],[received]]</f>
        <v>0</v>
      </c>
      <c r="S2125" s="7">
        <f>grand[[#This Row],[ carcass weight]]/grand[[#This Row],[received]]</f>
        <v>26.732653061224493</v>
      </c>
      <c r="T2125" s="7">
        <f>grand[[#This Row],[ kidneys fat quantity]]/grand[[#This Row],[received]]</f>
        <v>0</v>
      </c>
      <c r="U2125" s="1">
        <v>25</v>
      </c>
      <c r="V2125" s="1">
        <v>0</v>
      </c>
      <c r="W2125" s="1">
        <v>49.857142857142854</v>
      </c>
      <c r="X2125" s="1">
        <v>10</v>
      </c>
      <c r="Y2125" s="1">
        <v>8.5</v>
      </c>
      <c r="Z2125" s="18">
        <f>grand[[#This Row],[av. Transportation loss]]/grand[[#This Row],[av.total weight]]</f>
        <v>0</v>
      </c>
      <c r="AA2125" s="18">
        <f>AVERAGE((grand[[#This Row],[am]]/25),(grand[[#This Row],[pm]]/50))</f>
        <v>0.99857142857142855</v>
      </c>
      <c r="AB2125" s="3">
        <f>grand[[#This Row],[ carcass weight]]/grand[[#This Row],[total weight]]</f>
        <v>0.56976946498477599</v>
      </c>
      <c r="AC2125" s="18">
        <f>SUM(grand[[#This Row],[am]:[meat transportation]])/100</f>
        <v>0.93357142857142861</v>
      </c>
      <c r="AD2125" s="1" t="s">
        <v>81</v>
      </c>
      <c r="AJ2125" s="1">
        <v>0</v>
      </c>
      <c r="AK2125" s="1"/>
      <c r="AL2125" s="1"/>
    </row>
    <row r="2126" spans="1:38" hidden="1" x14ac:dyDescent="0.2">
      <c r="A2126" s="11">
        <v>45942</v>
      </c>
      <c r="B2126" s="53" t="s">
        <v>2334</v>
      </c>
      <c r="C2126" s="52" t="str">
        <f>IF(MID(B2126,4,2)="09","Ramadan",IF(AND(MID(B2126,4,2)="12",VALUE(LEFT(B2126,2))&lt;=9),"Adha Season","Normal"))</f>
        <v>Normal</v>
      </c>
      <c r="D2126" s="1" t="s">
        <v>45</v>
      </c>
      <c r="E2126" s="1" t="s">
        <v>528</v>
      </c>
      <c r="F2126" s="4" t="s">
        <v>770</v>
      </c>
      <c r="G2126" s="1">
        <v>43</v>
      </c>
      <c r="H2126" s="1">
        <v>42</v>
      </c>
      <c r="I2126" s="1">
        <f>grand[[#This Row],[number]]-grand[[#This Row],[received]]</f>
        <v>1</v>
      </c>
      <c r="J2126" s="30"/>
      <c r="K2126" s="2">
        <f>grand[[#This Row],[ carcass weight]]*100/63.2</f>
        <v>21523.417721518985</v>
      </c>
      <c r="L2126" s="2">
        <f>grand[[#This Row],[total weight]]</f>
        <v>21523.417721518985</v>
      </c>
      <c r="M2126" s="2">
        <f>K2126-L2126</f>
        <v>0</v>
      </c>
      <c r="N2126" s="2">
        <v>13602.8</v>
      </c>
      <c r="O2126" s="2">
        <v>0</v>
      </c>
      <c r="P2126" s="7">
        <f>grand[[#This Row],[total weight]]/grand[[#This Row],[received]]</f>
        <v>512.46232670283302</v>
      </c>
      <c r="Q2126" s="7">
        <f>grand[[#This Row],[receiving weight]]/grand[[#This Row],[received]]</f>
        <v>512.46232670283302</v>
      </c>
      <c r="R2126" s="7">
        <f>grand[[#This Row],[transportation loss ]]/grand[[#This Row],[received]]</f>
        <v>0</v>
      </c>
      <c r="S2126" s="7">
        <f>grand[[#This Row],[ carcass weight]]/grand[[#This Row],[received]]</f>
        <v>323.87619047619046</v>
      </c>
      <c r="T2126" s="7">
        <f>grand[[#This Row],[ kidneys fat quantity]]/grand[[#This Row],[received]]</f>
        <v>0</v>
      </c>
      <c r="U2126" s="1">
        <v>25</v>
      </c>
      <c r="V2126" s="1">
        <v>0</v>
      </c>
      <c r="W2126" s="1">
        <v>50</v>
      </c>
      <c r="X2126" s="1">
        <v>10</v>
      </c>
      <c r="Y2126" s="1">
        <v>8.5</v>
      </c>
      <c r="Z2126" s="18">
        <f>grand[[#This Row],[av. Transportation loss]]/grand[[#This Row],[av.total weight]]</f>
        <v>0</v>
      </c>
      <c r="AA2126" s="18">
        <f>AVERAGE((grand[[#This Row],[am]]/25),(grand[[#This Row],[pm]]/50))</f>
        <v>1</v>
      </c>
      <c r="AB2126" s="3">
        <f>grand[[#This Row],[ carcass weight]]/grand[[#This Row],[total weight]]</f>
        <v>0.63200000000000001</v>
      </c>
      <c r="AC2126" s="18">
        <f>SUM(grand[[#This Row],[am]:[meat transportation]])/100</f>
        <v>0.93500000000000005</v>
      </c>
      <c r="AK2126" s="1"/>
      <c r="AL2126" s="1"/>
    </row>
    <row r="2127" spans="1:38" hidden="1" x14ac:dyDescent="0.2">
      <c r="A2127" s="11">
        <v>45949</v>
      </c>
      <c r="B2127" s="53" t="s">
        <v>2340</v>
      </c>
      <c r="C2127" s="52" t="str">
        <f>IF(MID(B2127,4,2)="09","Ramadan",IF(AND(MID(B2127,4,2)="12",VALUE(LEFT(B2127,2))&lt;=9),"Adha Season","Normal"))</f>
        <v>Normal</v>
      </c>
      <c r="D2127" s="1" t="s">
        <v>45</v>
      </c>
      <c r="E2127" s="1" t="s">
        <v>809</v>
      </c>
      <c r="F2127" s="4" t="s">
        <v>576</v>
      </c>
      <c r="G2127" s="1">
        <v>50</v>
      </c>
      <c r="H2127" s="1">
        <v>49</v>
      </c>
      <c r="I2127" s="1">
        <f>grand[[#This Row],[number]]-grand[[#This Row],[received]]</f>
        <v>1</v>
      </c>
      <c r="J2127" s="30"/>
      <c r="K2127" s="2">
        <v>23931</v>
      </c>
      <c r="L2127" s="2">
        <v>23931</v>
      </c>
      <c r="M2127" s="2">
        <f>K2127-L2127</f>
        <v>0</v>
      </c>
      <c r="N2127" s="2">
        <v>15050.4</v>
      </c>
      <c r="O2127" s="2">
        <v>371</v>
      </c>
      <c r="P2127" s="7">
        <f>grand[[#This Row],[total weight]]/grand[[#This Row],[received]]</f>
        <v>488.38775510204084</v>
      </c>
      <c r="Q2127" s="7">
        <f>grand[[#This Row],[receiving weight]]/grand[[#This Row],[received]]</f>
        <v>488.38775510204084</v>
      </c>
      <c r="R2127" s="7">
        <f>grand[[#This Row],[transportation loss ]]/grand[[#This Row],[received]]</f>
        <v>0</v>
      </c>
      <c r="S2127" s="7">
        <f>grand[[#This Row],[ carcass weight]]/grand[[#This Row],[received]]</f>
        <v>307.15102040816328</v>
      </c>
      <c r="T2127" s="7">
        <f>grand[[#This Row],[ kidneys fat quantity]]/grand[[#This Row],[received]]</f>
        <v>7.5714285714285712</v>
      </c>
      <c r="U2127" s="1">
        <v>25</v>
      </c>
      <c r="V2127" s="1">
        <v>0</v>
      </c>
      <c r="W2127" s="1">
        <v>48.040816326530617</v>
      </c>
      <c r="X2127" s="1">
        <v>10</v>
      </c>
      <c r="Y2127" s="1">
        <v>8.5</v>
      </c>
      <c r="Z2127" s="18">
        <f>grand[[#This Row],[av. Transportation loss]]/grand[[#This Row],[av.total weight]]</f>
        <v>0</v>
      </c>
      <c r="AA2127" s="18">
        <f>AVERAGE((grand[[#This Row],[am]]/25),(grand[[#This Row],[pm]]/50))</f>
        <v>0.98040816326530611</v>
      </c>
      <c r="AB2127" s="3">
        <f>grand[[#This Row],[ carcass weight]]/grand[[#This Row],[total weight]]</f>
        <v>0.62890811081860343</v>
      </c>
      <c r="AC2127" s="18">
        <f>SUM(grand[[#This Row],[am]:[meat transportation]])/100</f>
        <v>0.91540816326530616</v>
      </c>
      <c r="AD2127" s="1" t="s">
        <v>790</v>
      </c>
      <c r="AJ2127" s="1">
        <v>19</v>
      </c>
      <c r="AK2127" s="1"/>
      <c r="AL2127" s="1"/>
    </row>
    <row r="2128" spans="1:38" hidden="1" x14ac:dyDescent="0.2">
      <c r="A2128" s="11">
        <v>45955</v>
      </c>
      <c r="B2128" s="53" t="s">
        <v>2345</v>
      </c>
      <c r="C2128" s="52" t="str">
        <f>IF(MID(B2128,4,2)="09","Ramadan",IF(AND(MID(B2128,4,2)="12",VALUE(LEFT(B2128,2))&lt;=9),"Adha Season","Normal"))</f>
        <v>Normal</v>
      </c>
      <c r="D2128" s="2" t="s">
        <v>294</v>
      </c>
      <c r="F2128" s="4" t="s">
        <v>800</v>
      </c>
      <c r="G2128" s="1">
        <v>44</v>
      </c>
      <c r="H2128" s="1">
        <v>43</v>
      </c>
      <c r="I2128" s="1">
        <f>grand[[#This Row],[number]]-grand[[#This Row],[received]]</f>
        <v>1</v>
      </c>
      <c r="J2128" s="30"/>
      <c r="K2128" s="2">
        <v>2177</v>
      </c>
      <c r="L2128" s="2">
        <v>2177</v>
      </c>
      <c r="M2128" s="2">
        <f>K2128-L2128</f>
        <v>0</v>
      </c>
      <c r="N2128" s="2">
        <v>1249.9000000000001</v>
      </c>
      <c r="O2128" s="2">
        <v>0</v>
      </c>
      <c r="P2128" s="7">
        <f>grand[[#This Row],[total weight]]/grand[[#This Row],[received]]</f>
        <v>50.627906976744185</v>
      </c>
      <c r="Q2128" s="7">
        <f>grand[[#This Row],[receiving weight]]/grand[[#This Row],[received]]</f>
        <v>50.627906976744185</v>
      </c>
      <c r="R2128" s="7">
        <f>grand[[#This Row],[transportation loss ]]/grand[[#This Row],[received]]</f>
        <v>0</v>
      </c>
      <c r="S2128" s="7">
        <f>grand[[#This Row],[ carcass weight]]/grand[[#This Row],[received]]</f>
        <v>29.06744186046512</v>
      </c>
      <c r="T2128" s="7">
        <f>grand[[#This Row],[ kidneys fat quantity]]/grand[[#This Row],[received]]</f>
        <v>0</v>
      </c>
      <c r="U2128" s="1">
        <v>25</v>
      </c>
      <c r="V2128" s="1">
        <v>0</v>
      </c>
      <c r="W2128" s="1">
        <v>47.651162790697683</v>
      </c>
      <c r="X2128" s="1">
        <v>10</v>
      </c>
      <c r="Y2128" s="1">
        <v>8.5</v>
      </c>
      <c r="Z2128" s="18">
        <f>grand[[#This Row],[av. Transportation loss]]/grand[[#This Row],[av.total weight]]</f>
        <v>0</v>
      </c>
      <c r="AA2128" s="18">
        <f>AVERAGE((grand[[#This Row],[am]]/25),(grand[[#This Row],[pm]]/50))</f>
        <v>0.97651162790697676</v>
      </c>
      <c r="AB2128" s="3">
        <f>grand[[#This Row],[ carcass weight]]/grand[[#This Row],[total weight]]</f>
        <v>0.57413872301332114</v>
      </c>
      <c r="AC2128" s="18">
        <f>SUM(grand[[#This Row],[am]:[meat transportation]])/100</f>
        <v>0.91151162790697682</v>
      </c>
      <c r="AD2128" s="1" t="s">
        <v>801</v>
      </c>
      <c r="AJ2128" s="1">
        <v>0</v>
      </c>
      <c r="AK2128" s="1"/>
      <c r="AL2128" s="1"/>
    </row>
    <row r="2129" spans="1:38" hidden="1" x14ac:dyDescent="0.2">
      <c r="A2129" s="11">
        <v>45956</v>
      </c>
      <c r="B2129" s="53" t="s">
        <v>2346</v>
      </c>
      <c r="C2129" s="52" t="str">
        <f>IF(MID(B2129,4,2)="09","Ramadan",IF(AND(MID(B2129,4,2)="12",VALUE(LEFT(B2129,2))&lt;=9),"Adha Season","Normal"))</f>
        <v>Normal</v>
      </c>
      <c r="D2129" s="1" t="s">
        <v>45</v>
      </c>
      <c r="E2129" s="1" t="s">
        <v>528</v>
      </c>
      <c r="F2129" s="4" t="s">
        <v>770</v>
      </c>
      <c r="G2129" s="1">
        <v>50</v>
      </c>
      <c r="H2129" s="1">
        <v>49</v>
      </c>
      <c r="I2129" s="1">
        <f>grand[[#This Row],[number]]-grand[[#This Row],[received]]</f>
        <v>1</v>
      </c>
      <c r="J2129" s="30"/>
      <c r="K2129" s="2">
        <f>grand[[#This Row],[ carcass weight]]*100/63.2</f>
        <v>25115.506329113923</v>
      </c>
      <c r="L2129" s="2">
        <f>grand[[#This Row],[total weight]]</f>
        <v>25115.506329113923</v>
      </c>
      <c r="M2129" s="2">
        <f>K2129-L2129</f>
        <v>0</v>
      </c>
      <c r="N2129" s="2">
        <v>15873</v>
      </c>
      <c r="O2129" s="2">
        <v>0</v>
      </c>
      <c r="P2129" s="7">
        <f>grand[[#This Row],[total weight]]/grand[[#This Row],[received]]</f>
        <v>512.56135365538614</v>
      </c>
      <c r="Q2129" s="7">
        <f>grand[[#This Row],[receiving weight]]/grand[[#This Row],[received]]</f>
        <v>512.56135365538614</v>
      </c>
      <c r="R2129" s="7">
        <f>grand[[#This Row],[transportation loss ]]/grand[[#This Row],[received]]</f>
        <v>0</v>
      </c>
      <c r="S2129" s="7">
        <f>grand[[#This Row],[ carcass weight]]/grand[[#This Row],[received]]</f>
        <v>323.9387755102041</v>
      </c>
      <c r="T2129" s="7">
        <f>grand[[#This Row],[ kidneys fat quantity]]/grand[[#This Row],[received]]</f>
        <v>0</v>
      </c>
      <c r="U2129" s="1">
        <v>25</v>
      </c>
      <c r="V2129" s="1">
        <v>0</v>
      </c>
      <c r="W2129" s="1">
        <v>49.714285714285722</v>
      </c>
      <c r="X2129" s="1">
        <v>10</v>
      </c>
      <c r="Y2129" s="1">
        <v>8.5</v>
      </c>
      <c r="Z2129" s="18">
        <f>grand[[#This Row],[av. Transportation loss]]/grand[[#This Row],[av.total weight]]</f>
        <v>0</v>
      </c>
      <c r="AA2129" s="18">
        <f>AVERAGE((grand[[#This Row],[am]]/25),(grand[[#This Row],[pm]]/50))</f>
        <v>0.99714285714285722</v>
      </c>
      <c r="AB2129" s="3">
        <f>grand[[#This Row],[ carcass weight]]/grand[[#This Row],[total weight]]</f>
        <v>0.63200000000000001</v>
      </c>
      <c r="AC2129" s="18">
        <f>SUM(grand[[#This Row],[am]:[meat transportation]])/100</f>
        <v>0.93214285714285727</v>
      </c>
      <c r="AD2129" s="1" t="s">
        <v>71</v>
      </c>
      <c r="AK2129" s="1"/>
      <c r="AL2129" s="1"/>
    </row>
    <row r="2130" spans="1:38" hidden="1" x14ac:dyDescent="0.2">
      <c r="A2130" s="11">
        <v>45958</v>
      </c>
      <c r="B2130" s="53" t="s">
        <v>2348</v>
      </c>
      <c r="C2130" s="52" t="str">
        <f>IF(MID(B2130,4,2)="09","Ramadan",IF(AND(MID(B2130,4,2)="12",VALUE(LEFT(B2130,2))&lt;=9),"Adha Season","Normal"))</f>
        <v>Normal</v>
      </c>
      <c r="D2130" s="1" t="s">
        <v>45</v>
      </c>
      <c r="E2130" s="1" t="s">
        <v>809</v>
      </c>
      <c r="F2130" s="4" t="s">
        <v>746</v>
      </c>
      <c r="G2130" s="1">
        <v>48</v>
      </c>
      <c r="H2130" s="1">
        <v>47</v>
      </c>
      <c r="I2130" s="1">
        <f>grand[[#This Row],[number]]-grand[[#This Row],[received]]</f>
        <v>1</v>
      </c>
      <c r="J2130" s="30"/>
      <c r="K2130" s="2">
        <v>22860</v>
      </c>
      <c r="L2130" s="2">
        <v>22565</v>
      </c>
      <c r="M2130" s="2">
        <f>K2130-L2130</f>
        <v>295</v>
      </c>
      <c r="N2130" s="2">
        <v>13807.6</v>
      </c>
      <c r="O2130" s="2">
        <v>478</v>
      </c>
      <c r="P2130" s="7">
        <f>grand[[#This Row],[total weight]]/grand[[#This Row],[received]]</f>
        <v>486.38297872340428</v>
      </c>
      <c r="Q2130" s="7">
        <f>grand[[#This Row],[receiving weight]]/grand[[#This Row],[received]]</f>
        <v>480.10638297872339</v>
      </c>
      <c r="R2130" s="7">
        <f>grand[[#This Row],[transportation loss ]]/grand[[#This Row],[received]]</f>
        <v>6.2765957446808507</v>
      </c>
      <c r="S2130" s="7">
        <f>grand[[#This Row],[ carcass weight]]/grand[[#This Row],[received]]</f>
        <v>293.77872340425535</v>
      </c>
      <c r="T2130" s="7">
        <f>grand[[#This Row],[ kidneys fat quantity]]/grand[[#This Row],[received]]</f>
        <v>10.170212765957446</v>
      </c>
      <c r="U2130" s="1">
        <v>24.680851063829788</v>
      </c>
      <c r="V2130" s="1">
        <v>0</v>
      </c>
      <c r="W2130" s="1">
        <v>48.659574468085104</v>
      </c>
      <c r="X2130" s="1">
        <v>10</v>
      </c>
      <c r="Y2130" s="1">
        <v>8.5</v>
      </c>
      <c r="Z2130" s="18">
        <f>grand[[#This Row],[av. Transportation loss]]/grand[[#This Row],[av.total weight]]</f>
        <v>1.2904636920384951E-2</v>
      </c>
      <c r="AA2130" s="18">
        <f>AVERAGE((grand[[#This Row],[am]]/25),(grand[[#This Row],[pm]]/50))</f>
        <v>0.98021276595744689</v>
      </c>
      <c r="AB2130" s="3">
        <f>grand[[#This Row],[ carcass weight]]/grand[[#This Row],[total weight]]</f>
        <v>0.60400699912510936</v>
      </c>
      <c r="AC2130" s="18">
        <f>SUM(grand[[#This Row],[am]:[meat transportation]])/100</f>
        <v>0.91840425531914893</v>
      </c>
      <c r="AD2130" s="1" t="s">
        <v>257</v>
      </c>
      <c r="AJ2130" s="1">
        <v>21</v>
      </c>
      <c r="AK2130" s="1"/>
      <c r="AL2130" s="1"/>
    </row>
    <row r="2131" spans="1:38" hidden="1" x14ac:dyDescent="0.2">
      <c r="A2131" s="11">
        <v>45959</v>
      </c>
      <c r="B2131" s="53" t="s">
        <v>2349</v>
      </c>
      <c r="C2131" s="52" t="str">
        <f>IF(MID(B2131,4,2)="09","Ramadan",IF(AND(MID(B2131,4,2)="12",VALUE(LEFT(B2131,2))&lt;=9),"Adha Season","Normal"))</f>
        <v>Normal</v>
      </c>
      <c r="D2131" s="1" t="s">
        <v>45</v>
      </c>
      <c r="E2131" s="1" t="s">
        <v>809</v>
      </c>
      <c r="F2131" s="4" t="s">
        <v>165</v>
      </c>
      <c r="G2131" s="1">
        <v>65</v>
      </c>
      <c r="H2131" s="1">
        <v>64</v>
      </c>
      <c r="I2131" s="1">
        <f>grand[[#This Row],[number]]-grand[[#This Row],[received]]</f>
        <v>1</v>
      </c>
      <c r="J2131" s="30"/>
      <c r="K2131" s="2">
        <v>31680</v>
      </c>
      <c r="L2131" s="2">
        <v>30885</v>
      </c>
      <c r="M2131" s="2">
        <f>K2131-L2131</f>
        <v>795</v>
      </c>
      <c r="N2131" s="2">
        <v>19094.599999999999</v>
      </c>
      <c r="O2131" s="2">
        <v>586</v>
      </c>
      <c r="P2131" s="7">
        <f>grand[[#This Row],[total weight]]/grand[[#This Row],[received]]</f>
        <v>495</v>
      </c>
      <c r="Q2131" s="7">
        <f>grand[[#This Row],[receiving weight]]/grand[[#This Row],[received]]</f>
        <v>482.578125</v>
      </c>
      <c r="R2131" s="7">
        <f>grand[[#This Row],[transportation loss ]]/grand[[#This Row],[received]]</f>
        <v>12.421875</v>
      </c>
      <c r="S2131" s="7">
        <f>grand[[#This Row],[ carcass weight]]/grand[[#This Row],[received]]</f>
        <v>298.35312499999998</v>
      </c>
      <c r="T2131" s="7">
        <f>grand[[#This Row],[ kidneys fat quantity]]/grand[[#This Row],[received]]</f>
        <v>9.15625</v>
      </c>
      <c r="U2131" s="1">
        <v>25</v>
      </c>
      <c r="V2131" s="1">
        <v>0</v>
      </c>
      <c r="W2131" s="1">
        <v>46.765625</v>
      </c>
      <c r="X2131" s="1">
        <v>10</v>
      </c>
      <c r="Y2131" s="1">
        <v>8.5</v>
      </c>
      <c r="Z2131" s="18">
        <f>grand[[#This Row],[av. Transportation loss]]/grand[[#This Row],[av.total weight]]</f>
        <v>2.5094696969696968E-2</v>
      </c>
      <c r="AA2131" s="18">
        <f>AVERAGE((grand[[#This Row],[am]]/25),(grand[[#This Row],[pm]]/50))</f>
        <v>0.96765625</v>
      </c>
      <c r="AB2131" s="3">
        <f>grand[[#This Row],[ carcass weight]]/grand[[#This Row],[total weight]]</f>
        <v>0.60273358585858583</v>
      </c>
      <c r="AC2131" s="18">
        <f>SUM(grand[[#This Row],[am]:[meat transportation]])/100</f>
        <v>0.90265625000000005</v>
      </c>
      <c r="AD2131" s="1" t="s">
        <v>804</v>
      </c>
      <c r="AJ2131" s="1">
        <v>35</v>
      </c>
      <c r="AK2131" s="1"/>
      <c r="AL2131" s="1"/>
    </row>
    <row r="2132" spans="1:38" hidden="1" x14ac:dyDescent="0.2">
      <c r="A2132" s="11">
        <v>45963</v>
      </c>
      <c r="B2132" s="53" t="s">
        <v>2351</v>
      </c>
      <c r="C2132" s="52" t="str">
        <f>IF(MID(B2132,4,2)="09","Ramadan",IF(AND(MID(B2132,4,2)="12",VALUE(LEFT(B2132,2))&lt;=9),"Adha Season","Normal"))</f>
        <v>Normal</v>
      </c>
      <c r="D2132" s="1" t="s">
        <v>45</v>
      </c>
      <c r="E2132" s="1" t="s">
        <v>483</v>
      </c>
      <c r="F2132" s="4" t="s">
        <v>46</v>
      </c>
      <c r="G2132" s="1">
        <v>36</v>
      </c>
      <c r="H2132">
        <v>35</v>
      </c>
      <c r="I2132">
        <f>grand[[#This Row],[number]]-grand[[#This Row],[received]]</f>
        <v>1</v>
      </c>
      <c r="J2132" s="30"/>
      <c r="K2132" s="2">
        <v>16360</v>
      </c>
      <c r="L2132" s="2">
        <v>16360</v>
      </c>
      <c r="M2132" s="2">
        <f>K2132-L2132</f>
        <v>0</v>
      </c>
      <c r="N2132" s="2">
        <v>9816.2000000000007</v>
      </c>
      <c r="O2132" s="2">
        <v>365</v>
      </c>
      <c r="P2132" s="7">
        <f>grand[[#This Row],[total weight]]/grand[[#This Row],[received]]</f>
        <v>467.42857142857144</v>
      </c>
      <c r="Q2132" s="7">
        <f>grand[[#This Row],[receiving weight]]/grand[[#This Row],[received]]</f>
        <v>467.42857142857144</v>
      </c>
      <c r="R2132" s="7">
        <f>grand[[#This Row],[transportation loss ]]/grand[[#This Row],[received]]</f>
        <v>0</v>
      </c>
      <c r="S2132" s="7">
        <f>grand[[#This Row],[ carcass weight]]/grand[[#This Row],[received]]</f>
        <v>280.46285714285716</v>
      </c>
      <c r="T2132" s="7">
        <f>grand[[#This Row],[ kidneys fat quantity]]/grand[[#This Row],[received]]</f>
        <v>10.428571428571429</v>
      </c>
      <c r="U2132">
        <v>25</v>
      </c>
      <c r="V2132">
        <v>0</v>
      </c>
      <c r="W2132">
        <v>45.8</v>
      </c>
      <c r="X2132">
        <v>10</v>
      </c>
      <c r="Y2132" s="1">
        <v>8.5</v>
      </c>
      <c r="Z2132" s="18">
        <f>grand[[#This Row],[av. Transportation loss]]/grand[[#This Row],[av.total weight]]</f>
        <v>0</v>
      </c>
      <c r="AA2132" s="18">
        <f>AVERAGE((grand[[#This Row],[am]]/25),(grand[[#This Row],[pm]]/50))</f>
        <v>0.95799999999999996</v>
      </c>
      <c r="AB2132" s="3">
        <f>grand[[#This Row],[ carcass weight]]/grand[[#This Row],[total weight]]</f>
        <v>0.6000122249388754</v>
      </c>
      <c r="AC2132" s="18">
        <f>SUM(grand[[#This Row],[am]:[meat transportation]])/100</f>
        <v>0.89300000000000002</v>
      </c>
      <c r="AD2132" s="2" t="s">
        <v>837</v>
      </c>
      <c r="AE2132" s="2"/>
      <c r="AF2132" s="2"/>
      <c r="AG2132" s="2"/>
      <c r="AH2132" s="2"/>
      <c r="AI2132" s="2"/>
      <c r="AJ2132" s="2">
        <v>22</v>
      </c>
      <c r="AK2132" s="1"/>
      <c r="AL2132" s="1"/>
    </row>
    <row r="2133" spans="1:38" hidden="1" x14ac:dyDescent="0.2">
      <c r="A2133" s="11">
        <v>45964</v>
      </c>
      <c r="B2133" s="53" t="s">
        <v>2352</v>
      </c>
      <c r="C2133" s="52" t="str">
        <f>IF(MID(B2133,4,2)="09","Ramadan",IF(AND(MID(B2133,4,2)="12",VALUE(LEFT(B2133,2))&lt;=9),"Adha Season","Normal"))</f>
        <v>Normal</v>
      </c>
      <c r="D2133" s="1" t="s">
        <v>45</v>
      </c>
      <c r="E2133" s="1" t="s">
        <v>483</v>
      </c>
      <c r="F2133" s="4" t="s">
        <v>746</v>
      </c>
      <c r="G2133" s="1">
        <v>32</v>
      </c>
      <c r="H2133">
        <v>31</v>
      </c>
      <c r="I2133">
        <f>grand[[#This Row],[number]]-grand[[#This Row],[received]]</f>
        <v>1</v>
      </c>
      <c r="J2133" s="30"/>
      <c r="K2133" s="2">
        <v>16795</v>
      </c>
      <c r="L2133" s="2">
        <v>16795</v>
      </c>
      <c r="M2133" s="2">
        <f>K2133-L2133</f>
        <v>0</v>
      </c>
      <c r="N2133" s="2">
        <v>10144.5</v>
      </c>
      <c r="O2133" s="2">
        <v>367</v>
      </c>
      <c r="P2133" s="7">
        <f>grand[[#This Row],[total weight]]/grand[[#This Row],[received]]</f>
        <v>541.77419354838707</v>
      </c>
      <c r="Q2133" s="7">
        <f>grand[[#This Row],[receiving weight]]/grand[[#This Row],[received]]</f>
        <v>541.77419354838707</v>
      </c>
      <c r="R2133" s="7">
        <f>grand[[#This Row],[transportation loss ]]/grand[[#This Row],[received]]</f>
        <v>0</v>
      </c>
      <c r="S2133" s="7">
        <f>grand[[#This Row],[ carcass weight]]/grand[[#This Row],[received]]</f>
        <v>327.24193548387098</v>
      </c>
      <c r="T2133" s="7">
        <f>grand[[#This Row],[ kidneys fat quantity]]/grand[[#This Row],[received]]</f>
        <v>11.838709677419354</v>
      </c>
      <c r="U2133">
        <v>24.032258064516128</v>
      </c>
      <c r="V2133">
        <v>0</v>
      </c>
      <c r="W2133">
        <v>44.870967741935488</v>
      </c>
      <c r="X2133">
        <v>9.8387096774193559</v>
      </c>
      <c r="Y2133" s="1">
        <v>8.5</v>
      </c>
      <c r="Z2133" s="18">
        <f>grand[[#This Row],[av. Transportation loss]]/grand[[#This Row],[av.total weight]]</f>
        <v>0</v>
      </c>
      <c r="AA2133" s="18">
        <f>AVERAGE((grand[[#This Row],[am]]/25),(grand[[#This Row],[pm]]/50))</f>
        <v>0.9293548387096775</v>
      </c>
      <c r="AB2133" s="3">
        <f>grand[[#This Row],[ carcass weight]]/grand[[#This Row],[total weight]]</f>
        <v>0.60401905328966954</v>
      </c>
      <c r="AC2133" s="18">
        <f>SUM(grand[[#This Row],[am]:[meat transportation]])/100</f>
        <v>0.8724193548387098</v>
      </c>
      <c r="AD2133" s="2" t="s">
        <v>863</v>
      </c>
      <c r="AE2133" s="2"/>
      <c r="AF2133" s="2"/>
      <c r="AG2133" s="2"/>
      <c r="AH2133" s="2"/>
      <c r="AI2133" s="2"/>
      <c r="AJ2133" s="2">
        <v>23</v>
      </c>
      <c r="AK2133" s="1"/>
      <c r="AL2133" s="1"/>
    </row>
    <row r="2134" spans="1:38" hidden="1" x14ac:dyDescent="0.2">
      <c r="A2134" s="11">
        <v>45967</v>
      </c>
      <c r="B2134" s="53" t="s">
        <v>2355</v>
      </c>
      <c r="C2134" s="52" t="str">
        <f>IF(MID(B2134,4,2)="09","Ramadan",IF(AND(MID(B2134,4,2)="12",VALUE(LEFT(B2134,2))&lt;=9),"Adha Season","Normal"))</f>
        <v>Normal</v>
      </c>
      <c r="D2134" s="2" t="s">
        <v>294</v>
      </c>
      <c r="F2134" s="4" t="s">
        <v>780</v>
      </c>
      <c r="G2134" s="1">
        <v>56</v>
      </c>
      <c r="H2134">
        <v>55</v>
      </c>
      <c r="I2134">
        <f>grand[[#This Row],[number]]-grand[[#This Row],[received]]</f>
        <v>1</v>
      </c>
      <c r="J2134" s="30"/>
      <c r="K2134" s="2">
        <v>2773</v>
      </c>
      <c r="L2134" s="2">
        <v>2773</v>
      </c>
      <c r="M2134" s="2">
        <f>K2134-L2134</f>
        <v>0</v>
      </c>
      <c r="N2134" s="2">
        <v>1595.1</v>
      </c>
      <c r="O2134" s="2">
        <v>0</v>
      </c>
      <c r="P2134" s="7">
        <f>grand[[#This Row],[total weight]]/grand[[#This Row],[received]]</f>
        <v>50.418181818181822</v>
      </c>
      <c r="Q2134" s="7">
        <f>grand[[#This Row],[receiving weight]]/grand[[#This Row],[received]]</f>
        <v>50.418181818181822</v>
      </c>
      <c r="R2134" s="7">
        <f>grand[[#This Row],[transportation loss ]]/grand[[#This Row],[received]]</f>
        <v>0</v>
      </c>
      <c r="S2134" s="7">
        <f>grand[[#This Row],[ carcass weight]]/grand[[#This Row],[received]]</f>
        <v>29.00181818181818</v>
      </c>
      <c r="T2134" s="7">
        <f>grand[[#This Row],[ kidneys fat quantity]]/grand[[#This Row],[received]]</f>
        <v>0</v>
      </c>
      <c r="U2134">
        <v>25</v>
      </c>
      <c r="V2134">
        <v>0</v>
      </c>
      <c r="W2134">
        <v>47.309090909090905</v>
      </c>
      <c r="X2134">
        <v>10</v>
      </c>
      <c r="Y2134" s="1">
        <v>8.5</v>
      </c>
      <c r="Z2134" s="18">
        <f>grand[[#This Row],[av. Transportation loss]]/grand[[#This Row],[av.total weight]]</f>
        <v>0</v>
      </c>
      <c r="AA2134" s="18">
        <f>AVERAGE((grand[[#This Row],[am]]/25),(grand[[#This Row],[pm]]/50))</f>
        <v>0.97309090909090901</v>
      </c>
      <c r="AB2134" s="3">
        <f>grand[[#This Row],[ carcass weight]]/grand[[#This Row],[total weight]]</f>
        <v>0.57522538766678688</v>
      </c>
      <c r="AC2134" s="18">
        <f>SUM(grand[[#This Row],[am]:[meat transportation]])/100</f>
        <v>0.90809090909090917</v>
      </c>
      <c r="AD2134" s="2" t="s">
        <v>874</v>
      </c>
      <c r="AE2134" s="2"/>
      <c r="AF2134" s="2"/>
      <c r="AG2134" s="2"/>
      <c r="AH2134" s="2"/>
      <c r="AI2134" s="2"/>
      <c r="AJ2134" s="2">
        <v>0</v>
      </c>
      <c r="AK2134" s="1"/>
      <c r="AL2134" s="1"/>
    </row>
    <row r="2135" spans="1:38" hidden="1" x14ac:dyDescent="0.2">
      <c r="A2135" s="11">
        <v>45969</v>
      </c>
      <c r="B2135" s="53" t="s">
        <v>2356</v>
      </c>
      <c r="C2135" s="52" t="str">
        <f>IF(MID(B2135,4,2)="09","Ramadan",IF(AND(MID(B2135,4,2)="12",VALUE(LEFT(B2135,2))&lt;=9),"Adha Season","Normal"))</f>
        <v>Normal</v>
      </c>
      <c r="D2135" s="2" t="s">
        <v>294</v>
      </c>
      <c r="F2135" s="4" t="s">
        <v>656</v>
      </c>
      <c r="G2135" s="1">
        <v>33</v>
      </c>
      <c r="H2135">
        <v>32</v>
      </c>
      <c r="I2135">
        <f>grand[[#This Row],[number]]-grand[[#This Row],[received]]</f>
        <v>1</v>
      </c>
      <c r="J2135" s="30"/>
      <c r="K2135" s="2">
        <v>1612</v>
      </c>
      <c r="L2135" s="2">
        <v>1612</v>
      </c>
      <c r="M2135" s="2">
        <f>K2135-L2135</f>
        <v>0</v>
      </c>
      <c r="N2135" s="2">
        <v>922.6</v>
      </c>
      <c r="O2135" s="2">
        <v>0</v>
      </c>
      <c r="P2135" s="7">
        <f>grand[[#This Row],[total weight]]/grand[[#This Row],[received]]</f>
        <v>50.375</v>
      </c>
      <c r="Q2135" s="7">
        <f>grand[[#This Row],[receiving weight]]/grand[[#This Row],[received]]</f>
        <v>50.375</v>
      </c>
      <c r="R2135" s="7">
        <f>grand[[#This Row],[transportation loss ]]/grand[[#This Row],[received]]</f>
        <v>0</v>
      </c>
      <c r="S2135" s="7">
        <f>grand[[#This Row],[ carcass weight]]/grand[[#This Row],[received]]</f>
        <v>28.831250000000001</v>
      </c>
      <c r="T2135" s="7">
        <f>grand[[#This Row],[ kidneys fat quantity]]/grand[[#This Row],[received]]</f>
        <v>0</v>
      </c>
      <c r="U2135">
        <v>25</v>
      </c>
      <c r="V2135">
        <v>0</v>
      </c>
      <c r="W2135">
        <v>49.34375</v>
      </c>
      <c r="X2135">
        <v>10</v>
      </c>
      <c r="Y2135">
        <v>8.5</v>
      </c>
      <c r="Z2135" s="18">
        <f>grand[[#This Row],[av. Transportation loss]]/grand[[#This Row],[av.total weight]]</f>
        <v>0</v>
      </c>
      <c r="AA2135" s="18">
        <f>AVERAGE((grand[[#This Row],[am]]/25),(grand[[#This Row],[pm]]/50))</f>
        <v>0.99343749999999997</v>
      </c>
      <c r="AB2135" s="3">
        <f>grand[[#This Row],[ carcass weight]]/grand[[#This Row],[total weight]]</f>
        <v>0.57233250620347398</v>
      </c>
      <c r="AC2135" s="18">
        <f>SUM(grand[[#This Row],[am]:[meat transportation]])/100</f>
        <v>0.92843750000000003</v>
      </c>
      <c r="AD2135" s="2" t="s">
        <v>741</v>
      </c>
      <c r="AE2135" s="2"/>
      <c r="AF2135" s="2"/>
      <c r="AG2135" s="2"/>
      <c r="AH2135" s="2"/>
      <c r="AI2135" s="2"/>
      <c r="AJ2135" s="2">
        <v>0</v>
      </c>
      <c r="AK2135" s="1"/>
      <c r="AL2135" s="1"/>
    </row>
    <row r="2136" spans="1:38" hidden="1" x14ac:dyDescent="0.2">
      <c r="A2136" s="11">
        <v>45969</v>
      </c>
      <c r="B2136" s="53" t="s">
        <v>2356</v>
      </c>
      <c r="C2136" s="52" t="str">
        <f>IF(MID(B2136,4,2)="09","Ramadan",IF(AND(MID(B2136,4,2)="12",VALUE(LEFT(B2136,2))&lt;=9),"Adha Season","Normal"))</f>
        <v>Normal</v>
      </c>
      <c r="D2136" s="1" t="s">
        <v>45</v>
      </c>
      <c r="E2136" s="1" t="s">
        <v>483</v>
      </c>
      <c r="F2136" s="4" t="s">
        <v>746</v>
      </c>
      <c r="G2136" s="1">
        <v>40</v>
      </c>
      <c r="H2136">
        <v>39</v>
      </c>
      <c r="I2136">
        <f>grand[[#This Row],[number]]-grand[[#This Row],[received]]</f>
        <v>1</v>
      </c>
      <c r="J2136" s="30"/>
      <c r="K2136" s="2">
        <v>20450</v>
      </c>
      <c r="L2136" s="2">
        <v>20450</v>
      </c>
      <c r="M2136" s="2">
        <f>K2136-L2136</f>
        <v>0</v>
      </c>
      <c r="N2136" s="2">
        <v>12303</v>
      </c>
      <c r="O2136" s="2">
        <v>416</v>
      </c>
      <c r="P2136" s="7">
        <f>grand[[#This Row],[total weight]]/grand[[#This Row],[received]]</f>
        <v>524.35897435897436</v>
      </c>
      <c r="Q2136" s="7">
        <f>grand[[#This Row],[receiving weight]]/grand[[#This Row],[received]]</f>
        <v>524.35897435897436</v>
      </c>
      <c r="R2136" s="7">
        <f>grand[[#This Row],[transportation loss ]]/grand[[#This Row],[received]]</f>
        <v>0</v>
      </c>
      <c r="S2136" s="7">
        <f>grand[[#This Row],[ carcass weight]]/grand[[#This Row],[received]]</f>
        <v>315.46153846153845</v>
      </c>
      <c r="T2136" s="7">
        <f>grand[[#This Row],[ kidneys fat quantity]]/grand[[#This Row],[received]]</f>
        <v>10.666666666666666</v>
      </c>
      <c r="U2136">
        <v>24.615384615384617</v>
      </c>
      <c r="V2136">
        <v>0</v>
      </c>
      <c r="W2136">
        <v>47.564102564102562</v>
      </c>
      <c r="X2136">
        <v>10</v>
      </c>
      <c r="Y2136">
        <v>8.5</v>
      </c>
      <c r="Z2136" s="18">
        <f>grand[[#This Row],[av. Transportation loss]]/grand[[#This Row],[av.total weight]]</f>
        <v>0</v>
      </c>
      <c r="AA2136" s="18">
        <f>AVERAGE((grand[[#This Row],[am]]/25),(grand[[#This Row],[pm]]/50))</f>
        <v>0.96794871794871795</v>
      </c>
      <c r="AB2136" s="3">
        <f>grand[[#This Row],[ carcass weight]]/grand[[#This Row],[total weight]]</f>
        <v>0.60161369193154035</v>
      </c>
      <c r="AC2136" s="18">
        <f>SUM(grand[[#This Row],[am]:[meat transportation]])/100</f>
        <v>0.90679487179487184</v>
      </c>
      <c r="AD2136" s="2" t="s">
        <v>878</v>
      </c>
      <c r="AE2136" s="2"/>
      <c r="AF2136" s="2"/>
      <c r="AG2136" s="2"/>
      <c r="AH2136" s="2"/>
      <c r="AI2136" s="2"/>
      <c r="AJ2136" s="2">
        <v>20</v>
      </c>
      <c r="AK2136" s="1"/>
      <c r="AL2136" s="1"/>
    </row>
    <row r="2137" spans="1:38" hidden="1" x14ac:dyDescent="0.2">
      <c r="A2137" s="11">
        <v>45972</v>
      </c>
      <c r="B2137" s="53" t="s">
        <v>2359</v>
      </c>
      <c r="C2137" s="52" t="str">
        <f>IF(MID(B2137,4,2)="09","Ramadan",IF(AND(MID(B2137,4,2)="12",VALUE(LEFT(B2137,2))&lt;=9),"Adha Season","Normal"))</f>
        <v>Normal</v>
      </c>
      <c r="D2137" s="1" t="s">
        <v>45</v>
      </c>
      <c r="E2137" s="1" t="s">
        <v>483</v>
      </c>
      <c r="F2137" s="4" t="s">
        <v>46</v>
      </c>
      <c r="G2137" s="1">
        <v>23</v>
      </c>
      <c r="H2137">
        <v>22</v>
      </c>
      <c r="I2137">
        <f>grand[[#This Row],[number]]-grand[[#This Row],[received]]</f>
        <v>1</v>
      </c>
      <c r="J2137" s="30"/>
      <c r="K2137" s="2">
        <v>10727</v>
      </c>
      <c r="L2137" s="2">
        <v>10727</v>
      </c>
      <c r="M2137" s="2">
        <f>K2137-L2137</f>
        <v>0</v>
      </c>
      <c r="N2137" s="2">
        <v>6436.1</v>
      </c>
      <c r="O2137" s="2">
        <v>142</v>
      </c>
      <c r="P2137" s="7">
        <f>grand[[#This Row],[total weight]]/grand[[#This Row],[received]]</f>
        <v>487.59090909090907</v>
      </c>
      <c r="Q2137" s="7">
        <f>grand[[#This Row],[receiving weight]]/grand[[#This Row],[received]]</f>
        <v>487.59090909090907</v>
      </c>
      <c r="R2137" s="7">
        <f>grand[[#This Row],[transportation loss ]]/grand[[#This Row],[received]]</f>
        <v>0</v>
      </c>
      <c r="S2137" s="7">
        <f>grand[[#This Row],[ carcass weight]]/grand[[#This Row],[received]]</f>
        <v>292.55</v>
      </c>
      <c r="T2137" s="7">
        <f>grand[[#This Row],[ kidneys fat quantity]]/grand[[#This Row],[received]]</f>
        <v>6.4545454545454541</v>
      </c>
      <c r="U2137">
        <v>24.772727272727273</v>
      </c>
      <c r="V2137">
        <v>0</v>
      </c>
      <c r="W2137">
        <v>49.31818181818182</v>
      </c>
      <c r="X2137">
        <v>10</v>
      </c>
      <c r="Y2137">
        <v>8.5</v>
      </c>
      <c r="Z2137" s="18">
        <f>grand[[#This Row],[av. Transportation loss]]/grand[[#This Row],[av.total weight]]</f>
        <v>0</v>
      </c>
      <c r="AA2137" s="18">
        <f>AVERAGE((grand[[#This Row],[am]]/25),(grand[[#This Row],[pm]]/50))</f>
        <v>0.98863636363636376</v>
      </c>
      <c r="AB2137" s="3">
        <f>grand[[#This Row],[ carcass weight]]/grand[[#This Row],[total weight]]</f>
        <v>0.59999067772909487</v>
      </c>
      <c r="AC2137" s="18">
        <f>SUM(grand[[#This Row],[am]:[meat transportation]])/100</f>
        <v>0.9259090909090909</v>
      </c>
      <c r="AD2137" s="2" t="s">
        <v>820</v>
      </c>
      <c r="AE2137" s="2"/>
      <c r="AF2137" s="2"/>
      <c r="AG2137" s="2"/>
      <c r="AH2137" s="2"/>
      <c r="AI2137" s="2"/>
      <c r="AJ2137" s="2">
        <v>6</v>
      </c>
      <c r="AK2137" s="1"/>
      <c r="AL2137" s="1"/>
    </row>
    <row r="2138" spans="1:38" hidden="1" x14ac:dyDescent="0.2">
      <c r="A2138" s="11">
        <v>45973</v>
      </c>
      <c r="B2138" s="53" t="s">
        <v>2360</v>
      </c>
      <c r="C2138" s="52" t="str">
        <f>IF(MID(B2138,4,2)="09","Ramadan",IF(AND(MID(B2138,4,2)="12",VALUE(LEFT(B2138,2))&lt;=9),"Adha Season","Normal"))</f>
        <v>Normal</v>
      </c>
      <c r="D2138" s="1" t="s">
        <v>45</v>
      </c>
      <c r="E2138" s="1" t="s">
        <v>483</v>
      </c>
      <c r="F2138" s="4" t="s">
        <v>165</v>
      </c>
      <c r="G2138" s="1">
        <v>38</v>
      </c>
      <c r="H2138">
        <v>37</v>
      </c>
      <c r="I2138">
        <f>grand[[#This Row],[number]]-grand[[#This Row],[received]]</f>
        <v>1</v>
      </c>
      <c r="J2138" s="30"/>
      <c r="K2138" s="2">
        <v>17700</v>
      </c>
      <c r="L2138" s="2">
        <v>17700</v>
      </c>
      <c r="M2138" s="2">
        <f>K2138-L2138</f>
        <v>0</v>
      </c>
      <c r="N2138" s="2">
        <v>10643.4</v>
      </c>
      <c r="O2138" s="2">
        <v>335</v>
      </c>
      <c r="P2138" s="7">
        <f>grand[[#This Row],[total weight]]/grand[[#This Row],[received]]</f>
        <v>478.37837837837839</v>
      </c>
      <c r="Q2138" s="7">
        <f>grand[[#This Row],[receiving weight]]/grand[[#This Row],[received]]</f>
        <v>478.37837837837839</v>
      </c>
      <c r="R2138" s="7">
        <f>grand[[#This Row],[transportation loss ]]/grand[[#This Row],[received]]</f>
        <v>0</v>
      </c>
      <c r="S2138" s="7">
        <f>grand[[#This Row],[ carcass weight]]/grand[[#This Row],[received]]</f>
        <v>287.65945945945947</v>
      </c>
      <c r="T2138" s="7">
        <f>grand[[#This Row],[ kidneys fat quantity]]/grand[[#This Row],[received]]</f>
        <v>9.0540540540540544</v>
      </c>
      <c r="U2138">
        <v>25</v>
      </c>
      <c r="V2138">
        <v>0</v>
      </c>
      <c r="W2138">
        <v>48.432432432432435</v>
      </c>
      <c r="X2138">
        <v>10</v>
      </c>
      <c r="Y2138">
        <v>8.5</v>
      </c>
      <c r="Z2138" s="18">
        <f>grand[[#This Row],[av. Transportation loss]]/grand[[#This Row],[av.total weight]]</f>
        <v>0</v>
      </c>
      <c r="AA2138" s="18">
        <f>AVERAGE((grand[[#This Row],[am]]/25),(grand[[#This Row],[pm]]/50))</f>
        <v>0.98432432432432437</v>
      </c>
      <c r="AB2138" s="3">
        <f>grand[[#This Row],[ carcass weight]]/grand[[#This Row],[total weight]]</f>
        <v>0.60132203389830508</v>
      </c>
      <c r="AC2138" s="18">
        <f>SUM(grand[[#This Row],[am]:[meat transportation]])/100</f>
        <v>0.91932432432432432</v>
      </c>
      <c r="AD2138" s="2" t="s">
        <v>81</v>
      </c>
      <c r="AE2138" s="2"/>
      <c r="AF2138" s="2"/>
      <c r="AG2138" s="2"/>
      <c r="AH2138" s="2"/>
      <c r="AI2138" s="2"/>
      <c r="AJ2138" s="2">
        <v>0</v>
      </c>
      <c r="AK2138" s="1"/>
      <c r="AL2138" s="1"/>
    </row>
    <row r="2139" spans="1:38" hidden="1" x14ac:dyDescent="0.2">
      <c r="A2139" s="11">
        <v>45981</v>
      </c>
      <c r="B2139" s="53" t="s">
        <v>2366</v>
      </c>
      <c r="C2139" s="52" t="str">
        <f>IF(MID(B2139,4,2)="09","Ramadan",IF(AND(MID(B2139,4,2)="12",VALUE(LEFT(B2139,2))&lt;=9),"Adha Season","Normal"))</f>
        <v>Normal</v>
      </c>
      <c r="D2139" s="2" t="s">
        <v>294</v>
      </c>
      <c r="F2139" s="4" t="s">
        <v>656</v>
      </c>
      <c r="G2139" s="1">
        <v>43</v>
      </c>
      <c r="H2139">
        <v>42</v>
      </c>
      <c r="I2139">
        <f>grand[[#This Row],[number]]-grand[[#This Row],[received]]</f>
        <v>1</v>
      </c>
      <c r="J2139" s="30"/>
      <c r="K2139" s="2">
        <v>2125</v>
      </c>
      <c r="L2139" s="2">
        <v>2110</v>
      </c>
      <c r="M2139" s="2">
        <f>K2139-L2139</f>
        <v>15</v>
      </c>
      <c r="N2139" s="2">
        <v>1238.7</v>
      </c>
      <c r="O2139" s="2">
        <v>0</v>
      </c>
      <c r="P2139" s="7">
        <f>grand[[#This Row],[total weight]]/grand[[#This Row],[received]]</f>
        <v>50.595238095238095</v>
      </c>
      <c r="Q2139" s="7">
        <f>grand[[#This Row],[receiving weight]]/grand[[#This Row],[received]]</f>
        <v>50.238095238095241</v>
      </c>
      <c r="R2139" s="7">
        <f>grand[[#This Row],[transportation loss ]]/grand[[#This Row],[received]]</f>
        <v>0.35714285714285715</v>
      </c>
      <c r="S2139" s="7">
        <f>grand[[#This Row],[ carcass weight]]/grand[[#This Row],[received]]</f>
        <v>29.492857142857144</v>
      </c>
      <c r="T2139" s="7">
        <f>grand[[#This Row],[ kidneys fat quantity]]/grand[[#This Row],[received]]</f>
        <v>0</v>
      </c>
      <c r="U2139">
        <v>25</v>
      </c>
      <c r="V2139">
        <v>0</v>
      </c>
      <c r="W2139">
        <v>49.285714285714285</v>
      </c>
      <c r="X2139">
        <v>10</v>
      </c>
      <c r="Y2139">
        <v>8.5</v>
      </c>
      <c r="Z2139" s="18">
        <f>grand[[#This Row],[av. Transportation loss]]/grand[[#This Row],[av.total weight]]</f>
        <v>7.058823529411765E-3</v>
      </c>
      <c r="AA2139" s="18">
        <f>AVERAGE((grand[[#This Row],[am]]/25),(grand[[#This Row],[pm]]/50))</f>
        <v>0.99285714285714288</v>
      </c>
      <c r="AB2139" s="3">
        <f>grand[[#This Row],[ carcass weight]]/grand[[#This Row],[total weight]]</f>
        <v>0.58291764705882354</v>
      </c>
      <c r="AC2139" s="18">
        <f>SUM(grand[[#This Row],[am]:[meat transportation]])/100</f>
        <v>0.92785714285714282</v>
      </c>
      <c r="AD2139" s="2" t="s">
        <v>411</v>
      </c>
      <c r="AE2139" s="2"/>
      <c r="AF2139" s="2"/>
      <c r="AG2139" s="2"/>
      <c r="AH2139" s="2"/>
      <c r="AI2139" s="2"/>
      <c r="AJ2139" s="2">
        <v>0</v>
      </c>
      <c r="AK2139" s="1"/>
      <c r="AL2139" s="1"/>
    </row>
    <row r="2140" spans="1:38" hidden="1" x14ac:dyDescent="0.2">
      <c r="A2140" s="11">
        <v>45983</v>
      </c>
      <c r="B2140" s="53" t="s">
        <v>2367</v>
      </c>
      <c r="C2140" s="52" t="str">
        <f>IF(MID(B2140,4,2)="09","Ramadan",IF(AND(MID(B2140,4,2)="12",VALUE(LEFT(B2140,2))&lt;=9),"Adha Season","Normal"))</f>
        <v>Normal</v>
      </c>
      <c r="D2140" s="2" t="s">
        <v>294</v>
      </c>
      <c r="F2140" s="4" t="s">
        <v>749</v>
      </c>
      <c r="G2140" s="1">
        <v>35</v>
      </c>
      <c r="H2140">
        <v>34</v>
      </c>
      <c r="I2140">
        <f>grand[[#This Row],[number]]-grand[[#This Row],[received]]</f>
        <v>1</v>
      </c>
      <c r="J2140" s="30"/>
      <c r="K2140" s="2">
        <v>1904</v>
      </c>
      <c r="L2140" s="2">
        <v>1873</v>
      </c>
      <c r="M2140" s="2">
        <f>K2140-L2140</f>
        <v>31</v>
      </c>
      <c r="N2140" s="2">
        <v>1091</v>
      </c>
      <c r="O2140" s="2">
        <v>0</v>
      </c>
      <c r="P2140" s="7">
        <f>grand[[#This Row],[total weight]]/grand[[#This Row],[received]]</f>
        <v>56</v>
      </c>
      <c r="Q2140" s="7">
        <f>grand[[#This Row],[receiving weight]]/grand[[#This Row],[received]]</f>
        <v>55.088235294117645</v>
      </c>
      <c r="R2140" s="7">
        <f>grand[[#This Row],[transportation loss ]]/grand[[#This Row],[received]]</f>
        <v>0.91176470588235292</v>
      </c>
      <c r="S2140" s="7">
        <f>grand[[#This Row],[ carcass weight]]/grand[[#This Row],[received]]</f>
        <v>32.088235294117645</v>
      </c>
      <c r="T2140" s="7">
        <f>grand[[#This Row],[ kidneys fat quantity]]/grand[[#This Row],[received]]</f>
        <v>0</v>
      </c>
      <c r="U2140">
        <v>25</v>
      </c>
      <c r="V2140">
        <v>0</v>
      </c>
      <c r="W2140">
        <v>49.882352941176471</v>
      </c>
      <c r="X2140">
        <v>10</v>
      </c>
      <c r="Y2140">
        <v>8.5</v>
      </c>
      <c r="Z2140" s="18">
        <f>grand[[#This Row],[av. Transportation loss]]/grand[[#This Row],[av.total weight]]</f>
        <v>1.6281512605042018E-2</v>
      </c>
      <c r="AA2140" s="18">
        <f>AVERAGE((grand[[#This Row],[am]]/25),(grand[[#This Row],[pm]]/50))</f>
        <v>0.99882352941176467</v>
      </c>
      <c r="AB2140" s="3">
        <f>grand[[#This Row],[ carcass weight]]/grand[[#This Row],[total weight]]</f>
        <v>0.57300420168067223</v>
      </c>
      <c r="AC2140" s="18">
        <f>SUM(grand[[#This Row],[am]:[meat transportation]])/100</f>
        <v>0.93382352941176461</v>
      </c>
      <c r="AD2140" s="2" t="s">
        <v>819</v>
      </c>
      <c r="AE2140" s="2"/>
      <c r="AF2140" s="2"/>
      <c r="AG2140" s="2"/>
      <c r="AH2140" s="2"/>
      <c r="AI2140" s="2"/>
      <c r="AJ2140" s="2">
        <v>0</v>
      </c>
      <c r="AK2140" s="1"/>
      <c r="AL2140" s="1"/>
    </row>
    <row r="2141" spans="1:38" hidden="1" x14ac:dyDescent="0.2">
      <c r="A2141" s="11">
        <v>45986</v>
      </c>
      <c r="B2141" s="53" t="s">
        <v>2370</v>
      </c>
      <c r="C2141" s="52" t="str">
        <f>IF(MID(B2141,4,2)="09","Ramadan",IF(AND(MID(B2141,4,2)="12",VALUE(LEFT(B2141,2))&lt;=9),"Adha Season","Normal"))</f>
        <v>Normal</v>
      </c>
      <c r="D2141" s="1" t="s">
        <v>45</v>
      </c>
      <c r="E2141" s="1" t="s">
        <v>483</v>
      </c>
      <c r="F2141" s="4" t="s">
        <v>46</v>
      </c>
      <c r="G2141" s="1">
        <v>25</v>
      </c>
      <c r="H2141">
        <v>24</v>
      </c>
      <c r="I2141">
        <f>grand[[#This Row],[number]]-grand[[#This Row],[received]]</f>
        <v>1</v>
      </c>
      <c r="J2141" s="30"/>
      <c r="K2141" s="2">
        <v>12816</v>
      </c>
      <c r="L2141" s="2">
        <v>12816</v>
      </c>
      <c r="M2141" s="2">
        <f>K2141-L2141</f>
        <v>0</v>
      </c>
      <c r="N2141" s="2">
        <v>7689.8</v>
      </c>
      <c r="O2141" s="2">
        <v>271</v>
      </c>
      <c r="P2141" s="7">
        <f>grand[[#This Row],[total weight]]/grand[[#This Row],[received]]</f>
        <v>534</v>
      </c>
      <c r="Q2141" s="7">
        <f>grand[[#This Row],[receiving weight]]/grand[[#This Row],[received]]</f>
        <v>534</v>
      </c>
      <c r="R2141" s="7">
        <f>grand[[#This Row],[transportation loss ]]/grand[[#This Row],[received]]</f>
        <v>0</v>
      </c>
      <c r="S2141" s="7">
        <f>grand[[#This Row],[ carcass weight]]/grand[[#This Row],[received]]</f>
        <v>320.40833333333336</v>
      </c>
      <c r="T2141" s="7">
        <f>grand[[#This Row],[ kidneys fat quantity]]/grand[[#This Row],[received]]</f>
        <v>11.291666666666666</v>
      </c>
      <c r="U2141">
        <v>24.583333333333332</v>
      </c>
      <c r="V2141">
        <v>0</v>
      </c>
      <c r="W2141">
        <v>46.208333333333336</v>
      </c>
      <c r="X2141">
        <v>9.7916666666666679</v>
      </c>
      <c r="Y2141">
        <v>8.5</v>
      </c>
      <c r="Z2141" s="18">
        <f>grand[[#This Row],[av. Transportation loss]]/grand[[#This Row],[av.total weight]]</f>
        <v>0</v>
      </c>
      <c r="AA2141" s="18">
        <f>AVERAGE((grand[[#This Row],[am]]/25),(grand[[#This Row],[pm]]/50))</f>
        <v>0.95374999999999999</v>
      </c>
      <c r="AB2141" s="3">
        <f>grand[[#This Row],[ carcass weight]]/grand[[#This Row],[total weight]]</f>
        <v>0.6000156054931336</v>
      </c>
      <c r="AC2141" s="18">
        <f>SUM(grand[[#This Row],[am]:[meat transportation]])/100</f>
        <v>0.89083333333333348</v>
      </c>
      <c r="AD2141" s="2" t="s">
        <v>850</v>
      </c>
      <c r="AE2141" s="2"/>
      <c r="AF2141" s="2"/>
      <c r="AG2141" s="2"/>
      <c r="AH2141" s="2"/>
      <c r="AI2141" s="2"/>
      <c r="AJ2141" s="2">
        <v>13</v>
      </c>
      <c r="AK2141" s="1"/>
      <c r="AL2141" s="1"/>
    </row>
    <row r="2142" spans="1:38" hidden="1" x14ac:dyDescent="0.2">
      <c r="A2142" s="11">
        <v>45987</v>
      </c>
      <c r="B2142" s="53" t="s">
        <v>2371</v>
      </c>
      <c r="C2142" s="52" t="str">
        <f>IF(MID(B2142,4,2)="09","Ramadan",IF(AND(MID(B2142,4,2)="12",VALUE(LEFT(B2142,2))&lt;=9),"Adha Season","Normal"))</f>
        <v>Normal</v>
      </c>
      <c r="D2142" s="1" t="s">
        <v>45</v>
      </c>
      <c r="E2142" s="1" t="s">
        <v>483</v>
      </c>
      <c r="F2142" s="4" t="s">
        <v>165</v>
      </c>
      <c r="G2142" s="1">
        <v>41</v>
      </c>
      <c r="H2142">
        <v>40</v>
      </c>
      <c r="I2142">
        <f>grand[[#This Row],[number]]-grand[[#This Row],[received]]</f>
        <v>1</v>
      </c>
      <c r="J2142" s="30"/>
      <c r="K2142" s="2">
        <v>21250</v>
      </c>
      <c r="L2142" s="2">
        <v>20460</v>
      </c>
      <c r="M2142" s="2">
        <f>K2142-L2142</f>
        <v>790</v>
      </c>
      <c r="N2142" s="2">
        <v>12819.1</v>
      </c>
      <c r="O2142" s="2">
        <v>523</v>
      </c>
      <c r="P2142" s="7">
        <f>grand[[#This Row],[total weight]]/grand[[#This Row],[received]]</f>
        <v>531.25</v>
      </c>
      <c r="Q2142" s="7">
        <f>grand[[#This Row],[receiving weight]]/grand[[#This Row],[received]]</f>
        <v>511.5</v>
      </c>
      <c r="R2142" s="7">
        <f>grand[[#This Row],[transportation loss ]]/grand[[#This Row],[received]]</f>
        <v>19.75</v>
      </c>
      <c r="S2142" s="7">
        <f>grand[[#This Row],[ carcass weight]]/grand[[#This Row],[received]]</f>
        <v>320.47750000000002</v>
      </c>
      <c r="T2142" s="7">
        <f>grand[[#This Row],[ kidneys fat quantity]]/grand[[#This Row],[received]]</f>
        <v>13.074999999999999</v>
      </c>
      <c r="U2142">
        <v>24.5</v>
      </c>
      <c r="V2142">
        <v>0</v>
      </c>
      <c r="W2142">
        <v>43.7</v>
      </c>
      <c r="X2142">
        <v>10</v>
      </c>
      <c r="Y2142">
        <v>8.5</v>
      </c>
      <c r="Z2142" s="18">
        <f>grand[[#This Row],[av. Transportation loss]]/grand[[#This Row],[av.total weight]]</f>
        <v>3.7176470588235297E-2</v>
      </c>
      <c r="AA2142" s="18">
        <f>AVERAGE((grand[[#This Row],[am]]/25),(grand[[#This Row],[pm]]/50))</f>
        <v>0.92700000000000005</v>
      </c>
      <c r="AB2142" s="3">
        <f>grand[[#This Row],[ carcass weight]]/grand[[#This Row],[total weight]]</f>
        <v>0.60325176470588238</v>
      </c>
      <c r="AC2142" s="18">
        <f>SUM(grand[[#This Row],[am]:[meat transportation]])/100</f>
        <v>0.86699999999999999</v>
      </c>
      <c r="AD2142" s="2" t="s">
        <v>854</v>
      </c>
      <c r="AE2142" s="2"/>
      <c r="AF2142" s="2"/>
      <c r="AG2142" s="2"/>
      <c r="AH2142" s="2"/>
      <c r="AI2142" s="2"/>
      <c r="AJ2142" s="2">
        <v>31</v>
      </c>
      <c r="AK2142" s="1"/>
      <c r="AL2142" s="1"/>
    </row>
    <row r="2143" spans="1:38" hidden="1" x14ac:dyDescent="0.2">
      <c r="A2143" s="11">
        <v>45991</v>
      </c>
      <c r="B2143" s="53" t="s">
        <v>2374</v>
      </c>
      <c r="C2143" s="52" t="str">
        <f>IF(MID(B2143,4,2)="09","Ramadan",IF(AND(MID(B2143,4,2)="12",VALUE(LEFT(B2143,2))&lt;=9),"Adha Season","Normal"))</f>
        <v>Normal</v>
      </c>
      <c r="D2143" s="1" t="s">
        <v>45</v>
      </c>
      <c r="E2143" s="1" t="s">
        <v>483</v>
      </c>
      <c r="F2143" s="4" t="s">
        <v>959</v>
      </c>
      <c r="G2143" s="1">
        <v>49</v>
      </c>
      <c r="H2143">
        <v>48</v>
      </c>
      <c r="I2143">
        <f>grand[[#This Row],[number]]-grand[[#This Row],[received]]</f>
        <v>1</v>
      </c>
      <c r="J2143" s="30"/>
      <c r="K2143" s="2">
        <v>22164</v>
      </c>
      <c r="L2143" s="2">
        <v>22164</v>
      </c>
      <c r="M2143" s="2">
        <f>K2143-L2143</f>
        <v>0</v>
      </c>
      <c r="N2143" s="2">
        <v>13357.3</v>
      </c>
      <c r="O2143" s="2">
        <v>384</v>
      </c>
      <c r="P2143" s="7">
        <f>grand[[#This Row],[total weight]]/grand[[#This Row],[received]]</f>
        <v>461.75</v>
      </c>
      <c r="Q2143" s="7">
        <f>grand[[#This Row],[receiving weight]]/grand[[#This Row],[received]]</f>
        <v>461.75</v>
      </c>
      <c r="R2143" s="7">
        <f>grand[[#This Row],[transportation loss ]]/grand[[#This Row],[received]]</f>
        <v>0</v>
      </c>
      <c r="S2143" s="7">
        <f>grand[[#This Row],[ carcass weight]]/grand[[#This Row],[received]]</f>
        <v>278.27708333333334</v>
      </c>
      <c r="T2143" s="7">
        <f>grand[[#This Row],[ kidneys fat quantity]]/grand[[#This Row],[received]]</f>
        <v>8</v>
      </c>
      <c r="U2143">
        <v>25</v>
      </c>
      <c r="V2143">
        <v>0</v>
      </c>
      <c r="W2143">
        <v>45.479166666666664</v>
      </c>
      <c r="X2143">
        <v>10</v>
      </c>
      <c r="Y2143">
        <v>8.5</v>
      </c>
      <c r="Z2143" s="18">
        <f>grand[[#This Row],[av. Transportation loss]]/grand[[#This Row],[av.total weight]]</f>
        <v>0</v>
      </c>
      <c r="AA2143" s="18">
        <f>AVERAGE((grand[[#This Row],[am]]/25),(grand[[#This Row],[pm]]/50))</f>
        <v>0.95479166666666671</v>
      </c>
      <c r="AB2143" s="3">
        <f>grand[[#This Row],[ carcass weight]]/grand[[#This Row],[total weight]]</f>
        <v>0.6026574625518859</v>
      </c>
      <c r="AC2143" s="18">
        <f>SUM(grand[[#This Row],[am]:[meat transportation]])/100</f>
        <v>0.88979166666666654</v>
      </c>
      <c r="AD2143" s="2" t="s">
        <v>866</v>
      </c>
      <c r="AE2143" s="2"/>
      <c r="AF2143" s="2"/>
      <c r="AG2143" s="2"/>
      <c r="AH2143" s="2"/>
      <c r="AI2143" s="2"/>
      <c r="AJ2143" s="2">
        <v>0</v>
      </c>
      <c r="AK2143" s="1"/>
      <c r="AL2143" s="1"/>
    </row>
    <row r="2144" spans="1:38" hidden="1" x14ac:dyDescent="0.2">
      <c r="A2144" s="11">
        <v>45993</v>
      </c>
      <c r="B2144" s="53" t="s">
        <v>2376</v>
      </c>
      <c r="C2144" s="52" t="str">
        <f>IF(MID(B2144,4,2)="09","Ramadan",IF(AND(MID(B2144,4,2)="12",VALUE(LEFT(B2144,2))&lt;=9),"Adha Season","Normal"))</f>
        <v>Normal</v>
      </c>
      <c r="D2144" s="1" t="s">
        <v>45</v>
      </c>
      <c r="E2144" s="1" t="s">
        <v>483</v>
      </c>
      <c r="F2144" s="4" t="s">
        <v>959</v>
      </c>
      <c r="G2144" s="1">
        <v>45</v>
      </c>
      <c r="H2144">
        <v>44</v>
      </c>
      <c r="I2144">
        <f>grand[[#This Row],[number]]-grand[[#This Row],[received]]</f>
        <v>1</v>
      </c>
      <c r="J2144" s="30"/>
      <c r="K2144" s="2">
        <v>19817</v>
      </c>
      <c r="L2144" s="2">
        <v>19817</v>
      </c>
      <c r="M2144" s="2">
        <f>K2144-L2144</f>
        <v>0</v>
      </c>
      <c r="N2144" s="2">
        <v>12092</v>
      </c>
      <c r="O2144" s="2">
        <v>402</v>
      </c>
      <c r="P2144" s="7">
        <f>grand[[#This Row],[total weight]]/grand[[#This Row],[received]]</f>
        <v>450.38636363636363</v>
      </c>
      <c r="Q2144" s="7">
        <f>grand[[#This Row],[receiving weight]]/grand[[#This Row],[received]]</f>
        <v>450.38636363636363</v>
      </c>
      <c r="R2144" s="7">
        <f>grand[[#This Row],[transportation loss ]]/grand[[#This Row],[received]]</f>
        <v>0</v>
      </c>
      <c r="S2144" s="7">
        <f>grand[[#This Row],[ carcass weight]]/grand[[#This Row],[received]]</f>
        <v>274.81818181818181</v>
      </c>
      <c r="T2144" s="7">
        <f>grand[[#This Row],[ kidneys fat quantity]]/grand[[#This Row],[received]]</f>
        <v>9.1363636363636367</v>
      </c>
      <c r="U2144">
        <v>25</v>
      </c>
      <c r="V2144">
        <v>0</v>
      </c>
      <c r="W2144">
        <v>46.5</v>
      </c>
      <c r="X2144">
        <v>10</v>
      </c>
      <c r="Y2144">
        <v>8.5</v>
      </c>
      <c r="Z2144" s="18">
        <f>grand[[#This Row],[av. Transportation loss]]/grand[[#This Row],[av.total weight]]</f>
        <v>0</v>
      </c>
      <c r="AA2144" s="18">
        <f>AVERAGE((grand[[#This Row],[am]]/25),(grand[[#This Row],[pm]]/50))</f>
        <v>0.96500000000000008</v>
      </c>
      <c r="AB2144" s="3">
        <f>grand[[#This Row],[ carcass weight]]/grand[[#This Row],[total weight]]</f>
        <v>0.61018317606095773</v>
      </c>
      <c r="AC2144" s="18">
        <f>SUM(grand[[#This Row],[am]:[meat transportation]])/100</f>
        <v>0.9</v>
      </c>
      <c r="AD2144" s="2" t="s">
        <v>840</v>
      </c>
      <c r="AE2144" s="2"/>
      <c r="AF2144" s="2"/>
      <c r="AG2144" s="2"/>
      <c r="AH2144" s="2"/>
      <c r="AI2144" s="2"/>
      <c r="AJ2144" s="2">
        <v>0</v>
      </c>
      <c r="AK2144" s="1"/>
      <c r="AL2144" s="1"/>
    </row>
    <row r="2145" spans="1:38" hidden="1" x14ac:dyDescent="0.2">
      <c r="A2145" s="11">
        <v>45994</v>
      </c>
      <c r="B2145" s="53" t="s">
        <v>2377</v>
      </c>
      <c r="C2145" s="52" t="str">
        <f>IF(MID(B2145,4,2)="09","Ramadan",IF(AND(MID(B2145,4,2)="12",VALUE(LEFT(B2145,2))&lt;=9),"Adha Season","Normal"))</f>
        <v>Normal</v>
      </c>
      <c r="D2145" s="1" t="s">
        <v>45</v>
      </c>
      <c r="E2145" s="1" t="s">
        <v>483</v>
      </c>
      <c r="F2145" s="4" t="s">
        <v>165</v>
      </c>
      <c r="G2145" s="1">
        <v>60</v>
      </c>
      <c r="H2145">
        <v>59</v>
      </c>
      <c r="I2145">
        <f>grand[[#This Row],[number]]-grand[[#This Row],[received]]</f>
        <v>1</v>
      </c>
      <c r="J2145" s="30"/>
      <c r="K2145" s="2">
        <v>30983</v>
      </c>
      <c r="L2145" s="2">
        <v>30983</v>
      </c>
      <c r="M2145" s="2">
        <f>K2145-L2145</f>
        <v>0</v>
      </c>
      <c r="N2145" s="2">
        <v>18589.8</v>
      </c>
      <c r="O2145" s="2">
        <v>650</v>
      </c>
      <c r="P2145" s="7">
        <f>grand[[#This Row],[total weight]]/grand[[#This Row],[received]]</f>
        <v>525.13559322033893</v>
      </c>
      <c r="Q2145" s="7">
        <f>grand[[#This Row],[receiving weight]]/grand[[#This Row],[received]]</f>
        <v>525.13559322033893</v>
      </c>
      <c r="R2145" s="7">
        <f>grand[[#This Row],[transportation loss ]]/grand[[#This Row],[received]]</f>
        <v>0</v>
      </c>
      <c r="S2145" s="7">
        <f>grand[[#This Row],[ carcass weight]]/grand[[#This Row],[received]]</f>
        <v>315.08135593220339</v>
      </c>
      <c r="T2145" s="7">
        <f>grand[[#This Row],[ kidneys fat quantity]]/grand[[#This Row],[received]]</f>
        <v>11.016949152542374</v>
      </c>
      <c r="U2145">
        <v>24.491525423728813</v>
      </c>
      <c r="V2145">
        <v>0</v>
      </c>
      <c r="W2145">
        <v>46.203389830508478</v>
      </c>
      <c r="X2145">
        <v>9.8305084745762699</v>
      </c>
      <c r="Y2145">
        <v>8.5</v>
      </c>
      <c r="Z2145" s="18">
        <f>grand[[#This Row],[av. Transportation loss]]/grand[[#This Row],[av.total weight]]</f>
        <v>0</v>
      </c>
      <c r="AA2145" s="18">
        <f>AVERAGE((grand[[#This Row],[am]]/25),(grand[[#This Row],[pm]]/50))</f>
        <v>0.95186440677966111</v>
      </c>
      <c r="AB2145" s="3">
        <f>grand[[#This Row],[ carcass weight]]/grand[[#This Row],[total weight]]</f>
        <v>0.6</v>
      </c>
      <c r="AC2145" s="18">
        <f>SUM(grand[[#This Row],[am]:[meat transportation]])/100</f>
        <v>0.89025423728813569</v>
      </c>
      <c r="AD2145" s="2" t="s">
        <v>864</v>
      </c>
      <c r="AE2145" s="2"/>
      <c r="AF2145" s="2"/>
      <c r="AG2145" s="2"/>
      <c r="AH2145" s="2"/>
      <c r="AI2145" s="2"/>
      <c r="AJ2145" s="2">
        <v>52</v>
      </c>
      <c r="AK2145" s="1"/>
      <c r="AL2145" s="1"/>
    </row>
    <row r="2146" spans="1:38" hidden="1" x14ac:dyDescent="0.2">
      <c r="A2146" s="11">
        <v>46000</v>
      </c>
      <c r="B2146" s="53" t="s">
        <v>2382</v>
      </c>
      <c r="C2146" s="52" t="str">
        <f>IF(MID(B2146,4,2)="09","Ramadan",IF(AND(MID(B2146,4,2)="12",VALUE(LEFT(B2146,2))&lt;=9),"Adha Season","Normal"))</f>
        <v>Normal</v>
      </c>
      <c r="D2146" s="1" t="s">
        <v>45</v>
      </c>
      <c r="E2146" s="1" t="s">
        <v>483</v>
      </c>
      <c r="F2146" s="4" t="s">
        <v>749</v>
      </c>
      <c r="G2146" s="1">
        <v>27</v>
      </c>
      <c r="H2146">
        <v>26</v>
      </c>
      <c r="I2146">
        <f>grand[[#This Row],[number]]-grand[[#This Row],[received]]</f>
        <v>1</v>
      </c>
      <c r="J2146" s="30"/>
      <c r="K2146" s="2">
        <v>11872</v>
      </c>
      <c r="L2146" s="2">
        <v>11872</v>
      </c>
      <c r="M2146" s="2">
        <f>K2146-L2146</f>
        <v>0</v>
      </c>
      <c r="N2146" s="2">
        <v>7123.4</v>
      </c>
      <c r="O2146" s="2">
        <v>263</v>
      </c>
      <c r="P2146" s="7">
        <f>grand[[#This Row],[total weight]]/grand[[#This Row],[received]]</f>
        <v>456.61538461538464</v>
      </c>
      <c r="Q2146" s="7">
        <f>grand[[#This Row],[receiving weight]]/grand[[#This Row],[received]]</f>
        <v>456.61538461538464</v>
      </c>
      <c r="R2146" s="7">
        <f>grand[[#This Row],[transportation loss ]]/grand[[#This Row],[received]]</f>
        <v>0</v>
      </c>
      <c r="S2146" s="7">
        <f>grand[[#This Row],[ carcass weight]]/grand[[#This Row],[received]]</f>
        <v>273.97692307692307</v>
      </c>
      <c r="T2146" s="7">
        <f>grand[[#This Row],[ kidneys fat quantity]]/grand[[#This Row],[received]]</f>
        <v>10.115384615384615</v>
      </c>
      <c r="U2146">
        <v>25</v>
      </c>
      <c r="V2146">
        <v>0</v>
      </c>
      <c r="W2146">
        <v>46.34615384615384</v>
      </c>
      <c r="X2146">
        <v>10</v>
      </c>
      <c r="Y2146">
        <v>8.5</v>
      </c>
      <c r="Z2146" s="18">
        <f>grand[[#This Row],[av. Transportation loss]]/grand[[#This Row],[av.total weight]]</f>
        <v>0</v>
      </c>
      <c r="AA2146" s="18">
        <f>AVERAGE((grand[[#This Row],[am]]/25),(grand[[#This Row],[pm]]/50))</f>
        <v>0.96346153846153837</v>
      </c>
      <c r="AB2146" s="3">
        <f>grand[[#This Row],[ carcass weight]]/grand[[#This Row],[total weight]]</f>
        <v>0.60001684636118591</v>
      </c>
      <c r="AC2146" s="18">
        <f>SUM(grand[[#This Row],[am]:[meat transportation]])/100</f>
        <v>0.89846153846153842</v>
      </c>
      <c r="AD2146" s="2" t="s">
        <v>880</v>
      </c>
      <c r="AE2146" s="2"/>
      <c r="AF2146" s="2"/>
      <c r="AG2146" s="2"/>
      <c r="AH2146" s="2"/>
      <c r="AI2146" s="2"/>
      <c r="AJ2146" s="2">
        <v>8</v>
      </c>
      <c r="AK2146" s="1"/>
      <c r="AL2146" s="1"/>
    </row>
    <row r="2147" spans="1:38" hidden="1" x14ac:dyDescent="0.2">
      <c r="A2147" s="11">
        <v>46004</v>
      </c>
      <c r="B2147" s="53" t="s">
        <v>2385</v>
      </c>
      <c r="C2147" s="52" t="str">
        <f>IF(MID(B2147,4,2)="09","Ramadan",IF(AND(MID(B2147,4,2)="12",VALUE(LEFT(B2147,2))&lt;=9),"Adha Season","Normal"))</f>
        <v>Normal</v>
      </c>
      <c r="D2147" s="2" t="s">
        <v>294</v>
      </c>
      <c r="F2147" s="4" t="s">
        <v>656</v>
      </c>
      <c r="G2147" s="1">
        <v>38</v>
      </c>
      <c r="H2147">
        <v>37</v>
      </c>
      <c r="I2147">
        <f>grand[[#This Row],[number]]-grand[[#This Row],[received]]</f>
        <v>1</v>
      </c>
      <c r="J2147" s="30"/>
      <c r="K2147" s="2">
        <v>1960</v>
      </c>
      <c r="L2147" s="2">
        <v>1960</v>
      </c>
      <c r="M2147" s="2">
        <f>K2147-L2147</f>
        <v>0</v>
      </c>
      <c r="N2147" s="2">
        <v>1138.8</v>
      </c>
      <c r="O2147" s="2">
        <v>0</v>
      </c>
      <c r="P2147" s="7">
        <f>grand[[#This Row],[total weight]]/grand[[#This Row],[received]]</f>
        <v>52.972972972972975</v>
      </c>
      <c r="Q2147" s="7">
        <f>grand[[#This Row],[receiving weight]]/grand[[#This Row],[received]]</f>
        <v>52.972972972972975</v>
      </c>
      <c r="R2147" s="7">
        <f>grand[[#This Row],[transportation loss ]]/grand[[#This Row],[received]]</f>
        <v>0</v>
      </c>
      <c r="S2147" s="7">
        <f>grand[[#This Row],[ carcass weight]]/grand[[#This Row],[received]]</f>
        <v>30.778378378378378</v>
      </c>
      <c r="T2147" s="7">
        <f>grand[[#This Row],[ kidneys fat quantity]]/grand[[#This Row],[received]]</f>
        <v>0</v>
      </c>
      <c r="U2147">
        <v>25</v>
      </c>
      <c r="V2147">
        <v>0</v>
      </c>
      <c r="W2147">
        <v>45.729729729729726</v>
      </c>
      <c r="X2147">
        <v>10</v>
      </c>
      <c r="Y2147">
        <v>8.5</v>
      </c>
      <c r="Z2147" s="18">
        <f>grand[[#This Row],[av. Transportation loss]]/grand[[#This Row],[av.total weight]]</f>
        <v>0</v>
      </c>
      <c r="AA2147" s="18">
        <f>AVERAGE((grand[[#This Row],[am]]/25),(grand[[#This Row],[pm]]/50))</f>
        <v>0.95729729729729729</v>
      </c>
      <c r="AB2147" s="3">
        <f>grand[[#This Row],[ carcass weight]]/grand[[#This Row],[total weight]]</f>
        <v>0.58102040816326528</v>
      </c>
      <c r="AC2147" s="18">
        <f>SUM(grand[[#This Row],[am]:[meat transportation]])/100</f>
        <v>0.89229729729729723</v>
      </c>
      <c r="AD2147" s="2" t="s">
        <v>823</v>
      </c>
      <c r="AE2147" s="2"/>
      <c r="AF2147" s="2"/>
      <c r="AG2147" s="2"/>
      <c r="AH2147" s="2"/>
      <c r="AI2147" s="2"/>
      <c r="AJ2147" s="2">
        <v>0</v>
      </c>
      <c r="AK2147" s="1"/>
      <c r="AL2147" s="1"/>
    </row>
    <row r="2148" spans="1:38" hidden="1" x14ac:dyDescent="0.2">
      <c r="A2148" s="11">
        <v>46004</v>
      </c>
      <c r="B2148" s="53" t="s">
        <v>2385</v>
      </c>
      <c r="C2148" s="52" t="str">
        <f>IF(MID(B2148,4,2)="09","Ramadan",IF(AND(MID(B2148,4,2)="12",VALUE(LEFT(B2148,2))&lt;=9),"Adha Season","Normal"))</f>
        <v>Normal</v>
      </c>
      <c r="D2148" s="1" t="s">
        <v>45</v>
      </c>
      <c r="E2148" s="1" t="s">
        <v>483</v>
      </c>
      <c r="F2148" s="4" t="s">
        <v>959</v>
      </c>
      <c r="G2148" s="1">
        <v>33</v>
      </c>
      <c r="H2148">
        <v>32</v>
      </c>
      <c r="I2148">
        <f>grand[[#This Row],[number]]-grand[[#This Row],[received]]</f>
        <v>1</v>
      </c>
      <c r="J2148" s="30"/>
      <c r="K2148" s="2">
        <v>13759</v>
      </c>
      <c r="L2148" s="2">
        <v>13759</v>
      </c>
      <c r="M2148" s="2">
        <f>K2148-L2148</f>
        <v>0</v>
      </c>
      <c r="N2148" s="2">
        <v>8469.5</v>
      </c>
      <c r="O2148" s="2">
        <v>260</v>
      </c>
      <c r="P2148" s="7">
        <f>grand[[#This Row],[total weight]]/grand[[#This Row],[received]]</f>
        <v>429.96875</v>
      </c>
      <c r="Q2148" s="7">
        <f>grand[[#This Row],[receiving weight]]/grand[[#This Row],[received]]</f>
        <v>429.96875</v>
      </c>
      <c r="R2148" s="7">
        <f>grand[[#This Row],[transportation loss ]]/grand[[#This Row],[received]]</f>
        <v>0</v>
      </c>
      <c r="S2148" s="7">
        <f>grand[[#This Row],[ carcass weight]]/grand[[#This Row],[received]]</f>
        <v>264.671875</v>
      </c>
      <c r="T2148" s="7">
        <f>grand[[#This Row],[ kidneys fat quantity]]/grand[[#This Row],[received]]</f>
        <v>8.125</v>
      </c>
      <c r="U2148">
        <v>25</v>
      </c>
      <c r="V2148">
        <v>0</v>
      </c>
      <c r="W2148">
        <v>49.25</v>
      </c>
      <c r="X2148">
        <v>10</v>
      </c>
      <c r="Y2148">
        <v>8.5</v>
      </c>
      <c r="Z2148" s="18">
        <f>grand[[#This Row],[av. Transportation loss]]/grand[[#This Row],[av.total weight]]</f>
        <v>0</v>
      </c>
      <c r="AA2148" s="18">
        <f>AVERAGE((grand[[#This Row],[am]]/25),(grand[[#This Row],[pm]]/50))</f>
        <v>0.99249999999999994</v>
      </c>
      <c r="AB2148" s="3">
        <f>grand[[#This Row],[ carcass weight]]/grand[[#This Row],[total weight]]</f>
        <v>0.61556072388981753</v>
      </c>
      <c r="AC2148" s="18">
        <f>SUM(grand[[#This Row],[am]:[meat transportation]])/100</f>
        <v>0.92749999999999999</v>
      </c>
      <c r="AD2148" s="2" t="s">
        <v>398</v>
      </c>
      <c r="AE2148" s="2"/>
      <c r="AF2148" s="2"/>
      <c r="AG2148" s="2"/>
      <c r="AH2148" s="2"/>
      <c r="AI2148" s="2"/>
      <c r="AJ2148" s="2">
        <v>0</v>
      </c>
      <c r="AK2148" s="1"/>
      <c r="AL2148" s="1"/>
    </row>
    <row r="2149" spans="1:38" hidden="1" x14ac:dyDescent="0.2">
      <c r="A2149" s="11">
        <v>46008</v>
      </c>
      <c r="B2149" s="53" t="s">
        <v>2389</v>
      </c>
      <c r="C2149" s="52" t="str">
        <f>IF(MID(B2149,4,2)="09","Ramadan",IF(AND(MID(B2149,4,2)="12",VALUE(LEFT(B2149,2))&lt;=9),"Adha Season","Normal"))</f>
        <v>Normal</v>
      </c>
      <c r="D2149" s="2" t="s">
        <v>294</v>
      </c>
      <c r="F2149" s="4" t="s">
        <v>656</v>
      </c>
      <c r="G2149" s="1">
        <v>38</v>
      </c>
      <c r="H2149">
        <v>37</v>
      </c>
      <c r="I2149">
        <f>grand[[#This Row],[number]]-grand[[#This Row],[received]]</f>
        <v>1</v>
      </c>
      <c r="J2149" s="30"/>
      <c r="K2149" s="2">
        <v>1904</v>
      </c>
      <c r="L2149" s="2">
        <v>1904</v>
      </c>
      <c r="M2149" s="2">
        <f>K2149-L2149</f>
        <v>0</v>
      </c>
      <c r="N2149" s="2">
        <v>1111.8</v>
      </c>
      <c r="O2149" s="2">
        <v>0</v>
      </c>
      <c r="P2149" s="7">
        <f>grand[[#This Row],[total weight]]/grand[[#This Row],[received]]</f>
        <v>51.45945945945946</v>
      </c>
      <c r="Q2149" s="7">
        <f>grand[[#This Row],[receiving weight]]/grand[[#This Row],[received]]</f>
        <v>51.45945945945946</v>
      </c>
      <c r="R2149" s="7">
        <f>grand[[#This Row],[transportation loss ]]/grand[[#This Row],[received]]</f>
        <v>0</v>
      </c>
      <c r="S2149" s="7">
        <f>grand[[#This Row],[ carcass weight]]/grand[[#This Row],[received]]</f>
        <v>30.048648648648648</v>
      </c>
      <c r="T2149" s="7">
        <f>grand[[#This Row],[ kidneys fat quantity]]/grand[[#This Row],[received]]</f>
        <v>0</v>
      </c>
      <c r="U2149">
        <v>25</v>
      </c>
      <c r="V2149">
        <v>0</v>
      </c>
      <c r="W2149">
        <v>46.621621621621621</v>
      </c>
      <c r="X2149">
        <v>10</v>
      </c>
      <c r="Y2149">
        <v>8.5</v>
      </c>
      <c r="Z2149" s="18">
        <f>grand[[#This Row],[av. Transportation loss]]/grand[[#This Row],[av.total weight]]</f>
        <v>0</v>
      </c>
      <c r="AA2149" s="18">
        <f>AVERAGE((grand[[#This Row],[am]]/25),(grand[[#This Row],[pm]]/50))</f>
        <v>0.96621621621621623</v>
      </c>
      <c r="AB2149" s="3">
        <f>grand[[#This Row],[ carcass weight]]/grand[[#This Row],[total weight]]</f>
        <v>0.58392857142857135</v>
      </c>
      <c r="AC2149" s="18">
        <f>SUM(grand[[#This Row],[am]:[meat transportation]])/100</f>
        <v>0.90121621621621617</v>
      </c>
      <c r="AD2149" s="2" t="s">
        <v>832</v>
      </c>
      <c r="AE2149" s="2"/>
      <c r="AF2149" s="2"/>
      <c r="AG2149" s="2"/>
      <c r="AH2149" s="2"/>
      <c r="AI2149" s="2"/>
      <c r="AJ2149" s="2">
        <v>0</v>
      </c>
      <c r="AK2149" s="1"/>
      <c r="AL2149" s="1"/>
    </row>
    <row r="2150" spans="1:38" hidden="1" x14ac:dyDescent="0.2">
      <c r="A2150" s="11">
        <v>46008</v>
      </c>
      <c r="B2150" s="53" t="s">
        <v>2389</v>
      </c>
      <c r="C2150" s="52" t="str">
        <f>IF(MID(B2150,4,2)="09","Ramadan",IF(AND(MID(B2150,4,2)="12",VALUE(LEFT(B2150,2))&lt;=9),"Adha Season","Normal"))</f>
        <v>Normal</v>
      </c>
      <c r="D2150" s="1" t="s">
        <v>45</v>
      </c>
      <c r="E2150" s="1" t="s">
        <v>483</v>
      </c>
      <c r="F2150" s="4" t="s">
        <v>959</v>
      </c>
      <c r="G2150" s="1">
        <v>48</v>
      </c>
      <c r="H2150">
        <v>47</v>
      </c>
      <c r="I2150">
        <f>grand[[#This Row],[number]]-grand[[#This Row],[received]]</f>
        <v>1</v>
      </c>
      <c r="J2150" s="30"/>
      <c r="K2150" s="2">
        <v>19300</v>
      </c>
      <c r="L2150" s="2">
        <v>19300</v>
      </c>
      <c r="M2150" s="2">
        <f>K2150-L2150</f>
        <v>0</v>
      </c>
      <c r="N2150" s="2">
        <v>11739.6</v>
      </c>
      <c r="O2150" s="2">
        <v>392</v>
      </c>
      <c r="P2150" s="7">
        <f>grand[[#This Row],[total weight]]/grand[[#This Row],[received]]</f>
        <v>410.63829787234044</v>
      </c>
      <c r="Q2150" s="7">
        <f>grand[[#This Row],[receiving weight]]/grand[[#This Row],[received]]</f>
        <v>410.63829787234044</v>
      </c>
      <c r="R2150" s="7">
        <f>grand[[#This Row],[transportation loss ]]/grand[[#This Row],[received]]</f>
        <v>0</v>
      </c>
      <c r="S2150" s="7">
        <f>grand[[#This Row],[ carcass weight]]/grand[[#This Row],[received]]</f>
        <v>249.77872340425532</v>
      </c>
      <c r="T2150" s="7">
        <f>grand[[#This Row],[ kidneys fat quantity]]/grand[[#This Row],[received]]</f>
        <v>8.3404255319148941</v>
      </c>
      <c r="U2150">
        <v>25</v>
      </c>
      <c r="V2150">
        <v>0</v>
      </c>
      <c r="W2150">
        <v>46.500000000000007</v>
      </c>
      <c r="X2150">
        <v>10</v>
      </c>
      <c r="Y2150">
        <v>8.5</v>
      </c>
      <c r="Z2150" s="18">
        <f>grand[[#This Row],[av. Transportation loss]]/grand[[#This Row],[av.total weight]]</f>
        <v>0</v>
      </c>
      <c r="AA2150" s="18">
        <f>AVERAGE((grand[[#This Row],[am]]/25),(grand[[#This Row],[pm]]/50))</f>
        <v>0.96500000000000008</v>
      </c>
      <c r="AB2150" s="3">
        <f>grand[[#This Row],[ carcass weight]]/grand[[#This Row],[total weight]]</f>
        <v>0.60826943005181344</v>
      </c>
      <c r="AC2150" s="18">
        <f>SUM(grand[[#This Row],[am]:[meat transportation]])/100</f>
        <v>0.9</v>
      </c>
      <c r="AD2150" s="2" t="s">
        <v>833</v>
      </c>
      <c r="AE2150" s="2"/>
      <c r="AF2150" s="2"/>
      <c r="AG2150" s="2"/>
      <c r="AH2150" s="2"/>
      <c r="AI2150" s="2"/>
      <c r="AJ2150" s="2"/>
      <c r="AK2150" s="1"/>
      <c r="AL2150" s="1"/>
    </row>
    <row r="2151" spans="1:38" hidden="1" x14ac:dyDescent="0.2">
      <c r="A2151" s="11">
        <v>46013</v>
      </c>
      <c r="B2151" s="53" t="s">
        <v>2393</v>
      </c>
      <c r="C2151" s="52" t="str">
        <f>IF(MID(B2151,4,2)="09","Ramadan",IF(AND(MID(B2151,4,2)="12",VALUE(LEFT(B2151,2))&lt;=9),"Adha Season","Normal"))</f>
        <v>Normal</v>
      </c>
      <c r="D2151" s="1" t="s">
        <v>45</v>
      </c>
      <c r="E2151" s="1" t="s">
        <v>483</v>
      </c>
      <c r="F2151" s="4" t="s">
        <v>815</v>
      </c>
      <c r="G2151" s="1">
        <v>48</v>
      </c>
      <c r="H2151">
        <v>47</v>
      </c>
      <c r="I2151">
        <f>grand[[#This Row],[number]]-grand[[#This Row],[received]]</f>
        <v>1</v>
      </c>
      <c r="J2151" s="30"/>
      <c r="K2151" s="2">
        <v>23890</v>
      </c>
      <c r="L2151" s="2">
        <v>23250</v>
      </c>
      <c r="M2151" s="2">
        <f>K2151-L2151</f>
        <v>640</v>
      </c>
      <c r="N2151" s="2">
        <v>15113.2</v>
      </c>
      <c r="O2151" s="2">
        <v>519</v>
      </c>
      <c r="P2151" s="7">
        <f>grand[[#This Row],[total weight]]/grand[[#This Row],[received]]</f>
        <v>508.29787234042556</v>
      </c>
      <c r="Q2151" s="7">
        <f>grand[[#This Row],[receiving weight]]/grand[[#This Row],[received]]</f>
        <v>494.68085106382978</v>
      </c>
      <c r="R2151" s="7">
        <f>grand[[#This Row],[transportation loss ]]/grand[[#This Row],[received]]</f>
        <v>13.617021276595745</v>
      </c>
      <c r="S2151" s="7">
        <f>grand[[#This Row],[ carcass weight]]/grand[[#This Row],[received]]</f>
        <v>321.55744680851063</v>
      </c>
      <c r="T2151" s="7">
        <f>grand[[#This Row],[ kidneys fat quantity]]/grand[[#This Row],[received]]</f>
        <v>11.042553191489361</v>
      </c>
      <c r="U2151">
        <v>25</v>
      </c>
      <c r="V2151">
        <v>0</v>
      </c>
      <c r="W2151">
        <v>47.691489361702125</v>
      </c>
      <c r="X2151">
        <v>10</v>
      </c>
      <c r="Y2151">
        <v>8.5</v>
      </c>
      <c r="Z2151" s="18">
        <f>grand[[#This Row],[av. Transportation loss]]/grand[[#This Row],[av.total weight]]</f>
        <v>2.678945165341147E-2</v>
      </c>
      <c r="AA2151" s="18">
        <f>AVERAGE((grand[[#This Row],[am]]/25),(grand[[#This Row],[pm]]/50))</f>
        <v>0.97691489361702133</v>
      </c>
      <c r="AB2151" s="3">
        <f>grand[[#This Row],[ carcass weight]]/grand[[#This Row],[total weight]]</f>
        <v>0.63261615738802845</v>
      </c>
      <c r="AC2151" s="18">
        <f>SUM(grand[[#This Row],[am]:[meat transportation]])/100</f>
        <v>0.91191489361702127</v>
      </c>
      <c r="AD2151" s="2" t="s">
        <v>844</v>
      </c>
      <c r="AE2151" s="2"/>
      <c r="AF2151" s="2"/>
      <c r="AG2151" s="2"/>
      <c r="AH2151" s="2"/>
      <c r="AI2151" s="2"/>
      <c r="AJ2151" s="2">
        <v>3</v>
      </c>
      <c r="AK2151" s="1"/>
      <c r="AL2151" s="1"/>
    </row>
    <row r="2152" spans="1:38" hidden="1" x14ac:dyDescent="0.2">
      <c r="A2152" s="11">
        <v>46016</v>
      </c>
      <c r="B2152" s="53" t="s">
        <v>2396</v>
      </c>
      <c r="C2152" s="52" t="str">
        <f>IF(MID(B2152,4,2)="09","Ramadan",IF(AND(MID(B2152,4,2)="12",VALUE(LEFT(B2152,2))&lt;=9),"Adha Season","Normal"))</f>
        <v>Normal</v>
      </c>
      <c r="D2152" s="1" t="s">
        <v>45</v>
      </c>
      <c r="E2152" s="1" t="s">
        <v>483</v>
      </c>
      <c r="F2152" s="4" t="s">
        <v>576</v>
      </c>
      <c r="G2152" s="1">
        <v>60</v>
      </c>
      <c r="H2152">
        <v>59</v>
      </c>
      <c r="I2152">
        <f>grand[[#This Row],[number]]-grand[[#This Row],[received]]</f>
        <v>1</v>
      </c>
      <c r="J2152" s="30"/>
      <c r="K2152" s="2">
        <v>29462</v>
      </c>
      <c r="L2152" s="2">
        <v>29462</v>
      </c>
      <c r="M2152" s="2">
        <f>K2152-L2152</f>
        <v>0</v>
      </c>
      <c r="N2152" s="2">
        <v>18225.7</v>
      </c>
      <c r="O2152" s="2">
        <v>568</v>
      </c>
      <c r="P2152" s="7">
        <f>grand[[#This Row],[total weight]]/grand[[#This Row],[received]]</f>
        <v>499.35593220338984</v>
      </c>
      <c r="Q2152" s="7">
        <f>grand[[#This Row],[receiving weight]]/grand[[#This Row],[received]]</f>
        <v>499.35593220338984</v>
      </c>
      <c r="R2152" s="7">
        <f>grand[[#This Row],[transportation loss ]]/grand[[#This Row],[received]]</f>
        <v>0</v>
      </c>
      <c r="S2152" s="7">
        <f>grand[[#This Row],[ carcass weight]]/grand[[#This Row],[received]]</f>
        <v>308.91016949152544</v>
      </c>
      <c r="T2152" s="7">
        <f>grand[[#This Row],[ kidneys fat quantity]]/grand[[#This Row],[received]]</f>
        <v>9.6271186440677958</v>
      </c>
      <c r="U2152">
        <v>25</v>
      </c>
      <c r="V2152">
        <v>0</v>
      </c>
      <c r="W2152">
        <v>47.915254237288131</v>
      </c>
      <c r="X2152">
        <v>10</v>
      </c>
      <c r="Y2152">
        <v>8.5</v>
      </c>
      <c r="Z2152" s="18">
        <f>grand[[#This Row],[av. Transportation loss]]/grand[[#This Row],[av.total weight]]</f>
        <v>0</v>
      </c>
      <c r="AA2152" s="18">
        <f>AVERAGE((grand[[#This Row],[am]]/25),(grand[[#This Row],[pm]]/50))</f>
        <v>0.9791525423728813</v>
      </c>
      <c r="AB2152" s="3">
        <f>grand[[#This Row],[ carcass weight]]/grand[[#This Row],[total weight]]</f>
        <v>0.61861720181929269</v>
      </c>
      <c r="AC2152" s="18">
        <f>SUM(grand[[#This Row],[am]:[meat transportation]])/100</f>
        <v>0.91415254237288135</v>
      </c>
      <c r="AD2152" s="2" t="s">
        <v>853</v>
      </c>
      <c r="AE2152" s="2"/>
      <c r="AF2152" s="2"/>
      <c r="AG2152" s="2"/>
      <c r="AH2152" s="2"/>
      <c r="AI2152" s="2"/>
      <c r="AJ2152" s="2">
        <v>14</v>
      </c>
      <c r="AK2152" s="1"/>
      <c r="AL2152" s="1"/>
    </row>
    <row r="2153" spans="1:38" hidden="1" x14ac:dyDescent="0.2">
      <c r="A2153" s="11">
        <v>46020</v>
      </c>
      <c r="B2153" s="53" t="s">
        <v>2399</v>
      </c>
      <c r="C2153" s="52" t="str">
        <f>IF(MID(B2153,4,2)="09","Ramadan",IF(AND(MID(B2153,4,2)="12",VALUE(LEFT(B2153,2))&lt;=9),"Adha Season","Normal"))</f>
        <v>Normal</v>
      </c>
      <c r="D2153" s="1" t="s">
        <v>45</v>
      </c>
      <c r="E2153" s="1" t="s">
        <v>483</v>
      </c>
      <c r="F2153" s="4" t="s">
        <v>746</v>
      </c>
      <c r="G2153" s="1">
        <v>48</v>
      </c>
      <c r="H2153">
        <v>47</v>
      </c>
      <c r="I2153">
        <f>grand[[#This Row],[number]]-grand[[#This Row],[received]]</f>
        <v>1</v>
      </c>
      <c r="J2153" s="30"/>
      <c r="K2153" s="2">
        <v>25541</v>
      </c>
      <c r="L2153" s="2">
        <v>25541</v>
      </c>
      <c r="M2153" s="2">
        <f>K2153-L2153</f>
        <v>0</v>
      </c>
      <c r="N2153" s="2">
        <v>15325.6</v>
      </c>
      <c r="O2153" s="2">
        <v>573</v>
      </c>
      <c r="P2153" s="7">
        <f>grand[[#This Row],[total weight]]/grand[[#This Row],[received]]</f>
        <v>543.42553191489367</v>
      </c>
      <c r="Q2153" s="7">
        <f>grand[[#This Row],[receiving weight]]/grand[[#This Row],[received]]</f>
        <v>543.42553191489367</v>
      </c>
      <c r="R2153" s="7">
        <f>grand[[#This Row],[transportation loss ]]/grand[[#This Row],[received]]</f>
        <v>0</v>
      </c>
      <c r="S2153" s="7">
        <f>grand[[#This Row],[ carcass weight]]/grand[[#This Row],[received]]</f>
        <v>326.07659574468084</v>
      </c>
      <c r="T2153" s="7">
        <f>grand[[#This Row],[ kidneys fat quantity]]/grand[[#This Row],[received]]</f>
        <v>12.191489361702128</v>
      </c>
      <c r="U2153">
        <v>23.404255319148938</v>
      </c>
      <c r="V2153">
        <v>0</v>
      </c>
      <c r="W2153">
        <v>45.38297872340425</v>
      </c>
      <c r="X2153">
        <v>10</v>
      </c>
      <c r="Y2153">
        <v>8.5</v>
      </c>
      <c r="Z2153" s="18">
        <f>grand[[#This Row],[av. Transportation loss]]/grand[[#This Row],[av.total weight]]</f>
        <v>0</v>
      </c>
      <c r="AA2153" s="18">
        <f>AVERAGE((grand[[#This Row],[am]]/25),(grand[[#This Row],[pm]]/50))</f>
        <v>0.92191489361702117</v>
      </c>
      <c r="AB2153" s="3">
        <f>grand[[#This Row],[ carcass weight]]/grand[[#This Row],[total weight]]</f>
        <v>0.60003915273481856</v>
      </c>
      <c r="AC2153" s="18">
        <f>SUM(grand[[#This Row],[am]:[meat transportation]])/100</f>
        <v>0.87287234042553197</v>
      </c>
      <c r="AD2153" s="2" t="s">
        <v>861</v>
      </c>
      <c r="AE2153" s="2"/>
      <c r="AF2153" s="2"/>
      <c r="AG2153" s="2"/>
      <c r="AH2153" s="2"/>
      <c r="AI2153" s="2"/>
      <c r="AJ2153" s="2">
        <v>32</v>
      </c>
      <c r="AK2153" s="1"/>
      <c r="AL2153" s="1"/>
    </row>
    <row r="2154" spans="1:38" hidden="1" x14ac:dyDescent="0.2">
      <c r="A2154" s="11">
        <v>46021</v>
      </c>
      <c r="B2154" s="53" t="s">
        <v>2400</v>
      </c>
      <c r="C2154" s="52" t="str">
        <f>IF(MID(B2154,4,2)="09","Ramadan",IF(AND(MID(B2154,4,2)="12",VALUE(LEFT(B2154,2))&lt;=9),"Adha Season","Normal"))</f>
        <v>Normal</v>
      </c>
      <c r="D2154" s="1" t="s">
        <v>45</v>
      </c>
      <c r="E2154" s="1" t="s">
        <v>528</v>
      </c>
      <c r="F2154" s="4" t="s">
        <v>770</v>
      </c>
      <c r="G2154" s="1">
        <v>45</v>
      </c>
      <c r="H2154">
        <v>44</v>
      </c>
      <c r="I2154">
        <f>grand[[#This Row],[number]]-grand[[#This Row],[received]]</f>
        <v>1</v>
      </c>
      <c r="J2154" s="30"/>
      <c r="K2154" s="2">
        <v>22261.392405063289</v>
      </c>
      <c r="L2154" s="2">
        <v>22261.392405063289</v>
      </c>
      <c r="M2154" s="2">
        <f>K2154-L2154</f>
        <v>0</v>
      </c>
      <c r="N2154" s="2">
        <v>14069.2</v>
      </c>
      <c r="O2154" s="2">
        <v>0</v>
      </c>
      <c r="P2154" s="7">
        <f>grand[[#This Row],[total weight]]/grand[[#This Row],[received]]</f>
        <v>505.94073647871113</v>
      </c>
      <c r="Q2154" s="7">
        <f>grand[[#This Row],[receiving weight]]/grand[[#This Row],[received]]</f>
        <v>505.94073647871113</v>
      </c>
      <c r="R2154" s="7">
        <f>grand[[#This Row],[transportation loss ]]/grand[[#This Row],[received]]</f>
        <v>0</v>
      </c>
      <c r="S2154" s="7">
        <f>grand[[#This Row],[ carcass weight]]/grand[[#This Row],[received]]</f>
        <v>319.75454545454545</v>
      </c>
      <c r="T2154" s="7">
        <f>grand[[#This Row],[ kidneys fat quantity]]/grand[[#This Row],[received]]</f>
        <v>0</v>
      </c>
      <c r="U2154">
        <v>24.886363636363637</v>
      </c>
      <c r="V2154">
        <v>4</v>
      </c>
      <c r="W2154">
        <v>45</v>
      </c>
      <c r="X2154">
        <v>10</v>
      </c>
      <c r="Y2154">
        <v>8.5</v>
      </c>
      <c r="Z2154" s="18">
        <f>grand[[#This Row],[av. Transportation loss]]/grand[[#This Row],[av.total weight]]</f>
        <v>0</v>
      </c>
      <c r="AA2154" s="18">
        <f>AVERAGE((grand[[#This Row],[am]]/25),(grand[[#This Row],[pm]]/50))</f>
        <v>0.94772727272727275</v>
      </c>
      <c r="AB2154" s="3">
        <f>grand[[#This Row],[ carcass weight]]/grand[[#This Row],[total weight]]</f>
        <v>0.63200000000000012</v>
      </c>
      <c r="AC2154" s="18">
        <f>SUM(grand[[#This Row],[am]:[meat transportation]])/100</f>
        <v>0.92386363636363644</v>
      </c>
      <c r="AD2154" s="2" t="s">
        <v>867</v>
      </c>
      <c r="AE2154" s="2"/>
      <c r="AF2154" s="2"/>
      <c r="AG2154" s="2"/>
      <c r="AH2154" s="2"/>
      <c r="AI2154" s="2"/>
      <c r="AJ2154" s="2">
        <v>15</v>
      </c>
      <c r="AK2154" s="1"/>
      <c r="AL2154" s="1"/>
    </row>
    <row r="2155" spans="1:38" x14ac:dyDescent="0.2">
      <c r="A2155" s="11">
        <v>46151</v>
      </c>
      <c r="B2155" s="53" t="s">
        <v>2492</v>
      </c>
      <c r="C2155" s="52" t="str">
        <f>IF(MID(B2155,4,2)="09","Ramadan",IF(AND(MID(B2155,4,2)="12",VALUE(LEFT(B2155,2))&lt;=9),"Adha Season","Normal"))</f>
        <v>Normal</v>
      </c>
      <c r="D2155" s="2" t="s">
        <v>1187</v>
      </c>
      <c r="F2155" s="4" t="s">
        <v>1023</v>
      </c>
      <c r="G2155" s="1">
        <v>76</v>
      </c>
      <c r="H2155">
        <v>75</v>
      </c>
      <c r="I2155">
        <f>grand[[#This Row],[number]]-grand[[#This Row],[received]]</f>
        <v>1</v>
      </c>
      <c r="J2155" s="9" t="s">
        <v>1203</v>
      </c>
      <c r="K2155" s="2">
        <v>32113</v>
      </c>
      <c r="L2155" s="2">
        <v>32113</v>
      </c>
      <c r="M2155" s="2">
        <f>K2155-L2155</f>
        <v>0</v>
      </c>
      <c r="N2155" s="2">
        <v>18955</v>
      </c>
      <c r="O2155" s="2">
        <v>0</v>
      </c>
      <c r="P2155" s="7">
        <f>grand[[#This Row],[total weight]]/grand[[#This Row],[received]]</f>
        <v>428.17333333333335</v>
      </c>
      <c r="Q2155" s="7">
        <f>grand[[#This Row],[receiving weight]]/grand[[#This Row],[received]]</f>
        <v>428.17333333333335</v>
      </c>
      <c r="R2155" s="7">
        <f>grand[[#This Row],[transportation loss ]]/grand[[#This Row],[received]]</f>
        <v>0</v>
      </c>
      <c r="S2155" s="7">
        <f>grand[[#This Row],[ carcass weight]]/grand[[#This Row],[received]]</f>
        <v>252.73333333333332</v>
      </c>
      <c r="T2155" s="7">
        <f>grand[[#This Row],[ kidneys fat quantity]]/grand[[#This Row],[received]]</f>
        <v>0</v>
      </c>
      <c r="U2155">
        <v>25</v>
      </c>
      <c r="V2155">
        <v>0</v>
      </c>
      <c r="W2155">
        <v>45.8</v>
      </c>
      <c r="X2155">
        <v>10</v>
      </c>
      <c r="Y2155">
        <v>8.5</v>
      </c>
      <c r="Z2155" s="18">
        <f>grand[[#This Row],[av. Transportation loss]]/grand[[#This Row],[av.total weight]]</f>
        <v>0</v>
      </c>
      <c r="AA2155" s="18">
        <f>AVERAGE((grand[[#This Row],[am]]/25),(grand[[#This Row],[pm]]/50))</f>
        <v>0.95799999999999996</v>
      </c>
      <c r="AB2155" s="3">
        <f>grand[[#This Row],[ carcass weight]]/grand[[#This Row],[total weight]]</f>
        <v>0.59025939650608783</v>
      </c>
      <c r="AC2155" s="18">
        <f>SUM(grand[[#This Row],[am]:[meat transportation]])/100</f>
        <v>0.89300000000000002</v>
      </c>
      <c r="AD2155" s="2" t="s">
        <v>1185</v>
      </c>
      <c r="AE2155" s="2"/>
      <c r="AF2155" s="2"/>
      <c r="AG2155" s="2"/>
      <c r="AH2155" s="2"/>
      <c r="AI2155" s="2"/>
      <c r="AJ2155" s="2">
        <v>0</v>
      </c>
    </row>
    <row r="2156" spans="1:38" hidden="1" x14ac:dyDescent="0.2">
      <c r="A2156" s="11">
        <v>46153</v>
      </c>
      <c r="B2156" s="53" t="s">
        <v>2493</v>
      </c>
      <c r="C2156" s="52" t="str">
        <f>IF(MID(B2156,4,2)="09","Ramadan",IF(AND(MID(B2156,4,2)="12",VALUE(LEFT(B2156,2))&lt;=9),"Adha Season","Normal"))</f>
        <v>Normal</v>
      </c>
      <c r="D2156" s="2" t="s">
        <v>1187</v>
      </c>
      <c r="F2156" s="4" t="s">
        <v>1023</v>
      </c>
      <c r="G2156" s="1">
        <v>75</v>
      </c>
      <c r="H2156">
        <v>75</v>
      </c>
      <c r="I2156">
        <f>grand[[#This Row],[number]]-grand[[#This Row],[received]]</f>
        <v>0</v>
      </c>
      <c r="J2156" s="2"/>
      <c r="K2156" s="2">
        <v>30666</v>
      </c>
      <c r="L2156" s="2">
        <v>30666</v>
      </c>
      <c r="M2156" s="2">
        <f>K2156-L2156</f>
        <v>0</v>
      </c>
      <c r="N2156" s="2">
        <v>18115</v>
      </c>
      <c r="O2156" s="2">
        <v>0</v>
      </c>
      <c r="P2156" s="7">
        <f>grand[[#This Row],[total weight]]/grand[[#This Row],[received]]</f>
        <v>408.88</v>
      </c>
      <c r="Q2156" s="7">
        <f>grand[[#This Row],[receiving weight]]/grand[[#This Row],[received]]</f>
        <v>408.88</v>
      </c>
      <c r="R2156" s="7">
        <f>grand[[#This Row],[transportation loss ]]/grand[[#This Row],[received]]</f>
        <v>0</v>
      </c>
      <c r="S2156" s="7">
        <f>grand[[#This Row],[ carcass weight]]/grand[[#This Row],[received]]</f>
        <v>241.53333333333333</v>
      </c>
      <c r="T2156" s="7">
        <f>grand[[#This Row],[ kidneys fat quantity]]/grand[[#This Row],[received]]</f>
        <v>0</v>
      </c>
      <c r="U2156">
        <v>25</v>
      </c>
      <c r="V2156">
        <v>0</v>
      </c>
      <c r="W2156">
        <v>46.666666666666671</v>
      </c>
      <c r="X2156">
        <v>10</v>
      </c>
      <c r="Y2156">
        <v>8.5</v>
      </c>
      <c r="Z2156" s="18">
        <f>grand[[#This Row],[av. Transportation loss]]/grand[[#This Row],[av.total weight]]</f>
        <v>0</v>
      </c>
      <c r="AA2156" s="18">
        <f>AVERAGE((grand[[#This Row],[am]]/25),(grand[[#This Row],[pm]]/50))</f>
        <v>0.96666666666666679</v>
      </c>
      <c r="AB2156" s="3">
        <f>grand[[#This Row],[ carcass weight]]/grand[[#This Row],[total weight]]</f>
        <v>0.59071936346442311</v>
      </c>
      <c r="AC2156" s="18">
        <f>SUM(grand[[#This Row],[am]:[meat transportation]])/100</f>
        <v>0.90166666666666673</v>
      </c>
      <c r="AD2156" s="2" t="s">
        <v>1150</v>
      </c>
      <c r="AE2156" s="2"/>
      <c r="AF2156" s="2"/>
      <c r="AG2156" s="2"/>
      <c r="AH2156" s="2"/>
      <c r="AI2156" s="2"/>
      <c r="AJ2156" s="2">
        <v>2</v>
      </c>
    </row>
    <row r="2157" spans="1:38" hidden="1" x14ac:dyDescent="0.2">
      <c r="A2157" s="11">
        <v>46153</v>
      </c>
      <c r="B2157" s="53" t="s">
        <v>2493</v>
      </c>
      <c r="C2157" s="52" t="str">
        <f>IF(MID(B2157,4,2)="09","Ramadan",IF(AND(MID(B2157,4,2)="12",VALUE(LEFT(B2157,2))&lt;=9),"Adha Season","Normal"))</f>
        <v>Normal</v>
      </c>
      <c r="D2157" s="2" t="s">
        <v>1187</v>
      </c>
      <c r="F2157" s="4" t="s">
        <v>954</v>
      </c>
      <c r="G2157" s="1">
        <v>78</v>
      </c>
      <c r="H2157">
        <v>78</v>
      </c>
      <c r="I2157">
        <f>grand[[#This Row],[number]]-grand[[#This Row],[received]]</f>
        <v>0</v>
      </c>
      <c r="J2157" s="2"/>
      <c r="K2157" s="2">
        <v>32743</v>
      </c>
      <c r="L2157" s="2">
        <v>32743</v>
      </c>
      <c r="M2157" s="2">
        <f>K2157-L2157</f>
        <v>0</v>
      </c>
      <c r="N2157" s="2">
        <v>19672</v>
      </c>
      <c r="O2157" s="2">
        <v>491</v>
      </c>
      <c r="P2157" s="7">
        <f>grand[[#This Row],[total weight]]/grand[[#This Row],[received]]</f>
        <v>419.78205128205127</v>
      </c>
      <c r="Q2157" s="7">
        <f>grand[[#This Row],[receiving weight]]/grand[[#This Row],[received]]</f>
        <v>419.78205128205127</v>
      </c>
      <c r="R2157" s="7">
        <f>grand[[#This Row],[transportation loss ]]/grand[[#This Row],[received]]</f>
        <v>0</v>
      </c>
      <c r="S2157" s="7">
        <f>grand[[#This Row],[ carcass weight]]/grand[[#This Row],[received]]</f>
        <v>252.2051282051282</v>
      </c>
      <c r="T2157" s="7">
        <f>grand[[#This Row],[ kidneys fat quantity]]/grand[[#This Row],[received]]</f>
        <v>6.2948717948717947</v>
      </c>
      <c r="U2157">
        <v>25</v>
      </c>
      <c r="V2157">
        <v>0</v>
      </c>
      <c r="W2157">
        <v>48.250000000000007</v>
      </c>
      <c r="X2157">
        <v>10</v>
      </c>
      <c r="Y2157">
        <v>8.5</v>
      </c>
      <c r="Z2157" s="18">
        <f>grand[[#This Row],[av. Transportation loss]]/grand[[#This Row],[av.total weight]]</f>
        <v>0</v>
      </c>
      <c r="AA2157" s="18">
        <f>AVERAGE((grand[[#This Row],[am]]/25),(grand[[#This Row],[pm]]/50))</f>
        <v>0.98250000000000015</v>
      </c>
      <c r="AB2157" s="3">
        <f>grand[[#This Row],[ carcass weight]]/grand[[#This Row],[total weight]]</f>
        <v>0.60080017102892225</v>
      </c>
      <c r="AC2157" s="18">
        <f>SUM(grand[[#This Row],[am]:[meat transportation]])/100</f>
        <v>0.91749999999999998</v>
      </c>
      <c r="AD2157" s="2" t="s">
        <v>1151</v>
      </c>
      <c r="AE2157" s="2"/>
      <c r="AF2157" s="2"/>
      <c r="AG2157" s="2"/>
      <c r="AH2157" s="2"/>
      <c r="AI2157" s="2"/>
      <c r="AJ2157" s="2">
        <v>0</v>
      </c>
    </row>
    <row r="2158" spans="1:38" hidden="1" x14ac:dyDescent="0.2">
      <c r="A2158" s="11">
        <v>46153</v>
      </c>
      <c r="B2158" s="53" t="s">
        <v>2493</v>
      </c>
      <c r="C2158" s="52" t="str">
        <f>IF(MID(B2158,4,2)="09","Ramadan",IF(AND(MID(B2158,4,2)="12",VALUE(LEFT(B2158,2))&lt;=9),"Adha Season","Normal"))</f>
        <v>Normal</v>
      </c>
      <c r="D2158" s="2" t="s">
        <v>1079</v>
      </c>
      <c r="F2158" s="4" t="s">
        <v>165</v>
      </c>
      <c r="G2158" s="1">
        <v>68</v>
      </c>
      <c r="H2158">
        <v>68</v>
      </c>
      <c r="I2158">
        <f>grand[[#This Row],[number]]-grand[[#This Row],[received]]</f>
        <v>0</v>
      </c>
      <c r="J2158" s="2"/>
      <c r="K2158" s="2">
        <v>3817</v>
      </c>
      <c r="L2158" s="2">
        <v>3817</v>
      </c>
      <c r="M2158" s="2">
        <f>K2158-L2158</f>
        <v>0</v>
      </c>
      <c r="N2158" s="2">
        <v>2146</v>
      </c>
      <c r="O2158" s="2">
        <v>0</v>
      </c>
      <c r="P2158" s="7">
        <f>grand[[#This Row],[total weight]]/grand[[#This Row],[received]]</f>
        <v>56.132352941176471</v>
      </c>
      <c r="Q2158" s="7">
        <f>grand[[#This Row],[receiving weight]]/grand[[#This Row],[received]]</f>
        <v>56.132352941176471</v>
      </c>
      <c r="R2158" s="7">
        <f>grand[[#This Row],[transportation loss ]]/grand[[#This Row],[received]]</f>
        <v>0</v>
      </c>
      <c r="S2158" s="7">
        <f>grand[[#This Row],[ carcass weight]]/grand[[#This Row],[received]]</f>
        <v>31.558823529411764</v>
      </c>
      <c r="T2158" s="7">
        <f>grand[[#This Row],[ kidneys fat quantity]]/grand[[#This Row],[received]]</f>
        <v>0</v>
      </c>
      <c r="U2158">
        <v>25</v>
      </c>
      <c r="V2158">
        <v>0</v>
      </c>
      <c r="W2158">
        <v>48.661764705882355</v>
      </c>
      <c r="X2158">
        <v>10</v>
      </c>
      <c r="Y2158">
        <v>8.5</v>
      </c>
      <c r="Z2158" s="18">
        <f>grand[[#This Row],[av. Transportation loss]]/grand[[#This Row],[av.total weight]]</f>
        <v>0</v>
      </c>
      <c r="AA2158" s="18">
        <f>AVERAGE((grand[[#This Row],[am]]/25),(grand[[#This Row],[pm]]/50))</f>
        <v>0.98661764705882349</v>
      </c>
      <c r="AB2158" s="3">
        <f>grand[[#This Row],[ carcass weight]]/grand[[#This Row],[total weight]]</f>
        <v>0.56222164003143826</v>
      </c>
      <c r="AC2158" s="18">
        <f>SUM(grand[[#This Row],[am]:[meat transportation]])/100</f>
        <v>0.92161764705882343</v>
      </c>
      <c r="AD2158" s="2" t="s">
        <v>730</v>
      </c>
      <c r="AE2158" s="2"/>
      <c r="AF2158" s="2"/>
      <c r="AG2158" s="2"/>
      <c r="AH2158" s="2"/>
      <c r="AI2158" s="2"/>
      <c r="AJ2158" s="2">
        <v>0</v>
      </c>
    </row>
    <row r="2159" spans="1:38" hidden="1" x14ac:dyDescent="0.2">
      <c r="A2159" s="11">
        <v>46155</v>
      </c>
      <c r="B2159" s="53" t="s">
        <v>2494</v>
      </c>
      <c r="C2159" s="52" t="str">
        <f>IF(MID(B2159,4,2)="09","Ramadan",IF(AND(MID(B2159,4,2)="12",VALUE(LEFT(B2159,2))&lt;=9),"Adha Season","Normal"))</f>
        <v>Normal</v>
      </c>
      <c r="D2159" s="2" t="s">
        <v>1187</v>
      </c>
      <c r="F2159" s="4" t="s">
        <v>746</v>
      </c>
      <c r="G2159" s="1">
        <v>42</v>
      </c>
      <c r="H2159">
        <v>42</v>
      </c>
      <c r="I2159">
        <f>grand[[#This Row],[number]]-grand[[#This Row],[received]]</f>
        <v>0</v>
      </c>
      <c r="J2159" s="2"/>
      <c r="K2159" s="2">
        <v>21633</v>
      </c>
      <c r="L2159" s="2">
        <v>21633</v>
      </c>
      <c r="M2159" s="2">
        <f>K2159-L2159</f>
        <v>0</v>
      </c>
      <c r="N2159" s="2">
        <v>12979</v>
      </c>
      <c r="O2159" s="2">
        <v>387</v>
      </c>
      <c r="P2159" s="7">
        <f>grand[[#This Row],[total weight]]/grand[[#This Row],[received]]</f>
        <v>515.07142857142856</v>
      </c>
      <c r="Q2159" s="7">
        <f>grand[[#This Row],[receiving weight]]/grand[[#This Row],[received]]</f>
        <v>515.07142857142856</v>
      </c>
      <c r="R2159" s="7">
        <f>grand[[#This Row],[transportation loss ]]/grand[[#This Row],[received]]</f>
        <v>0</v>
      </c>
      <c r="S2159" s="7">
        <f>grand[[#This Row],[ carcass weight]]/grand[[#This Row],[received]]</f>
        <v>309.02380952380952</v>
      </c>
      <c r="T2159" s="7">
        <f>grand[[#This Row],[ kidneys fat quantity]]/grand[[#This Row],[received]]</f>
        <v>9.2142857142857135</v>
      </c>
      <c r="U2159">
        <v>24.547619047619047</v>
      </c>
      <c r="V2159">
        <v>0</v>
      </c>
      <c r="W2159">
        <v>46.761904761904766</v>
      </c>
      <c r="X2159">
        <v>10</v>
      </c>
      <c r="Y2159">
        <v>8.5</v>
      </c>
      <c r="Z2159" s="18">
        <f>grand[[#This Row],[av. Transportation loss]]/grand[[#This Row],[av.total weight]]</f>
        <v>0</v>
      </c>
      <c r="AA2159" s="18">
        <f>AVERAGE((grand[[#This Row],[am]]/25),(grand[[#This Row],[pm]]/50))</f>
        <v>0.95857142857142863</v>
      </c>
      <c r="AB2159" s="3">
        <f>grand[[#This Row],[ carcass weight]]/grand[[#This Row],[total weight]]</f>
        <v>0.59996301946100861</v>
      </c>
      <c r="AC2159" s="18">
        <f>SUM(grand[[#This Row],[am]:[meat transportation]])/100</f>
        <v>0.89809523809523806</v>
      </c>
      <c r="AD2159" s="2" t="s">
        <v>1152</v>
      </c>
      <c r="AE2159" s="2"/>
      <c r="AF2159" s="2"/>
      <c r="AG2159" s="2"/>
      <c r="AH2159" s="2"/>
      <c r="AI2159" s="2"/>
      <c r="AJ2159" s="2">
        <v>17</v>
      </c>
    </row>
    <row r="2160" spans="1:38" hidden="1" x14ac:dyDescent="0.2">
      <c r="A2160" s="11">
        <v>46155</v>
      </c>
      <c r="B2160" s="53" t="s">
        <v>2494</v>
      </c>
      <c r="C2160" s="52" t="str">
        <f>IF(MID(B2160,4,2)="09","Ramadan",IF(AND(MID(B2160,4,2)="12",VALUE(LEFT(B2160,2))&lt;=9),"Adha Season","Normal"))</f>
        <v>Normal</v>
      </c>
      <c r="D2160" s="2" t="s">
        <v>1079</v>
      </c>
      <c r="F2160" s="4" t="s">
        <v>954</v>
      </c>
      <c r="G2160" s="1">
        <v>37</v>
      </c>
      <c r="H2160">
        <v>37</v>
      </c>
      <c r="I2160">
        <f>grand[[#This Row],[number]]-grand[[#This Row],[received]]</f>
        <v>0</v>
      </c>
      <c r="J2160" s="2"/>
      <c r="K2160" s="2">
        <v>1924</v>
      </c>
      <c r="L2160" s="2">
        <v>1924</v>
      </c>
      <c r="M2160" s="2">
        <f>K2160-L2160</f>
        <v>0</v>
      </c>
      <c r="N2160" s="2">
        <v>1108</v>
      </c>
      <c r="O2160" s="2">
        <v>0</v>
      </c>
      <c r="P2160" s="7">
        <f>grand[[#This Row],[total weight]]/grand[[#This Row],[received]]</f>
        <v>52</v>
      </c>
      <c r="Q2160" s="7">
        <f>grand[[#This Row],[receiving weight]]/grand[[#This Row],[received]]</f>
        <v>52</v>
      </c>
      <c r="R2160" s="7">
        <f>grand[[#This Row],[transportation loss ]]/grand[[#This Row],[received]]</f>
        <v>0</v>
      </c>
      <c r="S2160" s="7">
        <f>grand[[#This Row],[ carcass weight]]/grand[[#This Row],[received]]</f>
        <v>29.945945945945947</v>
      </c>
      <c r="T2160" s="7">
        <f>grand[[#This Row],[ kidneys fat quantity]]/grand[[#This Row],[received]]</f>
        <v>0</v>
      </c>
      <c r="U2160">
        <v>25</v>
      </c>
      <c r="V2160">
        <v>0</v>
      </c>
      <c r="W2160">
        <v>48.972972972972968</v>
      </c>
      <c r="X2160">
        <v>10</v>
      </c>
      <c r="Y2160">
        <v>8.5</v>
      </c>
      <c r="Z2160" s="18">
        <f>grand[[#This Row],[av. Transportation loss]]/grand[[#This Row],[av.total weight]]</f>
        <v>0</v>
      </c>
      <c r="AA2160" s="18">
        <f>AVERAGE((grand[[#This Row],[am]]/25),(grand[[#This Row],[pm]]/50))</f>
        <v>0.98972972972972961</v>
      </c>
      <c r="AB2160" s="3">
        <f>grand[[#This Row],[ carcass weight]]/grand[[#This Row],[total weight]]</f>
        <v>0.57588357588357586</v>
      </c>
      <c r="AC2160" s="18">
        <f>SUM(grand[[#This Row],[am]:[meat transportation]])/100</f>
        <v>0.92472972972972967</v>
      </c>
      <c r="AD2160" s="2" t="s">
        <v>411</v>
      </c>
      <c r="AE2160" s="2"/>
      <c r="AF2160" s="2"/>
      <c r="AG2160" s="2"/>
      <c r="AH2160" s="2"/>
      <c r="AI2160" s="2"/>
      <c r="AJ2160" s="2">
        <v>0</v>
      </c>
    </row>
    <row r="2161" spans="1:36" hidden="1" x14ac:dyDescent="0.2">
      <c r="A2161" s="11">
        <v>46155</v>
      </c>
      <c r="B2161" s="53" t="s">
        <v>2494</v>
      </c>
      <c r="C2161" s="52" t="str">
        <f>IF(MID(B2161,4,2)="09","Ramadan",IF(AND(MID(B2161,4,2)="12",VALUE(LEFT(B2161,2))&lt;=9),"Adha Season","Normal"))</f>
        <v>Normal</v>
      </c>
      <c r="D2161" s="2" t="s">
        <v>350</v>
      </c>
      <c r="F2161" s="4" t="s">
        <v>1161</v>
      </c>
      <c r="G2161" s="1">
        <v>20</v>
      </c>
      <c r="H2161">
        <v>20</v>
      </c>
      <c r="I2161">
        <f>grand[[#This Row],[number]]-grand[[#This Row],[received]]</f>
        <v>0</v>
      </c>
      <c r="J2161" s="2"/>
      <c r="K2161" s="2">
        <v>490</v>
      </c>
      <c r="L2161" s="2">
        <v>490</v>
      </c>
      <c r="M2161" s="2">
        <f>K2161-L2161</f>
        <v>0</v>
      </c>
      <c r="N2161" s="2">
        <v>270</v>
      </c>
      <c r="O2161" s="2">
        <v>0</v>
      </c>
      <c r="P2161" s="7">
        <f>grand[[#This Row],[total weight]]/grand[[#This Row],[received]]</f>
        <v>24.5</v>
      </c>
      <c r="Q2161" s="7">
        <f>grand[[#This Row],[receiving weight]]/grand[[#This Row],[received]]</f>
        <v>24.5</v>
      </c>
      <c r="R2161" s="7">
        <f>grand[[#This Row],[transportation loss ]]/grand[[#This Row],[received]]</f>
        <v>0</v>
      </c>
      <c r="S2161" s="7">
        <f>grand[[#This Row],[ carcass weight]]/grand[[#This Row],[received]]</f>
        <v>13.5</v>
      </c>
      <c r="T2161" s="7">
        <f>grand[[#This Row],[ kidneys fat quantity]]/grand[[#This Row],[received]]</f>
        <v>0</v>
      </c>
      <c r="U2161">
        <v>25</v>
      </c>
      <c r="V2161">
        <v>0</v>
      </c>
      <c r="W2161">
        <v>49.6</v>
      </c>
      <c r="X2161">
        <v>10</v>
      </c>
      <c r="Y2161">
        <v>8.5</v>
      </c>
      <c r="Z2161" s="18">
        <f>grand[[#This Row],[av. Transportation loss]]/grand[[#This Row],[av.total weight]]</f>
        <v>0</v>
      </c>
      <c r="AA2161" s="18">
        <f>AVERAGE((grand[[#This Row],[am]]/25),(grand[[#This Row],[pm]]/50))</f>
        <v>0.996</v>
      </c>
      <c r="AB2161" s="3">
        <f>grand[[#This Row],[ carcass weight]]/grand[[#This Row],[total weight]]</f>
        <v>0.55102040816326525</v>
      </c>
      <c r="AC2161" s="18">
        <f>SUM(grand[[#This Row],[am]:[meat transportation]])/100</f>
        <v>0.93099999999999994</v>
      </c>
      <c r="AD2161" s="2" t="s">
        <v>987</v>
      </c>
      <c r="AE2161" s="2"/>
      <c r="AF2161" s="2"/>
      <c r="AG2161" s="2"/>
      <c r="AH2161" s="2"/>
      <c r="AI2161" s="2"/>
      <c r="AJ2161" s="2">
        <v>0</v>
      </c>
    </row>
    <row r="2162" spans="1:36" x14ac:dyDescent="0.2">
      <c r="A2162" s="11">
        <v>46155</v>
      </c>
      <c r="B2162" s="53" t="s">
        <v>2494</v>
      </c>
      <c r="C2162" s="52" t="str">
        <f>IF(MID(B2162,4,2)="09","Ramadan",IF(AND(MID(B2162,4,2)="12",VALUE(LEFT(B2162,2))&lt;=9),"Adha Season","Normal"))</f>
        <v>Normal</v>
      </c>
      <c r="D2162" s="2" t="s">
        <v>1187</v>
      </c>
      <c r="F2162" s="4" t="s">
        <v>954</v>
      </c>
      <c r="G2162" s="1">
        <v>28</v>
      </c>
      <c r="H2162">
        <v>27</v>
      </c>
      <c r="I2162">
        <f>grand[[#This Row],[number]]-grand[[#This Row],[received]]</f>
        <v>1</v>
      </c>
      <c r="J2162" s="9" t="s">
        <v>1204</v>
      </c>
      <c r="K2162" s="2">
        <v>12132</v>
      </c>
      <c r="L2162" s="2">
        <v>12132</v>
      </c>
      <c r="M2162" s="2">
        <f>K2162-L2162</f>
        <v>0</v>
      </c>
      <c r="N2162" s="2">
        <v>7279.7</v>
      </c>
      <c r="O2162" s="2">
        <v>172</v>
      </c>
      <c r="P2162" s="7">
        <f>grand[[#This Row],[total weight]]/grand[[#This Row],[received]]</f>
        <v>449.33333333333331</v>
      </c>
      <c r="Q2162" s="7">
        <f>grand[[#This Row],[receiving weight]]/grand[[#This Row],[received]]</f>
        <v>449.33333333333331</v>
      </c>
      <c r="R2162" s="7">
        <f>grand[[#This Row],[transportation loss ]]/grand[[#This Row],[received]]</f>
        <v>0</v>
      </c>
      <c r="S2162" s="7">
        <f>grand[[#This Row],[ carcass weight]]/grand[[#This Row],[received]]</f>
        <v>269.6185185185185</v>
      </c>
      <c r="T2162" s="7">
        <f>grand[[#This Row],[ kidneys fat quantity]]/grand[[#This Row],[received]]</f>
        <v>6.3703703703703702</v>
      </c>
      <c r="U2162">
        <v>25</v>
      </c>
      <c r="V2162">
        <v>0</v>
      </c>
      <c r="W2162">
        <v>48.925925925925917</v>
      </c>
      <c r="X2162">
        <v>10</v>
      </c>
      <c r="Y2162">
        <v>8.5</v>
      </c>
      <c r="Z2162" s="18">
        <f>grand[[#This Row],[av. Transportation loss]]/grand[[#This Row],[av.total weight]]</f>
        <v>0</v>
      </c>
      <c r="AA2162" s="18">
        <f>AVERAGE((grand[[#This Row],[am]]/25),(grand[[#This Row],[pm]]/50))</f>
        <v>0.98925925925925917</v>
      </c>
      <c r="AB2162" s="3">
        <f>grand[[#This Row],[ carcass weight]]/grand[[#This Row],[total weight]]</f>
        <v>0.60004121332014504</v>
      </c>
      <c r="AC2162" s="18">
        <f>SUM(grand[[#This Row],[am]:[meat transportation]])/100</f>
        <v>0.92425925925925922</v>
      </c>
      <c r="AD2162" s="2" t="s">
        <v>384</v>
      </c>
      <c r="AE2162" s="2"/>
      <c r="AF2162" s="2"/>
      <c r="AG2162" s="2"/>
      <c r="AH2162" s="2"/>
      <c r="AI2162" s="2"/>
      <c r="AJ2162" s="2">
        <v>0</v>
      </c>
    </row>
    <row r="2163" spans="1:36" hidden="1" x14ac:dyDescent="0.2">
      <c r="A2163" s="11">
        <v>46156</v>
      </c>
      <c r="B2163" s="53" t="s">
        <v>2913</v>
      </c>
      <c r="C2163" s="52" t="str">
        <f>IF(MID(B2163,4,2)="09","Ramadan",IF(AND(MID(B2163,4,2)="12",VALUE(LEFT(B2163,2))&lt;=9),"Adha Season","Normal"))</f>
        <v>Normal</v>
      </c>
      <c r="D2163" s="2" t="s">
        <v>1079</v>
      </c>
      <c r="F2163" s="4" t="s">
        <v>46</v>
      </c>
      <c r="G2163" s="1">
        <v>83</v>
      </c>
      <c r="H2163">
        <v>83</v>
      </c>
      <c r="I2163">
        <f>grand[[#This Row],[number]]-grand[[#This Row],[received]]</f>
        <v>0</v>
      </c>
      <c r="J2163" s="2"/>
      <c r="K2163" s="2">
        <v>4450</v>
      </c>
      <c r="L2163" s="2">
        <v>4450</v>
      </c>
      <c r="M2163" s="2">
        <f>K2163-L2163</f>
        <v>0</v>
      </c>
      <c r="N2163" s="2">
        <v>2386.9</v>
      </c>
      <c r="O2163" s="2">
        <v>0</v>
      </c>
      <c r="P2163" s="7">
        <f>grand[[#This Row],[total weight]]/grand[[#This Row],[received]]</f>
        <v>53.614457831325304</v>
      </c>
      <c r="Q2163" s="7">
        <f>grand[[#This Row],[receiving weight]]/grand[[#This Row],[received]]</f>
        <v>53.614457831325304</v>
      </c>
      <c r="R2163" s="7">
        <f>grand[[#This Row],[transportation loss ]]/grand[[#This Row],[received]]</f>
        <v>0</v>
      </c>
      <c r="S2163" s="7">
        <f>grand[[#This Row],[ carcass weight]]/grand[[#This Row],[received]]</f>
        <v>28.757831325301208</v>
      </c>
      <c r="T2163" s="7">
        <f>grand[[#This Row],[ kidneys fat quantity]]/grand[[#This Row],[received]]</f>
        <v>0</v>
      </c>
      <c r="U2163">
        <v>25</v>
      </c>
      <c r="V2163">
        <v>0</v>
      </c>
      <c r="W2163">
        <v>49.036144578313248</v>
      </c>
      <c r="X2163">
        <v>10</v>
      </c>
      <c r="Y2163">
        <v>8.5</v>
      </c>
      <c r="Z2163" s="18">
        <f>grand[[#This Row],[av. Transportation loss]]/grand[[#This Row],[av.total weight]]</f>
        <v>0</v>
      </c>
      <c r="AA2163" s="18">
        <f>AVERAGE((grand[[#This Row],[am]]/25),(grand[[#This Row],[pm]]/50))</f>
        <v>0.99036144578313245</v>
      </c>
      <c r="AB2163" s="3">
        <f>grand[[#This Row],[ carcass weight]]/grand[[#This Row],[total weight]]</f>
        <v>0.53638202247191014</v>
      </c>
      <c r="AC2163" s="18">
        <f>SUM(grand[[#This Row],[am]:[meat transportation]])/100</f>
        <v>0.9253614457831324</v>
      </c>
      <c r="AD2163" s="2" t="s">
        <v>1153</v>
      </c>
      <c r="AE2163" s="2"/>
      <c r="AF2163" s="2"/>
      <c r="AG2163" s="2"/>
      <c r="AH2163" s="2"/>
      <c r="AI2163" s="2"/>
      <c r="AJ2163" s="2">
        <v>0</v>
      </c>
    </row>
    <row r="2164" spans="1:36" hidden="1" x14ac:dyDescent="0.2">
      <c r="A2164" s="11">
        <v>46156</v>
      </c>
      <c r="B2164" s="53" t="s">
        <v>2913</v>
      </c>
      <c r="C2164" s="52" t="str">
        <f>IF(MID(B2164,4,2)="09","Ramadan",IF(AND(MID(B2164,4,2)="12",VALUE(LEFT(B2164,2))&lt;=9),"Adha Season","Normal"))</f>
        <v>Normal</v>
      </c>
      <c r="D2164" s="2" t="s">
        <v>1187</v>
      </c>
      <c r="F2164" s="4" t="s">
        <v>954</v>
      </c>
      <c r="G2164" s="1">
        <v>53</v>
      </c>
      <c r="H2164">
        <v>53</v>
      </c>
      <c r="I2164">
        <f>grand[[#This Row],[number]]-grand[[#This Row],[received]]</f>
        <v>0</v>
      </c>
      <c r="J2164" s="2"/>
      <c r="K2164" s="2">
        <v>22335</v>
      </c>
      <c r="L2164" s="2">
        <v>22335</v>
      </c>
      <c r="M2164" s="2">
        <f>K2164-L2164</f>
        <v>0</v>
      </c>
      <c r="N2164" s="2">
        <v>13426</v>
      </c>
      <c r="O2164" s="2">
        <v>333</v>
      </c>
      <c r="P2164" s="7">
        <f>grand[[#This Row],[total weight]]/grand[[#This Row],[received]]</f>
        <v>421.41509433962267</v>
      </c>
      <c r="Q2164" s="7">
        <f>grand[[#This Row],[receiving weight]]/grand[[#This Row],[received]]</f>
        <v>421.41509433962267</v>
      </c>
      <c r="R2164" s="7">
        <f>grand[[#This Row],[transportation loss ]]/grand[[#This Row],[received]]</f>
        <v>0</v>
      </c>
      <c r="S2164" s="7">
        <f>grand[[#This Row],[ carcass weight]]/grand[[#This Row],[received]]</f>
        <v>253.32075471698113</v>
      </c>
      <c r="T2164" s="7">
        <f>grand[[#This Row],[ kidneys fat quantity]]/grand[[#This Row],[received]]</f>
        <v>6.283018867924528</v>
      </c>
      <c r="U2164">
        <v>25</v>
      </c>
      <c r="V2164">
        <v>0</v>
      </c>
      <c r="W2164">
        <v>49.509433962264154</v>
      </c>
      <c r="X2164">
        <v>10</v>
      </c>
      <c r="Y2164">
        <v>8.5</v>
      </c>
      <c r="Z2164" s="18">
        <f>grand[[#This Row],[av. Transportation loss]]/grand[[#This Row],[av.total weight]]</f>
        <v>0</v>
      </c>
      <c r="AA2164" s="18">
        <f>AVERAGE((grand[[#This Row],[am]]/25),(grand[[#This Row],[pm]]/50))</f>
        <v>0.99509433962264149</v>
      </c>
      <c r="AB2164" s="3">
        <f>grand[[#This Row],[ carcass weight]]/grand[[#This Row],[total weight]]</f>
        <v>0.60111931945377206</v>
      </c>
      <c r="AC2164" s="18">
        <f>SUM(grand[[#This Row],[am]:[meat transportation]])/100</f>
        <v>0.93009433962264154</v>
      </c>
      <c r="AD2164" s="2" t="s">
        <v>170</v>
      </c>
      <c r="AE2164" s="2"/>
      <c r="AF2164" s="2"/>
      <c r="AG2164" s="2"/>
      <c r="AH2164" s="2"/>
      <c r="AI2164" s="2"/>
      <c r="AJ2164" s="2">
        <v>0</v>
      </c>
    </row>
    <row r="2165" spans="1:36" hidden="1" x14ac:dyDescent="0.2">
      <c r="A2165" s="11">
        <v>46156</v>
      </c>
      <c r="B2165" s="53" t="s">
        <v>2913</v>
      </c>
      <c r="C2165" s="52" t="str">
        <f>IF(MID(B2165,4,2)="09","Ramadan",IF(AND(MID(B2165,4,2)="12",VALUE(LEFT(B2165,2))&lt;=9),"Adha Season","Normal"))</f>
        <v>Normal</v>
      </c>
      <c r="D2165" s="2" t="s">
        <v>1187</v>
      </c>
      <c r="F2165" s="4" t="s">
        <v>46</v>
      </c>
      <c r="G2165" s="1">
        <v>66</v>
      </c>
      <c r="H2165">
        <v>66</v>
      </c>
      <c r="I2165">
        <f>grand[[#This Row],[number]]-grand[[#This Row],[received]]</f>
        <v>0</v>
      </c>
      <c r="J2165" s="2"/>
      <c r="K2165" s="2">
        <v>32928</v>
      </c>
      <c r="L2165" s="2">
        <v>32928</v>
      </c>
      <c r="M2165" s="2">
        <f>K2165-L2165</f>
        <v>0</v>
      </c>
      <c r="N2165" s="2">
        <v>19756.599999999999</v>
      </c>
      <c r="O2165" s="2">
        <v>605</v>
      </c>
      <c r="P2165" s="7">
        <f>grand[[#This Row],[total weight]]/grand[[#This Row],[received]]</f>
        <v>498.90909090909093</v>
      </c>
      <c r="Q2165" s="7">
        <f>grand[[#This Row],[receiving weight]]/grand[[#This Row],[received]]</f>
        <v>498.90909090909093</v>
      </c>
      <c r="R2165" s="7">
        <f>grand[[#This Row],[transportation loss ]]/grand[[#This Row],[received]]</f>
        <v>0</v>
      </c>
      <c r="S2165" s="7">
        <f>grand[[#This Row],[ carcass weight]]/grand[[#This Row],[received]]</f>
        <v>299.34242424242422</v>
      </c>
      <c r="T2165" s="7">
        <f>grand[[#This Row],[ kidneys fat quantity]]/grand[[#This Row],[received]]</f>
        <v>9.1666666666666661</v>
      </c>
      <c r="U2165">
        <v>25</v>
      </c>
      <c r="V2165">
        <v>0</v>
      </c>
      <c r="W2165">
        <v>49.484848484848499</v>
      </c>
      <c r="X2165">
        <v>10</v>
      </c>
      <c r="Y2165">
        <v>8.5</v>
      </c>
      <c r="Z2165" s="18">
        <f>grand[[#This Row],[av. Transportation loss]]/grand[[#This Row],[av.total weight]]</f>
        <v>0</v>
      </c>
      <c r="AA2165" s="18">
        <f>AVERAGE((grand[[#This Row],[am]]/25),(grand[[#This Row],[pm]]/50))</f>
        <v>0.99484848484848498</v>
      </c>
      <c r="AB2165" s="3">
        <f>grand[[#This Row],[ carcass weight]]/grand[[#This Row],[total weight]]</f>
        <v>0.59999392614188529</v>
      </c>
      <c r="AC2165" s="18">
        <f>SUM(grand[[#This Row],[am]:[meat transportation]])/100</f>
        <v>0.92984848484848504</v>
      </c>
      <c r="AD2165" s="2" t="s">
        <v>1003</v>
      </c>
      <c r="AE2165" s="2"/>
      <c r="AF2165" s="2"/>
      <c r="AG2165" s="2"/>
      <c r="AH2165" s="2"/>
      <c r="AI2165" s="2"/>
      <c r="AJ2165" s="2">
        <v>0</v>
      </c>
    </row>
    <row r="2166" spans="1:36" hidden="1" x14ac:dyDescent="0.2">
      <c r="A2166" s="11">
        <v>46158</v>
      </c>
      <c r="B2166" s="53" t="s">
        <v>2495</v>
      </c>
      <c r="C2166" s="52" t="str">
        <f>IF(MID(B2166,4,2)="09","Ramadan",IF(AND(MID(B2166,4,2)="12",VALUE(LEFT(B2166,2))&lt;=9),"Adha Season","Normal"))</f>
        <v>Normal</v>
      </c>
      <c r="D2166" s="2" t="s">
        <v>350</v>
      </c>
      <c r="F2166" s="4" t="s">
        <v>1161</v>
      </c>
      <c r="G2166" s="1">
        <v>50</v>
      </c>
      <c r="H2166">
        <v>50</v>
      </c>
      <c r="I2166">
        <f>grand[[#This Row],[number]]-grand[[#This Row],[received]]</f>
        <v>0</v>
      </c>
      <c r="J2166" s="2"/>
      <c r="K2166" s="2">
        <v>1140</v>
      </c>
      <c r="L2166" s="2">
        <v>1140</v>
      </c>
      <c r="M2166" s="2">
        <f>K2166-L2166</f>
        <v>0</v>
      </c>
      <c r="N2166" s="2">
        <v>628.6</v>
      </c>
      <c r="O2166" s="2">
        <v>0</v>
      </c>
      <c r="P2166" s="7">
        <f>grand[[#This Row],[total weight]]/grand[[#This Row],[received]]</f>
        <v>22.8</v>
      </c>
      <c r="Q2166" s="7">
        <f>grand[[#This Row],[receiving weight]]/grand[[#This Row],[received]]</f>
        <v>22.8</v>
      </c>
      <c r="R2166" s="7">
        <f>grand[[#This Row],[transportation loss ]]/grand[[#This Row],[received]]</f>
        <v>0</v>
      </c>
      <c r="S2166" s="7">
        <f>grand[[#This Row],[ carcass weight]]/grand[[#This Row],[received]]</f>
        <v>12.572000000000001</v>
      </c>
      <c r="T2166" s="7">
        <f>grand[[#This Row],[ kidneys fat quantity]]/grand[[#This Row],[received]]</f>
        <v>0</v>
      </c>
      <c r="U2166">
        <v>25</v>
      </c>
      <c r="V2166">
        <v>0</v>
      </c>
      <c r="W2166">
        <v>48.26</v>
      </c>
      <c r="X2166">
        <v>10</v>
      </c>
      <c r="Y2166">
        <v>8.5</v>
      </c>
      <c r="Z2166" s="18">
        <f>grand[[#This Row],[av. Transportation loss]]/grand[[#This Row],[av.total weight]]</f>
        <v>0</v>
      </c>
      <c r="AA2166" s="18">
        <f>AVERAGE((grand[[#This Row],[am]]/25),(grand[[#This Row],[pm]]/50))</f>
        <v>0.98259999999999992</v>
      </c>
      <c r="AB2166" s="3">
        <f>grand[[#This Row],[ carcass weight]]/grand[[#This Row],[total weight]]</f>
        <v>0.5514035087719299</v>
      </c>
      <c r="AC2166" s="18">
        <f>SUM(grand[[#This Row],[am]:[meat transportation]])/100</f>
        <v>0.91759999999999986</v>
      </c>
      <c r="AD2166" s="2" t="s">
        <v>1154</v>
      </c>
      <c r="AE2166" s="2"/>
      <c r="AF2166" s="2"/>
      <c r="AG2166" s="2"/>
      <c r="AH2166" s="2"/>
      <c r="AI2166" s="2"/>
      <c r="AJ2166" s="2">
        <v>0</v>
      </c>
    </row>
    <row r="2167" spans="1:36" hidden="1" x14ac:dyDescent="0.2">
      <c r="A2167" s="11">
        <v>46158</v>
      </c>
      <c r="B2167" s="53" t="s">
        <v>2495</v>
      </c>
      <c r="C2167" s="52" t="str">
        <f>IF(MID(B2167,4,2)="09","Ramadan",IF(AND(MID(B2167,4,2)="12",VALUE(LEFT(B2167,2))&lt;=9),"Adha Season","Normal"))</f>
        <v>Normal</v>
      </c>
      <c r="D2167" s="2" t="s">
        <v>1187</v>
      </c>
      <c r="F2167" s="4" t="s">
        <v>954</v>
      </c>
      <c r="G2167" s="1">
        <v>80</v>
      </c>
      <c r="H2167">
        <v>80</v>
      </c>
      <c r="I2167">
        <f>grand[[#This Row],[number]]-grand[[#This Row],[received]]</f>
        <v>0</v>
      </c>
      <c r="J2167" s="2"/>
      <c r="K2167" s="2">
        <v>34030</v>
      </c>
      <c r="L2167" s="2">
        <v>34030</v>
      </c>
      <c r="M2167" s="2">
        <f>K2167-L2167</f>
        <v>0</v>
      </c>
      <c r="N2167" s="2">
        <v>20563.7</v>
      </c>
      <c r="O2167" s="2">
        <v>510</v>
      </c>
      <c r="P2167" s="7">
        <f>grand[[#This Row],[total weight]]/grand[[#This Row],[received]]</f>
        <v>425.375</v>
      </c>
      <c r="Q2167" s="7">
        <f>grand[[#This Row],[receiving weight]]/grand[[#This Row],[received]]</f>
        <v>425.375</v>
      </c>
      <c r="R2167" s="7">
        <f>grand[[#This Row],[transportation loss ]]/grand[[#This Row],[received]]</f>
        <v>0</v>
      </c>
      <c r="S2167" s="7">
        <f>grand[[#This Row],[ carcass weight]]/grand[[#This Row],[received]]</f>
        <v>257.04624999999999</v>
      </c>
      <c r="T2167" s="7">
        <f>grand[[#This Row],[ kidneys fat quantity]]/grand[[#This Row],[received]]</f>
        <v>6.375</v>
      </c>
      <c r="U2167">
        <v>25</v>
      </c>
      <c r="V2167">
        <v>0</v>
      </c>
      <c r="W2167">
        <v>48.837500000000006</v>
      </c>
      <c r="X2167">
        <v>10</v>
      </c>
      <c r="Y2167">
        <v>8.5</v>
      </c>
      <c r="Z2167" s="18">
        <f>grand[[#This Row],[av. Transportation loss]]/grand[[#This Row],[av.total weight]]</f>
        <v>0</v>
      </c>
      <c r="AA2167" s="18">
        <f>AVERAGE((grand[[#This Row],[am]]/25),(grand[[#This Row],[pm]]/50))</f>
        <v>0.988375</v>
      </c>
      <c r="AB2167" s="3">
        <f>grand[[#This Row],[ carcass weight]]/grand[[#This Row],[total weight]]</f>
        <v>0.60428151630913907</v>
      </c>
      <c r="AC2167" s="18">
        <f>SUM(grand[[#This Row],[am]:[meat transportation]])/100</f>
        <v>0.92337500000000006</v>
      </c>
      <c r="AD2167" s="2" t="s">
        <v>1155</v>
      </c>
      <c r="AE2167" s="2"/>
      <c r="AF2167" s="2"/>
      <c r="AG2167" s="2"/>
      <c r="AH2167" s="2"/>
      <c r="AI2167" s="2"/>
      <c r="AJ2167" s="2">
        <v>0</v>
      </c>
    </row>
    <row r="2168" spans="1:36" hidden="1" x14ac:dyDescent="0.2">
      <c r="A2168" s="11">
        <v>46158</v>
      </c>
      <c r="B2168" s="53" t="s">
        <v>2495</v>
      </c>
      <c r="C2168" s="52" t="str">
        <f>IF(MID(B2168,4,2)="09","Ramadan",IF(AND(MID(B2168,4,2)="12",VALUE(LEFT(B2168,2))&lt;=9),"Adha Season","Normal"))</f>
        <v>Normal</v>
      </c>
      <c r="D2168" s="2" t="s">
        <v>1079</v>
      </c>
      <c r="F2168" s="4" t="s">
        <v>165</v>
      </c>
      <c r="G2168" s="1">
        <v>65</v>
      </c>
      <c r="H2168">
        <v>65</v>
      </c>
      <c r="I2168">
        <f>grand[[#This Row],[number]]-grand[[#This Row],[received]]</f>
        <v>0</v>
      </c>
      <c r="J2168" s="2"/>
      <c r="K2168" s="2">
        <v>3313</v>
      </c>
      <c r="L2168" s="2">
        <v>3313</v>
      </c>
      <c r="M2168" s="2">
        <f>K2168-L2168</f>
        <v>0</v>
      </c>
      <c r="N2168" s="2">
        <v>1853.2</v>
      </c>
      <c r="O2168" s="2">
        <v>0</v>
      </c>
      <c r="P2168" s="7">
        <f>grand[[#This Row],[total weight]]/grand[[#This Row],[received]]</f>
        <v>50.969230769230769</v>
      </c>
      <c r="Q2168" s="7">
        <f>grand[[#This Row],[receiving weight]]/grand[[#This Row],[received]]</f>
        <v>50.969230769230769</v>
      </c>
      <c r="R2168" s="7">
        <f>grand[[#This Row],[transportation loss ]]/grand[[#This Row],[received]]</f>
        <v>0</v>
      </c>
      <c r="S2168" s="7">
        <f>grand[[#This Row],[ carcass weight]]/grand[[#This Row],[received]]</f>
        <v>28.510769230769231</v>
      </c>
      <c r="T2168" s="7">
        <f>grand[[#This Row],[ kidneys fat quantity]]/grand[[#This Row],[received]]</f>
        <v>0</v>
      </c>
      <c r="U2168">
        <v>25</v>
      </c>
      <c r="V2168">
        <v>0</v>
      </c>
      <c r="W2168">
        <v>48.938461538461539</v>
      </c>
      <c r="X2168">
        <v>10</v>
      </c>
      <c r="Y2168">
        <v>8.5</v>
      </c>
      <c r="Z2168" s="18">
        <f>grand[[#This Row],[av. Transportation loss]]/grand[[#This Row],[av.total weight]]</f>
        <v>0</v>
      </c>
      <c r="AA2168" s="18">
        <f>AVERAGE((grand[[#This Row],[am]]/25),(grand[[#This Row],[pm]]/50))</f>
        <v>0.98938461538461531</v>
      </c>
      <c r="AB2168" s="3">
        <f>grand[[#This Row],[ carcass weight]]/grand[[#This Row],[total weight]]</f>
        <v>0.55937217023845454</v>
      </c>
      <c r="AC2168" s="18">
        <f>SUM(grand[[#This Row],[am]:[meat transportation]])/100</f>
        <v>0.92438461538461536</v>
      </c>
      <c r="AD2168" s="2" t="s">
        <v>741</v>
      </c>
      <c r="AE2168" s="2"/>
      <c r="AF2168" s="2"/>
      <c r="AG2168" s="2"/>
      <c r="AH2168" s="2"/>
      <c r="AI2168" s="2"/>
      <c r="AJ2168" s="2">
        <v>0</v>
      </c>
    </row>
    <row r="2169" spans="1:36" hidden="1" x14ac:dyDescent="0.2">
      <c r="A2169" s="11">
        <v>46159</v>
      </c>
      <c r="B2169" s="53" t="s">
        <v>2914</v>
      </c>
      <c r="C2169" s="52" t="str">
        <f>IF(MID(B2169,4,2)="09","Ramadan",IF(AND(MID(B2169,4,2)="12",VALUE(LEFT(B2169,2))&lt;=9),"Adha Season","Normal"))</f>
        <v>Normal</v>
      </c>
      <c r="D2169" s="2" t="s">
        <v>1187</v>
      </c>
      <c r="F2169" s="4" t="s">
        <v>954</v>
      </c>
      <c r="G2169" s="1">
        <v>95</v>
      </c>
      <c r="H2169">
        <v>95</v>
      </c>
      <c r="I2169">
        <f>grand[[#This Row],[number]]-grand[[#This Row],[received]]</f>
        <v>0</v>
      </c>
      <c r="J2169" s="2"/>
      <c r="K2169" s="2">
        <v>39921</v>
      </c>
      <c r="L2169" s="2">
        <v>39921</v>
      </c>
      <c r="M2169" s="2">
        <f>K2169-L2169</f>
        <v>0</v>
      </c>
      <c r="N2169" s="2">
        <v>24016</v>
      </c>
      <c r="O2169" s="2">
        <v>636</v>
      </c>
      <c r="P2169" s="7">
        <f>grand[[#This Row],[total weight]]/grand[[#This Row],[received]]</f>
        <v>420.22105263157897</v>
      </c>
      <c r="Q2169" s="7">
        <f>grand[[#This Row],[receiving weight]]/grand[[#This Row],[received]]</f>
        <v>420.22105263157897</v>
      </c>
      <c r="R2169" s="7">
        <f>grand[[#This Row],[transportation loss ]]/grand[[#This Row],[received]]</f>
        <v>0</v>
      </c>
      <c r="S2169" s="7">
        <f>grand[[#This Row],[ carcass weight]]/grand[[#This Row],[received]]</f>
        <v>252.8</v>
      </c>
      <c r="T2169" s="7">
        <f>grand[[#This Row],[ kidneys fat quantity]]/grand[[#This Row],[received]]</f>
        <v>6.6947368421052635</v>
      </c>
      <c r="U2169">
        <v>25</v>
      </c>
      <c r="V2169">
        <v>0</v>
      </c>
      <c r="W2169">
        <v>48.94736842105263</v>
      </c>
      <c r="X2169">
        <v>10</v>
      </c>
      <c r="Y2169">
        <v>8.5</v>
      </c>
      <c r="Z2169" s="18">
        <f>grand[[#This Row],[av. Transportation loss]]/grand[[#This Row],[av.total weight]]</f>
        <v>0</v>
      </c>
      <c r="AA2169" s="18">
        <f>AVERAGE((grand[[#This Row],[am]]/25),(grand[[#This Row],[pm]]/50))</f>
        <v>0.98947368421052628</v>
      </c>
      <c r="AB2169" s="3">
        <f>grand[[#This Row],[ carcass weight]]/grand[[#This Row],[total weight]]</f>
        <v>0.60158813656972521</v>
      </c>
      <c r="AC2169" s="18">
        <f>SUM(grand[[#This Row],[am]:[meat transportation]])/100</f>
        <v>0.92447368421052634</v>
      </c>
      <c r="AD2169" s="2" t="s">
        <v>1156</v>
      </c>
      <c r="AE2169" s="2"/>
      <c r="AF2169" s="2"/>
      <c r="AG2169" s="2"/>
      <c r="AH2169" s="2"/>
      <c r="AI2169" s="2"/>
      <c r="AJ2169" s="2">
        <v>0</v>
      </c>
    </row>
    <row r="2170" spans="1:36" hidden="1" x14ac:dyDescent="0.2">
      <c r="A2170" s="11">
        <v>46159</v>
      </c>
      <c r="B2170" s="53" t="s">
        <v>2914</v>
      </c>
      <c r="C2170" s="52" t="str">
        <f>IF(MID(B2170,4,2)="09","Ramadan",IF(AND(MID(B2170,4,2)="12",VALUE(LEFT(B2170,2))&lt;=9),"Adha Season","Normal"))</f>
        <v>Normal</v>
      </c>
      <c r="D2170" s="2" t="s">
        <v>1079</v>
      </c>
      <c r="F2170" s="4" t="s">
        <v>165</v>
      </c>
      <c r="G2170" s="1">
        <v>71</v>
      </c>
      <c r="H2170">
        <v>71</v>
      </c>
      <c r="I2170">
        <f>grand[[#This Row],[number]]-grand[[#This Row],[received]]</f>
        <v>0</v>
      </c>
      <c r="J2170" s="2"/>
      <c r="K2170" s="2">
        <v>3905</v>
      </c>
      <c r="L2170" s="2">
        <v>3905</v>
      </c>
      <c r="M2170" s="2">
        <f>K2170-L2170</f>
        <v>0</v>
      </c>
      <c r="N2170" s="2">
        <v>2182</v>
      </c>
      <c r="O2170" s="2">
        <v>0</v>
      </c>
      <c r="P2170" s="7">
        <f>grand[[#This Row],[total weight]]/grand[[#This Row],[received]]</f>
        <v>55</v>
      </c>
      <c r="Q2170" s="7">
        <f>grand[[#This Row],[receiving weight]]/grand[[#This Row],[received]]</f>
        <v>55</v>
      </c>
      <c r="R2170" s="7">
        <f>grand[[#This Row],[transportation loss ]]/grand[[#This Row],[received]]</f>
        <v>0</v>
      </c>
      <c r="S2170" s="7">
        <f>grand[[#This Row],[ carcass weight]]/grand[[#This Row],[received]]</f>
        <v>30.732394366197184</v>
      </c>
      <c r="T2170" s="7">
        <f>grand[[#This Row],[ kidneys fat quantity]]/grand[[#This Row],[received]]</f>
        <v>0</v>
      </c>
      <c r="U2170">
        <v>25</v>
      </c>
      <c r="V2170">
        <v>0</v>
      </c>
      <c r="W2170">
        <v>48.887323943661968</v>
      </c>
      <c r="X2170">
        <v>10</v>
      </c>
      <c r="Y2170">
        <v>8.5</v>
      </c>
      <c r="Z2170" s="18">
        <f>grand[[#This Row],[av. Transportation loss]]/grand[[#This Row],[av.total weight]]</f>
        <v>0</v>
      </c>
      <c r="AA2170" s="18">
        <f>AVERAGE((grand[[#This Row],[am]]/25),(grand[[#This Row],[pm]]/50))</f>
        <v>0.98887323943661976</v>
      </c>
      <c r="AB2170" s="3">
        <f>grand[[#This Row],[ carcass weight]]/grand[[#This Row],[total weight]]</f>
        <v>0.55877080665813061</v>
      </c>
      <c r="AC2170" s="18">
        <f>SUM(grand[[#This Row],[am]:[meat transportation]])/100</f>
        <v>0.9238732394366197</v>
      </c>
      <c r="AD2170" s="2" t="s">
        <v>766</v>
      </c>
      <c r="AE2170" s="2"/>
      <c r="AF2170" s="2"/>
      <c r="AG2170" s="2"/>
      <c r="AH2170" s="2"/>
      <c r="AI2170" s="2"/>
      <c r="AJ2170" s="2">
        <v>0</v>
      </c>
    </row>
    <row r="2171" spans="1:36" x14ac:dyDescent="0.2">
      <c r="A2171" s="11">
        <v>46160</v>
      </c>
      <c r="B2171" s="53" t="s">
        <v>2496</v>
      </c>
      <c r="C2171" s="52" t="str">
        <f>IF(MID(B2171,4,2)="09","Ramadan",IF(AND(MID(B2171,4,2)="12",VALUE(LEFT(B2171,2))&lt;=9),"Adha Season","Normal"))</f>
        <v>Adha Season</v>
      </c>
      <c r="D2171" s="2" t="s">
        <v>1187</v>
      </c>
      <c r="F2171" s="4" t="s">
        <v>46</v>
      </c>
      <c r="G2171" s="1">
        <v>80</v>
      </c>
      <c r="H2171">
        <v>79</v>
      </c>
      <c r="I2171">
        <f>grand[[#This Row],[number]]-grand[[#This Row],[received]]</f>
        <v>1</v>
      </c>
      <c r="J2171" s="9" t="s">
        <v>1200</v>
      </c>
      <c r="K2171" s="2">
        <v>38570</v>
      </c>
      <c r="L2171" s="2">
        <v>38570</v>
      </c>
      <c r="M2171" s="2">
        <f>K2171-L2171</f>
        <v>0</v>
      </c>
      <c r="N2171" s="2">
        <v>23142</v>
      </c>
      <c r="O2171" s="2">
        <v>531</v>
      </c>
      <c r="P2171" s="7">
        <f>grand[[#This Row],[total weight]]/grand[[#This Row],[received]]</f>
        <v>488.22784810126581</v>
      </c>
      <c r="Q2171" s="7">
        <f>grand[[#This Row],[receiving weight]]/grand[[#This Row],[received]]</f>
        <v>488.22784810126581</v>
      </c>
      <c r="R2171" s="7">
        <f>grand[[#This Row],[transportation loss ]]/grand[[#This Row],[received]]</f>
        <v>0</v>
      </c>
      <c r="S2171" s="7">
        <f>grand[[#This Row],[ carcass weight]]/grand[[#This Row],[received]]</f>
        <v>292.9367088607595</v>
      </c>
      <c r="T2171" s="7">
        <f>grand[[#This Row],[ kidneys fat quantity]]/grand[[#This Row],[received]]</f>
        <v>6.7215189873417724</v>
      </c>
      <c r="U2171">
        <v>25</v>
      </c>
      <c r="V2171">
        <v>0</v>
      </c>
      <c r="W2171">
        <v>49.101265822784811</v>
      </c>
      <c r="X2171">
        <v>10</v>
      </c>
      <c r="Y2171">
        <v>8.5</v>
      </c>
      <c r="Z2171" s="18">
        <f>grand[[#This Row],[av. Transportation loss]]/grand[[#This Row],[av.total weight]]</f>
        <v>0</v>
      </c>
      <c r="AA2171" s="18">
        <f>AVERAGE((grand[[#This Row],[am]]/25),(grand[[#This Row],[pm]]/50))</f>
        <v>0.99101265822784812</v>
      </c>
      <c r="AB2171" s="3">
        <f>grand[[#This Row],[ carcass weight]]/grand[[#This Row],[total weight]]</f>
        <v>0.6</v>
      </c>
      <c r="AC2171" s="18">
        <f>SUM(grand[[#This Row],[am]:[meat transportation]])/100</f>
        <v>0.92601265822784806</v>
      </c>
      <c r="AD2171" s="2" t="s">
        <v>1158</v>
      </c>
      <c r="AE2171" s="2"/>
      <c r="AF2171" s="2"/>
      <c r="AG2171" s="2"/>
      <c r="AH2171" s="2"/>
      <c r="AI2171" s="2"/>
      <c r="AJ2171" s="2">
        <v>12</v>
      </c>
    </row>
    <row r="2172" spans="1:36" hidden="1" x14ac:dyDescent="0.2">
      <c r="A2172" s="11">
        <v>46160</v>
      </c>
      <c r="B2172" s="53" t="s">
        <v>2496</v>
      </c>
      <c r="C2172" s="52" t="str">
        <f>IF(MID(B2172,4,2)="09","Ramadan",IF(AND(MID(B2172,4,2)="12",VALUE(LEFT(B2172,2))&lt;=9),"Adha Season","Normal"))</f>
        <v>Adha Season</v>
      </c>
      <c r="D2172" s="2" t="s">
        <v>1079</v>
      </c>
      <c r="F2172" s="4" t="s">
        <v>46</v>
      </c>
      <c r="G2172" s="1">
        <v>70</v>
      </c>
      <c r="H2172">
        <v>59</v>
      </c>
      <c r="I2172">
        <f>grand[[#This Row],[number]]-grand[[#This Row],[received]]</f>
        <v>11</v>
      </c>
      <c r="J2172" s="9" t="s">
        <v>1205</v>
      </c>
      <c r="K2172" s="2">
        <v>3114</v>
      </c>
      <c r="L2172" s="2">
        <v>3114</v>
      </c>
      <c r="M2172" s="2">
        <f>K2172-L2172</f>
        <v>0</v>
      </c>
      <c r="N2172" s="2">
        <v>1678.7</v>
      </c>
      <c r="O2172" s="2">
        <v>0</v>
      </c>
      <c r="P2172" s="7">
        <f>grand[[#This Row],[total weight]]/grand[[#This Row],[received]]</f>
        <v>52.779661016949156</v>
      </c>
      <c r="Q2172" s="7">
        <f>grand[[#This Row],[receiving weight]]/grand[[#This Row],[received]]</f>
        <v>52.779661016949156</v>
      </c>
      <c r="R2172" s="7">
        <f>grand[[#This Row],[transportation loss ]]/grand[[#This Row],[received]]</f>
        <v>0</v>
      </c>
      <c r="S2172" s="7">
        <f>grand[[#This Row],[ carcass weight]]/grand[[#This Row],[received]]</f>
        <v>28.452542372881357</v>
      </c>
      <c r="T2172" s="7">
        <f>grand[[#This Row],[ kidneys fat quantity]]/grand[[#This Row],[received]]</f>
        <v>0</v>
      </c>
      <c r="U2172">
        <v>25</v>
      </c>
      <c r="V2172">
        <v>0</v>
      </c>
      <c r="W2172">
        <v>48.279661016949149</v>
      </c>
      <c r="X2172">
        <v>10</v>
      </c>
      <c r="Y2172">
        <v>8.5</v>
      </c>
      <c r="Z2172" s="18">
        <f>grand[[#This Row],[av. Transportation loss]]/grand[[#This Row],[av.total weight]]</f>
        <v>0</v>
      </c>
      <c r="AA2172" s="18">
        <f>AVERAGE((grand[[#This Row],[am]]/25),(grand[[#This Row],[pm]]/50))</f>
        <v>0.98279661016949149</v>
      </c>
      <c r="AB2172" s="3">
        <f>grand[[#This Row],[ carcass weight]]/grand[[#This Row],[total weight]]</f>
        <v>0.53908156711624922</v>
      </c>
      <c r="AC2172" s="18">
        <f>SUM(grand[[#This Row],[am]:[meat transportation]])/100</f>
        <v>0.91779661016949143</v>
      </c>
      <c r="AD2172" s="2" t="s">
        <v>1157</v>
      </c>
      <c r="AE2172" s="2"/>
      <c r="AF2172" s="2"/>
      <c r="AG2172" s="2"/>
      <c r="AH2172" s="2"/>
      <c r="AI2172" s="2"/>
      <c r="AJ2172" s="2">
        <v>0</v>
      </c>
    </row>
    <row r="2173" spans="1:36" hidden="1" x14ac:dyDescent="0.2">
      <c r="A2173" s="11">
        <v>46161</v>
      </c>
      <c r="B2173" s="53" t="s">
        <v>2497</v>
      </c>
      <c r="C2173" s="52" t="str">
        <f>IF(MID(B2173,4,2)="09","Ramadan",IF(AND(MID(B2173,4,2)="12",VALUE(LEFT(B2173,2))&lt;=9),"Adha Season","Normal"))</f>
        <v>Adha Season</v>
      </c>
      <c r="D2173" s="2" t="s">
        <v>1187</v>
      </c>
      <c r="F2173" s="4" t="s">
        <v>954</v>
      </c>
      <c r="G2173" s="1">
        <v>80</v>
      </c>
      <c r="H2173">
        <v>80</v>
      </c>
      <c r="I2173">
        <f>grand[[#This Row],[number]]-grand[[#This Row],[received]]</f>
        <v>0</v>
      </c>
      <c r="J2173" s="2"/>
      <c r="K2173" s="2">
        <v>33340</v>
      </c>
      <c r="L2173" s="2">
        <v>33340</v>
      </c>
      <c r="M2173" s="2">
        <f>K2173-L2173</f>
        <v>0</v>
      </c>
      <c r="N2173" s="2">
        <v>20080</v>
      </c>
      <c r="O2173" s="2">
        <v>447</v>
      </c>
      <c r="P2173" s="7">
        <f>grand[[#This Row],[total weight]]/grand[[#This Row],[received]]</f>
        <v>416.75</v>
      </c>
      <c r="Q2173" s="7">
        <f>grand[[#This Row],[receiving weight]]/grand[[#This Row],[received]]</f>
        <v>416.75</v>
      </c>
      <c r="R2173" s="7">
        <f>grand[[#This Row],[transportation loss ]]/grand[[#This Row],[received]]</f>
        <v>0</v>
      </c>
      <c r="S2173" s="7">
        <f>grand[[#This Row],[ carcass weight]]/grand[[#This Row],[received]]</f>
        <v>251</v>
      </c>
      <c r="T2173" s="7">
        <f>grand[[#This Row],[ kidneys fat quantity]]/grand[[#This Row],[received]]</f>
        <v>5.5875000000000004</v>
      </c>
      <c r="U2173">
        <v>25</v>
      </c>
      <c r="V2173">
        <v>0</v>
      </c>
      <c r="W2173">
        <v>48.587500000000006</v>
      </c>
      <c r="X2173">
        <v>10</v>
      </c>
      <c r="Y2173">
        <v>8.5</v>
      </c>
      <c r="Z2173" s="18">
        <f>grand[[#This Row],[av. Transportation loss]]/grand[[#This Row],[av.total weight]]</f>
        <v>0</v>
      </c>
      <c r="AA2173" s="18">
        <f>AVERAGE((grand[[#This Row],[am]]/25),(grand[[#This Row],[pm]]/50))</f>
        <v>0.98587500000000006</v>
      </c>
      <c r="AB2173" s="3">
        <f>grand[[#This Row],[ carcass weight]]/grand[[#This Row],[total weight]]</f>
        <v>0.60227954409118178</v>
      </c>
      <c r="AC2173" s="18">
        <f>SUM(grand[[#This Row],[am]:[meat transportation]])/100</f>
        <v>0.92087500000000011</v>
      </c>
      <c r="AD2173" s="2" t="s">
        <v>1159</v>
      </c>
      <c r="AE2173" s="2"/>
      <c r="AF2173" s="2"/>
      <c r="AG2173" s="2"/>
      <c r="AH2173" s="2"/>
      <c r="AI2173" s="2"/>
      <c r="AJ2173" s="2">
        <v>0</v>
      </c>
    </row>
    <row r="2174" spans="1:36" hidden="1" x14ac:dyDescent="0.2">
      <c r="A2174" s="11">
        <v>46161</v>
      </c>
      <c r="B2174" s="53" t="s">
        <v>2497</v>
      </c>
      <c r="C2174" s="52" t="str">
        <f>IF(MID(B2174,4,2)="09","Ramadan",IF(AND(MID(B2174,4,2)="12",VALUE(LEFT(B2174,2))&lt;=9),"Adha Season","Normal"))</f>
        <v>Adha Season</v>
      </c>
      <c r="D2174" s="2" t="s">
        <v>1079</v>
      </c>
      <c r="F2174" s="4" t="s">
        <v>165</v>
      </c>
      <c r="G2174" s="1">
        <v>80</v>
      </c>
      <c r="H2174">
        <v>78</v>
      </c>
      <c r="I2174">
        <f>grand[[#This Row],[number]]-grand[[#This Row],[received]]</f>
        <v>2</v>
      </c>
      <c r="J2174" s="9" t="s">
        <v>1206</v>
      </c>
      <c r="K2174" s="2">
        <v>4396</v>
      </c>
      <c r="L2174" s="2">
        <v>4396</v>
      </c>
      <c r="M2174" s="2">
        <f>K2174-L2174</f>
        <v>0</v>
      </c>
      <c r="N2174" s="2">
        <v>2504</v>
      </c>
      <c r="O2174" s="2">
        <v>0</v>
      </c>
      <c r="P2174" s="7">
        <f>grand[[#This Row],[total weight]]/grand[[#This Row],[received]]</f>
        <v>56.358974358974358</v>
      </c>
      <c r="Q2174" s="7">
        <f>grand[[#This Row],[receiving weight]]/grand[[#This Row],[received]]</f>
        <v>56.358974358974358</v>
      </c>
      <c r="R2174" s="7">
        <f>grand[[#This Row],[transportation loss ]]/grand[[#This Row],[received]]</f>
        <v>0</v>
      </c>
      <c r="S2174" s="7">
        <f>grand[[#This Row],[ carcass weight]]/grand[[#This Row],[received]]</f>
        <v>32.102564102564102</v>
      </c>
      <c r="T2174" s="7">
        <f>grand[[#This Row],[ kidneys fat quantity]]/grand[[#This Row],[received]]</f>
        <v>0</v>
      </c>
      <c r="U2174">
        <v>25</v>
      </c>
      <c r="V2174">
        <v>0</v>
      </c>
      <c r="W2174">
        <v>48.794871794871788</v>
      </c>
      <c r="X2174">
        <v>10</v>
      </c>
      <c r="Y2174">
        <v>8.5</v>
      </c>
      <c r="Z2174" s="18">
        <f>grand[[#This Row],[av. Transportation loss]]/grand[[#This Row],[av.total weight]]</f>
        <v>0</v>
      </c>
      <c r="AA2174" s="18">
        <f>AVERAGE((grand[[#This Row],[am]]/25),(grand[[#This Row],[pm]]/50))</f>
        <v>0.98794871794871786</v>
      </c>
      <c r="AB2174" s="3">
        <f>grand[[#This Row],[ carcass weight]]/grand[[#This Row],[total weight]]</f>
        <v>0.56960873521383071</v>
      </c>
      <c r="AC2174" s="18">
        <f>SUM(grand[[#This Row],[am]:[meat transportation]])/100</f>
        <v>0.92294871794871791</v>
      </c>
      <c r="AD2174" s="2" t="s">
        <v>1160</v>
      </c>
      <c r="AE2174" s="2"/>
      <c r="AF2174" s="2"/>
      <c r="AG2174" s="2"/>
      <c r="AH2174" s="2"/>
      <c r="AI2174" s="2"/>
      <c r="AJ2174" s="2">
        <v>0</v>
      </c>
    </row>
    <row r="2175" spans="1:36" hidden="1" x14ac:dyDescent="0.2">
      <c r="A2175" s="11">
        <v>46161</v>
      </c>
      <c r="B2175" s="53" t="s">
        <v>2497</v>
      </c>
      <c r="C2175" s="52" t="str">
        <f>IF(MID(B2175,4,2)="09","Ramadan",IF(AND(MID(B2175,4,2)="12",VALUE(LEFT(B2175,2))&lt;=9),"Adha Season","Normal"))</f>
        <v>Adha Season</v>
      </c>
      <c r="D2175" s="2" t="s">
        <v>350</v>
      </c>
      <c r="F2175" s="4" t="s">
        <v>1161</v>
      </c>
      <c r="G2175" s="1">
        <v>40</v>
      </c>
      <c r="H2175">
        <v>36</v>
      </c>
      <c r="I2175">
        <f>grand[[#This Row],[number]]-grand[[#This Row],[received]]</f>
        <v>4</v>
      </c>
      <c r="J2175" s="9" t="s">
        <v>1207</v>
      </c>
      <c r="K2175" s="2">
        <v>869</v>
      </c>
      <c r="L2175" s="2">
        <v>869</v>
      </c>
      <c r="M2175" s="2">
        <f>K2175-L2175</f>
        <v>0</v>
      </c>
      <c r="N2175" s="2">
        <v>477</v>
      </c>
      <c r="O2175" s="2">
        <v>0</v>
      </c>
      <c r="P2175" s="7">
        <f>grand[[#This Row],[total weight]]/grand[[#This Row],[received]]</f>
        <v>24.138888888888889</v>
      </c>
      <c r="Q2175" s="7">
        <f>grand[[#This Row],[receiving weight]]/grand[[#This Row],[received]]</f>
        <v>24.138888888888889</v>
      </c>
      <c r="R2175" s="7">
        <f>grand[[#This Row],[transportation loss ]]/grand[[#This Row],[received]]</f>
        <v>0</v>
      </c>
      <c r="S2175" s="7">
        <f>grand[[#This Row],[ carcass weight]]/grand[[#This Row],[received]]</f>
        <v>13.25</v>
      </c>
      <c r="T2175" s="7">
        <f>grand[[#This Row],[ kidneys fat quantity]]/grand[[#This Row],[received]]</f>
        <v>0</v>
      </c>
      <c r="U2175">
        <v>25</v>
      </c>
      <c r="V2175">
        <v>0</v>
      </c>
      <c r="W2175">
        <v>49.416666666666664</v>
      </c>
      <c r="X2175">
        <v>10</v>
      </c>
      <c r="Y2175">
        <v>8.5</v>
      </c>
      <c r="Z2175" s="18">
        <f>grand[[#This Row],[av. Transportation loss]]/grand[[#This Row],[av.total weight]]</f>
        <v>0</v>
      </c>
      <c r="AA2175" s="18">
        <f>AVERAGE((grand[[#This Row],[am]]/25),(grand[[#This Row],[pm]]/50))</f>
        <v>0.99416666666666664</v>
      </c>
      <c r="AB2175" s="3">
        <f>grand[[#This Row],[ carcass weight]]/grand[[#This Row],[total weight]]</f>
        <v>0.54890678941311855</v>
      </c>
      <c r="AC2175" s="18">
        <f>SUM(grand[[#This Row],[am]:[meat transportation]])/100</f>
        <v>0.92916666666666659</v>
      </c>
      <c r="AD2175" s="2" t="s">
        <v>1162</v>
      </c>
      <c r="AE2175" s="2"/>
      <c r="AF2175" s="2"/>
      <c r="AG2175" s="2"/>
      <c r="AH2175" s="2"/>
      <c r="AI2175" s="2"/>
      <c r="AJ2175" s="2">
        <v>18</v>
      </c>
    </row>
    <row r="2176" spans="1:36" hidden="1" x14ac:dyDescent="0.2">
      <c r="A2176" s="11">
        <v>46162</v>
      </c>
      <c r="B2176" s="53" t="s">
        <v>2498</v>
      </c>
      <c r="C2176" s="52" t="str">
        <f>IF(MID(B2176,4,2)="09","Ramadan",IF(AND(MID(B2176,4,2)="12",VALUE(LEFT(B2176,2))&lt;=9),"Adha Season","Normal"))</f>
        <v>Adha Season</v>
      </c>
      <c r="D2176" s="2" t="s">
        <v>1079</v>
      </c>
      <c r="F2176" s="4" t="s">
        <v>954</v>
      </c>
      <c r="G2176" s="1">
        <v>110</v>
      </c>
      <c r="H2176">
        <v>110</v>
      </c>
      <c r="I2176">
        <f>grand[[#This Row],[number]]-grand[[#This Row],[received]]</f>
        <v>0</v>
      </c>
      <c r="J2176" s="2"/>
      <c r="K2176" s="2">
        <v>5055</v>
      </c>
      <c r="L2176" s="2">
        <v>5055</v>
      </c>
      <c r="M2176" s="2">
        <f>K2176-L2176</f>
        <v>0</v>
      </c>
      <c r="N2176" s="2">
        <v>2723.6</v>
      </c>
      <c r="O2176" s="2">
        <v>0</v>
      </c>
      <c r="P2176" s="7">
        <f>grand[[#This Row],[total weight]]/grand[[#This Row],[received]]</f>
        <v>45.954545454545453</v>
      </c>
      <c r="Q2176" s="7">
        <f>grand[[#This Row],[receiving weight]]/grand[[#This Row],[received]]</f>
        <v>45.954545454545453</v>
      </c>
      <c r="R2176" s="7">
        <f>grand[[#This Row],[transportation loss ]]/grand[[#This Row],[received]]</f>
        <v>0</v>
      </c>
      <c r="S2176" s="7">
        <f>grand[[#This Row],[ carcass weight]]/grand[[#This Row],[received]]</f>
        <v>24.759999999999998</v>
      </c>
      <c r="T2176" s="7">
        <f>grand[[#This Row],[ kidneys fat quantity]]/grand[[#This Row],[received]]</f>
        <v>0</v>
      </c>
      <c r="U2176">
        <v>25</v>
      </c>
      <c r="V2176">
        <v>0</v>
      </c>
      <c r="W2176">
        <v>47.059090909090912</v>
      </c>
      <c r="X2176">
        <v>10</v>
      </c>
      <c r="Y2176">
        <v>8.5</v>
      </c>
      <c r="Z2176" s="18">
        <f>grand[[#This Row],[av. Transportation loss]]/grand[[#This Row],[av.total weight]]</f>
        <v>0</v>
      </c>
      <c r="AA2176" s="18">
        <f>AVERAGE((grand[[#This Row],[am]]/25),(grand[[#This Row],[pm]]/50))</f>
        <v>0.97059090909090906</v>
      </c>
      <c r="AB2176" s="3">
        <f>grand[[#This Row],[ carcass weight]]/grand[[#This Row],[total weight]]</f>
        <v>0.53879327398615229</v>
      </c>
      <c r="AC2176" s="18">
        <f>SUM(grand[[#This Row],[am]:[meat transportation]])/100</f>
        <v>0.90559090909090911</v>
      </c>
      <c r="AD2176" s="2" t="s">
        <v>1164</v>
      </c>
      <c r="AE2176" s="2"/>
      <c r="AF2176" s="2"/>
      <c r="AG2176" s="2"/>
      <c r="AH2176" s="2"/>
      <c r="AI2176" s="2"/>
      <c r="AJ2176" s="2">
        <v>0</v>
      </c>
    </row>
    <row r="2177" spans="1:36" hidden="1" x14ac:dyDescent="0.2">
      <c r="A2177" s="11">
        <v>46162</v>
      </c>
      <c r="B2177" s="53" t="s">
        <v>2498</v>
      </c>
      <c r="C2177" s="52" t="str">
        <f>IF(MID(B2177,4,2)="09","Ramadan",IF(AND(MID(B2177,4,2)="12",VALUE(LEFT(B2177,2))&lt;=9),"Adha Season","Normal"))</f>
        <v>Adha Season</v>
      </c>
      <c r="D2177" s="2" t="s">
        <v>1187</v>
      </c>
      <c r="F2177" s="4" t="s">
        <v>1023</v>
      </c>
      <c r="G2177" s="1">
        <v>74</v>
      </c>
      <c r="H2177">
        <v>74</v>
      </c>
      <c r="I2177">
        <f>grand[[#This Row],[number]]-grand[[#This Row],[received]]</f>
        <v>0</v>
      </c>
      <c r="J2177" s="2"/>
      <c r="K2177" s="2">
        <v>31780</v>
      </c>
      <c r="L2177" s="2">
        <v>31780</v>
      </c>
      <c r="M2177" s="2">
        <f>K2177-L2177</f>
        <v>0</v>
      </c>
      <c r="N2177" s="2">
        <v>19007.5</v>
      </c>
      <c r="O2177" s="2">
        <v>471</v>
      </c>
      <c r="P2177" s="7">
        <f>grand[[#This Row],[total weight]]/grand[[#This Row],[received]]</f>
        <v>429.45945945945948</v>
      </c>
      <c r="Q2177" s="7">
        <f>grand[[#This Row],[receiving weight]]/grand[[#This Row],[received]]</f>
        <v>429.45945945945948</v>
      </c>
      <c r="R2177" s="7">
        <f>grand[[#This Row],[transportation loss ]]/grand[[#This Row],[received]]</f>
        <v>0</v>
      </c>
      <c r="S2177" s="7">
        <f>grand[[#This Row],[ carcass weight]]/grand[[#This Row],[received]]</f>
        <v>256.85810810810813</v>
      </c>
      <c r="T2177" s="7">
        <f>grand[[#This Row],[ kidneys fat quantity]]/grand[[#This Row],[received]]</f>
        <v>6.3648648648648649</v>
      </c>
      <c r="U2177">
        <v>25</v>
      </c>
      <c r="V2177">
        <v>0</v>
      </c>
      <c r="W2177">
        <v>48.905405405405403</v>
      </c>
      <c r="X2177">
        <v>10</v>
      </c>
      <c r="Y2177">
        <v>8.5</v>
      </c>
      <c r="Z2177" s="18">
        <f>grand[[#This Row],[av. Transportation loss]]/grand[[#This Row],[av.total weight]]</f>
        <v>0</v>
      </c>
      <c r="AA2177" s="18">
        <f>AVERAGE((grand[[#This Row],[am]]/25),(grand[[#This Row],[pm]]/50))</f>
        <v>0.989054054054054</v>
      </c>
      <c r="AB2177" s="3">
        <f>grand[[#This Row],[ carcass weight]]/grand[[#This Row],[total weight]]</f>
        <v>0.59809628697293893</v>
      </c>
      <c r="AC2177" s="18">
        <f>SUM(grand[[#This Row],[am]:[meat transportation]])/100</f>
        <v>0.92405405405405405</v>
      </c>
      <c r="AD2177" s="2" t="s">
        <v>1165</v>
      </c>
      <c r="AE2177" s="2"/>
      <c r="AF2177" s="2"/>
      <c r="AG2177" s="2"/>
      <c r="AH2177" s="2"/>
      <c r="AI2177" s="2"/>
      <c r="AJ2177" s="2">
        <v>11</v>
      </c>
    </row>
    <row r="2178" spans="1:36" hidden="1" x14ac:dyDescent="0.2">
      <c r="A2178" s="11">
        <v>46163</v>
      </c>
      <c r="B2178" s="53" t="s">
        <v>2499</v>
      </c>
      <c r="C2178" s="52" t="str">
        <f>IF(MID(B2178,4,2)="09","Ramadan",IF(AND(MID(B2178,4,2)="12",VALUE(LEFT(B2178,2))&lt;=9),"Adha Season","Normal"))</f>
        <v>Adha Season</v>
      </c>
      <c r="D2178" s="2" t="s">
        <v>1187</v>
      </c>
      <c r="F2178" s="4" t="s">
        <v>746</v>
      </c>
      <c r="G2178" s="1">
        <v>91</v>
      </c>
      <c r="H2178">
        <v>91</v>
      </c>
      <c r="I2178">
        <f>grand[[#This Row],[number]]-grand[[#This Row],[received]]</f>
        <v>0</v>
      </c>
      <c r="J2178" s="2"/>
      <c r="K2178" s="2">
        <v>46830</v>
      </c>
      <c r="L2178" s="2">
        <v>46830</v>
      </c>
      <c r="M2178" s="2">
        <f>K2178-L2178</f>
        <v>0</v>
      </c>
      <c r="N2178" s="2">
        <v>28099</v>
      </c>
      <c r="O2178" s="2">
        <v>871</v>
      </c>
      <c r="P2178" s="7">
        <f>grand[[#This Row],[total weight]]/grand[[#This Row],[received]]</f>
        <v>514.61538461538464</v>
      </c>
      <c r="Q2178" s="7">
        <f>grand[[#This Row],[receiving weight]]/grand[[#This Row],[received]]</f>
        <v>514.61538461538464</v>
      </c>
      <c r="R2178" s="7">
        <f>grand[[#This Row],[transportation loss ]]/grand[[#This Row],[received]]</f>
        <v>0</v>
      </c>
      <c r="S2178" s="7">
        <f>grand[[#This Row],[ carcass weight]]/grand[[#This Row],[received]]</f>
        <v>308.7802197802198</v>
      </c>
      <c r="T2178" s="7">
        <f>grand[[#This Row],[ kidneys fat quantity]]/grand[[#This Row],[received]]</f>
        <v>9.5714285714285712</v>
      </c>
      <c r="U2178">
        <v>24.153846153846153</v>
      </c>
      <c r="V2178">
        <v>0</v>
      </c>
      <c r="W2178">
        <v>48.527472527472526</v>
      </c>
      <c r="X2178">
        <v>10</v>
      </c>
      <c r="Y2178">
        <v>8.5</v>
      </c>
      <c r="Z2178" s="18">
        <f>grand[[#This Row],[av. Transportation loss]]/grand[[#This Row],[av.total weight]]</f>
        <v>0</v>
      </c>
      <c r="AA2178" s="18">
        <f>AVERAGE((grand[[#This Row],[am]]/25),(grand[[#This Row],[pm]]/50))</f>
        <v>0.96835164835164833</v>
      </c>
      <c r="AB2178" s="3">
        <f>grand[[#This Row],[ carcass weight]]/grand[[#This Row],[total weight]]</f>
        <v>0.60002135383301303</v>
      </c>
      <c r="AC2178" s="18">
        <f>SUM(grand[[#This Row],[am]:[meat transportation]])/100</f>
        <v>0.9118131868131869</v>
      </c>
      <c r="AD2178" s="2" t="s">
        <v>1166</v>
      </c>
      <c r="AE2178" s="2"/>
      <c r="AF2178" s="2"/>
      <c r="AG2178" s="2"/>
      <c r="AH2178" s="2"/>
      <c r="AI2178" s="2"/>
      <c r="AJ2178" s="2">
        <v>49</v>
      </c>
    </row>
    <row r="2179" spans="1:36" hidden="1" x14ac:dyDescent="0.2">
      <c r="A2179" s="11">
        <v>46163</v>
      </c>
      <c r="B2179" s="53" t="s">
        <v>2499</v>
      </c>
      <c r="C2179" s="52" t="str">
        <f>IF(MID(B2179,4,2)="09","Ramadan",IF(AND(MID(B2179,4,2)="12",VALUE(LEFT(B2179,2))&lt;=9),"Adha Season","Normal"))</f>
        <v>Adha Season</v>
      </c>
      <c r="D2179" s="2" t="s">
        <v>1079</v>
      </c>
      <c r="F2179" s="4" t="s">
        <v>165</v>
      </c>
      <c r="G2179" s="1">
        <v>98</v>
      </c>
      <c r="H2179">
        <v>98</v>
      </c>
      <c r="I2179">
        <f>grand[[#This Row],[number]]-grand[[#This Row],[received]]</f>
        <v>0</v>
      </c>
      <c r="J2179" s="2"/>
      <c r="K2179" s="2">
        <v>5392</v>
      </c>
      <c r="L2179" s="2">
        <v>5392</v>
      </c>
      <c r="M2179" s="2">
        <f>K2179-L2179</f>
        <v>0</v>
      </c>
      <c r="N2179" s="2">
        <v>3108</v>
      </c>
      <c r="O2179" s="2">
        <v>0</v>
      </c>
      <c r="P2179" s="7">
        <f>grand[[#This Row],[total weight]]/grand[[#This Row],[received]]</f>
        <v>55.020408163265309</v>
      </c>
      <c r="Q2179" s="7">
        <f>grand[[#This Row],[receiving weight]]/grand[[#This Row],[received]]</f>
        <v>55.020408163265309</v>
      </c>
      <c r="R2179" s="7">
        <f>grand[[#This Row],[transportation loss ]]/grand[[#This Row],[received]]</f>
        <v>0</v>
      </c>
      <c r="S2179" s="7">
        <f>grand[[#This Row],[ carcass weight]]/grand[[#This Row],[received]]</f>
        <v>31.714285714285715</v>
      </c>
      <c r="T2179" s="7">
        <f>grand[[#This Row],[ kidneys fat quantity]]/grand[[#This Row],[received]]</f>
        <v>0</v>
      </c>
      <c r="U2179">
        <v>25</v>
      </c>
      <c r="V2179">
        <v>0</v>
      </c>
      <c r="W2179">
        <v>49.275510204081627</v>
      </c>
      <c r="X2179">
        <v>10</v>
      </c>
      <c r="Y2179">
        <v>8.5</v>
      </c>
      <c r="Z2179" s="18">
        <f>grand[[#This Row],[av. Transportation loss]]/grand[[#This Row],[av.total weight]]</f>
        <v>0</v>
      </c>
      <c r="AA2179" s="18">
        <f>AVERAGE((grand[[#This Row],[am]]/25),(grand[[#This Row],[pm]]/50))</f>
        <v>0.9927551020408163</v>
      </c>
      <c r="AB2179" s="3">
        <f>grand[[#This Row],[ carcass weight]]/grand[[#This Row],[total weight]]</f>
        <v>0.57640949554896137</v>
      </c>
      <c r="AC2179" s="18">
        <f>SUM(grand[[#This Row],[am]:[meat transportation]])/100</f>
        <v>0.92775510204081624</v>
      </c>
      <c r="AD2179" s="2" t="s">
        <v>89</v>
      </c>
      <c r="AE2179" s="2"/>
      <c r="AF2179" s="2"/>
      <c r="AG2179" s="2"/>
      <c r="AH2179" s="2"/>
      <c r="AI2179" s="2"/>
      <c r="AJ2179" s="2">
        <v>0</v>
      </c>
    </row>
    <row r="2180" spans="1:36" hidden="1" x14ac:dyDescent="0.2">
      <c r="A2180" s="11">
        <v>46164</v>
      </c>
      <c r="B2180" s="53" t="s">
        <v>2500</v>
      </c>
      <c r="C2180" s="52" t="str">
        <f>IF(MID(B2180,4,2)="09","Ramadan",IF(AND(MID(B2180,4,2)="12",VALUE(LEFT(B2180,2))&lt;=9),"Adha Season","Normal"))</f>
        <v>Adha Season</v>
      </c>
      <c r="D2180" s="2" t="s">
        <v>350</v>
      </c>
      <c r="F2180" s="4" t="s">
        <v>1161</v>
      </c>
      <c r="G2180" s="1">
        <v>38</v>
      </c>
      <c r="H2180">
        <v>38</v>
      </c>
      <c r="I2180">
        <f>grand[[#This Row],[number]]-grand[[#This Row],[received]]</f>
        <v>0</v>
      </c>
      <c r="J2180" s="2"/>
      <c r="K2180" s="2">
        <v>855</v>
      </c>
      <c r="L2180" s="2">
        <v>855</v>
      </c>
      <c r="M2180" s="2">
        <f>K2180-L2180</f>
        <v>0</v>
      </c>
      <c r="N2180" s="2">
        <v>475.4</v>
      </c>
      <c r="O2180" s="2">
        <v>0</v>
      </c>
      <c r="P2180" s="7">
        <f>grand[[#This Row],[total weight]]/grand[[#This Row],[received]]</f>
        <v>22.5</v>
      </c>
      <c r="Q2180" s="7">
        <f>grand[[#This Row],[receiving weight]]/grand[[#This Row],[received]]</f>
        <v>22.5</v>
      </c>
      <c r="R2180" s="7">
        <f>grand[[#This Row],[transportation loss ]]/grand[[#This Row],[received]]</f>
        <v>0</v>
      </c>
      <c r="S2180" s="7">
        <f>grand[[#This Row],[ carcass weight]]/grand[[#This Row],[received]]</f>
        <v>12.510526315789473</v>
      </c>
      <c r="T2180" s="7">
        <f>grand[[#This Row],[ kidneys fat quantity]]/grand[[#This Row],[received]]</f>
        <v>0</v>
      </c>
      <c r="U2180">
        <v>21.710526315789473</v>
      </c>
      <c r="V2180">
        <v>0</v>
      </c>
      <c r="W2180">
        <v>46.631578947368425</v>
      </c>
      <c r="X2180">
        <v>10</v>
      </c>
      <c r="Y2180">
        <v>8.5</v>
      </c>
      <c r="Z2180" s="18">
        <f>grand[[#This Row],[av. Transportation loss]]/grand[[#This Row],[av.total weight]]</f>
        <v>0</v>
      </c>
      <c r="AA2180" s="18">
        <f>AVERAGE((grand[[#This Row],[am]]/25),(grand[[#This Row],[pm]]/50))</f>
        <v>0.90052631578947362</v>
      </c>
      <c r="AB2180" s="3">
        <f>grand[[#This Row],[ carcass weight]]/grand[[#This Row],[total weight]]</f>
        <v>0.55602339181286542</v>
      </c>
      <c r="AC2180" s="18">
        <f>SUM(grand[[#This Row],[am]:[meat transportation]])/100</f>
        <v>0.86842105263157887</v>
      </c>
      <c r="AD2180" s="2" t="s">
        <v>987</v>
      </c>
      <c r="AE2180" s="2"/>
      <c r="AF2180" s="2"/>
      <c r="AG2180" s="2"/>
      <c r="AH2180" s="2"/>
      <c r="AI2180" s="2"/>
      <c r="AJ2180" s="2">
        <v>25</v>
      </c>
    </row>
    <row r="2181" spans="1:36" hidden="1" x14ac:dyDescent="0.2">
      <c r="A2181" s="11">
        <v>46164</v>
      </c>
      <c r="B2181" s="53" t="s">
        <v>2500</v>
      </c>
      <c r="C2181" s="52" t="str">
        <f>IF(MID(B2181,4,2)="09","Ramadan",IF(AND(MID(B2181,4,2)="12",VALUE(LEFT(B2181,2))&lt;=9),"Adha Season","Normal"))</f>
        <v>Adha Season</v>
      </c>
      <c r="D2181" s="2" t="s">
        <v>1079</v>
      </c>
      <c r="F2181" s="4" t="s">
        <v>165</v>
      </c>
      <c r="G2181" s="1">
        <v>141</v>
      </c>
      <c r="H2181">
        <v>141</v>
      </c>
      <c r="I2181">
        <f>grand[[#This Row],[number]]-grand[[#This Row],[received]]</f>
        <v>0</v>
      </c>
      <c r="J2181" s="2"/>
      <c r="K2181" s="2">
        <v>7735</v>
      </c>
      <c r="L2181" s="2">
        <v>7735</v>
      </c>
      <c r="M2181" s="2">
        <f>K2181-L2181</f>
        <v>0</v>
      </c>
      <c r="N2181" s="2">
        <v>4241</v>
      </c>
      <c r="O2181" s="2">
        <v>0</v>
      </c>
      <c r="P2181" s="7">
        <f>grand[[#This Row],[total weight]]/grand[[#This Row],[received]]</f>
        <v>54.858156028368796</v>
      </c>
      <c r="Q2181" s="7">
        <f>grand[[#This Row],[receiving weight]]/grand[[#This Row],[received]]</f>
        <v>54.858156028368796</v>
      </c>
      <c r="R2181" s="7">
        <f>grand[[#This Row],[transportation loss ]]/grand[[#This Row],[received]]</f>
        <v>0</v>
      </c>
      <c r="S2181" s="7">
        <f>grand[[#This Row],[ carcass weight]]/grand[[#This Row],[received]]</f>
        <v>30.078014184397162</v>
      </c>
      <c r="T2181" s="7">
        <f>grand[[#This Row],[ kidneys fat quantity]]/grand[[#This Row],[received]]</f>
        <v>0</v>
      </c>
      <c r="U2181">
        <v>25</v>
      </c>
      <c r="V2181">
        <v>0</v>
      </c>
      <c r="W2181">
        <v>45.241134751773053</v>
      </c>
      <c r="X2181">
        <v>10</v>
      </c>
      <c r="Y2181">
        <v>8.5</v>
      </c>
      <c r="Z2181" s="18">
        <f>grand[[#This Row],[av. Transportation loss]]/grand[[#This Row],[av.total weight]]</f>
        <v>0</v>
      </c>
      <c r="AA2181" s="18">
        <f>AVERAGE((grand[[#This Row],[am]]/25),(grand[[#This Row],[pm]]/50))</f>
        <v>0.95241134751773049</v>
      </c>
      <c r="AB2181" s="3">
        <f>grand[[#This Row],[ carcass weight]]/grand[[#This Row],[total weight]]</f>
        <v>0.54828700711053657</v>
      </c>
      <c r="AC2181" s="18">
        <f>SUM(grand[[#This Row],[am]:[meat transportation]])/100</f>
        <v>0.88741134751773043</v>
      </c>
      <c r="AD2181" s="2" t="s">
        <v>1160</v>
      </c>
      <c r="AE2181" s="2"/>
      <c r="AF2181" s="2"/>
      <c r="AG2181" s="2"/>
      <c r="AH2181" s="2"/>
      <c r="AI2181" s="2"/>
      <c r="AJ2181" s="2">
        <v>0</v>
      </c>
    </row>
    <row r="2182" spans="1:36" x14ac:dyDescent="0.2">
      <c r="A2182" s="11">
        <v>46164</v>
      </c>
      <c r="B2182" s="53" t="s">
        <v>2500</v>
      </c>
      <c r="C2182" s="52" t="str">
        <f>IF(MID(B2182,4,2)="09","Ramadan",IF(AND(MID(B2182,4,2)="12",VALUE(LEFT(B2182,2))&lt;=9),"Adha Season","Normal"))</f>
        <v>Adha Season</v>
      </c>
      <c r="D2182" s="2" t="s">
        <v>1187</v>
      </c>
      <c r="F2182" s="4" t="s">
        <v>165</v>
      </c>
      <c r="G2182" s="1">
        <v>106</v>
      </c>
      <c r="H2182">
        <v>91</v>
      </c>
      <c r="I2182">
        <f>grand[[#This Row],[number]]-grand[[#This Row],[received]]</f>
        <v>15</v>
      </c>
      <c r="J2182" s="9" t="s">
        <v>1209</v>
      </c>
      <c r="K2182" s="2">
        <v>46779</v>
      </c>
      <c r="L2182" s="2">
        <v>46779</v>
      </c>
      <c r="M2182" s="2">
        <f>K2182-L2182</f>
        <v>0</v>
      </c>
      <c r="N2182" s="2">
        <v>28067.5</v>
      </c>
      <c r="O2182" s="2">
        <v>786</v>
      </c>
      <c r="P2182" s="7">
        <f>grand[[#This Row],[total weight]]/grand[[#This Row],[received]]</f>
        <v>514.05494505494505</v>
      </c>
      <c r="Q2182" s="7">
        <f>grand[[#This Row],[receiving weight]]/grand[[#This Row],[received]]</f>
        <v>514.05494505494505</v>
      </c>
      <c r="R2182" s="7">
        <f>grand[[#This Row],[transportation loss ]]/grand[[#This Row],[received]]</f>
        <v>0</v>
      </c>
      <c r="S2182" s="7">
        <f>grand[[#This Row],[ carcass weight]]/grand[[#This Row],[received]]</f>
        <v>308.43406593406593</v>
      </c>
      <c r="T2182" s="7">
        <f>grand[[#This Row],[ kidneys fat quantity]]/grand[[#This Row],[received]]</f>
        <v>8.6373626373626369</v>
      </c>
      <c r="U2182">
        <v>23.296703296703296</v>
      </c>
      <c r="V2182">
        <v>0</v>
      </c>
      <c r="W2182">
        <v>45.417582417582423</v>
      </c>
      <c r="X2182">
        <v>10</v>
      </c>
      <c r="Y2182">
        <v>8.5</v>
      </c>
      <c r="Z2182" s="18">
        <f>grand[[#This Row],[av. Transportation loss]]/grand[[#This Row],[av.total weight]]</f>
        <v>0</v>
      </c>
      <c r="AA2182" s="18">
        <f>AVERAGE((grand[[#This Row],[am]]/25),(grand[[#This Row],[pm]]/50))</f>
        <v>0.92010989010989008</v>
      </c>
      <c r="AB2182" s="3">
        <f>grand[[#This Row],[ carcass weight]]/grand[[#This Row],[total weight]]</f>
        <v>0.60000213771136623</v>
      </c>
      <c r="AC2182" s="18">
        <f>SUM(grand[[#This Row],[am]:[meat transportation]])/100</f>
        <v>0.87214285714285722</v>
      </c>
      <c r="AD2182" s="2" t="s">
        <v>1167</v>
      </c>
      <c r="AE2182" s="2"/>
      <c r="AF2182" s="2"/>
      <c r="AG2182" s="2"/>
      <c r="AH2182" s="2"/>
      <c r="AI2182" s="2"/>
      <c r="AJ2182" s="2">
        <v>61</v>
      </c>
    </row>
    <row r="2183" spans="1:36" hidden="1" x14ac:dyDescent="0.2">
      <c r="A2183" s="11">
        <v>46165</v>
      </c>
      <c r="B2183" s="53" t="s">
        <v>2501</v>
      </c>
      <c r="C2183" s="52" t="str">
        <f>IF(MID(B2183,4,2)="09","Ramadan",IF(AND(MID(B2183,4,2)="12",VALUE(LEFT(B2183,2))&lt;=9),"Adha Season","Normal"))</f>
        <v>Adha Season</v>
      </c>
      <c r="D2183" s="2" t="s">
        <v>1079</v>
      </c>
      <c r="F2183" s="4" t="s">
        <v>954</v>
      </c>
      <c r="G2183" s="1">
        <v>150</v>
      </c>
      <c r="H2183">
        <v>149</v>
      </c>
      <c r="I2183">
        <f>grand[[#This Row],[number]]-grand[[#This Row],[received]]</f>
        <v>1</v>
      </c>
      <c r="J2183" s="9" t="s">
        <v>1208</v>
      </c>
      <c r="K2183" s="2">
        <v>6908</v>
      </c>
      <c r="L2183" s="2">
        <v>6908</v>
      </c>
      <c r="M2183" s="2">
        <f>K2183-L2183</f>
        <v>0</v>
      </c>
      <c r="N2183" s="2">
        <v>3745</v>
      </c>
      <c r="O2183" s="2">
        <v>0</v>
      </c>
      <c r="P2183" s="7">
        <f>grand[[#This Row],[total weight]]/grand[[#This Row],[received]]</f>
        <v>46.36241610738255</v>
      </c>
      <c r="Q2183" s="7">
        <f>grand[[#This Row],[receiving weight]]/grand[[#This Row],[received]]</f>
        <v>46.36241610738255</v>
      </c>
      <c r="R2183" s="7">
        <f>grand[[#This Row],[transportation loss ]]/grand[[#This Row],[received]]</f>
        <v>0</v>
      </c>
      <c r="S2183" s="7">
        <f>grand[[#This Row],[ carcass weight]]/grand[[#This Row],[received]]</f>
        <v>25.134228187919462</v>
      </c>
      <c r="T2183" s="7">
        <f>grand[[#This Row],[ kidneys fat quantity]]/grand[[#This Row],[received]]</f>
        <v>0</v>
      </c>
      <c r="U2183">
        <v>25</v>
      </c>
      <c r="V2183">
        <v>0</v>
      </c>
      <c r="W2183">
        <v>45.996644295302019</v>
      </c>
      <c r="X2183">
        <v>10</v>
      </c>
      <c r="Y2183">
        <v>8.5</v>
      </c>
      <c r="Z2183" s="18">
        <f>grand[[#This Row],[av. Transportation loss]]/grand[[#This Row],[av.total weight]]</f>
        <v>0</v>
      </c>
      <c r="AA2183" s="18">
        <f>AVERAGE((grand[[#This Row],[am]]/25),(grand[[#This Row],[pm]]/50))</f>
        <v>0.95996644295302014</v>
      </c>
      <c r="AB2183" s="3">
        <f>grand[[#This Row],[ carcass weight]]/grand[[#This Row],[total weight]]</f>
        <v>0.54212507237984942</v>
      </c>
      <c r="AC2183" s="18">
        <f>SUM(grand[[#This Row],[am]:[meat transportation]])/100</f>
        <v>0.89496644295302019</v>
      </c>
      <c r="AD2183" s="2" t="s">
        <v>1168</v>
      </c>
      <c r="AE2183" s="2"/>
      <c r="AF2183" s="2"/>
      <c r="AG2183" s="2"/>
      <c r="AH2183" s="2"/>
      <c r="AI2183" s="2"/>
      <c r="AJ2183" s="2">
        <v>0</v>
      </c>
    </row>
    <row r="2184" spans="1:36" x14ac:dyDescent="0.2">
      <c r="A2184" s="11">
        <v>46165</v>
      </c>
      <c r="B2184" s="53" t="s">
        <v>2501</v>
      </c>
      <c r="C2184" s="52" t="str">
        <f>IF(MID(B2184,4,2)="09","Ramadan",IF(AND(MID(B2184,4,2)="12",VALUE(LEFT(B2184,2))&lt;=9),"Adha Season","Normal"))</f>
        <v>Adha Season</v>
      </c>
      <c r="D2184" s="2" t="s">
        <v>1187</v>
      </c>
      <c r="F2184" s="4" t="s">
        <v>954</v>
      </c>
      <c r="G2184" s="1">
        <v>110</v>
      </c>
      <c r="H2184">
        <v>109</v>
      </c>
      <c r="I2184">
        <f>grand[[#This Row],[number]]-grand[[#This Row],[received]]</f>
        <v>1</v>
      </c>
      <c r="J2184" s="9" t="s">
        <v>1210</v>
      </c>
      <c r="K2184" s="2">
        <v>45098</v>
      </c>
      <c r="L2184" s="2">
        <v>45098</v>
      </c>
      <c r="M2184" s="2">
        <f>K2184-L2184</f>
        <v>0</v>
      </c>
      <c r="N2184" s="2">
        <v>27105</v>
      </c>
      <c r="O2184" s="2">
        <v>652</v>
      </c>
      <c r="P2184" s="7">
        <f>grand[[#This Row],[total weight]]/grand[[#This Row],[received]]</f>
        <v>413.74311926605503</v>
      </c>
      <c r="Q2184" s="7">
        <f>grand[[#This Row],[receiving weight]]/grand[[#This Row],[received]]</f>
        <v>413.74311926605503</v>
      </c>
      <c r="R2184" s="7">
        <f>grand[[#This Row],[transportation loss ]]/grand[[#This Row],[received]]</f>
        <v>0</v>
      </c>
      <c r="S2184" s="7">
        <f>grand[[#This Row],[ carcass weight]]/grand[[#This Row],[received]]</f>
        <v>248.6697247706422</v>
      </c>
      <c r="T2184" s="7">
        <f>grand[[#This Row],[ kidneys fat quantity]]/grand[[#This Row],[received]]</f>
        <v>5.9816513761467887</v>
      </c>
      <c r="U2184">
        <v>25</v>
      </c>
      <c r="V2184">
        <v>0</v>
      </c>
      <c r="W2184">
        <v>48.614678899082563</v>
      </c>
      <c r="X2184">
        <v>10</v>
      </c>
      <c r="Y2184">
        <v>8.5</v>
      </c>
      <c r="Z2184" s="18">
        <f>grand[[#This Row],[av. Transportation loss]]/grand[[#This Row],[av.total weight]]</f>
        <v>0</v>
      </c>
      <c r="AA2184" s="18">
        <f>AVERAGE((grand[[#This Row],[am]]/25),(grand[[#This Row],[pm]]/50))</f>
        <v>0.98614678899082564</v>
      </c>
      <c r="AB2184" s="3">
        <f>grand[[#This Row],[ carcass weight]]/grand[[#This Row],[total weight]]</f>
        <v>0.60102443567342234</v>
      </c>
      <c r="AC2184" s="18">
        <f>SUM(grand[[#This Row],[am]:[meat transportation]])/100</f>
        <v>0.92114678899082558</v>
      </c>
      <c r="AD2184" s="2" t="s">
        <v>832</v>
      </c>
      <c r="AE2184" s="2"/>
      <c r="AF2184" s="2"/>
      <c r="AG2184" s="2"/>
      <c r="AH2184" s="2"/>
      <c r="AI2184" s="2"/>
      <c r="AJ2184" s="2">
        <v>0</v>
      </c>
    </row>
    <row r="2185" spans="1:36" hidden="1" x14ac:dyDescent="0.2">
      <c r="A2185" s="11">
        <v>46166</v>
      </c>
      <c r="B2185" s="53" t="s">
        <v>2502</v>
      </c>
      <c r="C2185" s="52" t="str">
        <f>IF(MID(B2185,4,2)="09","Ramadan",IF(AND(MID(B2185,4,2)="12",VALUE(LEFT(B2185,2))&lt;=9),"Adha Season","Normal"))</f>
        <v>Adha Season</v>
      </c>
      <c r="D2185" s="2" t="s">
        <v>1079</v>
      </c>
      <c r="F2185" s="4" t="s">
        <v>954</v>
      </c>
      <c r="G2185" s="1">
        <v>210</v>
      </c>
      <c r="H2185">
        <v>210</v>
      </c>
      <c r="I2185">
        <f>grand[[#This Row],[number]]-grand[[#This Row],[received]]</f>
        <v>0</v>
      </c>
      <c r="J2185" s="2"/>
      <c r="K2185" s="2">
        <v>9335</v>
      </c>
      <c r="L2185" s="2">
        <v>9335</v>
      </c>
      <c r="M2185" s="2">
        <f>K2185-L2185</f>
        <v>0</v>
      </c>
      <c r="N2185" s="2">
        <v>4967</v>
      </c>
      <c r="O2185" s="2">
        <v>0</v>
      </c>
      <c r="P2185" s="7">
        <f>grand[[#This Row],[total weight]]/grand[[#This Row],[received]]</f>
        <v>44.452380952380949</v>
      </c>
      <c r="Q2185" s="7">
        <f>grand[[#This Row],[receiving weight]]/grand[[#This Row],[received]]</f>
        <v>44.452380952380949</v>
      </c>
      <c r="R2185" s="7">
        <f>grand[[#This Row],[transportation loss ]]/grand[[#This Row],[received]]</f>
        <v>0</v>
      </c>
      <c r="S2185" s="7">
        <f>grand[[#This Row],[ carcass weight]]/grand[[#This Row],[received]]</f>
        <v>23.652380952380952</v>
      </c>
      <c r="T2185" s="7">
        <f>grand[[#This Row],[ kidneys fat quantity]]/grand[[#This Row],[received]]</f>
        <v>0</v>
      </c>
      <c r="U2185">
        <v>25</v>
      </c>
      <c r="V2185">
        <v>0</v>
      </c>
      <c r="W2185">
        <v>41.652380952380952</v>
      </c>
      <c r="X2185">
        <v>10</v>
      </c>
      <c r="Y2185">
        <v>8.5</v>
      </c>
      <c r="Z2185" s="18">
        <f>grand[[#This Row],[av. Transportation loss]]/grand[[#This Row],[av.total weight]]</f>
        <v>0</v>
      </c>
      <c r="AA2185" s="18">
        <f>AVERAGE((grand[[#This Row],[am]]/25),(grand[[#This Row],[pm]]/50))</f>
        <v>0.91652380952380952</v>
      </c>
      <c r="AB2185" s="3">
        <f>grand[[#This Row],[ carcass weight]]/grand[[#This Row],[total weight]]</f>
        <v>0.53208355650776651</v>
      </c>
      <c r="AC2185" s="18">
        <f>SUM(grand[[#This Row],[am]:[meat transportation]])/100</f>
        <v>0.85152380952380957</v>
      </c>
      <c r="AD2185" s="2" t="s">
        <v>1169</v>
      </c>
      <c r="AE2185" s="2"/>
      <c r="AF2185" s="2"/>
      <c r="AG2185" s="2"/>
      <c r="AH2185" s="2"/>
      <c r="AI2185" s="2"/>
      <c r="AJ2185" s="2">
        <v>0</v>
      </c>
    </row>
    <row r="2186" spans="1:36" hidden="1" x14ac:dyDescent="0.2">
      <c r="A2186" s="11">
        <v>46166</v>
      </c>
      <c r="B2186" s="53" t="s">
        <v>2502</v>
      </c>
      <c r="C2186" s="52" t="str">
        <f>IF(MID(B2186,4,2)="09","Ramadan",IF(AND(MID(B2186,4,2)="12",VALUE(LEFT(B2186,2))&lt;=9),"Adha Season","Normal"))</f>
        <v>Adha Season</v>
      </c>
      <c r="D2186" s="2" t="s">
        <v>1187</v>
      </c>
      <c r="F2186" s="4" t="s">
        <v>576</v>
      </c>
      <c r="G2186" s="1">
        <v>115</v>
      </c>
      <c r="H2186">
        <v>115</v>
      </c>
      <c r="I2186">
        <f>grand[[#This Row],[number]]-grand[[#This Row],[received]]</f>
        <v>0</v>
      </c>
      <c r="J2186" s="2"/>
      <c r="K2186" s="2">
        <v>58148</v>
      </c>
      <c r="L2186" s="2">
        <v>58148</v>
      </c>
      <c r="M2186" s="2">
        <f>K2186-L2186</f>
        <v>0</v>
      </c>
      <c r="N2186" s="2">
        <v>36229</v>
      </c>
      <c r="O2186" s="2">
        <v>823</v>
      </c>
      <c r="P2186" s="7">
        <f>grand[[#This Row],[total weight]]/grand[[#This Row],[received]]</f>
        <v>505.63478260869567</v>
      </c>
      <c r="Q2186" s="7">
        <f>grand[[#This Row],[receiving weight]]/grand[[#This Row],[received]]</f>
        <v>505.63478260869567</v>
      </c>
      <c r="R2186" s="7">
        <f>grand[[#This Row],[transportation loss ]]/grand[[#This Row],[received]]</f>
        <v>0</v>
      </c>
      <c r="S2186" s="7">
        <f>grand[[#This Row],[ carcass weight]]/grand[[#This Row],[received]]</f>
        <v>315.03478260869565</v>
      </c>
      <c r="T2186" s="7">
        <f>grand[[#This Row],[ kidneys fat quantity]]/grand[[#This Row],[received]]</f>
        <v>7.1565217391304348</v>
      </c>
      <c r="U2186">
        <v>20</v>
      </c>
      <c r="V2186">
        <v>0</v>
      </c>
      <c r="W2186">
        <v>48.513043478260869</v>
      </c>
      <c r="X2186">
        <v>10</v>
      </c>
      <c r="Y2186">
        <v>8.5</v>
      </c>
      <c r="Z2186" s="18">
        <f>grand[[#This Row],[av. Transportation loss]]/grand[[#This Row],[av.total weight]]</f>
        <v>0</v>
      </c>
      <c r="AA2186" s="18">
        <f>AVERAGE((grand[[#This Row],[am]]/25),(grand[[#This Row],[pm]]/50))</f>
        <v>0.88513043478260878</v>
      </c>
      <c r="AB2186" s="3">
        <f>grand[[#This Row],[ carcass weight]]/grand[[#This Row],[total weight]]</f>
        <v>0.62304808419894064</v>
      </c>
      <c r="AC2186" s="18">
        <f>SUM(grand[[#This Row],[am]:[meat transportation]])/100</f>
        <v>0.87013043478260865</v>
      </c>
      <c r="AD2186" s="2" t="s">
        <v>1170</v>
      </c>
      <c r="AE2186" s="2"/>
      <c r="AF2186" s="2"/>
      <c r="AG2186" s="2"/>
      <c r="AH2186" s="2"/>
      <c r="AI2186" s="2"/>
      <c r="AJ2186" s="2">
        <v>115</v>
      </c>
    </row>
    <row r="2187" spans="1:36" hidden="1" x14ac:dyDescent="0.2">
      <c r="A2187" s="11">
        <v>46166</v>
      </c>
      <c r="B2187" s="53" t="s">
        <v>2502</v>
      </c>
      <c r="C2187" s="52" t="str">
        <f>IF(MID(B2187,4,2)="09","Ramadan",IF(AND(MID(B2187,4,2)="12",VALUE(LEFT(B2187,2))&lt;=9),"Adha Season","Normal"))</f>
        <v>Adha Season</v>
      </c>
      <c r="D2187" s="2" t="s">
        <v>350</v>
      </c>
      <c r="F2187" s="4" t="s">
        <v>1161</v>
      </c>
      <c r="G2187" s="1">
        <v>47</v>
      </c>
      <c r="H2187">
        <v>47</v>
      </c>
      <c r="I2187">
        <f>grand[[#This Row],[number]]-grand[[#This Row],[received]]</f>
        <v>0</v>
      </c>
      <c r="J2187" s="2"/>
      <c r="K2187" s="2">
        <v>1045</v>
      </c>
      <c r="L2187" s="2">
        <v>1045</v>
      </c>
      <c r="M2187" s="2">
        <f>K2187-L2187</f>
        <v>0</v>
      </c>
      <c r="N2187" s="2">
        <v>543</v>
      </c>
      <c r="O2187" s="2">
        <v>0</v>
      </c>
      <c r="P2187" s="7">
        <f>grand[[#This Row],[total weight]]/grand[[#This Row],[received]]</f>
        <v>22.23404255319149</v>
      </c>
      <c r="Q2187" s="7">
        <f>grand[[#This Row],[receiving weight]]/grand[[#This Row],[received]]</f>
        <v>22.23404255319149</v>
      </c>
      <c r="R2187" s="7">
        <f>grand[[#This Row],[transportation loss ]]/grand[[#This Row],[received]]</f>
        <v>0</v>
      </c>
      <c r="S2187" s="7">
        <f>grand[[#This Row],[ carcass weight]]/grand[[#This Row],[received]]</f>
        <v>11.553191489361701</v>
      </c>
      <c r="T2187" s="7">
        <f>grand[[#This Row],[ kidneys fat quantity]]/grand[[#This Row],[received]]</f>
        <v>0</v>
      </c>
      <c r="U2187">
        <v>20.957446808510639</v>
      </c>
      <c r="V2187">
        <v>0</v>
      </c>
      <c r="W2187">
        <v>48.042553191489361</v>
      </c>
      <c r="X2187">
        <v>10</v>
      </c>
      <c r="Y2187">
        <v>8.5</v>
      </c>
      <c r="Z2187" s="18">
        <f>grand[[#This Row],[av. Transportation loss]]/grand[[#This Row],[av.total weight]]</f>
        <v>0</v>
      </c>
      <c r="AA2187" s="18">
        <f>AVERAGE((grand[[#This Row],[am]]/25),(grand[[#This Row],[pm]]/50))</f>
        <v>0.89957446808510633</v>
      </c>
      <c r="AB2187" s="3">
        <f>grand[[#This Row],[ carcass weight]]/grand[[#This Row],[total weight]]</f>
        <v>0.51961722488038276</v>
      </c>
      <c r="AC2187" s="18">
        <f>SUM(grand[[#This Row],[am]:[meat transportation]])/100</f>
        <v>0.875</v>
      </c>
      <c r="AD2187" s="2" t="s">
        <v>1171</v>
      </c>
      <c r="AE2187" s="2"/>
      <c r="AF2187" s="2"/>
      <c r="AG2187" s="2"/>
      <c r="AH2187" s="2"/>
      <c r="AI2187" s="2"/>
      <c r="AJ2187" s="2">
        <v>38</v>
      </c>
    </row>
    <row r="2188" spans="1:36" hidden="1" x14ac:dyDescent="0.2">
      <c r="A2188" s="11">
        <v>46167</v>
      </c>
      <c r="B2188" s="53" t="s">
        <v>2503</v>
      </c>
      <c r="C2188" s="52" t="str">
        <f>IF(MID(B2188,4,2)="09","Ramadan",IF(AND(MID(B2188,4,2)="12",VALUE(LEFT(B2188,2))&lt;=9),"Adha Season","Normal"))</f>
        <v>Adha Season</v>
      </c>
      <c r="D2188" s="2" t="s">
        <v>1079</v>
      </c>
      <c r="F2188" s="4" t="s">
        <v>46</v>
      </c>
      <c r="G2188" s="1">
        <v>141</v>
      </c>
      <c r="H2188">
        <v>140</v>
      </c>
      <c r="I2188">
        <f>grand[[#This Row],[number]]-grand[[#This Row],[received]]</f>
        <v>1</v>
      </c>
      <c r="J2188" s="9" t="s">
        <v>1212</v>
      </c>
      <c r="K2188" s="2">
        <v>6296</v>
      </c>
      <c r="L2188" s="2">
        <v>6296</v>
      </c>
      <c r="M2188" s="2">
        <f>K2188-L2188</f>
        <v>0</v>
      </c>
      <c r="N2188" s="2">
        <v>3358.2</v>
      </c>
      <c r="O2188" s="2">
        <v>0</v>
      </c>
      <c r="P2188" s="7">
        <f>grand[[#This Row],[total weight]]/grand[[#This Row],[received]]</f>
        <v>44.971428571428568</v>
      </c>
      <c r="Q2188" s="7">
        <f>grand[[#This Row],[receiving weight]]/grand[[#This Row],[received]]</f>
        <v>44.971428571428568</v>
      </c>
      <c r="R2188" s="7">
        <f>grand[[#This Row],[transportation loss ]]/grand[[#This Row],[received]]</f>
        <v>0</v>
      </c>
      <c r="S2188" s="7">
        <f>grand[[#This Row],[ carcass weight]]/grand[[#This Row],[received]]</f>
        <v>23.987142857142857</v>
      </c>
      <c r="T2188" s="7">
        <f>grand[[#This Row],[ kidneys fat quantity]]/grand[[#This Row],[received]]</f>
        <v>0</v>
      </c>
      <c r="U2188">
        <v>25</v>
      </c>
      <c r="V2188">
        <v>0</v>
      </c>
      <c r="W2188">
        <v>49.078571428571429</v>
      </c>
      <c r="X2188">
        <v>10</v>
      </c>
      <c r="Y2188">
        <v>8.5</v>
      </c>
      <c r="Z2188" s="18">
        <f>grand[[#This Row],[av. Transportation loss]]/grand[[#This Row],[av.total weight]]</f>
        <v>0</v>
      </c>
      <c r="AA2188" s="18">
        <f>AVERAGE((grand[[#This Row],[am]]/25),(grand[[#This Row],[pm]]/50))</f>
        <v>0.99078571428571427</v>
      </c>
      <c r="AB2188" s="3">
        <f>grand[[#This Row],[ carcass weight]]/grand[[#This Row],[total weight]]</f>
        <v>0.53338627700127061</v>
      </c>
      <c r="AC2188" s="18">
        <f>SUM(grand[[#This Row],[am]:[meat transportation]])/100</f>
        <v>0.92578571428571421</v>
      </c>
      <c r="AD2188" s="2" t="s">
        <v>1173</v>
      </c>
      <c r="AE2188" s="2"/>
      <c r="AF2188" s="2"/>
      <c r="AG2188" s="2"/>
      <c r="AH2188" s="2"/>
      <c r="AI2188" s="2"/>
      <c r="AJ2188" s="2">
        <v>0</v>
      </c>
    </row>
    <row r="2189" spans="1:36" x14ac:dyDescent="0.2">
      <c r="A2189" s="11">
        <v>46167</v>
      </c>
      <c r="B2189" s="53" t="s">
        <v>2503</v>
      </c>
      <c r="C2189" s="52" t="str">
        <f>IF(MID(B2189,4,2)="09","Ramadan",IF(AND(MID(B2189,4,2)="12",VALUE(LEFT(B2189,2))&lt;=9),"Adha Season","Normal"))</f>
        <v>Adha Season</v>
      </c>
      <c r="D2189" s="2" t="s">
        <v>1187</v>
      </c>
      <c r="F2189" s="4" t="s">
        <v>46</v>
      </c>
      <c r="G2189" s="1">
        <v>82</v>
      </c>
      <c r="H2189">
        <v>80</v>
      </c>
      <c r="I2189">
        <f>grand[[#This Row],[number]]-grand[[#This Row],[received]]</f>
        <v>2</v>
      </c>
      <c r="J2189" s="9" t="s">
        <v>1211</v>
      </c>
      <c r="K2189" s="2">
        <v>39506</v>
      </c>
      <c r="L2189" s="2">
        <v>39506</v>
      </c>
      <c r="M2189" s="2">
        <f>K2189-L2189</f>
        <v>0</v>
      </c>
      <c r="N2189" s="2">
        <v>23703.5</v>
      </c>
      <c r="O2189" s="2">
        <v>731</v>
      </c>
      <c r="P2189" s="7">
        <f>grand[[#This Row],[total weight]]/grand[[#This Row],[received]]</f>
        <v>493.82499999999999</v>
      </c>
      <c r="Q2189" s="7">
        <f>grand[[#This Row],[receiving weight]]/grand[[#This Row],[received]]</f>
        <v>493.82499999999999</v>
      </c>
      <c r="R2189" s="7">
        <f>grand[[#This Row],[transportation loss ]]/grand[[#This Row],[received]]</f>
        <v>0</v>
      </c>
      <c r="S2189" s="7">
        <f>grand[[#This Row],[ carcass weight]]/grand[[#This Row],[received]]</f>
        <v>296.29374999999999</v>
      </c>
      <c r="T2189" s="7">
        <f>grand[[#This Row],[ kidneys fat quantity]]/grand[[#This Row],[received]]</f>
        <v>9.1374999999999993</v>
      </c>
      <c r="U2189">
        <v>21.625</v>
      </c>
      <c r="V2189">
        <v>0</v>
      </c>
      <c r="W2189">
        <v>49.825000000000003</v>
      </c>
      <c r="X2189">
        <v>10</v>
      </c>
      <c r="Y2189">
        <v>8.5</v>
      </c>
      <c r="Z2189" s="18">
        <f>grand[[#This Row],[av. Transportation loss]]/grand[[#This Row],[av.total weight]]</f>
        <v>0</v>
      </c>
      <c r="AA2189" s="18">
        <f>AVERAGE((grand[[#This Row],[am]]/25),(grand[[#This Row],[pm]]/50))</f>
        <v>0.93074999999999997</v>
      </c>
      <c r="AB2189" s="3">
        <f>grand[[#This Row],[ carcass weight]]/grand[[#This Row],[total weight]]</f>
        <v>0.59999746873892579</v>
      </c>
      <c r="AC2189" s="18">
        <f>SUM(grand[[#This Row],[am]:[meat transportation]])/100</f>
        <v>0.89950000000000008</v>
      </c>
      <c r="AD2189" s="2" t="s">
        <v>1172</v>
      </c>
      <c r="AE2189" s="2"/>
      <c r="AF2189" s="2"/>
      <c r="AG2189" s="2"/>
      <c r="AH2189" s="2"/>
      <c r="AI2189" s="2"/>
      <c r="AJ2189" s="2">
        <v>69</v>
      </c>
    </row>
    <row r="2190" spans="1:36" hidden="1" x14ac:dyDescent="0.2">
      <c r="A2190" s="11">
        <v>46173</v>
      </c>
      <c r="B2190" s="53" t="s">
        <v>2915</v>
      </c>
      <c r="C2190" s="52" t="str">
        <f>IF(MID(B2190,4,2)="09","Ramadan",IF(AND(MID(B2190,4,2)="12",VALUE(LEFT(B2190,2))&lt;=9),"Adha Season","Normal"))</f>
        <v>Normal</v>
      </c>
      <c r="D2190" s="2" t="s">
        <v>1079</v>
      </c>
      <c r="F2190" s="4" t="s">
        <v>954</v>
      </c>
      <c r="G2190" s="1">
        <v>60</v>
      </c>
      <c r="H2190">
        <v>60</v>
      </c>
      <c r="I2190">
        <f>grand[[#This Row],[number]]-grand[[#This Row],[received]]</f>
        <v>0</v>
      </c>
      <c r="J2190" s="2"/>
      <c r="K2190" s="2">
        <v>2589</v>
      </c>
      <c r="L2190" s="2">
        <v>2589</v>
      </c>
      <c r="M2190" s="2">
        <f>K2190-L2190</f>
        <v>0</v>
      </c>
      <c r="N2190" s="2">
        <v>1361.5</v>
      </c>
      <c r="O2190" s="2">
        <v>0</v>
      </c>
      <c r="P2190" s="7">
        <f>grand[[#This Row],[total weight]]/grand[[#This Row],[received]]</f>
        <v>43.15</v>
      </c>
      <c r="Q2190" s="7">
        <f>grand[[#This Row],[receiving weight]]/grand[[#This Row],[received]]</f>
        <v>43.15</v>
      </c>
      <c r="R2190" s="7">
        <f>grand[[#This Row],[transportation loss ]]/grand[[#This Row],[received]]</f>
        <v>0</v>
      </c>
      <c r="S2190" s="7">
        <f>grand[[#This Row],[ carcass weight]]/grand[[#This Row],[received]]</f>
        <v>22.691666666666666</v>
      </c>
      <c r="T2190" s="7">
        <f>grand[[#This Row],[ kidneys fat quantity]]/grand[[#This Row],[received]]</f>
        <v>0</v>
      </c>
      <c r="U2190">
        <v>25</v>
      </c>
      <c r="V2190">
        <v>0</v>
      </c>
      <c r="W2190">
        <v>46.75</v>
      </c>
      <c r="X2190">
        <v>10</v>
      </c>
      <c r="Y2190">
        <v>8.5</v>
      </c>
      <c r="Z2190" s="18">
        <f>grand[[#This Row],[av. Transportation loss]]/grand[[#This Row],[av.total weight]]</f>
        <v>0</v>
      </c>
      <c r="AA2190" s="18">
        <f>AVERAGE((grand[[#This Row],[am]]/25),(grand[[#This Row],[pm]]/50))</f>
        <v>0.96750000000000003</v>
      </c>
      <c r="AB2190" s="3">
        <f>grand[[#This Row],[ carcass weight]]/grand[[#This Row],[total weight]]</f>
        <v>0.52587871765160299</v>
      </c>
      <c r="AC2190" s="18">
        <f>SUM(grand[[#This Row],[am]:[meat transportation]])/100</f>
        <v>0.90249999999999997</v>
      </c>
      <c r="AD2190" s="2" t="s">
        <v>1176</v>
      </c>
      <c r="AE2190" s="2"/>
      <c r="AF2190" s="2"/>
      <c r="AG2190" s="2"/>
      <c r="AH2190" s="2"/>
      <c r="AI2190" s="2"/>
      <c r="AJ2190" s="2">
        <v>0</v>
      </c>
    </row>
    <row r="2191" spans="1:36" hidden="1" x14ac:dyDescent="0.2">
      <c r="A2191" s="11">
        <v>46173</v>
      </c>
      <c r="B2191" s="53" t="s">
        <v>2915</v>
      </c>
      <c r="C2191" s="52" t="str">
        <f>IF(MID(B2191,4,2)="09","Ramadan",IF(AND(MID(B2191,4,2)="12",VALUE(LEFT(B2191,2))&lt;=9),"Adha Season","Normal"))</f>
        <v>Normal</v>
      </c>
      <c r="D2191" s="2" t="s">
        <v>1187</v>
      </c>
      <c r="F2191" s="4" t="s">
        <v>954</v>
      </c>
      <c r="G2191" s="1">
        <v>80</v>
      </c>
      <c r="H2191">
        <v>80</v>
      </c>
      <c r="I2191">
        <f>grand[[#This Row],[number]]-grand[[#This Row],[received]]</f>
        <v>0</v>
      </c>
      <c r="J2191" s="2"/>
      <c r="K2191" s="2">
        <v>32648</v>
      </c>
      <c r="L2191" s="2">
        <v>32648</v>
      </c>
      <c r="M2191" s="2">
        <f>K2191-L2191</f>
        <v>0</v>
      </c>
      <c r="N2191" s="2">
        <v>19621</v>
      </c>
      <c r="O2191" s="2">
        <v>510</v>
      </c>
      <c r="P2191" s="7">
        <f>grand[[#This Row],[total weight]]/grand[[#This Row],[received]]</f>
        <v>408.1</v>
      </c>
      <c r="Q2191" s="7">
        <f>grand[[#This Row],[receiving weight]]/grand[[#This Row],[received]]</f>
        <v>408.1</v>
      </c>
      <c r="R2191" s="7">
        <f>grand[[#This Row],[transportation loss ]]/grand[[#This Row],[received]]</f>
        <v>0</v>
      </c>
      <c r="S2191" s="7">
        <f>grand[[#This Row],[ carcass weight]]/grand[[#This Row],[received]]</f>
        <v>245.26249999999999</v>
      </c>
      <c r="T2191" s="7">
        <f>grand[[#This Row],[ kidneys fat quantity]]/grand[[#This Row],[received]]</f>
        <v>6.375</v>
      </c>
      <c r="U2191">
        <v>25</v>
      </c>
      <c r="V2191">
        <v>0</v>
      </c>
      <c r="W2191">
        <v>48.056250000000006</v>
      </c>
      <c r="X2191">
        <v>10</v>
      </c>
      <c r="Y2191">
        <v>8.5</v>
      </c>
      <c r="Z2191" s="18">
        <f>grand[[#This Row],[av. Transportation loss]]/grand[[#This Row],[av.total weight]]</f>
        <v>0</v>
      </c>
      <c r="AA2191" s="18">
        <f>AVERAGE((grand[[#This Row],[am]]/25),(grand[[#This Row],[pm]]/50))</f>
        <v>0.9805625</v>
      </c>
      <c r="AB2191" s="3">
        <f>grand[[#This Row],[ carcass weight]]/grand[[#This Row],[total weight]]</f>
        <v>0.60098627787307035</v>
      </c>
      <c r="AC2191" s="18">
        <f>SUM(grand[[#This Row],[am]:[meat transportation]])/100</f>
        <v>0.91556250000000006</v>
      </c>
      <c r="AD2191" s="2" t="s">
        <v>1177</v>
      </c>
      <c r="AE2191" s="2"/>
      <c r="AF2191" s="2"/>
      <c r="AG2191" s="2"/>
      <c r="AH2191" s="2"/>
      <c r="AI2191" s="2"/>
      <c r="AJ2191" s="2">
        <v>0</v>
      </c>
    </row>
    <row r="2192" spans="1:36" hidden="1" x14ac:dyDescent="0.2">
      <c r="A2192" s="11">
        <v>46175</v>
      </c>
      <c r="B2192" s="53" t="str">
        <f>TEXT(grand[[#This Row],[date]],"[$-ar-SA,6]dd/mm/yyyy")</f>
        <v>17/12/1447</v>
      </c>
      <c r="C2192" s="52" t="str">
        <f>IF(MID(B2192,4,2)="09","Ramadan",IF(AND(MID(B2192,4,2)="12",VALUE(LEFT(B2192,2))&lt;=9),"Adha Season","Normal"))</f>
        <v>Normal</v>
      </c>
      <c r="D2192" s="1" t="s">
        <v>45</v>
      </c>
      <c r="F2192" s="4" t="s">
        <v>954</v>
      </c>
      <c r="G2192" s="1">
        <v>70</v>
      </c>
      <c r="H2192" s="1">
        <v>70</v>
      </c>
      <c r="I2192">
        <f>grand[[#This Row],[number]]-grand[[#This Row],[received]]</f>
        <v>0</v>
      </c>
      <c r="J2192" s="2"/>
      <c r="K2192" s="2">
        <v>29507</v>
      </c>
      <c r="L2192" s="2">
        <v>29507</v>
      </c>
      <c r="M2192" s="2">
        <f>K2192-L2192</f>
        <v>0</v>
      </c>
      <c r="N2192" s="2">
        <v>17755.900000000001</v>
      </c>
      <c r="O2192" s="2">
        <v>439</v>
      </c>
      <c r="P2192" s="7">
        <f>grand[[#This Row],[total weight]]/grand[[#This Row],[received]]</f>
        <v>421.52857142857141</v>
      </c>
      <c r="Q2192" s="7">
        <f>grand[[#This Row],[receiving weight]]/grand[[#This Row],[received]]</f>
        <v>421.52857142857141</v>
      </c>
      <c r="R2192" s="7">
        <f>grand[[#This Row],[transportation loss ]]/grand[[#This Row],[received]]</f>
        <v>0</v>
      </c>
      <c r="S2192" s="7">
        <f>grand[[#This Row],[ carcass weight]]/grand[[#This Row],[received]]</f>
        <v>253.65571428571431</v>
      </c>
      <c r="T2192" s="7">
        <f>grand[[#This Row],[ kidneys fat quantity]]/grand[[#This Row],[received]]</f>
        <v>6.2714285714285714</v>
      </c>
      <c r="U2192" s="1">
        <v>25</v>
      </c>
      <c r="V2192" s="1">
        <v>0</v>
      </c>
      <c r="W2192" s="1">
        <v>47.264285714285712</v>
      </c>
      <c r="X2192" s="1">
        <v>10</v>
      </c>
      <c r="Y2192">
        <v>8.5</v>
      </c>
      <c r="Z2192" s="18">
        <f>grand[[#This Row],[av. Transportation loss]]/grand[[#This Row],[av.total weight]]</f>
        <v>0</v>
      </c>
      <c r="AA2192" s="18">
        <f>AVERAGE((grand[[#This Row],[am]]/25),(grand[[#This Row],[pm]]/50))</f>
        <v>0.97264285714285714</v>
      </c>
      <c r="AB2192" s="3">
        <f>grand[[#This Row],[ carcass weight]]/grand[[#This Row],[total weight]]</f>
        <v>0.60175212661402389</v>
      </c>
      <c r="AC2192" s="18">
        <f>SUM(grand[[#This Row],[am]:[meat transportation]])/100</f>
        <v>0.90764285714285708</v>
      </c>
      <c r="AD2192" s="1" t="s">
        <v>2931</v>
      </c>
      <c r="AJ2192" s="1">
        <v>0</v>
      </c>
    </row>
    <row r="2193" spans="1:36" hidden="1" x14ac:dyDescent="0.2">
      <c r="A2193" s="11">
        <v>46175</v>
      </c>
      <c r="B2193" s="53" t="str">
        <f>TEXT(grand[[#This Row],[date]],"[$-ar-SA,6]dd/mm/yyyy")</f>
        <v>17/12/1447</v>
      </c>
      <c r="C2193" s="52" t="str">
        <f>IF(MID(B2193,4,2)="09","Ramadan",IF(AND(MID(B2193,4,2)="12",VALUE(LEFT(B2193,2))&lt;=9),"Adha Season","Normal"))</f>
        <v>Normal</v>
      </c>
      <c r="D2193" s="1" t="s">
        <v>1079</v>
      </c>
      <c r="F2193" s="4" t="s">
        <v>954</v>
      </c>
      <c r="G2193" s="1">
        <v>60</v>
      </c>
      <c r="H2193" s="1">
        <v>58</v>
      </c>
      <c r="I2193">
        <f>grand[[#This Row],[number]]-grand[[#This Row],[received]]</f>
        <v>2</v>
      </c>
      <c r="J2193" s="9" t="s">
        <v>2956</v>
      </c>
      <c r="K2193" s="2">
        <v>2165</v>
      </c>
      <c r="L2193" s="2">
        <v>2165</v>
      </c>
      <c r="M2193" s="2">
        <f>K2193-L2193</f>
        <v>0</v>
      </c>
      <c r="N2193" s="2">
        <v>1110</v>
      </c>
      <c r="O2193" s="2">
        <v>0</v>
      </c>
      <c r="P2193" s="7">
        <f>grand[[#This Row],[total weight]]/grand[[#This Row],[received]]</f>
        <v>37.327586206896555</v>
      </c>
      <c r="Q2193" s="7">
        <f>grand[[#This Row],[receiving weight]]/grand[[#This Row],[received]]</f>
        <v>37.327586206896555</v>
      </c>
      <c r="R2193" s="7">
        <f>grand[[#This Row],[transportation loss ]]/grand[[#This Row],[received]]</f>
        <v>0</v>
      </c>
      <c r="S2193" s="7">
        <f>grand[[#This Row],[ carcass weight]]/grand[[#This Row],[received]]</f>
        <v>19.137931034482758</v>
      </c>
      <c r="T2193" s="7">
        <f>grand[[#This Row],[ kidneys fat quantity]]/grand[[#This Row],[received]]</f>
        <v>0</v>
      </c>
      <c r="U2193" s="1">
        <v>25</v>
      </c>
      <c r="V2193" s="1">
        <v>0</v>
      </c>
      <c r="W2193" s="1">
        <v>42.775862068965523</v>
      </c>
      <c r="X2193" s="1">
        <v>10</v>
      </c>
      <c r="Y2193">
        <v>8.5</v>
      </c>
      <c r="Z2193" s="18">
        <f>grand[[#This Row],[av. Transportation loss]]/grand[[#This Row],[av.total weight]]</f>
        <v>0</v>
      </c>
      <c r="AA2193" s="18">
        <f>AVERAGE((grand[[#This Row],[am]]/25),(grand[[#This Row],[pm]]/50))</f>
        <v>0.92775862068965531</v>
      </c>
      <c r="AB2193" s="3">
        <f>grand[[#This Row],[ carcass weight]]/grand[[#This Row],[total weight]]</f>
        <v>0.51270207852193994</v>
      </c>
      <c r="AC2193" s="18">
        <f>SUM(grand[[#This Row],[am]:[meat transportation]])/100</f>
        <v>0.86275862068965525</v>
      </c>
      <c r="AD2193" s="1" t="s">
        <v>2930</v>
      </c>
      <c r="AJ2193" s="1">
        <v>0</v>
      </c>
    </row>
    <row r="2194" spans="1:36" hidden="1" x14ac:dyDescent="0.2">
      <c r="A2194" s="11">
        <v>46176</v>
      </c>
      <c r="B2194" s="53" t="str">
        <f>TEXT(grand[[#This Row],[date]],"[$-ar-SA,6]dd/mm/yyyy")</f>
        <v>18/12/1447</v>
      </c>
      <c r="C2194" s="52" t="str">
        <f>IF(MID(B2194,4,2)="09","Ramadan",IF(AND(MID(B2194,4,2)="12",VALUE(LEFT(B2194,2))&lt;=9),"Adha Season","Normal"))</f>
        <v>Normal</v>
      </c>
      <c r="D2194" s="1" t="s">
        <v>45</v>
      </c>
      <c r="F2194" s="4" t="s">
        <v>954</v>
      </c>
      <c r="G2194" s="1">
        <v>72</v>
      </c>
      <c r="H2194" s="1">
        <v>72</v>
      </c>
      <c r="I2194">
        <f>grand[[#This Row],[number]]-grand[[#This Row],[received]]</f>
        <v>0</v>
      </c>
      <c r="J2194" s="2"/>
      <c r="K2194" s="2">
        <v>31058</v>
      </c>
      <c r="L2194" s="2">
        <v>31058</v>
      </c>
      <c r="M2194" s="2">
        <f>K2194-L2194</f>
        <v>0</v>
      </c>
      <c r="N2194" s="2">
        <v>18667.3</v>
      </c>
      <c r="O2194" s="2">
        <v>512</v>
      </c>
      <c r="P2194" s="7">
        <f>grand[[#This Row],[total weight]]/grand[[#This Row],[received]]</f>
        <v>431.36111111111109</v>
      </c>
      <c r="Q2194" s="7">
        <f>grand[[#This Row],[receiving weight]]/grand[[#This Row],[received]]</f>
        <v>431.36111111111109</v>
      </c>
      <c r="R2194" s="7">
        <f>grand[[#This Row],[transportation loss ]]/grand[[#This Row],[received]]</f>
        <v>0</v>
      </c>
      <c r="S2194" s="7">
        <f>grand[[#This Row],[ carcass weight]]/grand[[#This Row],[received]]</f>
        <v>259.26805555555552</v>
      </c>
      <c r="T2194" s="7">
        <f>grand[[#This Row],[ kidneys fat quantity]]/grand[[#This Row],[received]]</f>
        <v>7.1111111111111107</v>
      </c>
      <c r="U2194" s="1">
        <v>25</v>
      </c>
      <c r="V2194" s="1">
        <v>0</v>
      </c>
      <c r="W2194" s="1">
        <v>48.743055555555557</v>
      </c>
      <c r="X2194" s="1">
        <v>10</v>
      </c>
      <c r="Y2194">
        <v>8.5</v>
      </c>
      <c r="Z2194" s="18">
        <f>grand[[#This Row],[av. Transportation loss]]/grand[[#This Row],[av.total weight]]</f>
        <v>0</v>
      </c>
      <c r="AA2194" s="18">
        <f>AVERAGE((grand[[#This Row],[am]]/25),(grand[[#This Row],[pm]]/50))</f>
        <v>0.98743055555555559</v>
      </c>
      <c r="AB2194" s="3">
        <f>grand[[#This Row],[ carcass weight]]/grand[[#This Row],[total weight]]</f>
        <v>0.60104642926138185</v>
      </c>
      <c r="AC2194" s="18">
        <f>SUM(grand[[#This Row],[am]:[meat transportation]])/100</f>
        <v>0.92243055555555553</v>
      </c>
      <c r="AD2194" s="1" t="s">
        <v>2948</v>
      </c>
      <c r="AJ2194" s="1">
        <v>0</v>
      </c>
    </row>
    <row r="2195" spans="1:36" hidden="1" x14ac:dyDescent="0.2">
      <c r="A2195" s="11">
        <v>46177</v>
      </c>
      <c r="B2195" s="53" t="str">
        <f>TEXT(grand[[#This Row],[date]],"[$-ar-SA,6]dd/mm/yyyy")</f>
        <v>19/12/1447</v>
      </c>
      <c r="C2195" s="52" t="str">
        <f>IF(MID(B2195,4,2)="09","Ramadan",IF(AND(MID(B2195,4,2)="12",VALUE(LEFT(B2195,2))&lt;=9),"Adha Season","Normal"))</f>
        <v>Normal</v>
      </c>
      <c r="D2195" s="1" t="s">
        <v>1079</v>
      </c>
      <c r="F2195" s="4" t="s">
        <v>165</v>
      </c>
      <c r="G2195" s="1">
        <v>101</v>
      </c>
      <c r="H2195" s="1">
        <v>101</v>
      </c>
      <c r="I2195">
        <f>grand[[#This Row],[number]]-grand[[#This Row],[received]]</f>
        <v>0</v>
      </c>
      <c r="J2195" s="2"/>
      <c r="K2195" s="2">
        <v>4837</v>
      </c>
      <c r="L2195" s="2">
        <v>4837</v>
      </c>
      <c r="M2195" s="2">
        <f>K2195-L2195</f>
        <v>0</v>
      </c>
      <c r="N2195" s="2">
        <v>2535.5</v>
      </c>
      <c r="O2195" s="2">
        <v>0</v>
      </c>
      <c r="P2195" s="7">
        <f>grand[[#This Row],[total weight]]/grand[[#This Row],[received]]</f>
        <v>47.89108910891089</v>
      </c>
      <c r="Q2195" s="7">
        <f>grand[[#This Row],[receiving weight]]/grand[[#This Row],[received]]</f>
        <v>47.89108910891089</v>
      </c>
      <c r="R2195" s="7">
        <f>grand[[#This Row],[transportation loss ]]/grand[[#This Row],[received]]</f>
        <v>0</v>
      </c>
      <c r="S2195" s="7">
        <f>grand[[#This Row],[ carcass weight]]/grand[[#This Row],[received]]</f>
        <v>25.103960396039604</v>
      </c>
      <c r="T2195" s="7">
        <f>grand[[#This Row],[ kidneys fat quantity]]/grand[[#This Row],[received]]</f>
        <v>0</v>
      </c>
      <c r="U2195" s="1">
        <v>25</v>
      </c>
      <c r="V2195" s="1">
        <v>0</v>
      </c>
      <c r="W2195" s="1">
        <v>47.554455445544555</v>
      </c>
      <c r="X2195" s="1">
        <v>10</v>
      </c>
      <c r="Y2195">
        <v>8.5</v>
      </c>
      <c r="Z2195" s="18">
        <f>grand[[#This Row],[av. Transportation loss]]/grand[[#This Row],[av.total weight]]</f>
        <v>0</v>
      </c>
      <c r="AA2195" s="18">
        <f>AVERAGE((grand[[#This Row],[am]]/25),(grand[[#This Row],[pm]]/50))</f>
        <v>0.97554455445544552</v>
      </c>
      <c r="AB2195" s="3">
        <f>grand[[#This Row],[ carcass weight]]/grand[[#This Row],[total weight]]</f>
        <v>0.52418854661980563</v>
      </c>
      <c r="AC2195" s="18">
        <f>SUM(grand[[#This Row],[am]:[meat transportation]])/100</f>
        <v>0.91054455445544558</v>
      </c>
      <c r="AD2195" s="1" t="s">
        <v>2949</v>
      </c>
      <c r="AJ2195" s="1">
        <v>0</v>
      </c>
    </row>
    <row r="2196" spans="1:36" x14ac:dyDescent="0.2">
      <c r="A2196" s="11">
        <v>46177</v>
      </c>
      <c r="B2196" s="53" t="str">
        <f>TEXT(grand[[#This Row],[date]],"[$-ar-SA,6]dd/mm/yyyy")</f>
        <v>19/12/1447</v>
      </c>
      <c r="C2196" s="52" t="str">
        <f>IF(MID(B2196,4,2)="09","Ramadan",IF(AND(MID(B2196,4,2)="12",VALUE(LEFT(B2196,2))&lt;=9),"Adha Season","Normal"))</f>
        <v>Normal</v>
      </c>
      <c r="D2196" s="1" t="s">
        <v>45</v>
      </c>
      <c r="F2196" s="4" t="s">
        <v>954</v>
      </c>
      <c r="G2196" s="1">
        <v>128</v>
      </c>
      <c r="H2196" s="1">
        <v>127</v>
      </c>
      <c r="I2196">
        <f>grand[[#This Row],[number]]-grand[[#This Row],[received]]</f>
        <v>1</v>
      </c>
      <c r="J2196" s="9" t="s">
        <v>1189</v>
      </c>
      <c r="K2196" s="2">
        <v>52707</v>
      </c>
      <c r="L2196" s="2">
        <v>52707</v>
      </c>
      <c r="M2196" s="2">
        <f>K2196-L2196</f>
        <v>0</v>
      </c>
      <c r="N2196" s="2">
        <v>31677.3</v>
      </c>
      <c r="O2196" s="2">
        <v>878</v>
      </c>
      <c r="P2196" s="7">
        <f>grand[[#This Row],[total weight]]/grand[[#This Row],[received]]</f>
        <v>415.01574803149606</v>
      </c>
      <c r="Q2196" s="7">
        <f>grand[[#This Row],[receiving weight]]/grand[[#This Row],[received]]</f>
        <v>415.01574803149606</v>
      </c>
      <c r="R2196" s="7">
        <f>grand[[#This Row],[transportation loss ]]/grand[[#This Row],[received]]</f>
        <v>0</v>
      </c>
      <c r="S2196" s="7">
        <f>grand[[#This Row],[ carcass weight]]/grand[[#This Row],[received]]</f>
        <v>249.42755905511811</v>
      </c>
      <c r="T2196" s="7">
        <f>grand[[#This Row],[ kidneys fat quantity]]/grand[[#This Row],[received]]</f>
        <v>6.9133858267716537</v>
      </c>
      <c r="U2196" s="1">
        <v>25</v>
      </c>
      <c r="V2196" s="1">
        <v>0</v>
      </c>
      <c r="W2196" s="1">
        <v>48.511811023622045</v>
      </c>
      <c r="X2196" s="1">
        <v>10</v>
      </c>
      <c r="Y2196">
        <v>8.5</v>
      </c>
      <c r="Z2196" s="18">
        <f>grand[[#This Row],[av. Transportation loss]]/grand[[#This Row],[av.total weight]]</f>
        <v>0</v>
      </c>
      <c r="AA2196" s="18">
        <f>AVERAGE((grand[[#This Row],[am]]/25),(grand[[#This Row],[pm]]/50))</f>
        <v>0.98511811023622042</v>
      </c>
      <c r="AB2196" s="3">
        <f>grand[[#This Row],[ carcass weight]]/grand[[#This Row],[total weight]]</f>
        <v>0.60100745631510044</v>
      </c>
      <c r="AC2196" s="18">
        <f>SUM(grand[[#This Row],[am]:[meat transportation]])/100</f>
        <v>0.92011811023622048</v>
      </c>
      <c r="AD2196" s="1" t="s">
        <v>2950</v>
      </c>
      <c r="AJ2196" s="1">
        <v>0</v>
      </c>
    </row>
    <row r="2197" spans="1:36" x14ac:dyDescent="0.2">
      <c r="A2197" s="11">
        <v>46179</v>
      </c>
      <c r="B2197" s="53" t="str">
        <f>TEXT(grand[[#This Row],[date]],"[$-ar-SA,6]dd/mm/yyyy")</f>
        <v>21/12/1447</v>
      </c>
      <c r="C2197" s="52" t="str">
        <f>IF(MID(B2197,4,2)="09","Ramadan",IF(AND(MID(B2197,4,2)="12",VALUE(LEFT(B2197,2))&lt;=9),"Adha Season","Normal"))</f>
        <v>Normal</v>
      </c>
      <c r="D2197" s="1" t="s">
        <v>45</v>
      </c>
      <c r="F2197" s="4" t="s">
        <v>954</v>
      </c>
      <c r="G2197" s="1">
        <v>60</v>
      </c>
      <c r="H2197" s="1">
        <v>59</v>
      </c>
      <c r="I2197">
        <f>grand[[#This Row],[number]]-grand[[#This Row],[received]]</f>
        <v>1</v>
      </c>
      <c r="J2197" s="9" t="s">
        <v>2957</v>
      </c>
      <c r="K2197" s="2">
        <v>25131</v>
      </c>
      <c r="L2197" s="2">
        <v>25131</v>
      </c>
      <c r="M2197" s="2">
        <f>K2197-L2197</f>
        <v>0</v>
      </c>
      <c r="N2197" s="2">
        <v>15221</v>
      </c>
      <c r="O2197" s="2">
        <v>410</v>
      </c>
      <c r="P2197" s="7">
        <f>grand[[#This Row],[total weight]]/grand[[#This Row],[received]]</f>
        <v>425.94915254237287</v>
      </c>
      <c r="Q2197" s="7">
        <f>grand[[#This Row],[receiving weight]]/grand[[#This Row],[received]]</f>
        <v>425.94915254237287</v>
      </c>
      <c r="R2197" s="7">
        <f>grand[[#This Row],[transportation loss ]]/grand[[#This Row],[received]]</f>
        <v>0</v>
      </c>
      <c r="S2197" s="7">
        <f>grand[[#This Row],[ carcass weight]]/grand[[#This Row],[received]]</f>
        <v>257.9830508474576</v>
      </c>
      <c r="T2197" s="7">
        <f>grand[[#This Row],[ kidneys fat quantity]]/grand[[#This Row],[received]]</f>
        <v>6.9491525423728815</v>
      </c>
      <c r="U2197" s="1">
        <v>25</v>
      </c>
      <c r="V2197" s="1">
        <v>0</v>
      </c>
      <c r="W2197" s="1">
        <v>47.974576271186429</v>
      </c>
      <c r="X2197" s="1">
        <v>10</v>
      </c>
      <c r="Y2197">
        <v>8.5</v>
      </c>
      <c r="Z2197" s="18">
        <f>grand[[#This Row],[av. Transportation loss]]/grand[[#This Row],[av.total weight]]</f>
        <v>0</v>
      </c>
      <c r="AA2197" s="18">
        <f>AVERAGE((grand[[#This Row],[am]]/25),(grand[[#This Row],[pm]]/50))</f>
        <v>0.97974576271186431</v>
      </c>
      <c r="AB2197" s="3">
        <f>grand[[#This Row],[ carcass weight]]/grand[[#This Row],[total weight]]</f>
        <v>0.60566630854323344</v>
      </c>
      <c r="AC2197" s="18">
        <f>SUM(grand[[#This Row],[am]:[meat transportation]])/100</f>
        <v>0.91474576271186436</v>
      </c>
      <c r="AD2197" s="1" t="s">
        <v>2951</v>
      </c>
      <c r="AJ2197" s="1">
        <v>0</v>
      </c>
    </row>
    <row r="2198" spans="1:36" hidden="1" x14ac:dyDescent="0.2">
      <c r="A2198" s="11">
        <v>46180</v>
      </c>
      <c r="B2198" s="53" t="str">
        <f>TEXT(grand[[#This Row],[date]],"[$-ar-SA,6]dd/mm/yyyy")</f>
        <v>22/12/1447</v>
      </c>
      <c r="C2198" s="52" t="str">
        <f>IF(MID(B2198,4,2)="09","Ramadan",IF(AND(MID(B2198,4,2)="12",VALUE(LEFT(B2198,2))&lt;=9),"Adha Season","Normal"))</f>
        <v>Normal</v>
      </c>
      <c r="D2198" s="1" t="s">
        <v>1079</v>
      </c>
      <c r="F2198" s="4" t="s">
        <v>46</v>
      </c>
      <c r="G2198" s="1">
        <v>60</v>
      </c>
      <c r="H2198" s="28">
        <v>59</v>
      </c>
      <c r="I2198">
        <f>grand[[#This Row],[number]]-grand[[#This Row],[received]]</f>
        <v>1</v>
      </c>
      <c r="J2198" s="9" t="s">
        <v>3170</v>
      </c>
      <c r="K2198" s="2">
        <v>2240</v>
      </c>
      <c r="L2198" s="2">
        <v>2240</v>
      </c>
      <c r="M2198" s="2">
        <f>K2198-L2198</f>
        <v>0</v>
      </c>
      <c r="N2198" s="2">
        <v>1204.3</v>
      </c>
      <c r="O2198" s="2">
        <v>0</v>
      </c>
      <c r="P2198" s="7">
        <f>grand[[#This Row],[total weight]]/grand[[#This Row],[received]]</f>
        <v>37.966101694915253</v>
      </c>
      <c r="Q2198" s="7">
        <f>grand[[#This Row],[receiving weight]]/grand[[#This Row],[received]]</f>
        <v>37.966101694915253</v>
      </c>
      <c r="R2198" s="7">
        <f>grand[[#This Row],[transportation loss ]]/grand[[#This Row],[received]]</f>
        <v>0</v>
      </c>
      <c r="S2198" s="7">
        <f>grand[[#This Row],[ carcass weight]]/grand[[#This Row],[received]]</f>
        <v>20.41186440677966</v>
      </c>
      <c r="T2198" s="7">
        <f>grand[[#This Row],[ kidneys fat quantity]]/grand[[#This Row],[received]]</f>
        <v>0</v>
      </c>
      <c r="U2198" s="1">
        <v>25</v>
      </c>
      <c r="V2198" s="1">
        <v>0</v>
      </c>
      <c r="W2198" s="1">
        <v>46.841666666666661</v>
      </c>
      <c r="X2198" s="1">
        <v>10</v>
      </c>
      <c r="Y2198">
        <v>8.5</v>
      </c>
      <c r="Z2198" s="18">
        <f>grand[[#This Row],[av. Transportation loss]]/grand[[#This Row],[av.total weight]]</f>
        <v>0</v>
      </c>
      <c r="AA2198" s="18">
        <f>AVERAGE((grand[[#This Row],[am]]/25),(grand[[#This Row],[pm]]/50))</f>
        <v>0.96841666666666659</v>
      </c>
      <c r="AB2198" s="3">
        <f>grand[[#This Row],[ carcass weight]]/grand[[#This Row],[total weight]]</f>
        <v>0.53763392857142855</v>
      </c>
      <c r="AC2198" s="18">
        <f>SUM(grand[[#This Row],[am]:[meat transportation]])/100</f>
        <v>0.90341666666666665</v>
      </c>
      <c r="AD2198" s="1" t="s">
        <v>2952</v>
      </c>
      <c r="AJ2198" s="1">
        <v>0</v>
      </c>
    </row>
    <row r="2199" spans="1:36" x14ac:dyDescent="0.2">
      <c r="A2199" s="11">
        <v>46180</v>
      </c>
      <c r="B2199" s="53" t="str">
        <f>TEXT(grand[[#This Row],[date]],"[$-ar-SA,6]dd/mm/yyyy")</f>
        <v>22/12/1447</v>
      </c>
      <c r="C2199" s="52" t="str">
        <f>IF(MID(B2199,4,2)="09","Ramadan",IF(AND(MID(B2199,4,2)="12",VALUE(LEFT(B2199,2))&lt;=9),"Adha Season","Normal"))</f>
        <v>Normal</v>
      </c>
      <c r="D2199" s="1" t="s">
        <v>45</v>
      </c>
      <c r="F2199" s="4" t="s">
        <v>46</v>
      </c>
      <c r="G2199" s="1">
        <v>62</v>
      </c>
      <c r="H2199" s="1">
        <v>61</v>
      </c>
      <c r="I2199">
        <f>grand[[#This Row],[number]]-grand[[#This Row],[received]]</f>
        <v>1</v>
      </c>
      <c r="J2199" s="9" t="s">
        <v>2958</v>
      </c>
      <c r="K2199" s="2">
        <v>23701</v>
      </c>
      <c r="L2199" s="2">
        <v>23701</v>
      </c>
      <c r="M2199" s="2">
        <f>K2199-L2199</f>
        <v>0</v>
      </c>
      <c r="N2199" s="2">
        <v>14221</v>
      </c>
      <c r="O2199" s="2">
        <v>287</v>
      </c>
      <c r="P2199" s="7">
        <f>grand[[#This Row],[total weight]]/grand[[#This Row],[received]]</f>
        <v>388.5409836065574</v>
      </c>
      <c r="Q2199" s="7">
        <f>grand[[#This Row],[receiving weight]]/grand[[#This Row],[received]]</f>
        <v>388.5409836065574</v>
      </c>
      <c r="R2199" s="7">
        <f>grand[[#This Row],[transportation loss ]]/grand[[#This Row],[received]]</f>
        <v>0</v>
      </c>
      <c r="S2199" s="7">
        <f>grand[[#This Row],[ carcass weight]]/grand[[#This Row],[received]]</f>
        <v>233.13114754098362</v>
      </c>
      <c r="T2199" s="7">
        <f>grand[[#This Row],[ kidneys fat quantity]]/grand[[#This Row],[received]]</f>
        <v>4.7049180327868854</v>
      </c>
      <c r="U2199" s="1">
        <v>25</v>
      </c>
      <c r="V2199" s="1">
        <v>0</v>
      </c>
      <c r="W2199" s="1">
        <v>47.393442622950822</v>
      </c>
      <c r="X2199" s="1">
        <v>10</v>
      </c>
      <c r="Y2199">
        <v>8.5</v>
      </c>
      <c r="Z2199" s="18">
        <f>grand[[#This Row],[av. Transportation loss]]/grand[[#This Row],[av.total weight]]</f>
        <v>0</v>
      </c>
      <c r="AA2199" s="18">
        <f>AVERAGE((grand[[#This Row],[am]]/25),(grand[[#This Row],[pm]]/50))</f>
        <v>0.97393442622950821</v>
      </c>
      <c r="AB2199" s="3">
        <f>grand[[#This Row],[ carcass weight]]/grand[[#This Row],[total weight]]</f>
        <v>0.60001687692502426</v>
      </c>
      <c r="AC2199" s="18">
        <f>SUM(grand[[#This Row],[am]:[meat transportation]])/100</f>
        <v>0.90893442622950826</v>
      </c>
      <c r="AD2199" s="1" t="s">
        <v>2953</v>
      </c>
      <c r="AJ2199" s="1">
        <v>0</v>
      </c>
    </row>
    <row r="2200" spans="1:36" hidden="1" x14ac:dyDescent="0.2">
      <c r="A2200" s="11">
        <v>46181</v>
      </c>
      <c r="B2200" s="53" t="str">
        <f>TEXT(grand[[#This Row],[date]],"[$-ar-SA,6]dd/mm/yyyy")</f>
        <v>23/12/1447</v>
      </c>
      <c r="C2200" s="52" t="str">
        <f>IF(MID(B2200,4,2)="09","Ramadan",IF(AND(MID(B2200,4,2)="12",VALUE(LEFT(B2200,2))&lt;=9),"Adha Season","Normal"))</f>
        <v>Normal</v>
      </c>
      <c r="D2200" s="1" t="s">
        <v>45</v>
      </c>
      <c r="F2200" s="4" t="s">
        <v>884</v>
      </c>
      <c r="G2200" s="1">
        <v>45</v>
      </c>
      <c r="H2200" s="1">
        <v>45</v>
      </c>
      <c r="I2200">
        <f>grand[[#This Row],[number]]-grand[[#This Row],[received]]</f>
        <v>0</v>
      </c>
      <c r="J2200" s="2"/>
      <c r="K2200" s="2">
        <v>19576</v>
      </c>
      <c r="L2200" s="2">
        <v>19576</v>
      </c>
      <c r="M2200" s="2">
        <f>K2200-L2200</f>
        <v>0</v>
      </c>
      <c r="N2200" s="2">
        <v>11744.8</v>
      </c>
      <c r="O2200" s="2">
        <v>250</v>
      </c>
      <c r="P2200" s="7">
        <f>grand[[#This Row],[total weight]]/grand[[#This Row],[received]]</f>
        <v>435.02222222222224</v>
      </c>
      <c r="Q2200" s="7">
        <f>grand[[#This Row],[receiving weight]]/grand[[#This Row],[received]]</f>
        <v>435.02222222222224</v>
      </c>
      <c r="R2200" s="7">
        <f>grand[[#This Row],[transportation loss ]]/grand[[#This Row],[received]]</f>
        <v>0</v>
      </c>
      <c r="S2200" s="7">
        <f>grand[[#This Row],[ carcass weight]]/grand[[#This Row],[received]]</f>
        <v>260.99555555555554</v>
      </c>
      <c r="T2200" s="7">
        <f>grand[[#This Row],[ kidneys fat quantity]]/grand[[#This Row],[received]]</f>
        <v>5.5555555555555554</v>
      </c>
      <c r="U2200" s="1">
        <v>25</v>
      </c>
      <c r="V2200" s="1">
        <v>0</v>
      </c>
      <c r="W2200" s="1">
        <v>45.06666666666667</v>
      </c>
      <c r="X2200" s="1">
        <v>10</v>
      </c>
      <c r="Y2200">
        <v>8.5</v>
      </c>
      <c r="Z2200" s="18">
        <f>grand[[#This Row],[av. Transportation loss]]/grand[[#This Row],[av.total weight]]</f>
        <v>0</v>
      </c>
      <c r="AA2200" s="18">
        <f>AVERAGE((grand[[#This Row],[am]]/25),(grand[[#This Row],[pm]]/50))</f>
        <v>0.95066666666666677</v>
      </c>
      <c r="AB2200" s="3">
        <f>grand[[#This Row],[ carcass weight]]/grand[[#This Row],[total weight]]</f>
        <v>0.59995913363302</v>
      </c>
      <c r="AC2200" s="18">
        <f>SUM(grand[[#This Row],[am]:[meat transportation]])/100</f>
        <v>0.8856666666666666</v>
      </c>
      <c r="AD2200" s="1" t="s">
        <v>2954</v>
      </c>
      <c r="AJ2200" s="1">
        <v>2</v>
      </c>
    </row>
    <row r="2201" spans="1:36" hidden="1" x14ac:dyDescent="0.2">
      <c r="A2201" s="11">
        <v>46182</v>
      </c>
      <c r="B2201" s="53" t="str">
        <f>TEXT(grand[[#This Row],[date]],"[$-ar-SA,6]dd/mm/yyyy")</f>
        <v>24/12/1447</v>
      </c>
      <c r="C2201" s="52" t="str">
        <f>IF(MID(B2201,4,2)="09","Ramadan",IF(AND(MID(B2201,4,2)="12",VALUE(LEFT(B2201,2))&lt;=9),"Adha Season","Normal"))</f>
        <v>Normal</v>
      </c>
      <c r="D2201" s="1" t="s">
        <v>45</v>
      </c>
      <c r="F2201" s="4" t="s">
        <v>954</v>
      </c>
      <c r="G2201" s="1">
        <v>60</v>
      </c>
      <c r="H2201" s="1">
        <v>60</v>
      </c>
      <c r="I2201">
        <f>grand[[#This Row],[number]]-grand[[#This Row],[received]]</f>
        <v>0</v>
      </c>
      <c r="J2201" s="2"/>
      <c r="K2201" s="2">
        <v>24715</v>
      </c>
      <c r="L2201" s="2">
        <v>24715</v>
      </c>
      <c r="M2201" s="2">
        <f>K2201-L2201</f>
        <v>0</v>
      </c>
      <c r="N2201" s="2">
        <v>14930</v>
      </c>
      <c r="O2201" s="2">
        <v>374</v>
      </c>
      <c r="P2201" s="7">
        <f>grand[[#This Row],[total weight]]/grand[[#This Row],[received]]</f>
        <v>411.91666666666669</v>
      </c>
      <c r="Q2201" s="7">
        <f>grand[[#This Row],[receiving weight]]/grand[[#This Row],[received]]</f>
        <v>411.91666666666669</v>
      </c>
      <c r="R2201" s="7">
        <f>grand[[#This Row],[transportation loss ]]/grand[[#This Row],[received]]</f>
        <v>0</v>
      </c>
      <c r="S2201" s="7">
        <f>grand[[#This Row],[ carcass weight]]/grand[[#This Row],[received]]</f>
        <v>248.83333333333334</v>
      </c>
      <c r="T2201" s="7">
        <f>grand[[#This Row],[ kidneys fat quantity]]/grand[[#This Row],[received]]</f>
        <v>6.2333333333333334</v>
      </c>
      <c r="U2201" s="1">
        <v>25</v>
      </c>
      <c r="V2201" s="1">
        <v>0</v>
      </c>
      <c r="W2201" s="1">
        <v>47.916666666666657</v>
      </c>
      <c r="X2201" s="1">
        <v>10</v>
      </c>
      <c r="Y2201">
        <v>8.5</v>
      </c>
      <c r="Z2201" s="18">
        <f>grand[[#This Row],[av. Transportation loss]]/grand[[#This Row],[av.total weight]]</f>
        <v>0</v>
      </c>
      <c r="AA2201" s="18">
        <f>AVERAGE((grand[[#This Row],[am]]/25),(grand[[#This Row],[pm]]/50))</f>
        <v>0.97916666666666652</v>
      </c>
      <c r="AB2201" s="3">
        <f>grand[[#This Row],[ carcass weight]]/grand[[#This Row],[total weight]]</f>
        <v>0.60408658709285856</v>
      </c>
      <c r="AC2201" s="18">
        <f>SUM(grand[[#This Row],[am]:[meat transportation]])/100</f>
        <v>0.91416666666666657</v>
      </c>
      <c r="AD2201" s="1" t="s">
        <v>2955</v>
      </c>
      <c r="AJ2201" s="1">
        <v>0</v>
      </c>
    </row>
    <row r="2202" spans="1:36" hidden="1" x14ac:dyDescent="0.2">
      <c r="A2202" s="11">
        <v>46182</v>
      </c>
      <c r="B2202" s="53" t="str">
        <f>TEXT(grand[[#This Row],[date]],"[$-ar-SA,6]dd/mm/yyyy")</f>
        <v>24/12/1447</v>
      </c>
      <c r="C2202" s="52" t="str">
        <f>IF(MID(B2202,4,2)="09","Ramadan",IF(AND(MID(B2202,4,2)="12",VALUE(LEFT(B2202,2))&lt;=9),"Adha Season","Normal"))</f>
        <v>Normal</v>
      </c>
      <c r="D2202" s="1" t="s">
        <v>1079</v>
      </c>
      <c r="F2202" s="4" t="s">
        <v>165</v>
      </c>
      <c r="G2202" s="1">
        <v>60</v>
      </c>
      <c r="H2202" s="1">
        <v>60</v>
      </c>
      <c r="I2202">
        <f>grand[[#This Row],[number]]-grand[[#This Row],[received]]</f>
        <v>0</v>
      </c>
      <c r="J2202" s="2"/>
      <c r="K2202" s="2">
        <v>3160</v>
      </c>
      <c r="L2202" s="2">
        <v>3160</v>
      </c>
      <c r="M2202" s="2">
        <f>K2202-L2202</f>
        <v>0</v>
      </c>
      <c r="N2202" s="2">
        <v>1815</v>
      </c>
      <c r="O2202" s="2">
        <v>0</v>
      </c>
      <c r="P2202" s="7">
        <f>grand[[#This Row],[total weight]]/grand[[#This Row],[received]]</f>
        <v>52.666666666666664</v>
      </c>
      <c r="Q2202" s="7">
        <f>grand[[#This Row],[receiving weight]]/grand[[#This Row],[received]]</f>
        <v>52.666666666666664</v>
      </c>
      <c r="R2202" s="7">
        <f>grand[[#This Row],[transportation loss ]]/grand[[#This Row],[received]]</f>
        <v>0</v>
      </c>
      <c r="S2202" s="7">
        <f>grand[[#This Row],[ carcass weight]]/grand[[#This Row],[received]]</f>
        <v>30.25</v>
      </c>
      <c r="T2202" s="7">
        <f>grand[[#This Row],[ kidneys fat quantity]]/grand[[#This Row],[received]]</f>
        <v>0</v>
      </c>
      <c r="U2202" s="1">
        <v>25</v>
      </c>
      <c r="V2202" s="1">
        <v>0</v>
      </c>
      <c r="W2202" s="1">
        <v>49.033333333333331</v>
      </c>
      <c r="X2202" s="1">
        <v>10</v>
      </c>
      <c r="Y2202">
        <v>8.5</v>
      </c>
      <c r="Z2202" s="18">
        <f>grand[[#This Row],[av. Transportation loss]]/grand[[#This Row],[av.total weight]]</f>
        <v>0</v>
      </c>
      <c r="AA2202" s="18">
        <f>AVERAGE((grand[[#This Row],[am]]/25),(grand[[#This Row],[pm]]/50))</f>
        <v>0.99033333333333329</v>
      </c>
      <c r="AB2202" s="3">
        <f>grand[[#This Row],[ carcass weight]]/grand[[#This Row],[total weight]]</f>
        <v>0.57436708860759489</v>
      </c>
      <c r="AC2202" s="18">
        <f>SUM(grand[[#This Row],[am]:[meat transportation]])/100</f>
        <v>0.92533333333333334</v>
      </c>
      <c r="AD2202" s="1" t="s">
        <v>411</v>
      </c>
      <c r="AJ2202" s="1">
        <v>0</v>
      </c>
    </row>
    <row r="2203" spans="1:36" x14ac:dyDescent="0.2">
      <c r="A2203" s="11">
        <v>46183</v>
      </c>
      <c r="B2203" s="53" t="str">
        <f>TEXT(grand[[#This Row],[date]],"[$-ar-SA,6]dd/mm/yyyy")</f>
        <v>25/12/1447</v>
      </c>
      <c r="C2203" s="52" t="str">
        <f>IF(MID(B2203,4,2)="09","Ramadan",IF(AND(MID(B2203,4,2)="12",VALUE(LEFT(B2203,2))&lt;=9),"Adha Season","Normal"))</f>
        <v>Normal</v>
      </c>
      <c r="D2203" s="1" t="s">
        <v>45</v>
      </c>
      <c r="F2203" s="4" t="s">
        <v>954</v>
      </c>
      <c r="G2203" s="1">
        <v>60</v>
      </c>
      <c r="H2203" s="1">
        <v>59</v>
      </c>
      <c r="I2203">
        <f>grand[[#This Row],[number]]-grand[[#This Row],[received]]</f>
        <v>1</v>
      </c>
      <c r="J2203" s="9" t="s">
        <v>2959</v>
      </c>
      <c r="K2203" s="2">
        <v>24197</v>
      </c>
      <c r="L2203" s="2">
        <v>24197</v>
      </c>
      <c r="M2203" s="2">
        <f>K2203-L2203</f>
        <v>0</v>
      </c>
      <c r="N2203" s="2">
        <v>14541</v>
      </c>
      <c r="O2203" s="2">
        <v>367</v>
      </c>
      <c r="P2203" s="7">
        <f>grand[[#This Row],[total weight]]/grand[[#This Row],[received]]</f>
        <v>410.11864406779659</v>
      </c>
      <c r="Q2203" s="7">
        <f>grand[[#This Row],[receiving weight]]/grand[[#This Row],[received]]</f>
        <v>410.11864406779659</v>
      </c>
      <c r="R2203" s="7">
        <f>grand[[#This Row],[transportation loss ]]/grand[[#This Row],[received]]</f>
        <v>0</v>
      </c>
      <c r="S2203" s="7">
        <f>grand[[#This Row],[ carcass weight]]/grand[[#This Row],[received]]</f>
        <v>246.45762711864407</v>
      </c>
      <c r="T2203" s="7">
        <f>grand[[#This Row],[ kidneys fat quantity]]/grand[[#This Row],[received]]</f>
        <v>6.2203389830508478</v>
      </c>
      <c r="U2203" s="1">
        <v>25</v>
      </c>
      <c r="V2203" s="1">
        <v>0</v>
      </c>
      <c r="W2203" s="1">
        <v>48.474576271186429</v>
      </c>
      <c r="X2203" s="1">
        <v>10</v>
      </c>
      <c r="Y2203">
        <v>8.5</v>
      </c>
      <c r="Z2203" s="18">
        <f>grand[[#This Row],[av. Transportation loss]]/grand[[#This Row],[av.total weight]]</f>
        <v>0</v>
      </c>
      <c r="AA2203" s="18">
        <f>AVERAGE((grand[[#This Row],[am]]/25),(grand[[#This Row],[pm]]/50))</f>
        <v>0.98474576271186431</v>
      </c>
      <c r="AB2203" s="3">
        <f>grand[[#This Row],[ carcass weight]]/grand[[#This Row],[total weight]]</f>
        <v>0.60094226557011199</v>
      </c>
      <c r="AC2203" s="18">
        <f>SUM(grand[[#This Row],[am]:[meat transportation]])/100</f>
        <v>0.91974576271186437</v>
      </c>
      <c r="AD2203" s="1" t="s">
        <v>2916</v>
      </c>
      <c r="AJ2203" s="1">
        <v>0</v>
      </c>
    </row>
    <row r="2204" spans="1:36" hidden="1" x14ac:dyDescent="0.2">
      <c r="A2204" s="11">
        <v>46184</v>
      </c>
      <c r="B2204" s="53" t="str">
        <f>TEXT(grand[[#This Row],[date]],"[$-ar-SA,6]dd/mm/yyyy")</f>
        <v>26/12/1447</v>
      </c>
      <c r="C2204" s="52" t="str">
        <f>IF(MID(B2204,4,2)="09","Ramadan",IF(AND(MID(B2204,4,2)="12",VALUE(LEFT(B2204,2))&lt;=9),"Adha Season","Normal"))</f>
        <v>Normal</v>
      </c>
      <c r="D2204" s="1" t="s">
        <v>294</v>
      </c>
      <c r="F2204" s="4" t="s">
        <v>46</v>
      </c>
      <c r="G2204" s="1">
        <v>80</v>
      </c>
      <c r="H2204" s="1">
        <v>80</v>
      </c>
      <c r="I2204">
        <f>grand[[#This Row],[number]]-grand[[#This Row],[received]]</f>
        <v>0</v>
      </c>
      <c r="J2204" s="2"/>
      <c r="K2204" s="2">
        <v>3905</v>
      </c>
      <c r="L2204" s="2">
        <v>3905</v>
      </c>
      <c r="M2204" s="2">
        <f>K2204-L2204</f>
        <v>0</v>
      </c>
      <c r="N2204" s="2">
        <v>2073</v>
      </c>
      <c r="O2204" s="2">
        <v>0</v>
      </c>
      <c r="P2204" s="7">
        <f>grand[[#This Row],[total weight]]/grand[[#This Row],[received]]</f>
        <v>48.8125</v>
      </c>
      <c r="Q2204" s="7">
        <f>grand[[#This Row],[receiving weight]]/grand[[#This Row],[received]]</f>
        <v>48.8125</v>
      </c>
      <c r="R2204" s="7">
        <f>grand[[#This Row],[transportation loss ]]/grand[[#This Row],[received]]</f>
        <v>0</v>
      </c>
      <c r="S2204" s="7">
        <f>grand[[#This Row],[ carcass weight]]/grand[[#This Row],[received]]</f>
        <v>25.912500000000001</v>
      </c>
      <c r="T2204" s="7">
        <f>grand[[#This Row],[ kidneys fat quantity]]/grand[[#This Row],[received]]</f>
        <v>0</v>
      </c>
      <c r="U2204" s="1">
        <v>25</v>
      </c>
      <c r="V2204" s="1">
        <v>0</v>
      </c>
      <c r="W2204" s="1">
        <v>44.35</v>
      </c>
      <c r="X2204" s="1">
        <v>10</v>
      </c>
      <c r="Y2204">
        <v>8.5</v>
      </c>
      <c r="Z2204" s="18">
        <f>grand[[#This Row],[av. Transportation loss]]/grand[[#This Row],[av.total weight]]</f>
        <v>0</v>
      </c>
      <c r="AA2204" s="18">
        <f>AVERAGE((grand[[#This Row],[am]]/25),(grand[[#This Row],[pm]]/50))</f>
        <v>0.94350000000000001</v>
      </c>
      <c r="AB2204" s="3">
        <f>grand[[#This Row],[ carcass weight]]/grand[[#This Row],[total weight]]</f>
        <v>0.53085787451984634</v>
      </c>
      <c r="AC2204" s="18">
        <f>SUM(grand[[#This Row],[am]:[meat transportation]])/100</f>
        <v>0.87849999999999995</v>
      </c>
      <c r="AD2204" s="1" t="s">
        <v>2918</v>
      </c>
      <c r="AJ2204" s="1">
        <v>0</v>
      </c>
    </row>
    <row r="2205" spans="1:36" hidden="1" x14ac:dyDescent="0.2">
      <c r="A2205" s="11">
        <v>46184</v>
      </c>
      <c r="B2205" s="53" t="str">
        <f>TEXT(grand[[#This Row],[date]],"[$-ar-SA,6]dd/mm/yyyy")</f>
        <v>26/12/1447</v>
      </c>
      <c r="C2205" s="52" t="str">
        <f>IF(MID(B2205,4,2)="09","Ramadan",IF(AND(MID(B2205,4,2)="12",VALUE(LEFT(B2205,2))&lt;=9),"Adha Season","Normal"))</f>
        <v>Normal</v>
      </c>
      <c r="D2205" s="1" t="s">
        <v>45</v>
      </c>
      <c r="F2205" s="4" t="s">
        <v>954</v>
      </c>
      <c r="G2205" s="1">
        <v>42</v>
      </c>
      <c r="H2205" s="1">
        <v>42</v>
      </c>
      <c r="I2205">
        <f>grand[[#This Row],[number]]-grand[[#This Row],[received]]</f>
        <v>0</v>
      </c>
      <c r="J2205" s="2"/>
      <c r="K2205" s="2">
        <v>17384</v>
      </c>
      <c r="L2205" s="2">
        <v>17384</v>
      </c>
      <c r="M2205" s="2">
        <f>K2205-L2205</f>
        <v>0</v>
      </c>
      <c r="N2205" s="2">
        <v>10481</v>
      </c>
      <c r="O2205" s="2">
        <v>315</v>
      </c>
      <c r="P2205" s="7">
        <f>grand[[#This Row],[total weight]]/grand[[#This Row],[received]]</f>
        <v>413.90476190476193</v>
      </c>
      <c r="Q2205" s="7">
        <f>grand[[#This Row],[receiving weight]]/grand[[#This Row],[received]]</f>
        <v>413.90476190476193</v>
      </c>
      <c r="R2205" s="7">
        <f>grand[[#This Row],[transportation loss ]]/grand[[#This Row],[received]]</f>
        <v>0</v>
      </c>
      <c r="S2205" s="7">
        <f>grand[[#This Row],[ carcass weight]]/grand[[#This Row],[received]]</f>
        <v>249.54761904761904</v>
      </c>
      <c r="T2205" s="7">
        <f>grand[[#This Row],[ kidneys fat quantity]]/grand[[#This Row],[received]]</f>
        <v>7.5</v>
      </c>
      <c r="U2205" s="1">
        <v>25</v>
      </c>
      <c r="V2205" s="1">
        <v>0</v>
      </c>
      <c r="W2205" s="1">
        <v>48.476190476190467</v>
      </c>
      <c r="X2205" s="1">
        <v>10</v>
      </c>
      <c r="Y2205">
        <v>8.5</v>
      </c>
      <c r="Z2205" s="18">
        <f>grand[[#This Row],[av. Transportation loss]]/grand[[#This Row],[av.total weight]]</f>
        <v>0</v>
      </c>
      <c r="AA2205" s="18">
        <f>AVERAGE((grand[[#This Row],[am]]/25),(grand[[#This Row],[pm]]/50))</f>
        <v>0.98476190476190473</v>
      </c>
      <c r="AB2205" s="3">
        <f>grand[[#This Row],[ carcass weight]]/grand[[#This Row],[total weight]]</f>
        <v>0.60291072250345146</v>
      </c>
      <c r="AC2205" s="18">
        <f>SUM(grand[[#This Row],[am]:[meat transportation]])/100</f>
        <v>0.91976190476190467</v>
      </c>
      <c r="AD2205" s="1" t="s">
        <v>2919</v>
      </c>
      <c r="AJ2205" s="1">
        <v>0</v>
      </c>
    </row>
    <row r="2206" spans="1:36" hidden="1" x14ac:dyDescent="0.2">
      <c r="A2206" s="11">
        <v>46184</v>
      </c>
      <c r="B2206" s="53" t="str">
        <f>TEXT(grand[[#This Row],[date]],"[$-ar-SA,6]dd/mm/yyyy")</f>
        <v>26/12/1447</v>
      </c>
      <c r="C2206" s="52" t="str">
        <f>IF(MID(B2206,4,2)="09","Ramadan",IF(AND(MID(B2206,4,2)="12",VALUE(LEFT(B2206,2))&lt;=9),"Adha Season","Normal"))</f>
        <v>Normal</v>
      </c>
      <c r="D2206" s="1" t="s">
        <v>45</v>
      </c>
      <c r="F2206" s="4" t="s">
        <v>46</v>
      </c>
      <c r="G2206" s="1">
        <v>50</v>
      </c>
      <c r="H2206" s="1">
        <v>50</v>
      </c>
      <c r="I2206">
        <f>grand[[#This Row],[number]]-grand[[#This Row],[received]]</f>
        <v>0</v>
      </c>
      <c r="J2206" s="2"/>
      <c r="K2206" s="2">
        <v>26566</v>
      </c>
      <c r="L2206" s="2">
        <v>26566</v>
      </c>
      <c r="M2206" s="2">
        <f>K2206-L2206</f>
        <v>0</v>
      </c>
      <c r="N2206" s="2">
        <v>15940</v>
      </c>
      <c r="O2206" s="2">
        <v>585</v>
      </c>
      <c r="P2206" s="7">
        <f>grand[[#This Row],[total weight]]/grand[[#This Row],[received]]</f>
        <v>531.32000000000005</v>
      </c>
      <c r="Q2206" s="7">
        <f>grand[[#This Row],[receiving weight]]/grand[[#This Row],[received]]</f>
        <v>531.32000000000005</v>
      </c>
      <c r="R2206" s="7">
        <f>grand[[#This Row],[transportation loss ]]/grand[[#This Row],[received]]</f>
        <v>0</v>
      </c>
      <c r="S2206" s="7">
        <f>grand[[#This Row],[ carcass weight]]/grand[[#This Row],[received]]</f>
        <v>318.8</v>
      </c>
      <c r="T2206" s="7">
        <f>grand[[#This Row],[ kidneys fat quantity]]/grand[[#This Row],[received]]</f>
        <v>11.7</v>
      </c>
      <c r="U2206" s="1">
        <v>25</v>
      </c>
      <c r="V2206" s="1">
        <v>0</v>
      </c>
      <c r="W2206" s="1">
        <v>49.28</v>
      </c>
      <c r="X2206" s="1">
        <v>10</v>
      </c>
      <c r="Y2206">
        <v>8.5</v>
      </c>
      <c r="Z2206" s="18">
        <f>grand[[#This Row],[av. Transportation loss]]/grand[[#This Row],[av.total weight]]</f>
        <v>0</v>
      </c>
      <c r="AA2206" s="18">
        <f>AVERAGE((grand[[#This Row],[am]]/25),(grand[[#This Row],[pm]]/50))</f>
        <v>0.99280000000000002</v>
      </c>
      <c r="AB2206" s="3">
        <f>grand[[#This Row],[ carcass weight]]/grand[[#This Row],[total weight]]</f>
        <v>0.60001505683956935</v>
      </c>
      <c r="AC2206" s="18">
        <f>SUM(grand[[#This Row],[am]:[meat transportation]])/100</f>
        <v>0.92779999999999996</v>
      </c>
      <c r="AD2206" s="1" t="s">
        <v>2920</v>
      </c>
      <c r="AJ2206" s="1">
        <v>0</v>
      </c>
    </row>
    <row r="2207" spans="1:36" hidden="1" x14ac:dyDescent="0.2">
      <c r="A2207" s="11">
        <v>46186</v>
      </c>
      <c r="B2207" s="53" t="str">
        <f>TEXT(grand[[#This Row],[date]],"[$-ar-SA,6]dd/mm/yyyy")</f>
        <v>28/12/1447</v>
      </c>
      <c r="C2207" s="52" t="str">
        <f>IF(MID(B2207,4,2)="09","Ramadan",IF(AND(MID(B2207,4,2)="12",VALUE(LEFT(B2207,2))&lt;=9),"Adha Season","Normal"))</f>
        <v>Normal</v>
      </c>
      <c r="D2207" s="1" t="s">
        <v>294</v>
      </c>
      <c r="F2207" s="4" t="s">
        <v>165</v>
      </c>
      <c r="G2207" s="1">
        <v>60</v>
      </c>
      <c r="H2207" s="1">
        <v>60</v>
      </c>
      <c r="I2207">
        <f>grand[[#This Row],[number]]-grand[[#This Row],[received]]</f>
        <v>0</v>
      </c>
      <c r="J2207" s="2"/>
      <c r="K2207" s="2">
        <v>3405</v>
      </c>
      <c r="L2207" s="2">
        <v>3405</v>
      </c>
      <c r="M2207" s="2">
        <f>K2207-L2207</f>
        <v>0</v>
      </c>
      <c r="N2207" s="2">
        <v>1997</v>
      </c>
      <c r="O2207" s="2">
        <v>0</v>
      </c>
      <c r="P2207" s="7">
        <f>grand[[#This Row],[total weight]]/grand[[#This Row],[received]]</f>
        <v>56.75</v>
      </c>
      <c r="Q2207" s="7">
        <f>grand[[#This Row],[receiving weight]]/grand[[#This Row],[received]]</f>
        <v>56.75</v>
      </c>
      <c r="R2207" s="7">
        <f>grand[[#This Row],[transportation loss ]]/grand[[#This Row],[received]]</f>
        <v>0</v>
      </c>
      <c r="S2207" s="7">
        <f>grand[[#This Row],[ carcass weight]]/grand[[#This Row],[received]]</f>
        <v>33.283333333333331</v>
      </c>
      <c r="T2207" s="7">
        <f>grand[[#This Row],[ kidneys fat quantity]]/grand[[#This Row],[received]]</f>
        <v>0</v>
      </c>
      <c r="U2207" s="1">
        <v>25</v>
      </c>
      <c r="V2207" s="1">
        <v>0</v>
      </c>
      <c r="W2207" s="1">
        <v>48.15</v>
      </c>
      <c r="X2207" s="1">
        <v>10</v>
      </c>
      <c r="Y2207">
        <v>8.5</v>
      </c>
      <c r="Z2207" s="18">
        <f>grand[[#This Row],[av. Transportation loss]]/grand[[#This Row],[av.total weight]]</f>
        <v>0</v>
      </c>
      <c r="AA2207" s="18">
        <f>AVERAGE((grand[[#This Row],[am]]/25),(grand[[#This Row],[pm]]/50))</f>
        <v>0.98150000000000004</v>
      </c>
      <c r="AB2207" s="3">
        <f>grand[[#This Row],[ carcass weight]]/grand[[#This Row],[total weight]]</f>
        <v>0.5864904552129222</v>
      </c>
      <c r="AC2207" s="18">
        <f>SUM(grand[[#This Row],[am]:[meat transportation]])/100</f>
        <v>0.91650000000000009</v>
      </c>
      <c r="AD2207" s="1" t="s">
        <v>2921</v>
      </c>
      <c r="AJ2207" s="1">
        <v>0</v>
      </c>
    </row>
    <row r="2208" spans="1:36" hidden="1" x14ac:dyDescent="0.2">
      <c r="A2208" s="11">
        <v>46186</v>
      </c>
      <c r="B2208" s="53" t="str">
        <f>TEXT(grand[[#This Row],[date]],"[$-ar-SA,6]dd/mm/yyyy")</f>
        <v>28/12/1447</v>
      </c>
      <c r="C2208" s="52" t="str">
        <f>IF(MID(B2208,4,2)="09","Ramadan",IF(AND(MID(B2208,4,2)="12",VALUE(LEFT(B2208,2))&lt;=9),"Adha Season","Normal"))</f>
        <v>Normal</v>
      </c>
      <c r="D2208" s="1" t="s">
        <v>45</v>
      </c>
      <c r="F2208" s="4" t="s">
        <v>954</v>
      </c>
      <c r="G2208" s="1">
        <v>42</v>
      </c>
      <c r="H2208" s="1">
        <v>42</v>
      </c>
      <c r="I2208">
        <f>grand[[#This Row],[number]]-grand[[#This Row],[received]]</f>
        <v>0</v>
      </c>
      <c r="J2208" s="2"/>
      <c r="K2208" s="2">
        <v>17849</v>
      </c>
      <c r="L2208" s="2">
        <v>17849</v>
      </c>
      <c r="M2208" s="2">
        <f>K2208-L2208</f>
        <v>0</v>
      </c>
      <c r="N2208" s="2">
        <v>10786.6</v>
      </c>
      <c r="O2208" s="2">
        <v>331</v>
      </c>
      <c r="P2208" s="7">
        <f>grand[[#This Row],[total weight]]/grand[[#This Row],[received]]</f>
        <v>424.97619047619048</v>
      </c>
      <c r="Q2208" s="7">
        <f>grand[[#This Row],[receiving weight]]/grand[[#This Row],[received]]</f>
        <v>424.97619047619048</v>
      </c>
      <c r="R2208" s="7">
        <f>grand[[#This Row],[transportation loss ]]/grand[[#This Row],[received]]</f>
        <v>0</v>
      </c>
      <c r="S2208" s="7">
        <f>grand[[#This Row],[ carcass weight]]/grand[[#This Row],[received]]</f>
        <v>256.82380952380953</v>
      </c>
      <c r="T2208" s="7">
        <f>grand[[#This Row],[ kidneys fat quantity]]/grand[[#This Row],[received]]</f>
        <v>7.8809523809523814</v>
      </c>
      <c r="U2208" s="1">
        <v>25</v>
      </c>
      <c r="V2208" s="1">
        <v>0</v>
      </c>
      <c r="W2208" s="1">
        <v>48.30952380952381</v>
      </c>
      <c r="X2208" s="1">
        <v>10</v>
      </c>
      <c r="Y2208">
        <v>8.5</v>
      </c>
      <c r="Z2208" s="18">
        <f>grand[[#This Row],[av. Transportation loss]]/grand[[#This Row],[av.total weight]]</f>
        <v>0</v>
      </c>
      <c r="AA2208" s="18">
        <f>AVERAGE((grand[[#This Row],[am]]/25),(grand[[#This Row],[pm]]/50))</f>
        <v>0.98309523809523802</v>
      </c>
      <c r="AB2208" s="3">
        <f>grand[[#This Row],[ carcass weight]]/grand[[#This Row],[total weight]]</f>
        <v>0.60432517227855909</v>
      </c>
      <c r="AC2208" s="18">
        <f>SUM(grand[[#This Row],[am]:[meat transportation]])/100</f>
        <v>0.91809523809523808</v>
      </c>
      <c r="AD2208" s="1" t="s">
        <v>2922</v>
      </c>
      <c r="AJ2208" s="1">
        <v>0</v>
      </c>
    </row>
    <row r="2209" spans="1:36" hidden="1" x14ac:dyDescent="0.2">
      <c r="A2209" s="11">
        <v>46187</v>
      </c>
      <c r="B2209" s="53" t="str">
        <f>TEXT(grand[[#This Row],[date]],"[$-ar-SA,6]dd/mm/yyyy")</f>
        <v>29/12/1447</v>
      </c>
      <c r="C2209" s="52" t="str">
        <f>IF(MID(B2209,4,2)="09","Ramadan",IF(AND(MID(B2209,4,2)="12",VALUE(LEFT(B2209,2))&lt;=9),"Adha Season","Normal"))</f>
        <v>Normal</v>
      </c>
      <c r="D2209" s="1" t="s">
        <v>45</v>
      </c>
      <c r="F2209" s="4" t="s">
        <v>954</v>
      </c>
      <c r="G2209" s="1">
        <v>48</v>
      </c>
      <c r="H2209" s="1">
        <v>48</v>
      </c>
      <c r="I2209">
        <f>grand[[#This Row],[number]]-grand[[#This Row],[received]]</f>
        <v>0</v>
      </c>
      <c r="J2209" s="2"/>
      <c r="K2209" s="2">
        <v>19556</v>
      </c>
      <c r="L2209" s="2">
        <v>19556</v>
      </c>
      <c r="M2209" s="2">
        <f>K2209-L2209</f>
        <v>0</v>
      </c>
      <c r="N2209" s="2">
        <v>11795.5</v>
      </c>
      <c r="O2209" s="2">
        <v>317</v>
      </c>
      <c r="P2209" s="7">
        <f>grand[[#This Row],[total weight]]/grand[[#This Row],[received]]</f>
        <v>407.41666666666669</v>
      </c>
      <c r="Q2209" s="7">
        <f>grand[[#This Row],[receiving weight]]/grand[[#This Row],[received]]</f>
        <v>407.41666666666669</v>
      </c>
      <c r="R2209" s="7">
        <f>grand[[#This Row],[transportation loss ]]/grand[[#This Row],[received]]</f>
        <v>0</v>
      </c>
      <c r="S2209" s="7">
        <f>grand[[#This Row],[ carcass weight]]/grand[[#This Row],[received]]</f>
        <v>245.73958333333334</v>
      </c>
      <c r="T2209" s="7">
        <f>grand[[#This Row],[ kidneys fat quantity]]/grand[[#This Row],[received]]</f>
        <v>6.604166666666667</v>
      </c>
      <c r="U2209" s="1">
        <v>25</v>
      </c>
      <c r="V2209" s="1">
        <v>0</v>
      </c>
      <c r="W2209" s="1">
        <v>47.937500000000007</v>
      </c>
      <c r="X2209" s="1">
        <v>10</v>
      </c>
      <c r="Y2209">
        <v>8.5</v>
      </c>
      <c r="Z2209" s="18">
        <f>grand[[#This Row],[av. Transportation loss]]/grand[[#This Row],[av.total weight]]</f>
        <v>0</v>
      </c>
      <c r="AA2209" s="18">
        <f>AVERAGE((grand[[#This Row],[am]]/25),(grand[[#This Row],[pm]]/50))</f>
        <v>0.97937500000000011</v>
      </c>
      <c r="AB2209" s="3">
        <f>grand[[#This Row],[ carcass weight]]/grand[[#This Row],[total weight]]</f>
        <v>0.60316526897115974</v>
      </c>
      <c r="AC2209" s="18">
        <f>SUM(grand[[#This Row],[am]:[meat transportation]])/100</f>
        <v>0.91437500000000005</v>
      </c>
      <c r="AD2209" s="1" t="s">
        <v>2923</v>
      </c>
      <c r="AJ2209" s="1">
        <v>0</v>
      </c>
    </row>
    <row r="2210" spans="1:36" hidden="1" x14ac:dyDescent="0.2">
      <c r="A2210" s="11">
        <v>46188</v>
      </c>
      <c r="B2210" s="53" t="str">
        <f>TEXT(grand[[#This Row],[date]],"[$-ar-SA,6]dd/mm/yyyy")</f>
        <v>30/12/1447</v>
      </c>
      <c r="C2210" s="52" t="str">
        <f>IF(MID(B2210,4,2)="09","Ramadan",IF(AND(MID(B2210,4,2)="12",VALUE(LEFT(B2210,2))&lt;=9),"Adha Season","Normal"))</f>
        <v>Normal</v>
      </c>
      <c r="D2210" s="1" t="s">
        <v>1079</v>
      </c>
      <c r="F2210" s="4" t="s">
        <v>165</v>
      </c>
      <c r="G2210" s="1">
        <v>37</v>
      </c>
      <c r="H2210" s="1">
        <v>37</v>
      </c>
      <c r="I2210">
        <f>grand[[#This Row],[number]]-grand[[#This Row],[received]]</f>
        <v>0</v>
      </c>
      <c r="J2210" s="2"/>
      <c r="K2210" s="2">
        <v>1920</v>
      </c>
      <c r="L2210" s="2">
        <v>1920</v>
      </c>
      <c r="M2210" s="2">
        <f>K2210-L2210</f>
        <v>0</v>
      </c>
      <c r="N2210" s="2">
        <v>1105</v>
      </c>
      <c r="O2210" s="2">
        <v>0</v>
      </c>
      <c r="P2210" s="7">
        <f>grand[[#This Row],[total weight]]/grand[[#This Row],[received]]</f>
        <v>51.891891891891895</v>
      </c>
      <c r="Q2210" s="7">
        <f>grand[[#This Row],[receiving weight]]/grand[[#This Row],[received]]</f>
        <v>51.891891891891895</v>
      </c>
      <c r="R2210" s="7">
        <f>grand[[#This Row],[transportation loss ]]/grand[[#This Row],[received]]</f>
        <v>0</v>
      </c>
      <c r="S2210" s="7">
        <f>grand[[#This Row],[ carcass weight]]/grand[[#This Row],[received]]</f>
        <v>29.864864864864863</v>
      </c>
      <c r="T2210" s="7">
        <f>grand[[#This Row],[ kidneys fat quantity]]/grand[[#This Row],[received]]</f>
        <v>0</v>
      </c>
      <c r="U2210" s="1">
        <v>25</v>
      </c>
      <c r="V2210" s="1">
        <v>0</v>
      </c>
      <c r="W2210" s="1">
        <v>46.675675675675677</v>
      </c>
      <c r="X2210" s="1">
        <v>10</v>
      </c>
      <c r="Y2210">
        <v>8.5</v>
      </c>
      <c r="Z2210" s="18">
        <f>grand[[#This Row],[av. Transportation loss]]/grand[[#This Row],[av.total weight]]</f>
        <v>0</v>
      </c>
      <c r="AA2210" s="18">
        <f>AVERAGE((grand[[#This Row],[am]]/25),(grand[[#This Row],[pm]]/50))</f>
        <v>0.96675675675675676</v>
      </c>
      <c r="AB2210" s="3">
        <f>grand[[#This Row],[ carcass weight]]/grand[[#This Row],[total weight]]</f>
        <v>0.57552083333333337</v>
      </c>
      <c r="AC2210" s="18">
        <f>SUM(grand[[#This Row],[am]:[meat transportation]])/100</f>
        <v>0.90175675675675682</v>
      </c>
      <c r="AD2210" s="1" t="s">
        <v>2924</v>
      </c>
      <c r="AJ2210" s="1">
        <v>0</v>
      </c>
    </row>
    <row r="2211" spans="1:36" hidden="1" x14ac:dyDescent="0.2">
      <c r="A2211" s="11">
        <v>46188</v>
      </c>
      <c r="B2211" s="53" t="str">
        <f>TEXT(grand[[#This Row],[date]],"[$-ar-SA,6]dd/mm/yyyy")</f>
        <v>30/12/1447</v>
      </c>
      <c r="C2211" s="52" t="str">
        <f>IF(MID(B2211,4,2)="09","Ramadan",IF(AND(MID(B2211,4,2)="12",VALUE(LEFT(B2211,2))&lt;=9),"Adha Season","Normal"))</f>
        <v>Normal</v>
      </c>
      <c r="D2211" s="1" t="s">
        <v>45</v>
      </c>
      <c r="F2211" s="4" t="s">
        <v>954</v>
      </c>
      <c r="G2211" s="1">
        <v>58</v>
      </c>
      <c r="H2211" s="1">
        <v>58</v>
      </c>
      <c r="I2211">
        <f>grand[[#This Row],[number]]-grand[[#This Row],[received]]</f>
        <v>0</v>
      </c>
      <c r="J2211" s="2"/>
      <c r="K2211" s="2">
        <v>24171</v>
      </c>
      <c r="L2211" s="2">
        <v>24171</v>
      </c>
      <c r="M2211" s="2">
        <f>K2211-L2211</f>
        <v>0</v>
      </c>
      <c r="N2211" s="2">
        <v>14656.6</v>
      </c>
      <c r="O2211" s="2">
        <v>413</v>
      </c>
      <c r="P2211" s="7">
        <f>grand[[#This Row],[total weight]]/grand[[#This Row],[received]]</f>
        <v>416.74137931034483</v>
      </c>
      <c r="Q2211" s="7">
        <f>grand[[#This Row],[receiving weight]]/grand[[#This Row],[received]]</f>
        <v>416.74137931034483</v>
      </c>
      <c r="R2211" s="7">
        <f>grand[[#This Row],[transportation loss ]]/grand[[#This Row],[received]]</f>
        <v>0</v>
      </c>
      <c r="S2211" s="7">
        <f>grand[[#This Row],[ carcass weight]]/grand[[#This Row],[received]]</f>
        <v>252.70000000000002</v>
      </c>
      <c r="T2211" s="7">
        <f>grand[[#This Row],[ kidneys fat quantity]]/grand[[#This Row],[received]]</f>
        <v>7.1206896551724137</v>
      </c>
      <c r="U2211" s="1">
        <v>25</v>
      </c>
      <c r="V2211" s="1">
        <v>0</v>
      </c>
      <c r="W2211" s="1">
        <v>48.051724137931032</v>
      </c>
      <c r="X2211" s="1">
        <v>10</v>
      </c>
      <c r="Y2211">
        <v>8.5</v>
      </c>
      <c r="Z2211" s="18">
        <f>grand[[#This Row],[av. Transportation loss]]/grand[[#This Row],[av.total weight]]</f>
        <v>0</v>
      </c>
      <c r="AA2211" s="18">
        <f>AVERAGE((grand[[#This Row],[am]]/25),(grand[[#This Row],[pm]]/50))</f>
        <v>0.9805172413793104</v>
      </c>
      <c r="AB2211" s="3">
        <f>grand[[#This Row],[ carcass weight]]/grand[[#This Row],[total weight]]</f>
        <v>0.60637127135823921</v>
      </c>
      <c r="AC2211" s="18">
        <f>SUM(grand[[#This Row],[am]:[meat transportation]])/100</f>
        <v>0.91551724137931034</v>
      </c>
      <c r="AD2211" s="1" t="s">
        <v>2925</v>
      </c>
      <c r="AJ2211" s="1">
        <v>0</v>
      </c>
    </row>
    <row r="2212" spans="1:36" hidden="1" x14ac:dyDescent="0.2">
      <c r="A2212" s="11">
        <v>46189</v>
      </c>
      <c r="B2212" s="53" t="str">
        <f>TEXT(grand[[#This Row],[date]],"[$-ar-SA,6]dd/mm/yyyy")</f>
        <v>01/01/1448</v>
      </c>
      <c r="C2212" s="52" t="str">
        <f>IF(MID(B2212,4,2)="09","Ramadan",IF(AND(MID(B2212,4,2)="12",VALUE(LEFT(B2212,2))&lt;=9),"Adha Season","Normal"))</f>
        <v>Normal</v>
      </c>
      <c r="D2212" s="1" t="s">
        <v>45</v>
      </c>
      <c r="F2212" s="4" t="s">
        <v>954</v>
      </c>
      <c r="G2212" s="1">
        <v>60</v>
      </c>
      <c r="H2212" s="1">
        <v>60</v>
      </c>
      <c r="I2212">
        <f>grand[[#This Row],[number]]-grand[[#This Row],[received]]</f>
        <v>0</v>
      </c>
      <c r="J2212" s="2"/>
      <c r="K2212" s="2">
        <v>24840</v>
      </c>
      <c r="L2212" s="2">
        <v>24840</v>
      </c>
      <c r="M2212" s="2">
        <f>K2212-L2212</f>
        <v>0</v>
      </c>
      <c r="N2212" s="2">
        <v>14950</v>
      </c>
      <c r="O2212" s="2">
        <v>419</v>
      </c>
      <c r="P2212" s="7">
        <f>grand[[#This Row],[total weight]]/grand[[#This Row],[received]]</f>
        <v>414</v>
      </c>
      <c r="Q2212" s="7">
        <f>grand[[#This Row],[receiving weight]]/grand[[#This Row],[received]]</f>
        <v>414</v>
      </c>
      <c r="R2212" s="7">
        <f>grand[[#This Row],[transportation loss ]]/grand[[#This Row],[received]]</f>
        <v>0</v>
      </c>
      <c r="S2212" s="7">
        <f>grand[[#This Row],[ carcass weight]]/grand[[#This Row],[received]]</f>
        <v>249.16666666666666</v>
      </c>
      <c r="T2212" s="7">
        <f>grand[[#This Row],[ kidneys fat quantity]]/grand[[#This Row],[received]]</f>
        <v>6.9833333333333334</v>
      </c>
      <c r="U2212" s="1">
        <v>25</v>
      </c>
      <c r="V2212" s="1">
        <v>0</v>
      </c>
      <c r="W2212" s="1">
        <v>47.81666666666667</v>
      </c>
      <c r="X2212" s="1">
        <v>10</v>
      </c>
      <c r="Y2212">
        <v>8.5</v>
      </c>
      <c r="Z2212" s="18">
        <f>grand[[#This Row],[av. Transportation loss]]/grand[[#This Row],[av.total weight]]</f>
        <v>0</v>
      </c>
      <c r="AA2212" s="18">
        <f>AVERAGE((grand[[#This Row],[am]]/25),(grand[[#This Row],[pm]]/50))</f>
        <v>0.97816666666666663</v>
      </c>
      <c r="AB2212" s="3">
        <f>grand[[#This Row],[ carcass weight]]/grand[[#This Row],[total weight]]</f>
        <v>0.60185185185185186</v>
      </c>
      <c r="AC2212" s="18">
        <f>SUM(grand[[#This Row],[am]:[meat transportation]])/100</f>
        <v>0.91316666666666668</v>
      </c>
      <c r="AD2212" s="1" t="s">
        <v>2926</v>
      </c>
      <c r="AJ2212" s="1">
        <v>1</v>
      </c>
    </row>
    <row r="2213" spans="1:36" hidden="1" x14ac:dyDescent="0.2">
      <c r="A2213" s="11">
        <v>46190</v>
      </c>
      <c r="B2213" s="53" t="str">
        <f>TEXT(grand[[#This Row],[date]],"[$-ar-SA,6]dd/mm/yyyy")</f>
        <v>02/01/1448</v>
      </c>
      <c r="C2213" s="52" t="str">
        <f>IF(MID(B2213,4,2)="09","Ramadan",IF(AND(MID(B2213,4,2)="12",VALUE(LEFT(B2213,2))&lt;=9),"Adha Season","Normal"))</f>
        <v>Normal</v>
      </c>
      <c r="D2213" s="1" t="s">
        <v>1079</v>
      </c>
      <c r="F2213" s="4" t="s">
        <v>46</v>
      </c>
      <c r="G2213" s="1">
        <v>37</v>
      </c>
      <c r="H2213" s="1">
        <v>37</v>
      </c>
      <c r="I2213">
        <f>grand[[#This Row],[number]]-grand[[#This Row],[received]]</f>
        <v>0</v>
      </c>
      <c r="J2213" s="2"/>
      <c r="K2213" s="2">
        <v>1830</v>
      </c>
      <c r="L2213" s="2">
        <v>1830</v>
      </c>
      <c r="M2213" s="2">
        <f>K2213-L2213</f>
        <v>0</v>
      </c>
      <c r="N2213" s="2">
        <v>978.9</v>
      </c>
      <c r="O2213" s="2">
        <v>0</v>
      </c>
      <c r="P2213" s="7">
        <f>grand[[#This Row],[total weight]]/grand[[#This Row],[received]]</f>
        <v>49.45945945945946</v>
      </c>
      <c r="Q2213" s="7">
        <f>grand[[#This Row],[receiving weight]]/grand[[#This Row],[received]]</f>
        <v>49.45945945945946</v>
      </c>
      <c r="R2213" s="7">
        <f>grand[[#This Row],[transportation loss ]]/grand[[#This Row],[received]]</f>
        <v>0</v>
      </c>
      <c r="S2213" s="7">
        <f>grand[[#This Row],[ carcass weight]]/grand[[#This Row],[received]]</f>
        <v>26.456756756756757</v>
      </c>
      <c r="T2213" s="7">
        <f>grand[[#This Row],[ kidneys fat quantity]]/grand[[#This Row],[received]]</f>
        <v>0</v>
      </c>
      <c r="U2213" s="1">
        <v>25</v>
      </c>
      <c r="V2213" s="1">
        <v>0</v>
      </c>
      <c r="W2213" s="1">
        <v>48.391891891891895</v>
      </c>
      <c r="X2213" s="1">
        <v>10</v>
      </c>
      <c r="Y2213">
        <v>8.5</v>
      </c>
      <c r="Z2213" s="18">
        <f>grand[[#This Row],[av. Transportation loss]]/grand[[#This Row],[av.total weight]]</f>
        <v>0</v>
      </c>
      <c r="AA2213" s="18">
        <f>AVERAGE((grand[[#This Row],[am]]/25),(grand[[#This Row],[pm]]/50))</f>
        <v>0.98391891891891903</v>
      </c>
      <c r="AB2213" s="3">
        <f>grand[[#This Row],[ carcass weight]]/grand[[#This Row],[total weight]]</f>
        <v>0.53491803278688521</v>
      </c>
      <c r="AC2213" s="18">
        <f>SUM(grand[[#This Row],[am]:[meat transportation]])/100</f>
        <v>0.91891891891891897</v>
      </c>
      <c r="AD2213" s="1" t="s">
        <v>762</v>
      </c>
      <c r="AJ2213" s="1">
        <v>0</v>
      </c>
    </row>
    <row r="2214" spans="1:36" x14ac:dyDescent="0.2">
      <c r="A2214" s="11">
        <v>46190</v>
      </c>
      <c r="B2214" s="53" t="str">
        <f>TEXT(grand[[#This Row],[date]],"[$-ar-SA,6]dd/mm/yyyy")</f>
        <v>02/01/1448</v>
      </c>
      <c r="C2214" s="52" t="str">
        <f>IF(MID(B2214,4,2)="09","Ramadan",IF(AND(MID(B2214,4,2)="12",VALUE(LEFT(B2214,2))&lt;=9),"Adha Season","Normal"))</f>
        <v>Normal</v>
      </c>
      <c r="D2214" s="1" t="s">
        <v>45</v>
      </c>
      <c r="F2214" s="4" t="s">
        <v>746</v>
      </c>
      <c r="G2214" s="1">
        <v>60</v>
      </c>
      <c r="H2214" s="1">
        <v>59</v>
      </c>
      <c r="I2214">
        <f>grand[[#This Row],[number]]-grand[[#This Row],[received]]</f>
        <v>1</v>
      </c>
      <c r="J2214" s="9" t="s">
        <v>1193</v>
      </c>
      <c r="K2214" s="2">
        <v>30537</v>
      </c>
      <c r="L2214" s="2">
        <v>30537</v>
      </c>
      <c r="M2214" s="2">
        <f>K2214-L2214</f>
        <v>0</v>
      </c>
      <c r="N2214" s="2">
        <v>18321</v>
      </c>
      <c r="O2214" s="2">
        <v>587</v>
      </c>
      <c r="P2214" s="7">
        <f>grand[[#This Row],[total weight]]/grand[[#This Row],[received]]</f>
        <v>517.57627118644064</v>
      </c>
      <c r="Q2214" s="7">
        <f>grand[[#This Row],[receiving weight]]/grand[[#This Row],[received]]</f>
        <v>517.57627118644064</v>
      </c>
      <c r="R2214" s="7">
        <f>grand[[#This Row],[transportation loss ]]/grand[[#This Row],[received]]</f>
        <v>0</v>
      </c>
      <c r="S2214" s="7">
        <f>grand[[#This Row],[ carcass weight]]/grand[[#This Row],[received]]</f>
        <v>310.52542372881356</v>
      </c>
      <c r="T2214" s="7">
        <f>grand[[#This Row],[ kidneys fat quantity]]/grand[[#This Row],[received]]</f>
        <v>9.9491525423728806</v>
      </c>
      <c r="U2214" s="1">
        <v>24.237288135593214</v>
      </c>
      <c r="V2214" s="1">
        <v>0</v>
      </c>
      <c r="W2214" s="1">
        <v>46.559322033898304</v>
      </c>
      <c r="X2214" s="1">
        <v>10</v>
      </c>
      <c r="Y2214">
        <v>8.5</v>
      </c>
      <c r="Z2214" s="18">
        <f>grand[[#This Row],[av. Transportation loss]]/grand[[#This Row],[av.total weight]]</f>
        <v>0</v>
      </c>
      <c r="AA2214" s="18">
        <f>AVERAGE((grand[[#This Row],[am]]/25),(grand[[#This Row],[pm]]/50))</f>
        <v>0.9503389830508473</v>
      </c>
      <c r="AB2214" s="3">
        <f>grand[[#This Row],[ carcass weight]]/grand[[#This Row],[total weight]]</f>
        <v>0.59996070340897922</v>
      </c>
      <c r="AC2214" s="18">
        <f>SUM(grand[[#This Row],[am]:[meat transportation]])/100</f>
        <v>0.89296610169491519</v>
      </c>
      <c r="AD2214" s="1" t="s">
        <v>2927</v>
      </c>
      <c r="AJ2214" s="1">
        <v>20</v>
      </c>
    </row>
    <row r="2215" spans="1:36" hidden="1" x14ac:dyDescent="0.2">
      <c r="A2215" s="11">
        <v>46191</v>
      </c>
      <c r="B2215" s="53" t="str">
        <f>TEXT(grand[[#This Row],[date]],"[$-ar-SA,6]dd/mm/yyyy")</f>
        <v>03/01/1448</v>
      </c>
      <c r="C2215" s="52" t="str">
        <f>IF(MID(B2215,4,2)="09","Ramadan",IF(AND(MID(B2215,4,2)="12",VALUE(LEFT(B2215,2))&lt;=9),"Adha Season","Normal"))</f>
        <v>Normal</v>
      </c>
      <c r="D2215" s="1" t="s">
        <v>1079</v>
      </c>
      <c r="F2215" s="4" t="s">
        <v>165</v>
      </c>
      <c r="G2215" s="1">
        <v>69</v>
      </c>
      <c r="H2215" s="1">
        <v>69</v>
      </c>
      <c r="I2215">
        <f>grand[[#This Row],[number]]-grand[[#This Row],[received]]</f>
        <v>0</v>
      </c>
      <c r="J2215" s="2"/>
      <c r="K2215" s="2">
        <v>3328</v>
      </c>
      <c r="L2215" s="2">
        <v>3328</v>
      </c>
      <c r="M2215" s="2">
        <f>K2215-L2215</f>
        <v>0</v>
      </c>
      <c r="N2215" s="2">
        <v>1854</v>
      </c>
      <c r="O2215" s="2">
        <v>0</v>
      </c>
      <c r="P2215" s="7">
        <f>grand[[#This Row],[total weight]]/grand[[#This Row],[received]]</f>
        <v>48.231884057971016</v>
      </c>
      <c r="Q2215" s="7">
        <f>grand[[#This Row],[receiving weight]]/grand[[#This Row],[received]]</f>
        <v>48.231884057971016</v>
      </c>
      <c r="R2215" s="7">
        <f>grand[[#This Row],[transportation loss ]]/grand[[#This Row],[received]]</f>
        <v>0</v>
      </c>
      <c r="S2215" s="7">
        <f>grand[[#This Row],[ carcass weight]]/grand[[#This Row],[received]]</f>
        <v>26.869565217391305</v>
      </c>
      <c r="T2215" s="7">
        <f>grand[[#This Row],[ kidneys fat quantity]]/grand[[#This Row],[received]]</f>
        <v>0</v>
      </c>
      <c r="U2215" s="1">
        <v>25</v>
      </c>
      <c r="V2215" s="1">
        <v>0</v>
      </c>
      <c r="W2215" s="1">
        <v>47.644927536231883</v>
      </c>
      <c r="X2215" s="1">
        <v>10</v>
      </c>
      <c r="Y2215">
        <v>8.5</v>
      </c>
      <c r="Z2215" s="18">
        <f>grand[[#This Row],[av. Transportation loss]]/grand[[#This Row],[av.total weight]]</f>
        <v>0</v>
      </c>
      <c r="AA2215" s="18">
        <f>AVERAGE((grand[[#This Row],[am]]/25),(grand[[#This Row],[pm]]/50))</f>
        <v>0.97644927536231885</v>
      </c>
      <c r="AB2215" s="3">
        <f>grand[[#This Row],[ carcass weight]]/grand[[#This Row],[total weight]]</f>
        <v>0.55709134615384615</v>
      </c>
      <c r="AC2215" s="18">
        <f>SUM(grand[[#This Row],[am]:[meat transportation]])/100</f>
        <v>0.91144927536231879</v>
      </c>
      <c r="AD2215" s="1" t="s">
        <v>2928</v>
      </c>
      <c r="AJ2215" s="1">
        <v>0</v>
      </c>
    </row>
    <row r="2216" spans="1:36" hidden="1" x14ac:dyDescent="0.2">
      <c r="A2216" s="11">
        <v>46191</v>
      </c>
      <c r="B2216" s="53" t="str">
        <f>TEXT(grand[[#This Row],[date]],"[$-ar-SA,6]dd/mm/yyyy")</f>
        <v>03/01/1448</v>
      </c>
      <c r="C2216" s="52" t="str">
        <f>IF(MID(B2216,4,2)="09","Ramadan",IF(AND(MID(B2216,4,2)="12",VALUE(LEFT(B2216,2))&lt;=9),"Adha Season","Normal"))</f>
        <v>Normal</v>
      </c>
      <c r="D2216" s="1" t="s">
        <v>45</v>
      </c>
      <c r="F2216" s="4" t="s">
        <v>954</v>
      </c>
      <c r="G2216" s="1">
        <v>90</v>
      </c>
      <c r="H2216" s="1">
        <v>90</v>
      </c>
      <c r="I2216">
        <f>grand[[#This Row],[number]]-grand[[#This Row],[received]]</f>
        <v>0</v>
      </c>
      <c r="J2216" s="2"/>
      <c r="K2216" s="2">
        <v>38957</v>
      </c>
      <c r="L2216" s="2">
        <v>38957</v>
      </c>
      <c r="M2216" s="2">
        <f>K2216-L2216</f>
        <v>0</v>
      </c>
      <c r="N2216" s="2">
        <v>23431</v>
      </c>
      <c r="O2216" s="2">
        <v>679</v>
      </c>
      <c r="P2216" s="7">
        <f>grand[[#This Row],[total weight]]/grand[[#This Row],[received]]</f>
        <v>432.85555555555555</v>
      </c>
      <c r="Q2216" s="7">
        <f>grand[[#This Row],[receiving weight]]/grand[[#This Row],[received]]</f>
        <v>432.85555555555555</v>
      </c>
      <c r="R2216" s="7">
        <f>grand[[#This Row],[transportation loss ]]/grand[[#This Row],[received]]</f>
        <v>0</v>
      </c>
      <c r="S2216" s="7">
        <f>grand[[#This Row],[ carcass weight]]/grand[[#This Row],[received]]</f>
        <v>260.34444444444443</v>
      </c>
      <c r="T2216" s="7">
        <f>grand[[#This Row],[ kidneys fat quantity]]/grand[[#This Row],[received]]</f>
        <v>7.5444444444444443</v>
      </c>
      <c r="U2216" s="1">
        <v>25</v>
      </c>
      <c r="V2216" s="1">
        <v>0</v>
      </c>
      <c r="W2216" s="1">
        <v>47.75555555555556</v>
      </c>
      <c r="X2216" s="1">
        <v>10</v>
      </c>
      <c r="Y2216">
        <v>8.5</v>
      </c>
      <c r="Z2216" s="18">
        <f>grand[[#This Row],[av. Transportation loss]]/grand[[#This Row],[av.total weight]]</f>
        <v>0</v>
      </c>
      <c r="AA2216" s="18">
        <f>AVERAGE((grand[[#This Row],[am]]/25),(grand[[#This Row],[pm]]/50))</f>
        <v>0.97755555555555562</v>
      </c>
      <c r="AB2216" s="3">
        <f>grand[[#This Row],[ carcass weight]]/grand[[#This Row],[total weight]]</f>
        <v>0.60145801781451347</v>
      </c>
      <c r="AC2216" s="18">
        <f>SUM(grand[[#This Row],[am]:[meat transportation]])/100</f>
        <v>0.91255555555555556</v>
      </c>
      <c r="AD2216" s="1" t="s">
        <v>2929</v>
      </c>
      <c r="AJ2216" s="1">
        <v>0</v>
      </c>
    </row>
    <row r="2217" spans="1:36" hidden="1" x14ac:dyDescent="0.2">
      <c r="A2217" s="11">
        <v>46193</v>
      </c>
      <c r="B2217" s="53" t="str">
        <f>TEXT(grand[[#This Row],[date]],"[$-ar-SA,6]dd/mm/yyyy")</f>
        <v>05/01/1448</v>
      </c>
      <c r="C2217" s="52" t="str">
        <f>IF(MID(B2217,4,2)="09","Ramadan",IF(AND(MID(B2217,4,2)="12",VALUE(LEFT(B2217,2))&lt;=9),"Adha Season","Normal"))</f>
        <v>Normal</v>
      </c>
      <c r="D2217" s="1" t="s">
        <v>1079</v>
      </c>
      <c r="F2217" s="4" t="s">
        <v>46</v>
      </c>
      <c r="G2217" s="1">
        <v>39</v>
      </c>
      <c r="H2217" s="28">
        <v>39</v>
      </c>
      <c r="I2217">
        <f>grand[[#This Row],[number]]-grand[[#This Row],[received]]</f>
        <v>0</v>
      </c>
      <c r="J2217" s="2"/>
      <c r="K2217" s="2">
        <v>1850</v>
      </c>
      <c r="L2217" s="2">
        <v>1850</v>
      </c>
      <c r="M2217" s="2">
        <f>K2217-L2217</f>
        <v>0</v>
      </c>
      <c r="N2217" s="2">
        <v>960</v>
      </c>
      <c r="O2217" s="2">
        <v>0</v>
      </c>
      <c r="P2217" s="7">
        <f>grand[[#This Row],[total weight]]/grand[[#This Row],[received]]</f>
        <v>47.435897435897438</v>
      </c>
      <c r="Q2217" s="7">
        <f>grand[[#This Row],[receiving weight]]/grand[[#This Row],[received]]</f>
        <v>47.435897435897438</v>
      </c>
      <c r="R2217" s="7">
        <f>grand[[#This Row],[transportation loss ]]/grand[[#This Row],[received]]</f>
        <v>0</v>
      </c>
      <c r="S2217" s="7">
        <f>grand[[#This Row],[ carcass weight]]/grand[[#This Row],[received]]</f>
        <v>24.615384615384617</v>
      </c>
      <c r="T2217" s="7">
        <f>grand[[#This Row],[ kidneys fat quantity]]/grand[[#This Row],[received]]</f>
        <v>0</v>
      </c>
      <c r="U2217" s="1">
        <v>25</v>
      </c>
      <c r="V2217" s="1">
        <v>0</v>
      </c>
      <c r="W2217" s="1">
        <v>46.205128205128212</v>
      </c>
      <c r="X2217" s="1">
        <v>10</v>
      </c>
      <c r="Y2217">
        <v>8.5</v>
      </c>
      <c r="Z2217" s="18">
        <f>grand[[#This Row],[av. Transportation loss]]/grand[[#This Row],[av.total weight]]</f>
        <v>0</v>
      </c>
      <c r="AA2217" s="18">
        <f>AVERAGE((grand[[#This Row],[am]]/25),(grand[[#This Row],[pm]]/50))</f>
        <v>0.9620512820512821</v>
      </c>
      <c r="AB2217" s="3">
        <f>grand[[#This Row],[ carcass weight]]/grand[[#This Row],[total weight]]</f>
        <v>0.51891891891891895</v>
      </c>
      <c r="AC2217" s="18">
        <f>SUM(grand[[#This Row],[am]:[meat transportation]])/100</f>
        <v>0.89705128205128204</v>
      </c>
      <c r="AD2217" s="1" t="s">
        <v>2933</v>
      </c>
      <c r="AJ2217" s="1">
        <v>0</v>
      </c>
    </row>
    <row r="2218" spans="1:36" x14ac:dyDescent="0.2">
      <c r="A2218" s="11">
        <v>46193</v>
      </c>
      <c r="B2218" s="53" t="str">
        <f>TEXT(grand[[#This Row],[date]],"[$-ar-SA,6]dd/mm/yyyy")</f>
        <v>05/01/1448</v>
      </c>
      <c r="C2218" s="52" t="str">
        <f>IF(MID(B2218,4,2)="09","Ramadan",IF(AND(MID(B2218,4,2)="12",VALUE(LEFT(B2218,2))&lt;=9),"Adha Season","Normal"))</f>
        <v>Normal</v>
      </c>
      <c r="D2218" s="1" t="s">
        <v>45</v>
      </c>
      <c r="F2218" s="4" t="s">
        <v>746</v>
      </c>
      <c r="G2218" s="1">
        <v>49</v>
      </c>
      <c r="H2218" s="1">
        <v>41</v>
      </c>
      <c r="I2218">
        <f>grand[[#This Row],[number]]-grand[[#This Row],[received]]</f>
        <v>8</v>
      </c>
      <c r="J2218" s="9" t="s">
        <v>2960</v>
      </c>
      <c r="K2218" s="2">
        <v>16993</v>
      </c>
      <c r="L2218" s="2">
        <v>16993</v>
      </c>
      <c r="M2218" s="2">
        <f>K2218-L2218</f>
        <v>0</v>
      </c>
      <c r="N2218" s="2">
        <v>10196</v>
      </c>
      <c r="O2218" s="2">
        <v>268</v>
      </c>
      <c r="P2218" s="7">
        <f>grand[[#This Row],[total weight]]/grand[[#This Row],[received]]</f>
        <v>414.46341463414632</v>
      </c>
      <c r="Q2218" s="7">
        <f>grand[[#This Row],[receiving weight]]/grand[[#This Row],[received]]</f>
        <v>414.46341463414632</v>
      </c>
      <c r="R2218" s="7">
        <f>grand[[#This Row],[transportation loss ]]/grand[[#This Row],[received]]</f>
        <v>0</v>
      </c>
      <c r="S2218" s="7">
        <f>grand[[#This Row],[ carcass weight]]/grand[[#This Row],[received]]</f>
        <v>248.6829268292683</v>
      </c>
      <c r="T2218" s="7">
        <f>grand[[#This Row],[ kidneys fat quantity]]/grand[[#This Row],[received]]</f>
        <v>6.5365853658536581</v>
      </c>
      <c r="U2218" s="1">
        <v>23.658536585365855</v>
      </c>
      <c r="V2218" s="1">
        <v>0</v>
      </c>
      <c r="W2218" s="1">
        <v>43.780487804878057</v>
      </c>
      <c r="X2218" s="1">
        <v>10</v>
      </c>
      <c r="Y2218">
        <v>8.5</v>
      </c>
      <c r="Z2218" s="18">
        <f>grand[[#This Row],[av. Transportation loss]]/grand[[#This Row],[av.total weight]]</f>
        <v>0</v>
      </c>
      <c r="AA2218" s="18">
        <f>AVERAGE((grand[[#This Row],[am]]/25),(grand[[#This Row],[pm]]/50))</f>
        <v>0.9109756097560977</v>
      </c>
      <c r="AB2218" s="3">
        <f>grand[[#This Row],[ carcass weight]]/grand[[#This Row],[total weight]]</f>
        <v>0.60001176955216851</v>
      </c>
      <c r="AC2218" s="18">
        <f>SUM(grand[[#This Row],[am]:[meat transportation]])/100</f>
        <v>0.85939024390243912</v>
      </c>
      <c r="AD2218" s="1" t="s">
        <v>2932</v>
      </c>
      <c r="AJ2218" s="1">
        <v>20</v>
      </c>
    </row>
    <row r="2219" spans="1:36" hidden="1" x14ac:dyDescent="0.2">
      <c r="A2219" s="11">
        <v>46194</v>
      </c>
      <c r="B2219" s="53" t="str">
        <f>TEXT(grand[[#This Row],[date]],"[$-ar-SA,6]dd/mm/yyyy")</f>
        <v>06/01/1448</v>
      </c>
      <c r="C2219" s="52" t="str">
        <f>IF(MID(B2219,4,2)="09","Ramadan",IF(AND(MID(B2219,4,2)="12",VALUE(LEFT(B2219,2))&lt;=9),"Adha Season","Normal"))</f>
        <v>Normal</v>
      </c>
      <c r="D2219" s="1" t="s">
        <v>45</v>
      </c>
      <c r="F2219" s="4" t="s">
        <v>954</v>
      </c>
      <c r="G2219" s="1">
        <v>58</v>
      </c>
      <c r="H2219" s="1">
        <v>58</v>
      </c>
      <c r="I2219">
        <f>grand[[#This Row],[number]]-grand[[#This Row],[received]]</f>
        <v>0</v>
      </c>
      <c r="J2219" s="2"/>
      <c r="K2219" s="2">
        <v>25777</v>
      </c>
      <c r="L2219" s="2">
        <v>25777</v>
      </c>
      <c r="M2219" s="2">
        <f>K2219-L2219</f>
        <v>0</v>
      </c>
      <c r="N2219" s="2">
        <v>15518</v>
      </c>
      <c r="O2219" s="2">
        <v>468</v>
      </c>
      <c r="P2219" s="7">
        <f>grand[[#This Row],[total weight]]/grand[[#This Row],[received]]</f>
        <v>444.43103448275861</v>
      </c>
      <c r="Q2219" s="7">
        <f>grand[[#This Row],[receiving weight]]/grand[[#This Row],[received]]</f>
        <v>444.43103448275861</v>
      </c>
      <c r="R2219" s="7">
        <f>grand[[#This Row],[transportation loss ]]/grand[[#This Row],[received]]</f>
        <v>0</v>
      </c>
      <c r="S2219" s="7">
        <f>grand[[#This Row],[ carcass weight]]/grand[[#This Row],[received]]</f>
        <v>267.55172413793105</v>
      </c>
      <c r="T2219" s="7">
        <f>grand[[#This Row],[ kidneys fat quantity]]/grand[[#This Row],[received]]</f>
        <v>8.068965517241379</v>
      </c>
      <c r="U2219" s="1">
        <v>25</v>
      </c>
      <c r="V2219" s="1">
        <v>0</v>
      </c>
      <c r="W2219" s="1">
        <v>47.344827586206897</v>
      </c>
      <c r="X2219" s="1">
        <v>10</v>
      </c>
      <c r="Y2219">
        <v>8.5</v>
      </c>
      <c r="Z2219" s="18">
        <f>grand[[#This Row],[av. Transportation loss]]/grand[[#This Row],[av.total weight]]</f>
        <v>0</v>
      </c>
      <c r="AA2219" s="18">
        <f>AVERAGE((grand[[#This Row],[am]]/25),(grand[[#This Row],[pm]]/50))</f>
        <v>0.97344827586206895</v>
      </c>
      <c r="AB2219" s="3">
        <f>grand[[#This Row],[ carcass weight]]/grand[[#This Row],[total weight]]</f>
        <v>0.60200954339139545</v>
      </c>
      <c r="AC2219" s="18">
        <f>SUM(grand[[#This Row],[am]:[meat transportation]])/100</f>
        <v>0.90844827586206889</v>
      </c>
      <c r="AD2219" s="1" t="s">
        <v>2934</v>
      </c>
      <c r="AJ2219" s="1">
        <v>0</v>
      </c>
    </row>
    <row r="2220" spans="1:36" hidden="1" x14ac:dyDescent="0.2">
      <c r="A2220" s="11">
        <v>46195</v>
      </c>
      <c r="B2220" s="53" t="str">
        <f>TEXT(grand[[#This Row],[date]],"[$-ar-SA,6]dd/mm/yyyy")</f>
        <v>07/01/1448</v>
      </c>
      <c r="C2220" s="52" t="str">
        <f>IF(MID(B2220,4,2)="09","Ramadan",IF(AND(MID(B2220,4,2)="12",VALUE(LEFT(B2220,2))&lt;=9),"Adha Season","Normal"))</f>
        <v>Normal</v>
      </c>
      <c r="D2220" s="1" t="s">
        <v>45</v>
      </c>
      <c r="F2220" s="4" t="s">
        <v>1023</v>
      </c>
      <c r="G2220" s="1">
        <v>60</v>
      </c>
      <c r="H2220" s="1">
        <v>60</v>
      </c>
      <c r="I2220">
        <f>grand[[#This Row],[number]]-grand[[#This Row],[received]]</f>
        <v>0</v>
      </c>
      <c r="J2220" s="2"/>
      <c r="K2220" s="2">
        <v>26602</v>
      </c>
      <c r="L2220" s="2">
        <v>26602</v>
      </c>
      <c r="M2220" s="2">
        <f>K2220-L2220</f>
        <v>0</v>
      </c>
      <c r="N2220" s="2">
        <v>16254.5</v>
      </c>
      <c r="O2220" s="2">
        <v>0</v>
      </c>
      <c r="P2220" s="7">
        <f>grand[[#This Row],[total weight]]/grand[[#This Row],[received]]</f>
        <v>443.36666666666667</v>
      </c>
      <c r="Q2220" s="7">
        <f>grand[[#This Row],[receiving weight]]/grand[[#This Row],[received]]</f>
        <v>443.36666666666667</v>
      </c>
      <c r="R2220" s="7">
        <f>grand[[#This Row],[transportation loss ]]/grand[[#This Row],[received]]</f>
        <v>0</v>
      </c>
      <c r="S2220" s="7">
        <f>grand[[#This Row],[ carcass weight]]/grand[[#This Row],[received]]</f>
        <v>270.90833333333336</v>
      </c>
      <c r="T2220" s="7">
        <f>grand[[#This Row],[ kidneys fat quantity]]/grand[[#This Row],[received]]</f>
        <v>0</v>
      </c>
      <c r="U2220" s="1">
        <v>25</v>
      </c>
      <c r="V2220" s="1">
        <v>0</v>
      </c>
      <c r="W2220" s="1">
        <v>46.916666666666671</v>
      </c>
      <c r="X2220" s="1">
        <v>10</v>
      </c>
      <c r="Y2220">
        <v>8.5</v>
      </c>
      <c r="Z2220" s="18">
        <f>grand[[#This Row],[av. Transportation loss]]/grand[[#This Row],[av.total weight]]</f>
        <v>0</v>
      </c>
      <c r="AA2220" s="18">
        <f>AVERAGE((grand[[#This Row],[am]]/25),(grand[[#This Row],[pm]]/50))</f>
        <v>0.96916666666666673</v>
      </c>
      <c r="AB2220" s="3">
        <f>grand[[#This Row],[ carcass weight]]/grand[[#This Row],[total weight]]</f>
        <v>0.61102548680550339</v>
      </c>
      <c r="AC2220" s="18">
        <f>SUM(grand[[#This Row],[am]:[meat transportation]])/100</f>
        <v>0.90416666666666667</v>
      </c>
      <c r="AD2220" s="1" t="s">
        <v>2936</v>
      </c>
      <c r="AJ2220" s="1">
        <v>8</v>
      </c>
    </row>
    <row r="2221" spans="1:36" hidden="1" x14ac:dyDescent="0.2">
      <c r="A2221" s="11">
        <v>46195</v>
      </c>
      <c r="B2221" s="53" t="str">
        <f>TEXT(grand[[#This Row],[date]],"[$-ar-SA,6]dd/mm/yyyy")</f>
        <v>07/01/1448</v>
      </c>
      <c r="C2221" s="52" t="str">
        <f>IF(MID(B2221,4,2)="09","Ramadan",IF(AND(MID(B2221,4,2)="12",VALUE(LEFT(B2221,2))&lt;=9),"Adha Season","Normal"))</f>
        <v>Normal</v>
      </c>
      <c r="D2221" s="1" t="s">
        <v>45</v>
      </c>
      <c r="F2221" s="4" t="s">
        <v>954</v>
      </c>
      <c r="G2221" s="1">
        <v>52</v>
      </c>
      <c r="H2221" s="1">
        <v>52</v>
      </c>
      <c r="I2221">
        <f>grand[[#This Row],[number]]-grand[[#This Row],[received]]</f>
        <v>0</v>
      </c>
      <c r="J2221" s="2"/>
      <c r="K2221" s="2">
        <v>21374</v>
      </c>
      <c r="L2221" s="2">
        <v>21374</v>
      </c>
      <c r="M2221" s="2">
        <f>K2221-L2221</f>
        <v>0</v>
      </c>
      <c r="N2221" s="2">
        <v>12857</v>
      </c>
      <c r="O2221" s="2">
        <v>367</v>
      </c>
      <c r="P2221" s="7">
        <f>grand[[#This Row],[total weight]]/grand[[#This Row],[received]]</f>
        <v>411.03846153846155</v>
      </c>
      <c r="Q2221" s="7">
        <f>grand[[#This Row],[receiving weight]]/grand[[#This Row],[received]]</f>
        <v>411.03846153846155</v>
      </c>
      <c r="R2221" s="7">
        <f>grand[[#This Row],[transportation loss ]]/grand[[#This Row],[received]]</f>
        <v>0</v>
      </c>
      <c r="S2221" s="7">
        <f>grand[[#This Row],[ carcass weight]]/grand[[#This Row],[received]]</f>
        <v>247.25</v>
      </c>
      <c r="T2221" s="7">
        <f>grand[[#This Row],[ kidneys fat quantity]]/grand[[#This Row],[received]]</f>
        <v>7.0576923076923075</v>
      </c>
      <c r="U2221" s="1">
        <v>25</v>
      </c>
      <c r="V2221" s="1">
        <v>0</v>
      </c>
      <c r="W2221" s="1">
        <v>48.67307692307692</v>
      </c>
      <c r="X2221" s="1">
        <v>10</v>
      </c>
      <c r="Y2221">
        <v>8.5</v>
      </c>
      <c r="Z2221" s="18">
        <f>grand[[#This Row],[av. Transportation loss]]/grand[[#This Row],[av.total weight]]</f>
        <v>0</v>
      </c>
      <c r="AA2221" s="18">
        <f>AVERAGE((grand[[#This Row],[am]]/25),(grand[[#This Row],[pm]]/50))</f>
        <v>0.98673076923076919</v>
      </c>
      <c r="AB2221" s="3">
        <f>grand[[#This Row],[ carcass weight]]/grand[[#This Row],[total weight]]</f>
        <v>0.60152521755403765</v>
      </c>
      <c r="AC2221" s="18">
        <f>SUM(grand[[#This Row],[am]:[meat transportation]])/100</f>
        <v>0.92173076923076924</v>
      </c>
      <c r="AD2221" s="1" t="s">
        <v>2937</v>
      </c>
      <c r="AJ2221" s="1">
        <v>0</v>
      </c>
    </row>
    <row r="2222" spans="1:36" hidden="1" x14ac:dyDescent="0.2">
      <c r="A2222" s="11">
        <v>46195</v>
      </c>
      <c r="B2222" s="53" t="str">
        <f>TEXT(grand[[#This Row],[date]],"[$-ar-SA,6]dd/mm/yyyy")</f>
        <v>07/01/1448</v>
      </c>
      <c r="C2222" s="52" t="str">
        <f>IF(MID(B2222,4,2)="09","Ramadan",IF(AND(MID(B2222,4,2)="12",VALUE(LEFT(B2222,2))&lt;=9),"Adha Season","Normal"))</f>
        <v>Normal</v>
      </c>
      <c r="D2222" s="1" t="s">
        <v>1079</v>
      </c>
      <c r="F2222" s="4" t="s">
        <v>165</v>
      </c>
      <c r="G2222" s="1">
        <v>50</v>
      </c>
      <c r="H2222" s="1">
        <v>50</v>
      </c>
      <c r="I2222">
        <f>grand[[#This Row],[number]]-grand[[#This Row],[received]]</f>
        <v>0</v>
      </c>
      <c r="J2222" s="2"/>
      <c r="K2222" s="2">
        <v>2705</v>
      </c>
      <c r="L2222" s="2">
        <v>2705</v>
      </c>
      <c r="M2222" s="2">
        <f>K2222-L2222</f>
        <v>0</v>
      </c>
      <c r="N2222" s="2">
        <v>1531</v>
      </c>
      <c r="O2222" s="2">
        <v>0</v>
      </c>
      <c r="P2222" s="7">
        <f>grand[[#This Row],[total weight]]/grand[[#This Row],[received]]</f>
        <v>54.1</v>
      </c>
      <c r="Q2222" s="7">
        <f>grand[[#This Row],[receiving weight]]/grand[[#This Row],[received]]</f>
        <v>54.1</v>
      </c>
      <c r="R2222" s="7">
        <f>grand[[#This Row],[transportation loss ]]/grand[[#This Row],[received]]</f>
        <v>0</v>
      </c>
      <c r="S2222" s="7">
        <f>grand[[#This Row],[ carcass weight]]/grand[[#This Row],[received]]</f>
        <v>30.62</v>
      </c>
      <c r="T2222" s="7">
        <f>grand[[#This Row],[ kidneys fat quantity]]/grand[[#This Row],[received]]</f>
        <v>0</v>
      </c>
      <c r="U2222" s="1">
        <v>25</v>
      </c>
      <c r="V2222" s="1">
        <v>0</v>
      </c>
      <c r="W2222" s="1">
        <v>49.15</v>
      </c>
      <c r="X2222" s="1">
        <v>10</v>
      </c>
      <c r="Y2222">
        <v>8.5</v>
      </c>
      <c r="Z2222" s="18">
        <f>grand[[#This Row],[av. Transportation loss]]/grand[[#This Row],[av.total weight]]</f>
        <v>0</v>
      </c>
      <c r="AA2222" s="18">
        <f>AVERAGE((grand[[#This Row],[am]]/25),(grand[[#This Row],[pm]]/50))</f>
        <v>0.99150000000000005</v>
      </c>
      <c r="AB2222" s="3">
        <f>grand[[#This Row],[ carcass weight]]/grand[[#This Row],[total weight]]</f>
        <v>0.5659889094269871</v>
      </c>
      <c r="AC2222" s="18">
        <f>SUM(grand[[#This Row],[am]:[meat transportation]])/100</f>
        <v>0.9265000000000001</v>
      </c>
      <c r="AD2222" s="1" t="s">
        <v>2938</v>
      </c>
      <c r="AJ2222" s="1">
        <v>0</v>
      </c>
    </row>
    <row r="2223" spans="1:36" x14ac:dyDescent="0.2">
      <c r="A2223" s="11">
        <v>46196</v>
      </c>
      <c r="B2223" s="53" t="str">
        <f>TEXT(grand[[#This Row],[date]],"[$-ar-SA,6]dd/mm/yyyy")</f>
        <v>08/01/1448</v>
      </c>
      <c r="C2223" s="52" t="str">
        <f>IF(MID(B2223,4,2)="09","Ramadan",IF(AND(MID(B2223,4,2)="12",VALUE(LEFT(B2223,2))&lt;=9),"Adha Season","Normal"))</f>
        <v>Normal</v>
      </c>
      <c r="D2223" s="1" t="s">
        <v>45</v>
      </c>
      <c r="F2223" s="4" t="s">
        <v>1023</v>
      </c>
      <c r="G2223" s="1">
        <v>51</v>
      </c>
      <c r="H2223" s="1">
        <v>50</v>
      </c>
      <c r="I2223">
        <f>grand[[#This Row],[number]]-grand[[#This Row],[received]]</f>
        <v>1</v>
      </c>
      <c r="J2223" s="9" t="s">
        <v>2961</v>
      </c>
      <c r="K2223" s="2">
        <v>22462</v>
      </c>
      <c r="L2223" s="2">
        <v>22462</v>
      </c>
      <c r="M2223" s="2">
        <f>K2223-L2223</f>
        <v>0</v>
      </c>
      <c r="N2223" s="2">
        <v>13473</v>
      </c>
      <c r="O2223" s="2">
        <v>0</v>
      </c>
      <c r="P2223" s="7">
        <f>grand[[#This Row],[total weight]]/grand[[#This Row],[received]]</f>
        <v>449.24</v>
      </c>
      <c r="Q2223" s="7">
        <f>grand[[#This Row],[receiving weight]]/grand[[#This Row],[received]]</f>
        <v>449.24</v>
      </c>
      <c r="R2223" s="7">
        <f>grand[[#This Row],[transportation loss ]]/grand[[#This Row],[received]]</f>
        <v>0</v>
      </c>
      <c r="S2223" s="7">
        <f>grand[[#This Row],[ carcass weight]]/grand[[#This Row],[received]]</f>
        <v>269.45999999999998</v>
      </c>
      <c r="T2223" s="7">
        <f>grand[[#This Row],[ kidneys fat quantity]]/grand[[#This Row],[received]]</f>
        <v>0</v>
      </c>
      <c r="U2223" s="1">
        <v>25</v>
      </c>
      <c r="V2223" s="1">
        <v>0</v>
      </c>
      <c r="W2223" s="1">
        <v>46.47</v>
      </c>
      <c r="X2223" s="1">
        <v>10</v>
      </c>
      <c r="Y2223">
        <v>8.5</v>
      </c>
      <c r="Z2223" s="18">
        <f>grand[[#This Row],[av. Transportation loss]]/grand[[#This Row],[av.total weight]]</f>
        <v>0</v>
      </c>
      <c r="AA2223" s="18">
        <f>AVERAGE((grand[[#This Row],[am]]/25),(grand[[#This Row],[pm]]/50))</f>
        <v>0.9647</v>
      </c>
      <c r="AB2223" s="3">
        <f>grand[[#This Row],[ carcass weight]]/grand[[#This Row],[total weight]]</f>
        <v>0.59981301754073546</v>
      </c>
      <c r="AC2223" s="18">
        <f>SUM(grand[[#This Row],[am]:[meat transportation]])/100</f>
        <v>0.89969999999999994</v>
      </c>
      <c r="AD2223" s="1" t="s">
        <v>2939</v>
      </c>
      <c r="AJ2223" s="1">
        <v>10</v>
      </c>
    </row>
    <row r="2224" spans="1:36" hidden="1" x14ac:dyDescent="0.2">
      <c r="A2224" s="11">
        <v>46197</v>
      </c>
      <c r="B2224" s="53" t="str">
        <f>TEXT(grand[[#This Row],[date]],"[$-ar-SA,6]dd/mm/yyyy")</f>
        <v>09/01/1448</v>
      </c>
      <c r="C2224" s="52" t="str">
        <f>IF(MID(B2224,4,2)="09","Ramadan",IF(AND(MID(B2224,4,2)="12",VALUE(LEFT(B2224,2))&lt;=9),"Adha Season","Normal"))</f>
        <v>Normal</v>
      </c>
      <c r="D2224" s="1" t="s">
        <v>1079</v>
      </c>
      <c r="F2224" s="4" t="s">
        <v>165</v>
      </c>
      <c r="G2224" s="1">
        <v>81</v>
      </c>
      <c r="H2224" s="1">
        <v>81</v>
      </c>
      <c r="I2224">
        <f>grand[[#This Row],[number]]-grand[[#This Row],[received]]</f>
        <v>0</v>
      </c>
      <c r="J2224" s="2"/>
      <c r="K2224" s="2">
        <v>4414</v>
      </c>
      <c r="L2224" s="2">
        <v>4414</v>
      </c>
      <c r="M2224" s="2">
        <f>K2224-L2224</f>
        <v>0</v>
      </c>
      <c r="N2224" s="2">
        <v>2482</v>
      </c>
      <c r="O2224" s="2">
        <v>0</v>
      </c>
      <c r="P2224" s="7">
        <f>grand[[#This Row],[total weight]]/grand[[#This Row],[received]]</f>
        <v>54.493827160493829</v>
      </c>
      <c r="Q2224" s="7">
        <f>grand[[#This Row],[receiving weight]]/grand[[#This Row],[received]]</f>
        <v>54.493827160493829</v>
      </c>
      <c r="R2224" s="7">
        <f>grand[[#This Row],[transportation loss ]]/grand[[#This Row],[received]]</f>
        <v>0</v>
      </c>
      <c r="S2224" s="7">
        <f>grand[[#This Row],[ carcass weight]]/grand[[#This Row],[received]]</f>
        <v>30.641975308641975</v>
      </c>
      <c r="T2224" s="7">
        <f>grand[[#This Row],[ kidneys fat quantity]]/grand[[#This Row],[received]]</f>
        <v>0</v>
      </c>
      <c r="U2224" s="1">
        <v>25</v>
      </c>
      <c r="V2224" s="1">
        <v>0</v>
      </c>
      <c r="W2224" s="1">
        <v>47.913580246913575</v>
      </c>
      <c r="X2224" s="1">
        <v>10</v>
      </c>
      <c r="Y2224">
        <v>8.5</v>
      </c>
      <c r="Z2224" s="18">
        <f>grand[[#This Row],[av. Transportation loss]]/grand[[#This Row],[av.total weight]]</f>
        <v>0</v>
      </c>
      <c r="AA2224" s="18">
        <f>AVERAGE((grand[[#This Row],[am]]/25),(grand[[#This Row],[pm]]/50))</f>
        <v>0.97913580246913567</v>
      </c>
      <c r="AB2224" s="3">
        <f>grand[[#This Row],[ carcass weight]]/grand[[#This Row],[total weight]]</f>
        <v>0.56230176710466695</v>
      </c>
      <c r="AC2224" s="18">
        <f>SUM(grand[[#This Row],[am]:[meat transportation]])/100</f>
        <v>0.91413580246913573</v>
      </c>
      <c r="AD2224" s="1" t="s">
        <v>2940</v>
      </c>
      <c r="AJ2224" s="1">
        <v>0</v>
      </c>
    </row>
    <row r="2225" spans="1:37" x14ac:dyDescent="0.2">
      <c r="A2225" s="11">
        <v>46197</v>
      </c>
      <c r="B2225" s="53" t="str">
        <f>TEXT(grand[[#This Row],[date]],"[$-ar-SA,6]dd/mm/yyyy")</f>
        <v>09/01/1448</v>
      </c>
      <c r="C2225" s="52" t="str">
        <f>IF(MID(B2225,4,2)="09","Ramadan",IF(AND(MID(B2225,4,2)="12",VALUE(LEFT(B2225,2))&lt;=9),"Adha Season","Normal"))</f>
        <v>Normal</v>
      </c>
      <c r="D2225" s="1" t="s">
        <v>45</v>
      </c>
      <c r="F2225" s="4" t="s">
        <v>1023</v>
      </c>
      <c r="G2225" s="1">
        <v>95</v>
      </c>
      <c r="H2225" s="1">
        <v>94</v>
      </c>
      <c r="I2225">
        <f>grand[[#This Row],[number]]-grand[[#This Row],[received]]</f>
        <v>1</v>
      </c>
      <c r="J2225" s="9" t="s">
        <v>1188</v>
      </c>
      <c r="K2225" s="2">
        <v>41687</v>
      </c>
      <c r="L2225" s="2">
        <v>41687</v>
      </c>
      <c r="M2225" s="2">
        <f>K2225-L2225</f>
        <v>0</v>
      </c>
      <c r="N2225" s="2">
        <v>25266</v>
      </c>
      <c r="O2225" s="2">
        <v>0</v>
      </c>
      <c r="P2225" s="7">
        <f>grand[[#This Row],[total weight]]/grand[[#This Row],[received]]</f>
        <v>443.47872340425533</v>
      </c>
      <c r="Q2225" s="7">
        <f>grand[[#This Row],[receiving weight]]/grand[[#This Row],[received]]</f>
        <v>443.47872340425533</v>
      </c>
      <c r="R2225" s="7">
        <f>grand[[#This Row],[transportation loss ]]/grand[[#This Row],[received]]</f>
        <v>0</v>
      </c>
      <c r="S2225" s="7">
        <f>grand[[#This Row],[ carcass weight]]/grand[[#This Row],[received]]</f>
        <v>268.78723404255317</v>
      </c>
      <c r="T2225" s="7">
        <f>grand[[#This Row],[ kidneys fat quantity]]/grand[[#This Row],[received]]</f>
        <v>0</v>
      </c>
      <c r="U2225" s="1">
        <v>25</v>
      </c>
      <c r="V2225" s="1">
        <v>0</v>
      </c>
      <c r="W2225" s="1">
        <v>48.510638297872347</v>
      </c>
      <c r="X2225" s="1">
        <v>10</v>
      </c>
      <c r="Y2225">
        <v>8.5</v>
      </c>
      <c r="Z2225" s="18">
        <f>grand[[#This Row],[av. Transportation loss]]/grand[[#This Row],[av.total weight]]</f>
        <v>0</v>
      </c>
      <c r="AA2225" s="18">
        <f>AVERAGE((grand[[#This Row],[am]]/25),(grand[[#This Row],[pm]]/50))</f>
        <v>0.98510638297872344</v>
      </c>
      <c r="AB2225" s="3">
        <f>grand[[#This Row],[ carcass weight]]/grand[[#This Row],[total weight]]</f>
        <v>0.60608822894427516</v>
      </c>
      <c r="AC2225" s="18">
        <f>SUM(grand[[#This Row],[am]:[meat transportation]])/100</f>
        <v>0.92010638297872349</v>
      </c>
      <c r="AD2225" s="1" t="s">
        <v>2941</v>
      </c>
      <c r="AJ2225" s="1">
        <v>7</v>
      </c>
    </row>
    <row r="2226" spans="1:37" hidden="1" x14ac:dyDescent="0.2">
      <c r="A2226" s="11">
        <v>46200</v>
      </c>
      <c r="B2226" s="53" t="str">
        <f>TEXT(grand[[#This Row],[date]],"[$-ar-SA,6]dd/mm/yyyy")</f>
        <v>12/01/1448</v>
      </c>
      <c r="C2226" s="52" t="str">
        <f>IF(MID(B2226,4,2)="09","Ramadan",IF(AND(MID(B2226,4,2)="12",VALUE(LEFT(B2226,2))&lt;=9),"Adha Season","Normal"))</f>
        <v>Normal</v>
      </c>
      <c r="D2226" s="1" t="s">
        <v>1079</v>
      </c>
      <c r="F2226" s="4" t="s">
        <v>165</v>
      </c>
      <c r="G2226" s="1">
        <v>60</v>
      </c>
      <c r="H2226" s="1">
        <v>60</v>
      </c>
      <c r="I2226">
        <f>grand[[#This Row],[number]]-grand[[#This Row],[received]]</f>
        <v>0</v>
      </c>
      <c r="J2226" s="2"/>
      <c r="K2226" s="2">
        <v>2960</v>
      </c>
      <c r="L2226" s="2">
        <v>2960</v>
      </c>
      <c r="M2226" s="2">
        <f>K2226-L2226</f>
        <v>0</v>
      </c>
      <c r="N2226" s="2">
        <v>1582.7</v>
      </c>
      <c r="O2226" s="2">
        <v>0</v>
      </c>
      <c r="P2226" s="7">
        <f>grand[[#This Row],[total weight]]/grand[[#This Row],[received]]</f>
        <v>49.333333333333336</v>
      </c>
      <c r="Q2226" s="7">
        <f>grand[[#This Row],[receiving weight]]/grand[[#This Row],[received]]</f>
        <v>49.333333333333336</v>
      </c>
      <c r="R2226" s="7">
        <f>grand[[#This Row],[transportation loss ]]/grand[[#This Row],[received]]</f>
        <v>0</v>
      </c>
      <c r="S2226" s="7">
        <f>grand[[#This Row],[ carcass weight]]/grand[[#This Row],[received]]</f>
        <v>26.378333333333334</v>
      </c>
      <c r="T2226" s="7">
        <f>grand[[#This Row],[ kidneys fat quantity]]/grand[[#This Row],[received]]</f>
        <v>0</v>
      </c>
      <c r="U2226" s="1">
        <v>25</v>
      </c>
      <c r="V2226" s="1">
        <v>0</v>
      </c>
      <c r="W2226" s="1">
        <v>44.416666666666664</v>
      </c>
      <c r="X2226" s="1">
        <v>10</v>
      </c>
      <c r="Y2226">
        <v>8.5</v>
      </c>
      <c r="Z2226" s="18">
        <f>grand[[#This Row],[av. Transportation loss]]/grand[[#This Row],[av.total weight]]</f>
        <v>0</v>
      </c>
      <c r="AA2226" s="18">
        <f>AVERAGE((grand[[#This Row],[am]]/25),(grand[[#This Row],[pm]]/50))</f>
        <v>0.9441666666666666</v>
      </c>
      <c r="AB2226" s="3">
        <f>grand[[#This Row],[ carcass weight]]/grand[[#This Row],[total weight]]</f>
        <v>0.53469594594594594</v>
      </c>
      <c r="AC2226" s="18">
        <f>SUM(grand[[#This Row],[am]:[meat transportation]])/100</f>
        <v>0.87916666666666654</v>
      </c>
      <c r="AD2226" s="1" t="s">
        <v>2942</v>
      </c>
      <c r="AJ2226" s="1">
        <v>0</v>
      </c>
    </row>
    <row r="2227" spans="1:37" hidden="1" x14ac:dyDescent="0.2">
      <c r="A2227" s="11">
        <v>46200</v>
      </c>
      <c r="B2227" s="53" t="str">
        <f>TEXT(grand[[#This Row],[date]],"[$-ar-SA,6]dd/mm/yyyy")</f>
        <v>12/01/1448</v>
      </c>
      <c r="C2227" s="52" t="str">
        <f>IF(MID(B2227,4,2)="09","Ramadan",IF(AND(MID(B2227,4,2)="12",VALUE(LEFT(B2227,2))&lt;=9),"Adha Season","Normal"))</f>
        <v>Normal</v>
      </c>
      <c r="D2227" s="1" t="s">
        <v>45</v>
      </c>
      <c r="F2227" s="4" t="s">
        <v>576</v>
      </c>
      <c r="G2227" s="1">
        <v>60</v>
      </c>
      <c r="H2227" s="1">
        <v>60</v>
      </c>
      <c r="I2227">
        <f>grand[[#This Row],[number]]-grand[[#This Row],[received]]</f>
        <v>0</v>
      </c>
      <c r="J2227" s="2"/>
      <c r="K2227" s="2">
        <v>30413</v>
      </c>
      <c r="L2227" s="2">
        <v>30413</v>
      </c>
      <c r="M2227" s="2">
        <f>K2227-L2227</f>
        <v>0</v>
      </c>
      <c r="N2227" s="2">
        <v>18850.8</v>
      </c>
      <c r="O2227" s="2">
        <v>0</v>
      </c>
      <c r="P2227" s="7">
        <f>grand[[#This Row],[total weight]]/grand[[#This Row],[received]]</f>
        <v>506.88333333333333</v>
      </c>
      <c r="Q2227" s="7">
        <f>grand[[#This Row],[receiving weight]]/grand[[#This Row],[received]]</f>
        <v>506.88333333333333</v>
      </c>
      <c r="R2227" s="7">
        <f>grand[[#This Row],[transportation loss ]]/grand[[#This Row],[received]]</f>
        <v>0</v>
      </c>
      <c r="S2227" s="7">
        <f>grand[[#This Row],[ carcass weight]]/grand[[#This Row],[received]]</f>
        <v>314.18</v>
      </c>
      <c r="T2227" s="7">
        <f>grand[[#This Row],[ kidneys fat quantity]]/grand[[#This Row],[received]]</f>
        <v>0</v>
      </c>
      <c r="U2227" s="1">
        <v>24.833333333333332</v>
      </c>
      <c r="V2227" s="1">
        <v>0</v>
      </c>
      <c r="W2227" s="1">
        <v>47.85</v>
      </c>
      <c r="X2227" s="1">
        <v>10</v>
      </c>
      <c r="Y2227">
        <v>8.5</v>
      </c>
      <c r="Z2227" s="18">
        <f>grand[[#This Row],[av. Transportation loss]]/grand[[#This Row],[av.total weight]]</f>
        <v>0</v>
      </c>
      <c r="AA2227" s="18">
        <f>AVERAGE((grand[[#This Row],[am]]/25),(grand[[#This Row],[pm]]/50))</f>
        <v>0.97516666666666674</v>
      </c>
      <c r="AB2227" s="3">
        <f>grand[[#This Row],[ carcass weight]]/grand[[#This Row],[total weight]]</f>
        <v>0.61982704764409957</v>
      </c>
      <c r="AC2227" s="18">
        <f>SUM(grand[[#This Row],[am]:[meat transportation]])/100</f>
        <v>0.91183333333333338</v>
      </c>
      <c r="AD2227" s="1" t="s">
        <v>2945</v>
      </c>
      <c r="AJ2227" s="1">
        <v>28</v>
      </c>
    </row>
    <row r="2228" spans="1:37" x14ac:dyDescent="0.2">
      <c r="A2228" s="11">
        <v>46200</v>
      </c>
      <c r="B2228" s="53" t="str">
        <f>TEXT(grand[[#This Row],[date]],"[$-ar-SA,6]dd/mm/yyyy")</f>
        <v>12/01/1448</v>
      </c>
      <c r="C2228" s="52" t="str">
        <f>IF(MID(B2228,4,2)="09","Ramadan",IF(AND(MID(B2228,4,2)="12",VALUE(LEFT(B2228,2))&lt;=9),"Adha Season","Normal"))</f>
        <v>Normal</v>
      </c>
      <c r="D2228" s="1" t="s">
        <v>45</v>
      </c>
      <c r="F2228" s="4" t="s">
        <v>1023</v>
      </c>
      <c r="G2228" s="1">
        <v>62</v>
      </c>
      <c r="H2228" s="1">
        <v>61</v>
      </c>
      <c r="I2228">
        <f>grand[[#This Row],[number]]-grand[[#This Row],[received]]</f>
        <v>1</v>
      </c>
      <c r="J2228" s="9" t="s">
        <v>1188</v>
      </c>
      <c r="K2228" s="2">
        <v>27411</v>
      </c>
      <c r="L2228" s="2">
        <v>27411</v>
      </c>
      <c r="M2228" s="2">
        <f>K2228-L2228</f>
        <v>0</v>
      </c>
      <c r="N2228" s="2">
        <v>16566.7</v>
      </c>
      <c r="O2228" s="2">
        <v>0</v>
      </c>
      <c r="P2228" s="7">
        <f>grand[[#This Row],[total weight]]/grand[[#This Row],[received]]</f>
        <v>449.36065573770492</v>
      </c>
      <c r="Q2228" s="7">
        <f>grand[[#This Row],[receiving weight]]/grand[[#This Row],[received]]</f>
        <v>449.36065573770492</v>
      </c>
      <c r="R2228" s="7">
        <f>grand[[#This Row],[transportation loss ]]/grand[[#This Row],[received]]</f>
        <v>0</v>
      </c>
      <c r="S2228" s="7">
        <f>grand[[#This Row],[ carcass weight]]/grand[[#This Row],[received]]</f>
        <v>271.58524590163938</v>
      </c>
      <c r="T2228" s="7">
        <f>grand[[#This Row],[ kidneys fat quantity]]/grand[[#This Row],[received]]</f>
        <v>0</v>
      </c>
      <c r="U2228" s="1">
        <v>25</v>
      </c>
      <c r="V2228" s="1">
        <v>0</v>
      </c>
      <c r="W2228" s="1">
        <v>47.344262295081968</v>
      </c>
      <c r="X2228" s="1">
        <v>10</v>
      </c>
      <c r="Y2228">
        <v>8.5</v>
      </c>
      <c r="Z2228" s="18">
        <f>grand[[#This Row],[av. Transportation loss]]/grand[[#This Row],[av.total weight]]</f>
        <v>0</v>
      </c>
      <c r="AA2228" s="18">
        <f>AVERAGE((grand[[#This Row],[am]]/25),(grand[[#This Row],[pm]]/50))</f>
        <v>0.97344262295081974</v>
      </c>
      <c r="AB2228" s="3">
        <f>grand[[#This Row],[ carcass weight]]/grand[[#This Row],[total weight]]</f>
        <v>0.60438145270147026</v>
      </c>
      <c r="AC2228" s="18">
        <f>SUM(grand[[#This Row],[am]:[meat transportation]])/100</f>
        <v>0.90844262295081957</v>
      </c>
      <c r="AD2228" s="1" t="s">
        <v>2943</v>
      </c>
      <c r="AJ2228" s="1">
        <v>6</v>
      </c>
    </row>
    <row r="2229" spans="1:37" hidden="1" x14ac:dyDescent="0.2">
      <c r="A2229" s="11">
        <v>46202</v>
      </c>
      <c r="B2229" s="53" t="str">
        <f>TEXT(grand[[#This Row],[date]],"[$-ar-SA,6]dd/mm/yyyy")</f>
        <v>14/01/1448</v>
      </c>
      <c r="C2229" s="52" t="str">
        <f>IF(MID(B2229,4,2)="09","Ramadan",IF(AND(MID(B2229,4,2)="12",VALUE(LEFT(B2229,2))&lt;=9),"Adha Season","Normal"))</f>
        <v>Normal</v>
      </c>
      <c r="D2229" s="1" t="s">
        <v>45</v>
      </c>
      <c r="F2229" s="4" t="s">
        <v>1023</v>
      </c>
      <c r="G2229" s="1">
        <v>54</v>
      </c>
      <c r="H2229" s="1">
        <v>54</v>
      </c>
      <c r="I2229">
        <f>grand[[#This Row],[number]]-grand[[#This Row],[received]]</f>
        <v>0</v>
      </c>
      <c r="J2229" s="2"/>
      <c r="K2229" s="2">
        <v>23160</v>
      </c>
      <c r="L2229" s="2">
        <v>23160</v>
      </c>
      <c r="M2229" s="2">
        <f>K2229-L2229</f>
        <v>0</v>
      </c>
      <c r="N2229" s="2">
        <v>14089.3</v>
      </c>
      <c r="O2229" s="2">
        <v>0</v>
      </c>
      <c r="P2229" s="7">
        <f>grand[[#This Row],[total weight]]/grand[[#This Row],[received]]</f>
        <v>428.88888888888891</v>
      </c>
      <c r="Q2229" s="7">
        <f>grand[[#This Row],[receiving weight]]/grand[[#This Row],[received]]</f>
        <v>428.88888888888891</v>
      </c>
      <c r="R2229" s="7">
        <f>grand[[#This Row],[transportation loss ]]/grand[[#This Row],[received]]</f>
        <v>0</v>
      </c>
      <c r="S2229" s="7">
        <f>grand[[#This Row],[ carcass weight]]/grand[[#This Row],[received]]</f>
        <v>260.91296296296292</v>
      </c>
      <c r="T2229" s="7">
        <f>grand[[#This Row],[ kidneys fat quantity]]/grand[[#This Row],[received]]</f>
        <v>0</v>
      </c>
      <c r="U2229" s="1">
        <v>25</v>
      </c>
      <c r="V2229" s="1">
        <v>0</v>
      </c>
      <c r="W2229" s="1">
        <v>44.166666666666671</v>
      </c>
      <c r="X2229" s="1">
        <v>10</v>
      </c>
      <c r="Y2229">
        <v>8.5</v>
      </c>
      <c r="Z2229" s="18">
        <f>grand[[#This Row],[av. Transportation loss]]/grand[[#This Row],[av.total weight]]</f>
        <v>0</v>
      </c>
      <c r="AA2229" s="18">
        <f>AVERAGE((grand[[#This Row],[am]]/25),(grand[[#This Row],[pm]]/50))</f>
        <v>0.94166666666666665</v>
      </c>
      <c r="AB2229" s="3">
        <f>grand[[#This Row],[ carcass weight]]/grand[[#This Row],[total weight]]</f>
        <v>0.60834628670120894</v>
      </c>
      <c r="AC2229" s="18">
        <f>SUM(grand[[#This Row],[am]:[meat transportation]])/100</f>
        <v>0.87666666666666671</v>
      </c>
      <c r="AD2229" s="1" t="s">
        <v>2946</v>
      </c>
      <c r="AJ2229" s="1">
        <v>8</v>
      </c>
    </row>
    <row r="2230" spans="1:37" hidden="1" x14ac:dyDescent="0.2">
      <c r="A2230" s="11">
        <v>46202</v>
      </c>
      <c r="B2230" s="53" t="str">
        <f>TEXT(grand[[#This Row],[date]],"[$-ar-SA,6]dd/mm/yyyy")</f>
        <v>14/01/1448</v>
      </c>
      <c r="C2230" s="52" t="str">
        <f>IF(MID(B2230,4,2)="09","Ramadan",IF(AND(MID(B2230,4,2)="12",VALUE(LEFT(B2230,2))&lt;=9),"Adha Season","Normal"))</f>
        <v>Normal</v>
      </c>
      <c r="D2230" s="1" t="s">
        <v>45</v>
      </c>
      <c r="F2230" s="4" t="s">
        <v>954</v>
      </c>
      <c r="G2230" s="1">
        <v>52</v>
      </c>
      <c r="H2230" s="1">
        <v>52</v>
      </c>
      <c r="I2230">
        <f>grand[[#This Row],[number]]-grand[[#This Row],[received]]</f>
        <v>0</v>
      </c>
      <c r="J2230" s="2"/>
      <c r="K2230" s="2">
        <v>22478</v>
      </c>
      <c r="L2230" s="2">
        <v>22478</v>
      </c>
      <c r="M2230" s="2">
        <f>K2230-L2230</f>
        <v>0</v>
      </c>
      <c r="N2230" s="2">
        <v>13531.2</v>
      </c>
      <c r="O2230" s="2">
        <v>458</v>
      </c>
      <c r="P2230" s="7">
        <f>grand[[#This Row],[total weight]]/grand[[#This Row],[received]]</f>
        <v>432.26923076923077</v>
      </c>
      <c r="Q2230" s="7">
        <f>grand[[#This Row],[receiving weight]]/grand[[#This Row],[received]]</f>
        <v>432.26923076923077</v>
      </c>
      <c r="R2230" s="7">
        <f>grand[[#This Row],[transportation loss ]]/grand[[#This Row],[received]]</f>
        <v>0</v>
      </c>
      <c r="S2230" s="7">
        <f>grand[[#This Row],[ carcass weight]]/grand[[#This Row],[received]]</f>
        <v>260.21538461538461</v>
      </c>
      <c r="T2230" s="7">
        <f>grand[[#This Row],[ kidneys fat quantity]]/grand[[#This Row],[received]]</f>
        <v>8.8076923076923084</v>
      </c>
      <c r="U2230" s="1">
        <v>25</v>
      </c>
      <c r="V2230" s="1">
        <v>0</v>
      </c>
      <c r="W2230" s="1">
        <v>47.519230769230759</v>
      </c>
      <c r="X2230" s="1">
        <v>10</v>
      </c>
      <c r="Y2230">
        <v>8.5</v>
      </c>
      <c r="Z2230" s="18">
        <f>grand[[#This Row],[av. Transportation loss]]/grand[[#This Row],[av.total weight]]</f>
        <v>0</v>
      </c>
      <c r="AA2230" s="18">
        <f>AVERAGE((grand[[#This Row],[am]]/25),(grand[[#This Row],[pm]]/50))</f>
        <v>0.97519230769230758</v>
      </c>
      <c r="AB2230" s="3">
        <f>grand[[#This Row],[ carcass weight]]/grand[[#This Row],[total weight]]</f>
        <v>0.60197526470326546</v>
      </c>
      <c r="AC2230" s="18">
        <f>SUM(grand[[#This Row],[am]:[meat transportation]])/100</f>
        <v>0.91019230769230763</v>
      </c>
      <c r="AD2230" s="1" t="s">
        <v>2947</v>
      </c>
      <c r="AJ2230" s="1">
        <v>0</v>
      </c>
    </row>
    <row r="2231" spans="1:37" hidden="1" x14ac:dyDescent="0.2">
      <c r="A2231" s="11">
        <v>43443</v>
      </c>
      <c r="B2231" s="53" t="s">
        <v>1234</v>
      </c>
      <c r="C2231" s="52" t="str">
        <f>IF(MID(B2231,4,2)="09","Ramadan",IF(AND(MID(B2231,4,2)="12",VALUE(LEFT(B2231,2))&lt;=9),"Adha Season","Normal"))</f>
        <v>Normal</v>
      </c>
      <c r="D2231" s="1" t="s">
        <v>45</v>
      </c>
      <c r="F2231" s="4" t="s">
        <v>46</v>
      </c>
      <c r="G2231" s="2">
        <v>16</v>
      </c>
      <c r="H2231" s="2">
        <v>14</v>
      </c>
      <c r="I2231" s="2">
        <f>grand[[#This Row],[number]]-grand[[#This Row],[received]]</f>
        <v>2</v>
      </c>
      <c r="J2231" s="2"/>
      <c r="K2231" s="2"/>
      <c r="L2231" s="2"/>
      <c r="M2231" s="2">
        <f>K2231-L2231</f>
        <v>0</v>
      </c>
      <c r="N2231" s="2"/>
      <c r="O2231" s="2"/>
      <c r="P2231" s="7"/>
      <c r="Q2231" s="7"/>
      <c r="R2231" s="7"/>
      <c r="S2231" s="7"/>
      <c r="T2231" s="7"/>
      <c r="U2231" s="2">
        <v>20</v>
      </c>
      <c r="V2231" s="2"/>
      <c r="W2231" s="2">
        <v>43</v>
      </c>
      <c r="X2231" s="2">
        <v>6</v>
      </c>
      <c r="Y2231" s="8">
        <v>5</v>
      </c>
      <c r="Z2231" s="3"/>
      <c r="AA2231" s="12">
        <f>AVERAGE((grand[[#This Row],[am]]/25),(grand[[#This Row],[pm]]/50))</f>
        <v>0.83000000000000007</v>
      </c>
      <c r="AB2231" s="3"/>
      <c r="AC2231" s="3">
        <f>SUM(grand[[#This Row],[am]:[meat transportation]])/100</f>
        <v>0.74</v>
      </c>
      <c r="AD2231" s="2"/>
      <c r="AE2231" s="2"/>
      <c r="AF2231" s="2"/>
      <c r="AG2231" s="2"/>
      <c r="AH2231" s="2"/>
      <c r="AI2231" s="2"/>
      <c r="AJ2231" s="2"/>
    </row>
    <row r="2232" spans="1:37" hidden="1" x14ac:dyDescent="0.2">
      <c r="A2232" s="11">
        <v>43454</v>
      </c>
      <c r="B2232" s="53" t="s">
        <v>1239</v>
      </c>
      <c r="C2232" s="52" t="str">
        <f>IF(MID(B2232,4,2)="09","Ramadan",IF(AND(MID(B2232,4,2)="12",VALUE(LEFT(B2232,2))&lt;=9),"Adha Season","Normal"))</f>
        <v>Normal</v>
      </c>
      <c r="D2232" s="1" t="s">
        <v>45</v>
      </c>
      <c r="F2232" s="4" t="s">
        <v>46</v>
      </c>
      <c r="G2232" s="2">
        <v>16</v>
      </c>
      <c r="H2232" s="2">
        <v>14</v>
      </c>
      <c r="I2232" s="2">
        <f>grand[[#This Row],[number]]-grand[[#This Row],[received]]</f>
        <v>2</v>
      </c>
      <c r="J2232" s="30"/>
      <c r="K2232" s="2"/>
      <c r="L2232" s="2"/>
      <c r="M2232" s="2">
        <f>K2232-L2232</f>
        <v>0</v>
      </c>
      <c r="N2232" s="2"/>
      <c r="O2232" s="2"/>
      <c r="P2232" s="7"/>
      <c r="Q2232" s="7"/>
      <c r="R2232" s="7"/>
      <c r="S2232" s="7"/>
      <c r="T2232" s="7"/>
      <c r="U2232" s="2">
        <v>22.03</v>
      </c>
      <c r="V2232" s="2"/>
      <c r="W2232" s="2">
        <v>49</v>
      </c>
      <c r="X2232" s="2">
        <v>9.6</v>
      </c>
      <c r="Y2232" s="8">
        <v>8.1300000000000008</v>
      </c>
      <c r="Z2232" s="3"/>
      <c r="AA2232" s="12">
        <f>AVERAGE((grand[[#This Row],[am]]/25),(grand[[#This Row],[pm]]/50))</f>
        <v>0.93060000000000009</v>
      </c>
      <c r="AB2232" s="3"/>
      <c r="AC2232" s="3">
        <f>SUM(grand[[#This Row],[am]:[meat transportation]])/100</f>
        <v>0.88759999999999994</v>
      </c>
      <c r="AD2232" s="2"/>
      <c r="AE2232" s="2"/>
      <c r="AF2232" s="2"/>
      <c r="AG2232" s="2"/>
      <c r="AH2232" s="2"/>
      <c r="AI2232" s="2"/>
      <c r="AJ2232" s="2"/>
    </row>
    <row r="2233" spans="1:37" hidden="1" x14ac:dyDescent="0.2">
      <c r="A2233" s="11">
        <v>43524</v>
      </c>
      <c r="B2233" s="53" t="s">
        <v>1269</v>
      </c>
      <c r="C2233" s="52" t="str">
        <f>IF(MID(B2233,4,2)="09","Ramadan",IF(AND(MID(B2233,4,2)="12",VALUE(LEFT(B2233,2))&lt;=9),"Adha Season","Normal"))</f>
        <v>Normal</v>
      </c>
      <c r="D2233" s="1" t="s">
        <v>45</v>
      </c>
      <c r="F2233" s="4" t="s">
        <v>39</v>
      </c>
      <c r="G2233" s="2">
        <v>18</v>
      </c>
      <c r="H2233" s="2">
        <v>16</v>
      </c>
      <c r="I2233" s="2">
        <f>grand[[#This Row],[number]]-grand[[#This Row],[received]]</f>
        <v>2</v>
      </c>
      <c r="J2233" s="30"/>
      <c r="K2233" s="2">
        <v>6798</v>
      </c>
      <c r="L2233" s="2">
        <v>6375</v>
      </c>
      <c r="M2233" s="2">
        <f>K2233-L2233</f>
        <v>423</v>
      </c>
      <c r="N2233" s="2">
        <v>4167.8999999999996</v>
      </c>
      <c r="O2233" s="2">
        <v>154</v>
      </c>
      <c r="P2233" s="7">
        <f>grand[[#This Row],[total weight]]/grand[[#This Row],[received]]</f>
        <v>424.875</v>
      </c>
      <c r="Q2233" s="7">
        <f>grand[[#This Row],[receiving weight]]/grand[[#This Row],[received]]</f>
        <v>398.4375</v>
      </c>
      <c r="R2233" s="7">
        <f>grand[[#This Row],[transportation loss ]]/grand[[#This Row],[received]]</f>
        <v>26.4375</v>
      </c>
      <c r="S2233" s="7">
        <f>grand[[#This Row],[ carcass weight]]/grand[[#This Row],[received]]</f>
        <v>260.49374999999998</v>
      </c>
      <c r="T2233" s="7">
        <f>grand[[#This Row],[ kidneys fat quantity]]/grand[[#This Row],[received]]</f>
        <v>9.625</v>
      </c>
      <c r="U2233" s="2">
        <v>25</v>
      </c>
      <c r="V2233" s="2"/>
      <c r="W2233" s="2">
        <v>49.6</v>
      </c>
      <c r="X2233" s="2">
        <v>10</v>
      </c>
      <c r="Y2233" s="8">
        <v>8.5</v>
      </c>
      <c r="Z2233" s="3">
        <f>grand[[#This Row],[av. Transportation loss]]/grand[[#This Row],[av.total weight]]</f>
        <v>6.2224183583406888E-2</v>
      </c>
      <c r="AA2233" s="12">
        <f>AVERAGE((grand[[#This Row],[am]]/25),(grand[[#This Row],[pm]]/50))</f>
        <v>0.996</v>
      </c>
      <c r="AB2233" s="3">
        <f>grand[[#This Row],[ carcass weight]]/grand[[#This Row],[total weight]]</f>
        <v>0.61310679611650476</v>
      </c>
      <c r="AC2233" s="3">
        <f>SUM(grand[[#This Row],[am]:[meat transportation]])/100</f>
        <v>0.93099999999999994</v>
      </c>
      <c r="AD2233" s="2"/>
      <c r="AE2233" s="2"/>
      <c r="AF2233" s="2"/>
      <c r="AG2233" s="2"/>
      <c r="AH2233" s="2"/>
      <c r="AI2233" s="2"/>
      <c r="AJ2233" s="2"/>
    </row>
    <row r="2234" spans="1:37" hidden="1" x14ac:dyDescent="0.2">
      <c r="A2234" s="11">
        <v>43541</v>
      </c>
      <c r="B2234" s="53" t="s">
        <v>1276</v>
      </c>
      <c r="C2234" s="52" t="str">
        <f>IF(MID(B2234,4,2)="09","Ramadan",IF(AND(MID(B2234,4,2)="12",VALUE(LEFT(B2234,2))&lt;=9),"Adha Season","Normal"))</f>
        <v>Normal</v>
      </c>
      <c r="D2234" s="1" t="s">
        <v>45</v>
      </c>
      <c r="F2234" s="4" t="s">
        <v>38</v>
      </c>
      <c r="G2234" s="2">
        <v>18</v>
      </c>
      <c r="H2234" s="2">
        <v>16</v>
      </c>
      <c r="I2234" s="2">
        <f>grand[[#This Row],[number]]-grand[[#This Row],[received]]</f>
        <v>2</v>
      </c>
      <c r="J2234" s="30"/>
      <c r="K2234" s="2">
        <v>7068</v>
      </c>
      <c r="L2234" s="2">
        <v>6885</v>
      </c>
      <c r="M2234" s="2">
        <f>K2234-L2234</f>
        <v>183</v>
      </c>
      <c r="N2234" s="2">
        <v>4252.5</v>
      </c>
      <c r="O2234" s="2">
        <v>147</v>
      </c>
      <c r="P2234" s="7">
        <f>grand[[#This Row],[total weight]]/grand[[#This Row],[received]]</f>
        <v>441.75</v>
      </c>
      <c r="Q2234" s="7">
        <f>grand[[#This Row],[receiving weight]]/grand[[#This Row],[received]]</f>
        <v>430.3125</v>
      </c>
      <c r="R2234" s="7">
        <f>grand[[#This Row],[transportation loss ]]/grand[[#This Row],[received]]</f>
        <v>11.4375</v>
      </c>
      <c r="S2234" s="7">
        <f>grand[[#This Row],[ carcass weight]]/grand[[#This Row],[received]]</f>
        <v>265.78125</v>
      </c>
      <c r="T2234" s="7">
        <f>grand[[#This Row],[ kidneys fat quantity]]/grand[[#This Row],[received]]</f>
        <v>9.1875</v>
      </c>
      <c r="U2234" s="2">
        <v>24</v>
      </c>
      <c r="V2234" s="2"/>
      <c r="W2234" s="2">
        <v>49.7</v>
      </c>
      <c r="X2234" s="2">
        <v>10</v>
      </c>
      <c r="Y2234" s="8">
        <v>8.5</v>
      </c>
      <c r="Z2234" s="3">
        <f>grand[[#This Row],[av. Transportation loss]]/grand[[#This Row],[av.total weight]]</f>
        <v>2.5891341256366725E-2</v>
      </c>
      <c r="AA2234" s="12">
        <f>AVERAGE((grand[[#This Row],[am]]/25),(grand[[#This Row],[pm]]/50))</f>
        <v>0.97700000000000009</v>
      </c>
      <c r="AB2234" s="3">
        <f>grand[[#This Row],[ carcass weight]]/grand[[#This Row],[total weight]]</f>
        <v>0.60165534804753817</v>
      </c>
      <c r="AC2234" s="3">
        <f>SUM(grand[[#This Row],[am]:[meat transportation]])/100</f>
        <v>0.92200000000000004</v>
      </c>
      <c r="AD2234" s="2"/>
      <c r="AE2234" s="2"/>
      <c r="AF2234" s="2"/>
      <c r="AG2234" s="2"/>
      <c r="AH2234" s="2"/>
      <c r="AI2234" s="2"/>
      <c r="AJ2234" s="2"/>
    </row>
    <row r="2235" spans="1:37" hidden="1" x14ac:dyDescent="0.2">
      <c r="A2235" s="11">
        <v>43657</v>
      </c>
      <c r="B2235" s="53" t="s">
        <v>1323</v>
      </c>
      <c r="C2235" s="52" t="str">
        <f>IF(MID(B2235,4,2)="09","Ramadan",IF(AND(MID(B2235,4,2)="12",VALUE(LEFT(B2235,2))&lt;=9),"Adha Season","Normal"))</f>
        <v>Normal</v>
      </c>
      <c r="D2235" s="1" t="s">
        <v>45</v>
      </c>
      <c r="F2235" s="4" t="s">
        <v>46</v>
      </c>
      <c r="G2235" s="2">
        <v>25</v>
      </c>
      <c r="H2235" s="2">
        <v>23</v>
      </c>
      <c r="I2235" s="2">
        <f>grand[[#This Row],[number]]-grand[[#This Row],[received]]</f>
        <v>2</v>
      </c>
      <c r="J2235" s="30"/>
      <c r="K2235" s="2">
        <v>11163</v>
      </c>
      <c r="L2235" s="2">
        <v>10628</v>
      </c>
      <c r="M2235" s="2">
        <f>K2235-L2235</f>
        <v>535</v>
      </c>
      <c r="N2235" s="2">
        <v>6699</v>
      </c>
      <c r="O2235" s="2">
        <v>218</v>
      </c>
      <c r="P2235" s="7">
        <f>grand[[#This Row],[total weight]]/grand[[#This Row],[received]]</f>
        <v>485.3478260869565</v>
      </c>
      <c r="Q2235" s="7">
        <f>grand[[#This Row],[receiving weight]]/grand[[#This Row],[received]]</f>
        <v>462.08695652173913</v>
      </c>
      <c r="R2235" s="7">
        <f>grand[[#This Row],[transportation loss ]]/grand[[#This Row],[received]]</f>
        <v>23.260869565217391</v>
      </c>
      <c r="S2235" s="7">
        <f>grand[[#This Row],[ carcass weight]]/grand[[#This Row],[received]]</f>
        <v>291.26086956521738</v>
      </c>
      <c r="T2235" s="7">
        <f>grand[[#This Row],[ kidneys fat quantity]]/grand[[#This Row],[received]]</f>
        <v>9.4782608695652169</v>
      </c>
      <c r="U2235" s="2">
        <v>24.6</v>
      </c>
      <c r="V2235" s="2"/>
      <c r="W2235" s="2">
        <v>49.1</v>
      </c>
      <c r="X2235" s="2">
        <v>9.5</v>
      </c>
      <c r="Y2235" s="8">
        <v>8.5</v>
      </c>
      <c r="Z2235" s="3">
        <f>grand[[#This Row],[av. Transportation loss]]/grand[[#This Row],[av.total weight]]</f>
        <v>4.7926184717369882E-2</v>
      </c>
      <c r="AA2235" s="12">
        <f>AVERAGE((grand[[#This Row],[am]]/25),(grand[[#This Row],[pm]]/50))</f>
        <v>0.9830000000000001</v>
      </c>
      <c r="AB2235" s="3">
        <f>grand[[#This Row],[ carcass weight]]/grand[[#This Row],[total weight]]</f>
        <v>0.60010749798441276</v>
      </c>
      <c r="AC2235" s="3">
        <f>SUM(grand[[#This Row],[am]:[meat transportation]])/100</f>
        <v>0.91700000000000004</v>
      </c>
      <c r="AD2235" s="2"/>
      <c r="AE2235" s="2"/>
      <c r="AF2235" s="2"/>
      <c r="AG2235" s="2"/>
      <c r="AH2235" s="2"/>
      <c r="AI2235" s="2"/>
      <c r="AJ2235" s="2"/>
    </row>
    <row r="2236" spans="1:37" hidden="1" x14ac:dyDescent="0.2">
      <c r="A2236" s="11">
        <v>43767</v>
      </c>
      <c r="B2236" s="53" t="s">
        <v>1372</v>
      </c>
      <c r="C2236" s="52" t="str">
        <f>IF(MID(B2236,4,2)="09","Ramadan",IF(AND(MID(B2236,4,2)="12",VALUE(LEFT(B2236,2))&lt;=9),"Adha Season","Normal"))</f>
        <v>Normal</v>
      </c>
      <c r="D2236" s="1" t="s">
        <v>45</v>
      </c>
      <c r="F2236" s="4" t="s">
        <v>46</v>
      </c>
      <c r="G2236" s="2">
        <v>33</v>
      </c>
      <c r="H2236" s="2">
        <v>31</v>
      </c>
      <c r="I2236" s="2">
        <f>grand[[#This Row],[number]]-grand[[#This Row],[received]]</f>
        <v>2</v>
      </c>
      <c r="J2236" s="30"/>
      <c r="K2236" s="2">
        <v>14852</v>
      </c>
      <c r="L2236" s="2">
        <v>14152</v>
      </c>
      <c r="M2236" s="2">
        <f>K2236-L2236</f>
        <v>700</v>
      </c>
      <c r="N2236" s="2">
        <v>9088.5</v>
      </c>
      <c r="O2236" s="2"/>
      <c r="P2236" s="7">
        <f>grand[[#This Row],[total weight]]/grand[[#This Row],[received]]</f>
        <v>479.09677419354841</v>
      </c>
      <c r="Q2236" s="7">
        <f>grand[[#This Row],[receiving weight]]/grand[[#This Row],[received]]</f>
        <v>456.51612903225805</v>
      </c>
      <c r="R2236" s="7">
        <f>grand[[#This Row],[transportation loss ]]/grand[[#This Row],[received]]</f>
        <v>22.580645161290324</v>
      </c>
      <c r="S2236" s="7">
        <f>grand[[#This Row],[ carcass weight]]/grand[[#This Row],[received]]</f>
        <v>293.17741935483872</v>
      </c>
      <c r="T2236" s="7"/>
      <c r="U2236" s="2">
        <v>24.9</v>
      </c>
      <c r="V2236" s="2"/>
      <c r="W2236" s="2">
        <v>49.6</v>
      </c>
      <c r="X2236" s="2">
        <v>10</v>
      </c>
      <c r="Y2236" s="8">
        <v>8.5</v>
      </c>
      <c r="Z2236" s="3">
        <f>grand[[#This Row],[av. Transportation loss]]/grand[[#This Row],[av.total weight]]</f>
        <v>4.7131699434419604E-2</v>
      </c>
      <c r="AA2236" s="12">
        <f>AVERAGE((grand[[#This Row],[am]]/25),(grand[[#This Row],[pm]]/50))</f>
        <v>0.99399999999999999</v>
      </c>
      <c r="AB2236" s="3">
        <f>grand[[#This Row],[ carcass weight]]/grand[[#This Row],[total weight]]</f>
        <v>0.61193778615674654</v>
      </c>
      <c r="AC2236" s="3">
        <f>SUM(grand[[#This Row],[am]:[meat transportation]])/100</f>
        <v>0.93</v>
      </c>
      <c r="AD2236" s="2"/>
      <c r="AE2236" s="2"/>
      <c r="AF2236" s="2"/>
      <c r="AG2236" s="2"/>
      <c r="AH2236" s="2"/>
      <c r="AI2236" s="2"/>
      <c r="AJ2236" s="2"/>
    </row>
    <row r="2237" spans="1:37" hidden="1" x14ac:dyDescent="0.2">
      <c r="A2237" s="11">
        <v>43786</v>
      </c>
      <c r="B2237" s="53" t="s">
        <v>1380</v>
      </c>
      <c r="C2237" s="52" t="str">
        <f>IF(MID(B2237,4,2)="09","Ramadan",IF(AND(MID(B2237,4,2)="12",VALUE(LEFT(B2237,2))&lt;=9),"Adha Season","Normal"))</f>
        <v>Normal</v>
      </c>
      <c r="D2237" s="1" t="s">
        <v>45</v>
      </c>
      <c r="F2237" s="4" t="s">
        <v>42</v>
      </c>
      <c r="G2237" s="2">
        <v>21</v>
      </c>
      <c r="H2237" s="2">
        <v>19</v>
      </c>
      <c r="I2237" s="2">
        <f>grand[[#This Row],[number]]-grand[[#This Row],[received]]</f>
        <v>2</v>
      </c>
      <c r="J2237" s="30"/>
      <c r="K2237" s="2">
        <v>9134</v>
      </c>
      <c r="L2237" s="2">
        <v>9134</v>
      </c>
      <c r="M2237" s="2">
        <f>K2237-L2237</f>
        <v>0</v>
      </c>
      <c r="N2237" s="2">
        <v>5769.4</v>
      </c>
      <c r="O2237" s="2"/>
      <c r="P2237" s="7">
        <f>grand[[#This Row],[total weight]]/grand[[#This Row],[received]]</f>
        <v>480.73684210526318</v>
      </c>
      <c r="Q2237" s="7">
        <f>grand[[#This Row],[receiving weight]]/grand[[#This Row],[received]]</f>
        <v>480.73684210526318</v>
      </c>
      <c r="R2237" s="7"/>
      <c r="S2237" s="7">
        <f>grand[[#This Row],[ carcass weight]]/grand[[#This Row],[received]]</f>
        <v>303.65263157894736</v>
      </c>
      <c r="T2237" s="7"/>
      <c r="U2237" s="2">
        <v>19.899999999999999</v>
      </c>
      <c r="V2237" s="2"/>
      <c r="W2237" s="2">
        <v>49.8</v>
      </c>
      <c r="X2237" s="2">
        <v>10</v>
      </c>
      <c r="Y2237" s="8">
        <v>8.5</v>
      </c>
      <c r="Z2237" s="3">
        <f>grand[[#This Row],[av. Transportation loss]]/grand[[#This Row],[av.total weight]]</f>
        <v>0</v>
      </c>
      <c r="AA2237" s="12">
        <f>AVERAGE((grand[[#This Row],[am]]/25),(grand[[#This Row],[pm]]/50))</f>
        <v>0.89599999999999991</v>
      </c>
      <c r="AB2237" s="3">
        <f>grand[[#This Row],[ carcass weight]]/grand[[#This Row],[total weight]]</f>
        <v>0.63164002627545435</v>
      </c>
      <c r="AC2237" s="3">
        <f>SUM(grand[[#This Row],[am]:[meat transportation]])/100</f>
        <v>0.8819999999999999</v>
      </c>
      <c r="AD2237" s="2"/>
      <c r="AE2237" s="2"/>
      <c r="AF2237" s="2"/>
      <c r="AG2237" s="2"/>
      <c r="AH2237" s="2"/>
      <c r="AI2237" s="2"/>
      <c r="AJ2237" s="2"/>
    </row>
    <row r="2238" spans="1:37" hidden="1" x14ac:dyDescent="0.2">
      <c r="A2238" s="11">
        <v>43860</v>
      </c>
      <c r="B2238" s="53" t="s">
        <v>1412</v>
      </c>
      <c r="C2238" s="52" t="str">
        <f>IF(MID(B2238,4,2)="09","Ramadan",IF(AND(MID(B2238,4,2)="12",VALUE(LEFT(B2238,2))&lt;=9),"Adha Season","Normal"))</f>
        <v>Normal</v>
      </c>
      <c r="D2238" s="1" t="s">
        <v>45</v>
      </c>
      <c r="F2238" s="4" t="s">
        <v>46</v>
      </c>
      <c r="G2238" s="4">
        <v>33</v>
      </c>
      <c r="H2238" s="4">
        <v>31</v>
      </c>
      <c r="I2238" s="2">
        <f>grand[[#This Row],[number]]-grand[[#This Row],[received]]</f>
        <v>2</v>
      </c>
      <c r="J2238" s="30" t="s">
        <v>59</v>
      </c>
      <c r="K2238" s="4">
        <v>14515</v>
      </c>
      <c r="L2238" s="4">
        <v>13920</v>
      </c>
      <c r="M2238" s="2">
        <f>K2238-L2238</f>
        <v>595</v>
      </c>
      <c r="N2238" s="4">
        <v>8767.7000000000007</v>
      </c>
      <c r="O2238" s="4"/>
      <c r="P2238" s="7">
        <f>grand[[#This Row],[total weight]]/grand[[#This Row],[received]]</f>
        <v>468.22580645161293</v>
      </c>
      <c r="Q2238" s="7">
        <f>grand[[#This Row],[receiving weight]]/grand[[#This Row],[received]]</f>
        <v>449.03225806451616</v>
      </c>
      <c r="R2238" s="7">
        <f>grand[[#This Row],[transportation loss ]]/grand[[#This Row],[received]]</f>
        <v>19.193548387096776</v>
      </c>
      <c r="S2238" s="7">
        <f>grand[[#This Row],[ carcass weight]]/grand[[#This Row],[received]]</f>
        <v>282.82903225806456</v>
      </c>
      <c r="T2238" s="7">
        <f>grand[[#This Row],[ kidneys fat quantity]]/grand[[#This Row],[received]]</f>
        <v>0</v>
      </c>
      <c r="U2238" s="4">
        <v>24.5</v>
      </c>
      <c r="V2238" s="4">
        <v>0</v>
      </c>
      <c r="W2238" s="4">
        <v>49.7</v>
      </c>
      <c r="X2238" s="4">
        <v>10</v>
      </c>
      <c r="Y2238" s="8">
        <v>8.5</v>
      </c>
      <c r="Z2238" s="3">
        <f>grand[[#This Row],[av. Transportation loss]]/grand[[#This Row],[av.total weight]]</f>
        <v>4.0992077161557013E-2</v>
      </c>
      <c r="AA2238" s="12">
        <f>AVERAGE((grand[[#This Row],[am]]/25),(grand[[#This Row],[pm]]/50))</f>
        <v>0.9870000000000001</v>
      </c>
      <c r="AB2238" s="3">
        <f>grand[[#This Row],[ carcass weight]]/grand[[#This Row],[total weight]]</f>
        <v>0.60404409231829148</v>
      </c>
      <c r="AC2238" s="6">
        <f>SUM(grand[[#This Row],[am]:[meat transportation]])/100</f>
        <v>0.92700000000000005</v>
      </c>
      <c r="AD2238" s="4"/>
      <c r="AE2238" s="4">
        <v>1</v>
      </c>
      <c r="AF2238" s="4"/>
      <c r="AG2238" s="4">
        <v>6</v>
      </c>
      <c r="AH2238" s="4"/>
      <c r="AI2238" s="4"/>
      <c r="AJ2238" s="2">
        <v>1</v>
      </c>
      <c r="AK2238" s="4"/>
    </row>
    <row r="2239" spans="1:37" hidden="1" x14ac:dyDescent="0.2">
      <c r="A2239" s="11">
        <v>43863</v>
      </c>
      <c r="B2239" s="53" t="s">
        <v>1413</v>
      </c>
      <c r="C2239" s="52" t="str">
        <f>IF(MID(B2239,4,2)="09","Ramadan",IF(AND(MID(B2239,4,2)="12",VALUE(LEFT(B2239,2))&lt;=9),"Adha Season","Normal"))</f>
        <v>Normal</v>
      </c>
      <c r="D2239" s="1" t="s">
        <v>45</v>
      </c>
      <c r="F2239" s="4" t="s">
        <v>47</v>
      </c>
      <c r="G2239" s="4">
        <v>33</v>
      </c>
      <c r="H2239" s="4">
        <v>31</v>
      </c>
      <c r="I2239" s="2">
        <f>grand[[#This Row],[number]]-grand[[#This Row],[received]]</f>
        <v>2</v>
      </c>
      <c r="J2239" s="30" t="s">
        <v>60</v>
      </c>
      <c r="K2239" s="4">
        <v>14754</v>
      </c>
      <c r="L2239" s="4">
        <v>14094</v>
      </c>
      <c r="M2239" s="2">
        <f>K2239-L2239</f>
        <v>660</v>
      </c>
      <c r="N2239" s="4">
        <v>8974.7000000000007</v>
      </c>
      <c r="O2239" s="4"/>
      <c r="P2239" s="7">
        <f>grand[[#This Row],[total weight]]/grand[[#This Row],[received]]</f>
        <v>475.93548387096774</v>
      </c>
      <c r="Q2239" s="7">
        <f>grand[[#This Row],[receiving weight]]/grand[[#This Row],[received]]</f>
        <v>454.64516129032256</v>
      </c>
      <c r="R2239" s="7">
        <f>grand[[#This Row],[transportation loss ]]/grand[[#This Row],[received]]</f>
        <v>21.29032258064516</v>
      </c>
      <c r="S2239" s="7">
        <f>grand[[#This Row],[ carcass weight]]/grand[[#This Row],[received]]</f>
        <v>289.50645161290328</v>
      </c>
      <c r="T2239" s="7">
        <f>grand[[#This Row],[ kidneys fat quantity]]/grand[[#This Row],[received]]</f>
        <v>0</v>
      </c>
      <c r="U2239" s="4">
        <v>24.8</v>
      </c>
      <c r="V2239" s="4">
        <v>0</v>
      </c>
      <c r="W2239" s="4">
        <v>49.5</v>
      </c>
      <c r="X2239" s="4">
        <v>10</v>
      </c>
      <c r="Y2239" s="8">
        <v>8.5</v>
      </c>
      <c r="Z2239" s="3">
        <f>grand[[#This Row],[av. Transportation loss]]/grand[[#This Row],[av.total weight]]</f>
        <v>4.4733631557543715E-2</v>
      </c>
      <c r="AA2239" s="12">
        <f>AVERAGE((grand[[#This Row],[am]]/25),(grand[[#This Row],[pm]]/50))</f>
        <v>0.99099999999999999</v>
      </c>
      <c r="AB2239" s="3">
        <f>grand[[#This Row],[ carcass weight]]/grand[[#This Row],[total weight]]</f>
        <v>0.60828927748407213</v>
      </c>
      <c r="AC2239" s="6">
        <f>SUM(grand[[#This Row],[am]:[meat transportation]])/100</f>
        <v>0.92799999999999994</v>
      </c>
      <c r="AD2239" s="4"/>
      <c r="AE2239" s="4">
        <v>2</v>
      </c>
      <c r="AF2239" s="4"/>
      <c r="AG2239" s="4"/>
      <c r="AH2239" s="4"/>
      <c r="AI2239" s="4">
        <v>2</v>
      </c>
      <c r="AJ2239" s="2"/>
      <c r="AK2239" s="4"/>
    </row>
    <row r="2240" spans="1:37" hidden="1" x14ac:dyDescent="0.2">
      <c r="A2240" s="11">
        <v>43879</v>
      </c>
      <c r="B2240" s="53" t="s">
        <v>1420</v>
      </c>
      <c r="C2240" s="52" t="str">
        <f>IF(MID(B2240,4,2)="09","Ramadan",IF(AND(MID(B2240,4,2)="12",VALUE(LEFT(B2240,2))&lt;=9),"Adha Season","Normal"))</f>
        <v>Normal</v>
      </c>
      <c r="D2240" s="1" t="s">
        <v>45</v>
      </c>
      <c r="F2240" s="4" t="s">
        <v>50</v>
      </c>
      <c r="G2240" s="4">
        <v>33</v>
      </c>
      <c r="H2240" s="4">
        <v>31</v>
      </c>
      <c r="I2240" s="2">
        <f>grand[[#This Row],[number]]-grand[[#This Row],[received]]</f>
        <v>2</v>
      </c>
      <c r="J2240" s="30" t="s">
        <v>64</v>
      </c>
      <c r="K2240" s="4">
        <v>12806</v>
      </c>
      <c r="L2240" s="4">
        <v>12308</v>
      </c>
      <c r="M2240" s="2">
        <f>K2240-L2240</f>
        <v>498</v>
      </c>
      <c r="N2240" s="4">
        <v>7903.2</v>
      </c>
      <c r="O2240" s="4"/>
      <c r="P2240" s="7">
        <f>grand[[#This Row],[total weight]]/grand[[#This Row],[received]]</f>
        <v>413.09677419354841</v>
      </c>
      <c r="Q2240" s="7">
        <f>grand[[#This Row],[receiving weight]]/grand[[#This Row],[received]]</f>
        <v>397.03225806451616</v>
      </c>
      <c r="R2240" s="7">
        <f>grand[[#This Row],[transportation loss ]]/grand[[#This Row],[received]]</f>
        <v>16.06451612903226</v>
      </c>
      <c r="S2240" s="7">
        <f>grand[[#This Row],[ carcass weight]]/grand[[#This Row],[received]]</f>
        <v>254.94193548387096</v>
      </c>
      <c r="T2240" s="7">
        <f>grand[[#This Row],[ kidneys fat quantity]]/grand[[#This Row],[received]]</f>
        <v>0</v>
      </c>
      <c r="U2240" s="4">
        <v>25</v>
      </c>
      <c r="V2240" s="4">
        <v>0</v>
      </c>
      <c r="W2240" s="4">
        <v>49.9</v>
      </c>
      <c r="X2240" s="4">
        <v>9</v>
      </c>
      <c r="Y2240" s="8">
        <v>8.5</v>
      </c>
      <c r="Z2240" s="3">
        <f>grand[[#This Row],[av. Transportation loss]]/grand[[#This Row],[av.total weight]]</f>
        <v>3.888802124004373E-2</v>
      </c>
      <c r="AA2240" s="12">
        <f>AVERAGE((grand[[#This Row],[am]]/25),(grand[[#This Row],[pm]]/50))</f>
        <v>0.999</v>
      </c>
      <c r="AB2240" s="3">
        <f>grand[[#This Row],[ carcass weight]]/grand[[#This Row],[total weight]]</f>
        <v>0.61714821177573009</v>
      </c>
      <c r="AC2240" s="6">
        <f>SUM(grand[[#This Row],[am]:[meat transportation]])/100</f>
        <v>0.92400000000000004</v>
      </c>
      <c r="AD2240" s="4"/>
      <c r="AE2240" s="4">
        <v>2</v>
      </c>
      <c r="AF2240" s="4" t="s">
        <v>66</v>
      </c>
      <c r="AG2240" s="4"/>
      <c r="AH2240" s="4"/>
      <c r="AI2240" s="4"/>
      <c r="AJ2240" s="2"/>
      <c r="AK2240" s="4"/>
    </row>
    <row r="2241" spans="1:38" hidden="1" x14ac:dyDescent="0.2">
      <c r="A2241" s="11">
        <v>43886</v>
      </c>
      <c r="B2241" s="53" t="s">
        <v>1423</v>
      </c>
      <c r="C2241" s="52" t="str">
        <f>IF(MID(B2241,4,2)="09","Ramadan",IF(AND(MID(B2241,4,2)="12",VALUE(LEFT(B2241,2))&lt;=9),"Adha Season","Normal"))</f>
        <v>Normal</v>
      </c>
      <c r="D2241" s="1" t="s">
        <v>45</v>
      </c>
      <c r="F2241" s="4" t="s">
        <v>50</v>
      </c>
      <c r="G2241" s="4">
        <v>32</v>
      </c>
      <c r="H2241" s="4">
        <v>30</v>
      </c>
      <c r="I2241" s="2">
        <f>grand[[#This Row],[number]]-grand[[#This Row],[received]]</f>
        <v>2</v>
      </c>
      <c r="J2241" s="30" t="s">
        <v>64</v>
      </c>
      <c r="K2241" s="4">
        <v>12489</v>
      </c>
      <c r="L2241" s="4">
        <v>11850</v>
      </c>
      <c r="M2241" s="2">
        <f>K2241-L2241</f>
        <v>639</v>
      </c>
      <c r="N2241" s="4">
        <v>7797.2</v>
      </c>
      <c r="O2241" s="4"/>
      <c r="P2241" s="7">
        <f>grand[[#This Row],[total weight]]/grand[[#This Row],[received]]</f>
        <v>416.3</v>
      </c>
      <c r="Q2241" s="7">
        <f>grand[[#This Row],[receiving weight]]/grand[[#This Row],[received]]</f>
        <v>395</v>
      </c>
      <c r="R2241" s="7">
        <f>grand[[#This Row],[transportation loss ]]/grand[[#This Row],[received]]</f>
        <v>21.3</v>
      </c>
      <c r="S2241" s="7">
        <f>grand[[#This Row],[ carcass weight]]/grand[[#This Row],[received]]</f>
        <v>259.90666666666664</v>
      </c>
      <c r="T2241" s="7">
        <f>grand[[#This Row],[ kidneys fat quantity]]/grand[[#This Row],[received]]</f>
        <v>0</v>
      </c>
      <c r="U2241" s="4">
        <v>25</v>
      </c>
      <c r="V2241" s="4">
        <v>0</v>
      </c>
      <c r="W2241" s="4">
        <v>49.8</v>
      </c>
      <c r="X2241" s="4">
        <v>10</v>
      </c>
      <c r="Y2241" s="8">
        <v>8.5</v>
      </c>
      <c r="Z2241" s="3">
        <f>grand[[#This Row],[av. Transportation loss]]/grand[[#This Row],[av.total weight]]</f>
        <v>5.1165025222195536E-2</v>
      </c>
      <c r="AA2241" s="12">
        <f>AVERAGE((grand[[#This Row],[am]]/25),(grand[[#This Row],[pm]]/50))</f>
        <v>0.998</v>
      </c>
      <c r="AB2241" s="3">
        <f>grand[[#This Row],[ carcass weight]]/grand[[#This Row],[total weight]]</f>
        <v>0.6243254063575947</v>
      </c>
      <c r="AC2241" s="6">
        <f>SUM(grand[[#This Row],[am]:[meat transportation]])/100</f>
        <v>0.93299999999999994</v>
      </c>
      <c r="AD2241" s="4"/>
      <c r="AE2241" s="4">
        <v>1</v>
      </c>
      <c r="AF2241" s="4" t="s">
        <v>55</v>
      </c>
      <c r="AG2241" s="4"/>
      <c r="AH2241" s="4">
        <v>1</v>
      </c>
      <c r="AI2241" s="4"/>
      <c r="AJ2241" s="2"/>
      <c r="AK2241" s="4"/>
    </row>
    <row r="2242" spans="1:38" hidden="1" x14ac:dyDescent="0.2">
      <c r="A2242" s="11">
        <v>43895</v>
      </c>
      <c r="B2242" s="53" t="s">
        <v>1427</v>
      </c>
      <c r="C2242" s="52" t="str">
        <f>IF(MID(B2242,4,2)="09","Ramadan",IF(AND(MID(B2242,4,2)="12",VALUE(LEFT(B2242,2))&lt;=9),"Adha Season","Normal"))</f>
        <v>Normal</v>
      </c>
      <c r="D2242" s="1" t="s">
        <v>45</v>
      </c>
      <c r="F2242" s="4" t="s">
        <v>43</v>
      </c>
      <c r="G2242" s="4">
        <v>16</v>
      </c>
      <c r="H2242" s="4">
        <v>14</v>
      </c>
      <c r="I2242" s="2">
        <f>grand[[#This Row],[number]]-grand[[#This Row],[received]]</f>
        <v>2</v>
      </c>
      <c r="J2242" s="30" t="s">
        <v>73</v>
      </c>
      <c r="K2242" s="4">
        <v>6318</v>
      </c>
      <c r="L2242" s="4">
        <v>6138</v>
      </c>
      <c r="M2242" s="2">
        <f>K2242-L2242</f>
        <v>180</v>
      </c>
      <c r="N2242" s="4">
        <v>3792.4</v>
      </c>
      <c r="O2242" s="4"/>
      <c r="P2242" s="7">
        <f>grand[[#This Row],[total weight]]/grand[[#This Row],[received]]</f>
        <v>451.28571428571428</v>
      </c>
      <c r="Q2242" s="7">
        <f>grand[[#This Row],[receiving weight]]/grand[[#This Row],[received]]</f>
        <v>438.42857142857144</v>
      </c>
      <c r="R2242" s="7">
        <f>grand[[#This Row],[transportation loss ]]/grand[[#This Row],[received]]</f>
        <v>12.857142857142858</v>
      </c>
      <c r="S2242" s="7">
        <f>grand[[#This Row],[ carcass weight]]/grand[[#This Row],[received]]</f>
        <v>270.8857142857143</v>
      </c>
      <c r="T2242" s="7">
        <f>grand[[#This Row],[ kidneys fat quantity]]/grand[[#This Row],[received]]</f>
        <v>0</v>
      </c>
      <c r="U2242" s="4">
        <v>25</v>
      </c>
      <c r="V2242" s="4">
        <v>0</v>
      </c>
      <c r="W2242" s="4">
        <v>50</v>
      </c>
      <c r="X2242" s="4">
        <v>10</v>
      </c>
      <c r="Y2242" s="8">
        <v>8.5</v>
      </c>
      <c r="Z2242" s="3">
        <f>grand[[#This Row],[av. Transportation loss]]/grand[[#This Row],[av.total weight]]</f>
        <v>2.8490028490028491E-2</v>
      </c>
      <c r="AA2242" s="12">
        <f>AVERAGE((grand[[#This Row],[am]]/25),(grand[[#This Row],[pm]]/50))</f>
        <v>1</v>
      </c>
      <c r="AB2242" s="3">
        <f>grand[[#This Row],[ carcass weight]]/grand[[#This Row],[total weight]]</f>
        <v>0.60025324469768915</v>
      </c>
      <c r="AC2242" s="6">
        <f>SUM(grand[[#This Row],[am]:[meat transportation]])/100</f>
        <v>0.93500000000000005</v>
      </c>
      <c r="AD2242" s="4" t="s">
        <v>74</v>
      </c>
      <c r="AE2242" s="4"/>
      <c r="AF2242" s="4"/>
      <c r="AG2242" s="4"/>
      <c r="AH2242" s="4"/>
      <c r="AI2242" s="4"/>
      <c r="AJ2242" s="2"/>
      <c r="AK2242" s="4"/>
    </row>
    <row r="2243" spans="1:38" hidden="1" x14ac:dyDescent="0.2">
      <c r="A2243" s="11">
        <v>43913</v>
      </c>
      <c r="B2243" s="53" t="s">
        <v>1438</v>
      </c>
      <c r="C2243" s="52" t="str">
        <f>IF(MID(B2243,4,2)="09","Ramadan",IF(AND(MID(B2243,4,2)="12",VALUE(LEFT(B2243,2))&lt;=9),"Adha Season","Normal"))</f>
        <v>Normal</v>
      </c>
      <c r="D2243" s="1" t="s">
        <v>45</v>
      </c>
      <c r="F2243" s="4" t="s">
        <v>46</v>
      </c>
      <c r="G2243" s="4">
        <v>35</v>
      </c>
      <c r="H2243" s="4">
        <v>33</v>
      </c>
      <c r="I2243" s="2">
        <f>grand[[#This Row],[number]]-grand[[#This Row],[received]]</f>
        <v>2</v>
      </c>
      <c r="J2243" s="30" t="s">
        <v>64</v>
      </c>
      <c r="K2243" s="4">
        <v>15903</v>
      </c>
      <c r="L2243" s="4">
        <v>15218</v>
      </c>
      <c r="M2243" s="2">
        <f>K2243-L2243</f>
        <v>685</v>
      </c>
      <c r="N2243" s="4">
        <v>9541.6</v>
      </c>
      <c r="O2243" s="4"/>
      <c r="P2243" s="7">
        <f>grand[[#This Row],[total weight]]/grand[[#This Row],[received]]</f>
        <v>481.90909090909093</v>
      </c>
      <c r="Q2243" s="7">
        <f>grand[[#This Row],[receiving weight]]/grand[[#This Row],[received]]</f>
        <v>461.15151515151513</v>
      </c>
      <c r="R2243" s="7">
        <f>grand[[#This Row],[transportation loss ]]/grand[[#This Row],[received]]</f>
        <v>20.757575757575758</v>
      </c>
      <c r="S2243" s="7">
        <f>grand[[#This Row],[ carcass weight]]/grand[[#This Row],[received]]</f>
        <v>289.13939393939393</v>
      </c>
      <c r="T2243" s="7">
        <f>grand[[#This Row],[ kidneys fat quantity]]/grand[[#This Row],[received]]</f>
        <v>0</v>
      </c>
      <c r="U2243" s="4">
        <v>24.2</v>
      </c>
      <c r="V2243" s="4">
        <v>0</v>
      </c>
      <c r="W2243" s="4">
        <v>48.8</v>
      </c>
      <c r="X2243" s="4">
        <v>10</v>
      </c>
      <c r="Y2243" s="8">
        <v>8.5</v>
      </c>
      <c r="Z2243" s="3">
        <f>grand[[#This Row],[av. Transportation loss]]/grand[[#This Row],[av.total weight]]</f>
        <v>4.3073633905552411E-2</v>
      </c>
      <c r="AA2243" s="12">
        <f>AVERAGE((grand[[#This Row],[am]]/25),(grand[[#This Row],[pm]]/50))</f>
        <v>0.97199999999999998</v>
      </c>
      <c r="AB2243" s="3">
        <f>grand[[#This Row],[ carcass weight]]/grand[[#This Row],[total weight]]</f>
        <v>0.59998742375652392</v>
      </c>
      <c r="AC2243" s="6">
        <f>SUM(grand[[#This Row],[am]:[meat transportation]])/100</f>
        <v>0.91500000000000004</v>
      </c>
      <c r="AD2243" s="4"/>
      <c r="AE2243" s="4"/>
      <c r="AF2243" s="4" t="s">
        <v>55</v>
      </c>
      <c r="AG2243" s="4"/>
      <c r="AH2243" s="4">
        <v>5</v>
      </c>
      <c r="AI2243" s="4">
        <v>1</v>
      </c>
      <c r="AJ2243" s="2">
        <v>5</v>
      </c>
      <c r="AK2243" s="4"/>
    </row>
    <row r="2244" spans="1:38" hidden="1" x14ac:dyDescent="0.2">
      <c r="A2244" s="11">
        <v>43915</v>
      </c>
      <c r="B2244" s="53" t="s">
        <v>1440</v>
      </c>
      <c r="C2244" s="52" t="str">
        <f>IF(MID(B2244,4,2)="09","Ramadan",IF(AND(MID(B2244,4,2)="12",VALUE(LEFT(B2244,2))&lt;=9),"Adha Season","Normal"))</f>
        <v>Normal</v>
      </c>
      <c r="D2244" s="1" t="s">
        <v>45</v>
      </c>
      <c r="F2244" s="4" t="s">
        <v>50</v>
      </c>
      <c r="G2244" s="4">
        <v>50</v>
      </c>
      <c r="H2244" s="4">
        <v>48</v>
      </c>
      <c r="I2244" s="2">
        <f>grand[[#This Row],[number]]-grand[[#This Row],[received]]</f>
        <v>2</v>
      </c>
      <c r="J2244" s="30" t="s">
        <v>64</v>
      </c>
      <c r="K2244" s="4">
        <v>19460</v>
      </c>
      <c r="L2244" s="4">
        <v>18468</v>
      </c>
      <c r="M2244" s="2">
        <f>K2244-L2244</f>
        <v>992</v>
      </c>
      <c r="N2244" s="4">
        <v>11985.2</v>
      </c>
      <c r="O2244" s="4"/>
      <c r="P2244" s="7">
        <f>grand[[#This Row],[total weight]]/grand[[#This Row],[received]]</f>
        <v>405.41666666666669</v>
      </c>
      <c r="Q2244" s="7">
        <f>grand[[#This Row],[receiving weight]]/grand[[#This Row],[received]]</f>
        <v>384.75</v>
      </c>
      <c r="R2244" s="7">
        <f>grand[[#This Row],[transportation loss ]]/grand[[#This Row],[received]]</f>
        <v>20.666666666666668</v>
      </c>
      <c r="S2244" s="7">
        <f>grand[[#This Row],[ carcass weight]]/grand[[#This Row],[received]]</f>
        <v>249.69166666666669</v>
      </c>
      <c r="T2244" s="7">
        <f>grand[[#This Row],[ kidneys fat quantity]]/grand[[#This Row],[received]]</f>
        <v>0</v>
      </c>
      <c r="U2244" s="4">
        <v>25</v>
      </c>
      <c r="V2244" s="4">
        <v>0</v>
      </c>
      <c r="W2244" s="4">
        <v>49.6</v>
      </c>
      <c r="X2244" s="4">
        <v>10</v>
      </c>
      <c r="Y2244" s="8">
        <v>8.5</v>
      </c>
      <c r="Z2244" s="3">
        <f>grand[[#This Row],[av. Transportation loss]]/grand[[#This Row],[av.total weight]]</f>
        <v>5.0976361767728677E-2</v>
      </c>
      <c r="AA2244" s="12">
        <f>AVERAGE((grand[[#This Row],[am]]/25),(grand[[#This Row],[pm]]/50))</f>
        <v>0.996</v>
      </c>
      <c r="AB2244" s="3">
        <f>grand[[#This Row],[ carcass weight]]/grand[[#This Row],[total weight]]</f>
        <v>0.61588900308324768</v>
      </c>
      <c r="AC2244" s="6">
        <f>SUM(grand[[#This Row],[am]:[meat transportation]])/100</f>
        <v>0.93099999999999994</v>
      </c>
      <c r="AD2244" s="4" t="s">
        <v>81</v>
      </c>
      <c r="AE2244" s="4">
        <v>4</v>
      </c>
      <c r="AF2244" s="4" t="s">
        <v>55</v>
      </c>
      <c r="AG2244" s="4"/>
      <c r="AH2244" s="4"/>
      <c r="AI2244" s="4"/>
      <c r="AJ2244" s="2"/>
      <c r="AK2244" s="4"/>
    </row>
    <row r="2245" spans="1:38" hidden="1" x14ac:dyDescent="0.2">
      <c r="A2245" s="11">
        <v>43919</v>
      </c>
      <c r="B2245" s="53" t="s">
        <v>1443</v>
      </c>
      <c r="C2245" s="52" t="str">
        <f>IF(MID(B2245,4,2)="09","Ramadan",IF(AND(MID(B2245,4,2)="12",VALUE(LEFT(B2245,2))&lt;=9),"Adha Season","Normal"))</f>
        <v>Normal</v>
      </c>
      <c r="D2245" s="1" t="s">
        <v>45</v>
      </c>
      <c r="F2245" s="4" t="s">
        <v>50</v>
      </c>
      <c r="G2245" s="4">
        <v>40</v>
      </c>
      <c r="H2245" s="4">
        <v>38</v>
      </c>
      <c r="I2245" s="2">
        <f>grand[[#This Row],[number]]-grand[[#This Row],[received]]</f>
        <v>2</v>
      </c>
      <c r="J2245" s="30" t="s">
        <v>64</v>
      </c>
      <c r="K2245" s="4">
        <v>15513</v>
      </c>
      <c r="L2245" s="4">
        <v>14541</v>
      </c>
      <c r="M2245" s="2">
        <f>K2245-L2245</f>
        <v>972</v>
      </c>
      <c r="N2245" s="4">
        <v>9494.7999999999993</v>
      </c>
      <c r="O2245" s="4"/>
      <c r="P2245" s="7">
        <f>grand[[#This Row],[total weight]]/grand[[#This Row],[received]]</f>
        <v>408.23684210526318</v>
      </c>
      <c r="Q2245" s="7">
        <f>grand[[#This Row],[receiving weight]]/grand[[#This Row],[received]]</f>
        <v>382.65789473684208</v>
      </c>
      <c r="R2245" s="7">
        <f>grand[[#This Row],[transportation loss ]]/grand[[#This Row],[received]]</f>
        <v>25.578947368421051</v>
      </c>
      <c r="S2245" s="7">
        <f>grand[[#This Row],[ carcass weight]]/grand[[#This Row],[received]]</f>
        <v>249.86315789473682</v>
      </c>
      <c r="T2245" s="7">
        <f>grand[[#This Row],[ kidneys fat quantity]]/grand[[#This Row],[received]]</f>
        <v>0</v>
      </c>
      <c r="U2245" s="4">
        <v>25</v>
      </c>
      <c r="V2245" s="4">
        <v>0</v>
      </c>
      <c r="W2245" s="4">
        <v>49.7</v>
      </c>
      <c r="X2245" s="4">
        <v>10</v>
      </c>
      <c r="Y2245" s="8">
        <v>8.5</v>
      </c>
      <c r="Z2245" s="3">
        <f>grand[[#This Row],[av. Transportation loss]]/grand[[#This Row],[av.total weight]]</f>
        <v>6.2657126281183514E-2</v>
      </c>
      <c r="AA2245" s="12">
        <f>AVERAGE((grand[[#This Row],[am]]/25),(grand[[#This Row],[pm]]/50))</f>
        <v>0.99700000000000011</v>
      </c>
      <c r="AB2245" s="3">
        <f>grand[[#This Row],[ carcass weight]]/grand[[#This Row],[total weight]]</f>
        <v>0.6120544059820795</v>
      </c>
      <c r="AC2245" s="6">
        <f>SUM(grand[[#This Row],[am]:[meat transportation]])/100</f>
        <v>0.93200000000000005</v>
      </c>
      <c r="AD2245" s="4"/>
      <c r="AE2245" s="4">
        <v>3</v>
      </c>
      <c r="AF2245" s="4" t="s">
        <v>88</v>
      </c>
      <c r="AG2245" s="4"/>
      <c r="AH2245" s="4"/>
      <c r="AI2245" s="4"/>
      <c r="AJ2245" s="2"/>
      <c r="AK2245" s="4"/>
    </row>
    <row r="2246" spans="1:38" hidden="1" x14ac:dyDescent="0.2">
      <c r="A2246" s="11">
        <v>43928</v>
      </c>
      <c r="B2246" s="53" t="s">
        <v>1451</v>
      </c>
      <c r="C2246" s="52" t="str">
        <f>IF(MID(B2246,4,2)="09","Ramadan",IF(AND(MID(B2246,4,2)="12",VALUE(LEFT(B2246,2))&lt;=9),"Adha Season","Normal"))</f>
        <v>Normal</v>
      </c>
      <c r="D2246" s="1" t="s">
        <v>45</v>
      </c>
      <c r="F2246" s="4" t="s">
        <v>50</v>
      </c>
      <c r="G2246" s="4">
        <v>32</v>
      </c>
      <c r="H2246" s="4">
        <v>30</v>
      </c>
      <c r="I2246" s="2">
        <f>grand[[#This Row],[number]]-grand[[#This Row],[received]]</f>
        <v>2</v>
      </c>
      <c r="J2246" s="30" t="s">
        <v>64</v>
      </c>
      <c r="K2246" s="4">
        <v>12568</v>
      </c>
      <c r="L2246" s="4">
        <v>11673</v>
      </c>
      <c r="M2246" s="2">
        <f>K2246-L2246</f>
        <v>895</v>
      </c>
      <c r="N2246" s="4">
        <v>7678</v>
      </c>
      <c r="O2246" s="4"/>
      <c r="P2246" s="7">
        <f>grand[[#This Row],[total weight]]/grand[[#This Row],[received]]</f>
        <v>418.93333333333334</v>
      </c>
      <c r="Q2246" s="7">
        <f>grand[[#This Row],[receiving weight]]/grand[[#This Row],[received]]</f>
        <v>389.1</v>
      </c>
      <c r="R2246" s="7">
        <f>grand[[#This Row],[transportation loss ]]/grand[[#This Row],[received]]</f>
        <v>29.833333333333332</v>
      </c>
      <c r="S2246" s="7">
        <f>grand[[#This Row],[ carcass weight]]/grand[[#This Row],[received]]</f>
        <v>255.93333333333334</v>
      </c>
      <c r="T2246" s="7">
        <f>grand[[#This Row],[ kidneys fat quantity]]/grand[[#This Row],[received]]</f>
        <v>0</v>
      </c>
      <c r="U2246" s="4">
        <v>25</v>
      </c>
      <c r="V2246" s="4">
        <v>0</v>
      </c>
      <c r="W2246" s="4">
        <v>49.9</v>
      </c>
      <c r="X2246" s="4">
        <v>10</v>
      </c>
      <c r="Y2246" s="8">
        <v>8.5</v>
      </c>
      <c r="Z2246" s="3">
        <f>grand[[#This Row],[av. Transportation loss]]/grand[[#This Row],[av.total weight]]</f>
        <v>7.1212603437301084E-2</v>
      </c>
      <c r="AA2246" s="12">
        <f>AVERAGE((grand[[#This Row],[am]]/25),(grand[[#This Row],[pm]]/50))</f>
        <v>0.999</v>
      </c>
      <c r="AB2246" s="3">
        <f>grand[[#This Row],[ carcass weight]]/grand[[#This Row],[total weight]]</f>
        <v>0.61091661362189686</v>
      </c>
      <c r="AC2246" s="6">
        <f>SUM(grand[[#This Row],[am]:[meat transportation]])/100</f>
        <v>0.93400000000000005</v>
      </c>
      <c r="AD2246" s="4"/>
      <c r="AE2246" s="4"/>
      <c r="AF2246" s="4" t="s">
        <v>55</v>
      </c>
      <c r="AG2246" s="4"/>
      <c r="AH2246" s="4"/>
      <c r="AI2246" s="4"/>
      <c r="AJ2246" s="2"/>
      <c r="AK2246" s="4"/>
    </row>
    <row r="2247" spans="1:38" hidden="1" x14ac:dyDescent="0.2">
      <c r="A2247" s="11">
        <v>43937</v>
      </c>
      <c r="B2247" s="53" t="s">
        <v>1459</v>
      </c>
      <c r="C2247" s="52" t="str">
        <f>IF(MID(B2247,4,2)="09","Ramadan",IF(AND(MID(B2247,4,2)="12",VALUE(LEFT(B2247,2))&lt;=9),"Adha Season","Normal"))</f>
        <v>Normal</v>
      </c>
      <c r="D2247" s="1" t="s">
        <v>45</v>
      </c>
      <c r="F2247" s="4" t="s">
        <v>50</v>
      </c>
      <c r="G2247" s="4">
        <v>56</v>
      </c>
      <c r="H2247" s="4">
        <v>54</v>
      </c>
      <c r="I2247" s="2">
        <f>grand[[#This Row],[number]]-grand[[#This Row],[received]]</f>
        <v>2</v>
      </c>
      <c r="J2247" s="30" t="s">
        <v>108</v>
      </c>
      <c r="K2247" s="4">
        <v>21857</v>
      </c>
      <c r="L2247" s="4">
        <v>20559</v>
      </c>
      <c r="M2247" s="2">
        <f>K2247-L2247</f>
        <v>1298</v>
      </c>
      <c r="N2247" s="4">
        <v>13387.4</v>
      </c>
      <c r="O2247" s="4"/>
      <c r="P2247" s="7">
        <f>grand[[#This Row],[total weight]]/grand[[#This Row],[received]]</f>
        <v>404.75925925925924</v>
      </c>
      <c r="Q2247" s="7">
        <f>grand[[#This Row],[receiving weight]]/grand[[#This Row],[received]]</f>
        <v>380.72222222222223</v>
      </c>
      <c r="R2247" s="7">
        <f>grand[[#This Row],[transportation loss ]]/grand[[#This Row],[received]]</f>
        <v>24.037037037037038</v>
      </c>
      <c r="S2247" s="7">
        <f>grand[[#This Row],[ carcass weight]]/grand[[#This Row],[received]]</f>
        <v>247.9148148148148</v>
      </c>
      <c r="T2247" s="7">
        <f>grand[[#This Row],[ kidneys fat quantity]]/grand[[#This Row],[received]]</f>
        <v>0</v>
      </c>
      <c r="U2247" s="4">
        <v>25</v>
      </c>
      <c r="V2247" s="4">
        <v>0</v>
      </c>
      <c r="W2247" s="4">
        <v>49.7</v>
      </c>
      <c r="X2247" s="4">
        <v>10</v>
      </c>
      <c r="Y2247" s="8">
        <v>8.5</v>
      </c>
      <c r="Z2247" s="3">
        <f>grand[[#This Row],[av. Transportation loss]]/grand[[#This Row],[av.total weight]]</f>
        <v>5.9386009058882742E-2</v>
      </c>
      <c r="AA2247" s="12">
        <f>AVERAGE((grand[[#This Row],[am]]/25),(grand[[#This Row],[pm]]/50))</f>
        <v>0.99700000000000011</v>
      </c>
      <c r="AB2247" s="3">
        <f>grand[[#This Row],[ carcass weight]]/grand[[#This Row],[total weight]]</f>
        <v>0.61249942810083724</v>
      </c>
      <c r="AC2247" s="6">
        <f>SUM(grand[[#This Row],[am]:[meat transportation]])/100</f>
        <v>0.93200000000000005</v>
      </c>
      <c r="AD2247" s="4"/>
      <c r="AE2247" s="4">
        <v>1</v>
      </c>
      <c r="AF2247" s="4" t="s">
        <v>109</v>
      </c>
      <c r="AG2247" s="4"/>
      <c r="AH2247" s="4"/>
      <c r="AI2247" s="4">
        <v>2</v>
      </c>
      <c r="AJ2247" s="2"/>
      <c r="AK2247" s="4"/>
    </row>
    <row r="2248" spans="1:38" hidden="1" x14ac:dyDescent="0.2">
      <c r="A2248" s="11">
        <v>43946</v>
      </c>
      <c r="B2248" s="53" t="s">
        <v>2504</v>
      </c>
      <c r="C2248" s="52" t="str">
        <f>IF(MID(B2248,4,2)="09","Ramadan",IF(AND(MID(B2248,4,2)="12",VALUE(LEFT(B2248,2))&lt;=9),"Adha Season","Normal"))</f>
        <v>Ramadan</v>
      </c>
      <c r="D2248" s="1" t="s">
        <v>45</v>
      </c>
      <c r="F2248" s="4" t="s">
        <v>46</v>
      </c>
      <c r="G2248" s="4">
        <v>25</v>
      </c>
      <c r="H2248" s="4">
        <v>23</v>
      </c>
      <c r="I2248" s="2">
        <f>grand[[#This Row],[number]]-grand[[#This Row],[received]]</f>
        <v>2</v>
      </c>
      <c r="J2248" s="30" t="s">
        <v>1114</v>
      </c>
      <c r="K2248" s="4">
        <v>11820</v>
      </c>
      <c r="L2248" s="4">
        <v>11820</v>
      </c>
      <c r="M2248" s="2">
        <f>K2248-L2248</f>
        <v>0</v>
      </c>
      <c r="N2248" s="4">
        <v>7378.6</v>
      </c>
      <c r="O2248" s="4"/>
      <c r="P2248" s="7">
        <f>grand[[#This Row],[total weight]]/grand[[#This Row],[received]]</f>
        <v>513.91304347826087</v>
      </c>
      <c r="Q2248" s="7">
        <f>grand[[#This Row],[receiving weight]]/grand[[#This Row],[received]]</f>
        <v>513.91304347826087</v>
      </c>
      <c r="R2248" s="7">
        <f>grand[[#This Row],[transportation loss ]]/grand[[#This Row],[received]]</f>
        <v>0</v>
      </c>
      <c r="S2248" s="7">
        <f>grand[[#This Row],[ carcass weight]]/grand[[#This Row],[received]]</f>
        <v>320.80869565217392</v>
      </c>
      <c r="T2248" s="7">
        <f>grand[[#This Row],[ kidneys fat quantity]]/grand[[#This Row],[received]]</f>
        <v>0</v>
      </c>
      <c r="U2248" s="4">
        <v>25</v>
      </c>
      <c r="V2248" s="4">
        <v>0</v>
      </c>
      <c r="W2248" s="4">
        <v>49.5</v>
      </c>
      <c r="X2248" s="4">
        <v>10</v>
      </c>
      <c r="Y2248" s="8">
        <v>8.5</v>
      </c>
      <c r="Z2248" s="3">
        <f>grand[[#This Row],[av. Transportation loss]]/grand[[#This Row],[av.total weight]]</f>
        <v>0</v>
      </c>
      <c r="AA2248" s="12">
        <f>AVERAGE((grand[[#This Row],[am]]/25),(grand[[#This Row],[pm]]/50))</f>
        <v>0.995</v>
      </c>
      <c r="AB2248" s="3">
        <f>grand[[#This Row],[ carcass weight]]/grand[[#This Row],[total weight]]</f>
        <v>0.62424703891708966</v>
      </c>
      <c r="AC2248" s="6">
        <f>SUM(grand[[#This Row],[am]:[meat transportation]])/100</f>
        <v>0.93</v>
      </c>
      <c r="AD2248" s="4"/>
      <c r="AE2248" s="4">
        <v>1</v>
      </c>
      <c r="AF2248" s="4" t="s">
        <v>114</v>
      </c>
      <c r="AG2248" s="4"/>
      <c r="AH2248" s="4"/>
      <c r="AI2248" s="4"/>
      <c r="AJ2248" s="2"/>
      <c r="AK2248" s="4"/>
    </row>
    <row r="2249" spans="1:38" hidden="1" x14ac:dyDescent="0.2">
      <c r="A2249" s="11">
        <v>43948</v>
      </c>
      <c r="B2249" s="53" t="s">
        <v>2508</v>
      </c>
      <c r="C2249" s="52" t="str">
        <f>IF(MID(B2249,4,2)="09","Ramadan",IF(AND(MID(B2249,4,2)="12",VALUE(LEFT(B2249,2))&lt;=9),"Adha Season","Normal"))</f>
        <v>Ramadan</v>
      </c>
      <c r="D2249" s="1" t="s">
        <v>45</v>
      </c>
      <c r="F2249" s="4" t="s">
        <v>47</v>
      </c>
      <c r="G2249" s="4">
        <v>28</v>
      </c>
      <c r="H2249" s="4">
        <v>26</v>
      </c>
      <c r="I2249" s="2">
        <f>grand[[#This Row],[number]]-grand[[#This Row],[received]]</f>
        <v>2</v>
      </c>
      <c r="J2249" s="30" t="s">
        <v>115</v>
      </c>
      <c r="K2249" s="4">
        <v>13397</v>
      </c>
      <c r="L2249" s="4">
        <v>13022</v>
      </c>
      <c r="M2249" s="2">
        <f>K2249-L2249</f>
        <v>375</v>
      </c>
      <c r="N2249" s="4">
        <v>8389.5</v>
      </c>
      <c r="O2249" s="4"/>
      <c r="P2249" s="7">
        <f>grand[[#This Row],[total weight]]/grand[[#This Row],[received]]</f>
        <v>515.26923076923072</v>
      </c>
      <c r="Q2249" s="7">
        <f>grand[[#This Row],[receiving weight]]/grand[[#This Row],[received]]</f>
        <v>500.84615384615387</v>
      </c>
      <c r="R2249" s="7">
        <f>grand[[#This Row],[transportation loss ]]/grand[[#This Row],[received]]</f>
        <v>14.423076923076923</v>
      </c>
      <c r="S2249" s="7">
        <f>grand[[#This Row],[ carcass weight]]/grand[[#This Row],[received]]</f>
        <v>322.67307692307691</v>
      </c>
      <c r="T2249" s="7">
        <f>grand[[#This Row],[ kidneys fat quantity]]/grand[[#This Row],[received]]</f>
        <v>0</v>
      </c>
      <c r="U2249" s="4">
        <v>19.8</v>
      </c>
      <c r="V2249" s="4">
        <v>0</v>
      </c>
      <c r="W2249" s="4">
        <v>48.5</v>
      </c>
      <c r="X2249" s="4">
        <v>10</v>
      </c>
      <c r="Y2249" s="8">
        <v>8.5</v>
      </c>
      <c r="Z2249" s="3">
        <f>grand[[#This Row],[av. Transportation loss]]/grand[[#This Row],[av.total weight]]</f>
        <v>2.7991341345077258E-2</v>
      </c>
      <c r="AA2249" s="12">
        <f>AVERAGE((grand[[#This Row],[am]]/25),(grand[[#This Row],[pm]]/50))</f>
        <v>0.88100000000000001</v>
      </c>
      <c r="AB2249" s="3">
        <f>grand[[#This Row],[ carcass weight]]/grand[[#This Row],[total weight]]</f>
        <v>0.62622228857206841</v>
      </c>
      <c r="AC2249" s="6">
        <f>SUM(grand[[#This Row],[am]:[meat transportation]])/100</f>
        <v>0.86799999999999999</v>
      </c>
      <c r="AD2249" s="4" t="s">
        <v>116</v>
      </c>
      <c r="AE2249" s="4">
        <v>2</v>
      </c>
      <c r="AF2249" s="4"/>
      <c r="AG2249" s="4"/>
      <c r="AH2249" s="4"/>
      <c r="AI2249" s="4"/>
      <c r="AJ2249" s="2">
        <v>2</v>
      </c>
      <c r="AK2249" s="4">
        <v>26</v>
      </c>
    </row>
    <row r="2250" spans="1:38" hidden="1" x14ac:dyDescent="0.2">
      <c r="A2250" s="11">
        <v>43971</v>
      </c>
      <c r="B2250" s="53" t="s">
        <v>1476</v>
      </c>
      <c r="C2250" s="52" t="str">
        <f>IF(MID(B2250,4,2)="09","Ramadan",IF(AND(MID(B2250,4,2)="12",VALUE(LEFT(B2250,2))&lt;=9),"Adha Season","Normal"))</f>
        <v>Ramadan</v>
      </c>
      <c r="D2250" s="1" t="s">
        <v>45</v>
      </c>
      <c r="F2250" s="4" t="s">
        <v>46</v>
      </c>
      <c r="G2250" s="4">
        <v>18</v>
      </c>
      <c r="H2250" s="4">
        <v>16</v>
      </c>
      <c r="I2250" s="2">
        <f>grand[[#This Row],[number]]-grand[[#This Row],[received]]</f>
        <v>2</v>
      </c>
      <c r="J2250" s="30" t="s">
        <v>127</v>
      </c>
      <c r="K2250" s="4">
        <v>7663</v>
      </c>
      <c r="L2250" s="4">
        <v>7333</v>
      </c>
      <c r="M2250" s="2">
        <f>K2250-L2250</f>
        <v>330</v>
      </c>
      <c r="N2250" s="4">
        <v>4722.8999999999996</v>
      </c>
      <c r="O2250" s="4"/>
      <c r="P2250" s="7">
        <f>grand[[#This Row],[total weight]]/grand[[#This Row],[received]]</f>
        <v>478.9375</v>
      </c>
      <c r="Q2250" s="7">
        <f>grand[[#This Row],[receiving weight]]/grand[[#This Row],[received]]</f>
        <v>458.3125</v>
      </c>
      <c r="R2250" s="7">
        <f>grand[[#This Row],[transportation loss ]]/grand[[#This Row],[received]]</f>
        <v>20.625</v>
      </c>
      <c r="S2250" s="7">
        <f>grand[[#This Row],[ carcass weight]]/grand[[#This Row],[received]]</f>
        <v>295.18124999999998</v>
      </c>
      <c r="T2250" s="7">
        <f>grand[[#This Row],[ kidneys fat quantity]]/grand[[#This Row],[received]]</f>
        <v>0</v>
      </c>
      <c r="U2250" s="4">
        <v>24</v>
      </c>
      <c r="V2250" s="4">
        <v>0</v>
      </c>
      <c r="W2250" s="4">
        <v>48.3</v>
      </c>
      <c r="X2250" s="4">
        <v>10</v>
      </c>
      <c r="Y2250" s="8">
        <v>8.5</v>
      </c>
      <c r="Z2250" s="3">
        <f>grand[[#This Row],[av. Transportation loss]]/grand[[#This Row],[av.total weight]]</f>
        <v>4.3064074122406371E-2</v>
      </c>
      <c r="AA2250" s="12">
        <f>AVERAGE((grand[[#This Row],[am]]/25),(grand[[#This Row],[pm]]/50))</f>
        <v>0.96299999999999997</v>
      </c>
      <c r="AB2250" s="3">
        <f>grand[[#This Row],[ carcass weight]]/grand[[#This Row],[total weight]]</f>
        <v>0.61632519900822125</v>
      </c>
      <c r="AC2250" s="6">
        <f>SUM(grand[[#This Row],[am]:[meat transportation]])/100</f>
        <v>0.90799999999999992</v>
      </c>
      <c r="AD2250" s="4" t="s">
        <v>128</v>
      </c>
      <c r="AE2250" s="4"/>
      <c r="AF2250" s="4"/>
      <c r="AG2250" s="4"/>
      <c r="AH2250" s="4"/>
      <c r="AI2250" s="4">
        <v>3</v>
      </c>
      <c r="AJ2250" s="2"/>
      <c r="AK2250" s="4"/>
    </row>
    <row r="2251" spans="1:38" hidden="1" x14ac:dyDescent="0.2">
      <c r="A2251" s="11">
        <v>43974</v>
      </c>
      <c r="B2251" s="53" t="s">
        <v>2514</v>
      </c>
      <c r="C2251" s="52" t="str">
        <f>IF(MID(B2251,4,2)="09","Ramadan",IF(AND(MID(B2251,4,2)="12",VALUE(LEFT(B2251,2))&lt;=9),"Adha Season","Normal"))</f>
        <v>Ramadan</v>
      </c>
      <c r="D2251" s="1" t="s">
        <v>45</v>
      </c>
      <c r="F2251" s="4" t="s">
        <v>47</v>
      </c>
      <c r="G2251" s="4">
        <v>58</v>
      </c>
      <c r="H2251" s="4">
        <v>56</v>
      </c>
      <c r="I2251" s="2">
        <f>grand[[#This Row],[number]]-grand[[#This Row],[received]]</f>
        <v>2</v>
      </c>
      <c r="J2251" s="30" t="s">
        <v>131</v>
      </c>
      <c r="K2251" s="4">
        <v>26154</v>
      </c>
      <c r="L2251" s="4">
        <v>26154</v>
      </c>
      <c r="M2251" s="2">
        <f>K2251-L2251</f>
        <v>0</v>
      </c>
      <c r="N2251" s="4">
        <v>16043.4</v>
      </c>
      <c r="O2251" s="4"/>
      <c r="P2251" s="7">
        <f>grand[[#This Row],[total weight]]/grand[[#This Row],[received]]</f>
        <v>467.03571428571428</v>
      </c>
      <c r="Q2251" s="7">
        <f>grand[[#This Row],[receiving weight]]/grand[[#This Row],[received]]</f>
        <v>467.03571428571428</v>
      </c>
      <c r="R2251" s="7">
        <f>grand[[#This Row],[transportation loss ]]/grand[[#This Row],[received]]</f>
        <v>0</v>
      </c>
      <c r="S2251" s="7">
        <f>grand[[#This Row],[ carcass weight]]/grand[[#This Row],[received]]</f>
        <v>286.4892857142857</v>
      </c>
      <c r="T2251" s="7">
        <f>grand[[#This Row],[ kidneys fat quantity]]/grand[[#This Row],[received]]</f>
        <v>0</v>
      </c>
      <c r="U2251" s="4">
        <v>25</v>
      </c>
      <c r="V2251" s="4">
        <v>0</v>
      </c>
      <c r="W2251" s="4">
        <v>49.8</v>
      </c>
      <c r="X2251" s="4">
        <v>10</v>
      </c>
      <c r="Y2251" s="8">
        <v>8.5</v>
      </c>
      <c r="Z2251" s="3">
        <f>grand[[#This Row],[av. Transportation loss]]/grand[[#This Row],[av.total weight]]</f>
        <v>0</v>
      </c>
      <c r="AA2251" s="12">
        <f>AVERAGE((grand[[#This Row],[am]]/25),(grand[[#This Row],[pm]]/50))</f>
        <v>0.998</v>
      </c>
      <c r="AB2251" s="3">
        <f>grand[[#This Row],[ carcass weight]]/grand[[#This Row],[total weight]]</f>
        <v>0.6134205092911218</v>
      </c>
      <c r="AC2251" s="6">
        <f>SUM(grand[[#This Row],[am]:[meat transportation]])/100</f>
        <v>0.93299999999999994</v>
      </c>
      <c r="AD2251" s="4" t="s">
        <v>132</v>
      </c>
      <c r="AE2251" s="4"/>
      <c r="AF2251" s="4"/>
      <c r="AG2251" s="4"/>
      <c r="AH2251" s="4"/>
      <c r="AI2251" s="4"/>
      <c r="AJ2251" s="2"/>
      <c r="AK2251" s="4"/>
    </row>
    <row r="2252" spans="1:38" hidden="1" x14ac:dyDescent="0.2">
      <c r="A2252" s="11">
        <v>43981</v>
      </c>
      <c r="B2252" s="53" t="s">
        <v>2516</v>
      </c>
      <c r="C2252" s="52" t="str">
        <f>IF(MID(B2252,4,2)="09","Ramadan",IF(AND(MID(B2252,4,2)="12",VALUE(LEFT(B2252,2))&lt;=9),"Adha Season","Normal"))</f>
        <v>Normal</v>
      </c>
      <c r="D2252" s="1" t="s">
        <v>45</v>
      </c>
      <c r="F2252" s="4" t="s">
        <v>47</v>
      </c>
      <c r="G2252" s="4">
        <v>48</v>
      </c>
      <c r="H2252" s="4">
        <v>46</v>
      </c>
      <c r="I2252" s="2">
        <f>grand[[#This Row],[number]]-grand[[#This Row],[received]]</f>
        <v>2</v>
      </c>
      <c r="J2252" s="30" t="s">
        <v>131</v>
      </c>
      <c r="K2252" s="4">
        <v>21992</v>
      </c>
      <c r="L2252" s="4">
        <v>20832</v>
      </c>
      <c r="M2252" s="2">
        <f>K2252-L2252</f>
        <v>1160</v>
      </c>
      <c r="N2252" s="4">
        <v>13407.9</v>
      </c>
      <c r="O2252" s="4"/>
      <c r="P2252" s="7">
        <f>grand[[#This Row],[total weight]]/grand[[#This Row],[received]]</f>
        <v>478.08695652173913</v>
      </c>
      <c r="Q2252" s="7">
        <f>grand[[#This Row],[receiving weight]]/grand[[#This Row],[received]]</f>
        <v>452.86956521739131</v>
      </c>
      <c r="R2252" s="7">
        <f>grand[[#This Row],[transportation loss ]]/grand[[#This Row],[received]]</f>
        <v>25.217391304347824</v>
      </c>
      <c r="S2252" s="7">
        <f>grand[[#This Row],[ carcass weight]]/grand[[#This Row],[received]]</f>
        <v>291.47608695652173</v>
      </c>
      <c r="T2252" s="7">
        <f>grand[[#This Row],[ kidneys fat quantity]]/grand[[#This Row],[received]]</f>
        <v>0</v>
      </c>
      <c r="U2252" s="4">
        <v>24.9</v>
      </c>
      <c r="V2252" s="4">
        <v>0</v>
      </c>
      <c r="W2252" s="4">
        <v>49.7</v>
      </c>
      <c r="X2252" s="4">
        <v>10</v>
      </c>
      <c r="Y2252" s="8">
        <v>8.5</v>
      </c>
      <c r="Z2252" s="3">
        <f>grand[[#This Row],[av. Transportation loss]]/grand[[#This Row],[av.total weight]]</f>
        <v>5.2746453255729353E-2</v>
      </c>
      <c r="AA2252" s="12">
        <f>AVERAGE((grand[[#This Row],[am]]/25),(grand[[#This Row],[pm]]/50))</f>
        <v>0.99500000000000011</v>
      </c>
      <c r="AB2252" s="3">
        <f>grand[[#This Row],[ carcass weight]]/grand[[#This Row],[total weight]]</f>
        <v>0.60967169879956351</v>
      </c>
      <c r="AC2252" s="6">
        <f>SUM(grand[[#This Row],[am]:[meat transportation]])/100</f>
        <v>0.93099999999999994</v>
      </c>
      <c r="AD2252" s="4"/>
      <c r="AE2252" s="4">
        <v>3</v>
      </c>
      <c r="AF2252" s="4" t="s">
        <v>55</v>
      </c>
      <c r="AG2252" s="4"/>
      <c r="AH2252" s="4"/>
      <c r="AI2252" s="4" t="s">
        <v>135</v>
      </c>
      <c r="AJ2252" s="2">
        <v>1</v>
      </c>
      <c r="AK2252" s="4"/>
    </row>
    <row r="2253" spans="1:38" hidden="1" x14ac:dyDescent="0.2">
      <c r="A2253" s="11">
        <v>43991</v>
      </c>
      <c r="B2253" s="53" t="s">
        <v>2518</v>
      </c>
      <c r="C2253" s="52" t="str">
        <f>IF(MID(B2253,4,2)="09","Ramadan",IF(AND(MID(B2253,4,2)="12",VALUE(LEFT(B2253,2))&lt;=9),"Adha Season","Normal"))</f>
        <v>Normal</v>
      </c>
      <c r="D2253" s="1" t="s">
        <v>45</v>
      </c>
      <c r="F2253" s="4" t="s">
        <v>50</v>
      </c>
      <c r="G2253" s="4">
        <v>32</v>
      </c>
      <c r="H2253" s="4">
        <v>30</v>
      </c>
      <c r="I2253" s="2">
        <f>grand[[#This Row],[number]]-grand[[#This Row],[received]]</f>
        <v>2</v>
      </c>
      <c r="J2253" s="30" t="s">
        <v>108</v>
      </c>
      <c r="K2253" s="4">
        <v>12685</v>
      </c>
      <c r="L2253" s="4">
        <v>12214</v>
      </c>
      <c r="M2253" s="2">
        <f>K2253-L2253</f>
        <v>471</v>
      </c>
      <c r="N2253" s="4">
        <v>7910.4</v>
      </c>
      <c r="O2253" s="4"/>
      <c r="P2253" s="7">
        <f>grand[[#This Row],[total weight]]/grand[[#This Row],[received]]</f>
        <v>422.83333333333331</v>
      </c>
      <c r="Q2253" s="7">
        <f>grand[[#This Row],[receiving weight]]/grand[[#This Row],[received]]</f>
        <v>407.13333333333333</v>
      </c>
      <c r="R2253" s="7">
        <f>grand[[#This Row],[transportation loss ]]/grand[[#This Row],[received]]</f>
        <v>15.7</v>
      </c>
      <c r="S2253" s="7">
        <f>grand[[#This Row],[ carcass weight]]/grand[[#This Row],[received]]</f>
        <v>263.68</v>
      </c>
      <c r="T2253" s="7">
        <f>grand[[#This Row],[ kidneys fat quantity]]/grand[[#This Row],[received]]</f>
        <v>0</v>
      </c>
      <c r="U2253" s="4">
        <v>25</v>
      </c>
      <c r="V2253" s="4">
        <v>0</v>
      </c>
      <c r="W2253" s="4">
        <v>49.8</v>
      </c>
      <c r="X2253" s="4">
        <v>10</v>
      </c>
      <c r="Y2253" s="8">
        <v>8.5</v>
      </c>
      <c r="Z2253" s="3">
        <f>grand[[#This Row],[av. Transportation loss]]/grand[[#This Row],[av.total weight]]</f>
        <v>3.7130469057942449E-2</v>
      </c>
      <c r="AA2253" s="12">
        <f>AVERAGE((grand[[#This Row],[am]]/25),(grand[[#This Row],[pm]]/50))</f>
        <v>0.998</v>
      </c>
      <c r="AB2253" s="3">
        <f>grand[[#This Row],[ carcass weight]]/grand[[#This Row],[total weight]]</f>
        <v>0.62360268033109967</v>
      </c>
      <c r="AC2253" s="6">
        <f>SUM(grand[[#This Row],[am]:[meat transportation]])/100</f>
        <v>0.93299999999999994</v>
      </c>
      <c r="AD2253" s="4" t="s">
        <v>142</v>
      </c>
      <c r="AE2253" s="4"/>
      <c r="AF2253" s="4"/>
      <c r="AG2253" s="4"/>
      <c r="AH2253" s="4"/>
      <c r="AI2253" s="4"/>
      <c r="AJ2253" s="2"/>
      <c r="AK2253" s="4"/>
      <c r="AL2253" s="2">
        <v>846.8</v>
      </c>
    </row>
    <row r="2254" spans="1:38" hidden="1" x14ac:dyDescent="0.2">
      <c r="A2254" s="11">
        <v>44012</v>
      </c>
      <c r="B2254" s="53" t="s">
        <v>2525</v>
      </c>
      <c r="C2254" s="52" t="str">
        <f>IF(MID(B2254,4,2)="09","Ramadan",IF(AND(MID(B2254,4,2)="12",VALUE(LEFT(B2254,2))&lt;=9),"Adha Season","Normal"))</f>
        <v>Normal</v>
      </c>
      <c r="D2254" s="1" t="s">
        <v>45</v>
      </c>
      <c r="F2254" s="4" t="s">
        <v>50</v>
      </c>
      <c r="G2254" s="4">
        <v>18</v>
      </c>
      <c r="H2254" s="4">
        <v>16</v>
      </c>
      <c r="I2254" s="2">
        <f>grand[[#This Row],[number]]-grand[[#This Row],[received]]</f>
        <v>2</v>
      </c>
      <c r="J2254" s="30" t="s">
        <v>108</v>
      </c>
      <c r="K2254" s="4">
        <v>6589</v>
      </c>
      <c r="L2254" s="4">
        <v>6088</v>
      </c>
      <c r="M2254" s="2">
        <f>K2254-L2254</f>
        <v>501</v>
      </c>
      <c r="N2254" s="4">
        <v>4056.6</v>
      </c>
      <c r="O2254" s="4"/>
      <c r="P2254" s="7">
        <f>grand[[#This Row],[total weight]]/grand[[#This Row],[received]]</f>
        <v>411.8125</v>
      </c>
      <c r="Q2254" s="7">
        <f>grand[[#This Row],[receiving weight]]/grand[[#This Row],[received]]</f>
        <v>380.5</v>
      </c>
      <c r="R2254" s="7">
        <f>grand[[#This Row],[transportation loss ]]/grand[[#This Row],[received]]</f>
        <v>31.3125</v>
      </c>
      <c r="S2254" s="7">
        <f>grand[[#This Row],[ carcass weight]]/grand[[#This Row],[received]]</f>
        <v>253.53749999999999</v>
      </c>
      <c r="T2254" s="7">
        <f>grand[[#This Row],[ kidneys fat quantity]]/grand[[#This Row],[received]]</f>
        <v>0</v>
      </c>
      <c r="U2254" s="4">
        <v>25</v>
      </c>
      <c r="V2254" s="4">
        <v>0</v>
      </c>
      <c r="W2254" s="4">
        <v>49.6</v>
      </c>
      <c r="X2254" s="4">
        <v>10</v>
      </c>
      <c r="Y2254" s="8">
        <v>8.5</v>
      </c>
      <c r="Z2254" s="3">
        <f>grand[[#This Row],[av. Transportation loss]]/grand[[#This Row],[av.total weight]]</f>
        <v>7.6035817271209588E-2</v>
      </c>
      <c r="AA2254" s="12">
        <f>AVERAGE((grand[[#This Row],[am]]/25),(grand[[#This Row],[pm]]/50))</f>
        <v>0.996</v>
      </c>
      <c r="AB2254" s="3">
        <f>grand[[#This Row],[ carcass weight]]/grand[[#This Row],[total weight]]</f>
        <v>0.61566246774927913</v>
      </c>
      <c r="AC2254" s="6">
        <f>SUM(grand[[#This Row],[am]:[meat transportation]])/100</f>
        <v>0.93099999999999994</v>
      </c>
      <c r="AD2254" s="9"/>
      <c r="AE2254" s="4"/>
      <c r="AF2254" s="4" t="s">
        <v>155</v>
      </c>
      <c r="AG2254" s="4"/>
      <c r="AH2254" s="4"/>
      <c r="AI2254" s="4"/>
      <c r="AJ2254" s="2"/>
      <c r="AK2254" s="4"/>
      <c r="AL2254" s="2">
        <v>867</v>
      </c>
    </row>
    <row r="2255" spans="1:38" hidden="1" x14ac:dyDescent="0.2">
      <c r="A2255" s="11">
        <v>44024</v>
      </c>
      <c r="B2255" s="53" t="s">
        <v>1496</v>
      </c>
      <c r="C2255" s="52" t="str">
        <f>IF(MID(B2255,4,2)="09","Ramadan",IF(AND(MID(B2255,4,2)="12",VALUE(LEFT(B2255,2))&lt;=9),"Adha Season","Normal"))</f>
        <v>Normal</v>
      </c>
      <c r="D2255" s="1" t="s">
        <v>45</v>
      </c>
      <c r="F2255" s="4" t="s">
        <v>50</v>
      </c>
      <c r="G2255" s="4">
        <v>34</v>
      </c>
      <c r="H2255" s="4">
        <v>32</v>
      </c>
      <c r="I2255" s="2">
        <f>grand[[#This Row],[number]]-grand[[#This Row],[received]]</f>
        <v>2</v>
      </c>
      <c r="J2255" s="30" t="s">
        <v>108</v>
      </c>
      <c r="K2255" s="4">
        <v>13581</v>
      </c>
      <c r="L2255" s="4">
        <v>12228</v>
      </c>
      <c r="M2255" s="2">
        <f>K2255-L2255</f>
        <v>1353</v>
      </c>
      <c r="N2255" s="4">
        <v>8304.9</v>
      </c>
      <c r="O2255" s="4"/>
      <c r="P2255" s="7">
        <f>grand[[#This Row],[total weight]]/grand[[#This Row],[received]]</f>
        <v>424.40625</v>
      </c>
      <c r="Q2255" s="7">
        <f>grand[[#This Row],[receiving weight]]/grand[[#This Row],[received]]</f>
        <v>382.125</v>
      </c>
      <c r="R2255" s="7">
        <f>grand[[#This Row],[transportation loss ]]/grand[[#This Row],[received]]</f>
        <v>42.28125</v>
      </c>
      <c r="S2255" s="7">
        <f>grand[[#This Row],[ carcass weight]]/grand[[#This Row],[received]]</f>
        <v>259.52812499999999</v>
      </c>
      <c r="T2255" s="7">
        <f>grand[[#This Row],[ kidneys fat quantity]]/grand[[#This Row],[received]]</f>
        <v>0</v>
      </c>
      <c r="U2255" s="4">
        <v>25</v>
      </c>
      <c r="V2255" s="4">
        <v>0</v>
      </c>
      <c r="W2255" s="4">
        <v>49.3</v>
      </c>
      <c r="X2255" s="4">
        <v>10</v>
      </c>
      <c r="Y2255" s="8">
        <v>8.5</v>
      </c>
      <c r="Z2255" s="3">
        <f>grand[[#This Row],[av. Transportation loss]]/grand[[#This Row],[av.total weight]]</f>
        <v>9.9624475370002213E-2</v>
      </c>
      <c r="AA2255" s="12">
        <f>AVERAGE((grand[[#This Row],[am]]/25),(grand[[#This Row],[pm]]/50))</f>
        <v>0.99299999999999999</v>
      </c>
      <c r="AB2255" s="3">
        <f>grand[[#This Row],[ carcass weight]]/grand[[#This Row],[total weight]]</f>
        <v>0.61150872542522638</v>
      </c>
      <c r="AC2255" s="6">
        <f>SUM(grand[[#This Row],[am]:[meat transportation]])/100</f>
        <v>0.92799999999999994</v>
      </c>
      <c r="AD2255" s="9" t="s">
        <v>71</v>
      </c>
      <c r="AE2255" s="4"/>
      <c r="AF2255" s="4" t="s">
        <v>163</v>
      </c>
      <c r="AG2255" s="4"/>
      <c r="AH2255" s="4"/>
      <c r="AI2255" s="4"/>
      <c r="AJ2255" s="2"/>
      <c r="AK2255" s="4"/>
      <c r="AL2255" s="2">
        <f>857+15+2+1.5</f>
        <v>875.5</v>
      </c>
    </row>
    <row r="2256" spans="1:38" hidden="1" x14ac:dyDescent="0.2">
      <c r="A2256" s="11">
        <v>44052</v>
      </c>
      <c r="B2256" s="53" t="s">
        <v>1507</v>
      </c>
      <c r="C2256" s="52" t="str">
        <f>IF(MID(B2256,4,2)="09","Ramadan",IF(AND(MID(B2256,4,2)="12",VALUE(LEFT(B2256,2))&lt;=9),"Adha Season","Normal"))</f>
        <v>Normal</v>
      </c>
      <c r="D2256" s="1" t="s">
        <v>45</v>
      </c>
      <c r="F2256" s="4" t="s">
        <v>50</v>
      </c>
      <c r="G2256" s="4">
        <v>42</v>
      </c>
      <c r="H2256" s="4">
        <v>40</v>
      </c>
      <c r="I2256" s="2">
        <f>grand[[#This Row],[number]]-grand[[#This Row],[received]]</f>
        <v>2</v>
      </c>
      <c r="J2256" s="30" t="s">
        <v>108</v>
      </c>
      <c r="K2256" s="4">
        <v>17100</v>
      </c>
      <c r="L2256" s="4">
        <v>15632</v>
      </c>
      <c r="M2256" s="2">
        <f>K2256-L2256</f>
        <v>1468</v>
      </c>
      <c r="N2256" s="4">
        <v>10317.5</v>
      </c>
      <c r="O2256" s="4"/>
      <c r="P2256" s="7">
        <f>grand[[#This Row],[total weight]]/grand[[#This Row],[received]]</f>
        <v>427.5</v>
      </c>
      <c r="Q2256" s="7">
        <f>grand[[#This Row],[receiving weight]]/grand[[#This Row],[received]]</f>
        <v>390.8</v>
      </c>
      <c r="R2256" s="7">
        <f>grand[[#This Row],[transportation loss ]]/grand[[#This Row],[received]]</f>
        <v>36.700000000000003</v>
      </c>
      <c r="S2256" s="7">
        <f>grand[[#This Row],[ carcass weight]]/grand[[#This Row],[received]]</f>
        <v>257.9375</v>
      </c>
      <c r="T2256" s="7">
        <f>grand[[#This Row],[ kidneys fat quantity]]/grand[[#This Row],[received]]</f>
        <v>0</v>
      </c>
      <c r="U2256" s="4">
        <v>25</v>
      </c>
      <c r="V2256" s="4">
        <v>0</v>
      </c>
      <c r="W2256" s="4">
        <v>49.2</v>
      </c>
      <c r="X2256" s="4">
        <v>10</v>
      </c>
      <c r="Y2256" s="8">
        <v>8.5</v>
      </c>
      <c r="Z2256" s="3">
        <f>grand[[#This Row],[av. Transportation loss]]/grand[[#This Row],[av.total weight]]</f>
        <v>8.584795321637427E-2</v>
      </c>
      <c r="AA2256" s="12">
        <f>AVERAGE((grand[[#This Row],[am]]/25),(grand[[#This Row],[pm]]/50))</f>
        <v>0.99199999999999999</v>
      </c>
      <c r="AB2256" s="3">
        <f>grand[[#This Row],[ carcass weight]]/grand[[#This Row],[total weight]]</f>
        <v>0.60336257309941521</v>
      </c>
      <c r="AC2256" s="6">
        <f>SUM(grand[[#This Row],[am]:[meat transportation]])/100</f>
        <v>0.92700000000000005</v>
      </c>
      <c r="AD2256" s="9" t="s">
        <v>179</v>
      </c>
      <c r="AE2256" s="4">
        <v>2</v>
      </c>
      <c r="AF2256" s="4"/>
      <c r="AG2256" s="4"/>
      <c r="AH2256" s="4"/>
      <c r="AI2256" s="4"/>
      <c r="AJ2256" s="2"/>
      <c r="AK2256" s="4"/>
      <c r="AL2256" s="2">
        <f>863+5.5</f>
        <v>868.5</v>
      </c>
    </row>
    <row r="2257" spans="1:38" hidden="1" x14ac:dyDescent="0.2">
      <c r="A2257" s="11">
        <v>44061</v>
      </c>
      <c r="B2257" s="53" t="s">
        <v>2539</v>
      </c>
      <c r="C2257" s="52" t="str">
        <f>IF(MID(B2257,4,2)="09","Ramadan",IF(AND(MID(B2257,4,2)="12",VALUE(LEFT(B2257,2))&lt;=9),"Adha Season","Normal"))</f>
        <v>Normal</v>
      </c>
      <c r="D2257" s="1" t="s">
        <v>45</v>
      </c>
      <c r="F2257" s="4" t="s">
        <v>50</v>
      </c>
      <c r="G2257" s="4">
        <v>34</v>
      </c>
      <c r="H2257" s="4">
        <v>32</v>
      </c>
      <c r="I2257" s="2">
        <f>grand[[#This Row],[number]]-grand[[#This Row],[received]]</f>
        <v>2</v>
      </c>
      <c r="J2257" s="30" t="s">
        <v>108</v>
      </c>
      <c r="K2257" s="4">
        <v>13617</v>
      </c>
      <c r="L2257" s="4">
        <v>12728</v>
      </c>
      <c r="M2257" s="2">
        <f>K2257-L2257</f>
        <v>889</v>
      </c>
      <c r="N2257" s="4">
        <v>8472.5</v>
      </c>
      <c r="O2257" s="4"/>
      <c r="P2257" s="7">
        <f>grand[[#This Row],[total weight]]/grand[[#This Row],[received]]</f>
        <v>425.53125</v>
      </c>
      <c r="Q2257" s="7">
        <f>grand[[#This Row],[receiving weight]]/grand[[#This Row],[received]]</f>
        <v>397.75</v>
      </c>
      <c r="R2257" s="7">
        <f>grand[[#This Row],[transportation loss ]]/grand[[#This Row],[received]]</f>
        <v>27.78125</v>
      </c>
      <c r="S2257" s="7">
        <f>grand[[#This Row],[ carcass weight]]/grand[[#This Row],[received]]</f>
        <v>264.765625</v>
      </c>
      <c r="T2257" s="7">
        <f>grand[[#This Row],[ kidneys fat quantity]]/grand[[#This Row],[received]]</f>
        <v>0</v>
      </c>
      <c r="U2257" s="4">
        <v>25</v>
      </c>
      <c r="V2257" s="4">
        <v>0</v>
      </c>
      <c r="W2257" s="4">
        <v>49.3</v>
      </c>
      <c r="X2257" s="4">
        <v>10</v>
      </c>
      <c r="Y2257" s="8">
        <v>8.5</v>
      </c>
      <c r="Z2257" s="3">
        <f>grand[[#This Row],[av. Transportation loss]]/grand[[#This Row],[av.total weight]]</f>
        <v>6.5286039509436733E-2</v>
      </c>
      <c r="AA2257" s="12">
        <f>AVERAGE((grand[[#This Row],[am]]/25),(grand[[#This Row],[pm]]/50))</f>
        <v>0.99299999999999999</v>
      </c>
      <c r="AB2257" s="3">
        <f>grand[[#This Row],[ carcass weight]]/grand[[#This Row],[total weight]]</f>
        <v>0.62220019093779833</v>
      </c>
      <c r="AC2257" s="6">
        <f>SUM(grand[[#This Row],[am]:[meat transportation]])/100</f>
        <v>0.92799999999999994</v>
      </c>
      <c r="AD2257" s="9" t="s">
        <v>184</v>
      </c>
      <c r="AE2257" s="4"/>
      <c r="AF2257" s="4" t="s">
        <v>118</v>
      </c>
      <c r="AG2257" s="4"/>
      <c r="AH2257" s="4"/>
      <c r="AI2257" s="4"/>
      <c r="AJ2257" s="2"/>
      <c r="AK2257" s="4"/>
      <c r="AL2257" s="2">
        <f>887+11</f>
        <v>898</v>
      </c>
    </row>
    <row r="2258" spans="1:38" hidden="1" x14ac:dyDescent="0.2">
      <c r="A2258" s="11">
        <v>44077</v>
      </c>
      <c r="B2258" s="53" t="s">
        <v>2546</v>
      </c>
      <c r="C2258" s="52" t="str">
        <f>IF(MID(B2258,4,2)="09","Ramadan",IF(AND(MID(B2258,4,2)="12",VALUE(LEFT(B2258,2))&lt;=9),"Adha Season","Normal"))</f>
        <v>Normal</v>
      </c>
      <c r="D2258" s="1" t="s">
        <v>45</v>
      </c>
      <c r="F2258" s="4" t="s">
        <v>46</v>
      </c>
      <c r="G2258" s="4">
        <v>46</v>
      </c>
      <c r="H2258" s="4">
        <v>44</v>
      </c>
      <c r="I2258" s="2">
        <f>grand[[#This Row],[number]]-grand[[#This Row],[received]]</f>
        <v>2</v>
      </c>
      <c r="J2258" s="30" t="s">
        <v>194</v>
      </c>
      <c r="K2258" s="4">
        <v>21255</v>
      </c>
      <c r="L2258" s="4">
        <v>20495</v>
      </c>
      <c r="M2258" s="2">
        <f>K2258-L2258</f>
        <v>760</v>
      </c>
      <c r="N2258" s="4">
        <v>12752.4</v>
      </c>
      <c r="O2258" s="4"/>
      <c r="P2258" s="7">
        <f>grand[[#This Row],[total weight]]/grand[[#This Row],[received]]</f>
        <v>483.06818181818181</v>
      </c>
      <c r="Q2258" s="7">
        <f>grand[[#This Row],[receiving weight]]/grand[[#This Row],[received]]</f>
        <v>465.79545454545456</v>
      </c>
      <c r="R2258" s="7">
        <f>grand[[#This Row],[transportation loss ]]/grand[[#This Row],[received]]</f>
        <v>17.272727272727273</v>
      </c>
      <c r="S2258" s="7">
        <f>grand[[#This Row],[ carcass weight]]/grand[[#This Row],[received]]</f>
        <v>289.82727272727271</v>
      </c>
      <c r="T2258" s="7">
        <f>grand[[#This Row],[ kidneys fat quantity]]/grand[[#This Row],[received]]</f>
        <v>0</v>
      </c>
      <c r="U2258" s="4">
        <v>22</v>
      </c>
      <c r="V2258" s="4">
        <v>0</v>
      </c>
      <c r="W2258" s="4">
        <v>49.1</v>
      </c>
      <c r="X2258" s="4">
        <v>9.9</v>
      </c>
      <c r="Y2258" s="8">
        <v>8.5</v>
      </c>
      <c r="Z2258" s="3">
        <f>grand[[#This Row],[av. Transportation loss]]/grand[[#This Row],[av.total weight]]</f>
        <v>3.5756292637026586E-2</v>
      </c>
      <c r="AA2258" s="12">
        <f>AVERAGE((grand[[#This Row],[am]]/25),(grand[[#This Row],[pm]]/50))</f>
        <v>0.93100000000000005</v>
      </c>
      <c r="AB2258" s="3">
        <f>grand[[#This Row],[ carcass weight]]/grand[[#This Row],[total weight]]</f>
        <v>0.59997177134791813</v>
      </c>
      <c r="AC2258" s="6">
        <f>SUM(grand[[#This Row],[am]:[meat transportation]])/100</f>
        <v>0.89500000000000002</v>
      </c>
      <c r="AD2258" s="9" t="s">
        <v>195</v>
      </c>
      <c r="AE2258" s="4">
        <v>2</v>
      </c>
      <c r="AF2258" s="4" t="s">
        <v>196</v>
      </c>
      <c r="AG2258" s="4"/>
      <c r="AH2258" s="4"/>
      <c r="AI2258" s="4">
        <v>5</v>
      </c>
      <c r="AJ2258" s="2">
        <v>3</v>
      </c>
      <c r="AK2258" s="4"/>
      <c r="AL2258" s="2">
        <f>540+370+13</f>
        <v>923</v>
      </c>
    </row>
    <row r="2259" spans="1:38" hidden="1" x14ac:dyDescent="0.2">
      <c r="A2259" s="11">
        <v>44080</v>
      </c>
      <c r="B2259" s="53" t="s">
        <v>1511</v>
      </c>
      <c r="C2259" s="52" t="str">
        <f>IF(MID(B2259,4,2)="09","Ramadan",IF(AND(MID(B2259,4,2)="12",VALUE(LEFT(B2259,2))&lt;=9),"Adha Season","Normal"))</f>
        <v>Normal</v>
      </c>
      <c r="D2259" s="1" t="s">
        <v>45</v>
      </c>
      <c r="F2259" s="4" t="s">
        <v>50</v>
      </c>
      <c r="G2259" s="4">
        <v>38</v>
      </c>
      <c r="H2259" s="4">
        <v>36</v>
      </c>
      <c r="I2259" s="2">
        <f>grand[[#This Row],[number]]-grand[[#This Row],[received]]</f>
        <v>2</v>
      </c>
      <c r="J2259" s="30" t="s">
        <v>198</v>
      </c>
      <c r="K2259" s="4">
        <v>15314</v>
      </c>
      <c r="L2259" s="4">
        <v>14142</v>
      </c>
      <c r="M2259" s="2">
        <f>K2259-L2259</f>
        <v>1172</v>
      </c>
      <c r="N2259" s="4">
        <v>9449</v>
      </c>
      <c r="O2259" s="4"/>
      <c r="P2259" s="7">
        <f>grand[[#This Row],[total weight]]/grand[[#This Row],[received]]</f>
        <v>425.38888888888891</v>
      </c>
      <c r="Q2259" s="7">
        <f>grand[[#This Row],[receiving weight]]/grand[[#This Row],[received]]</f>
        <v>392.83333333333331</v>
      </c>
      <c r="R2259" s="7">
        <f>grand[[#This Row],[transportation loss ]]/grand[[#This Row],[received]]</f>
        <v>32.555555555555557</v>
      </c>
      <c r="S2259" s="7">
        <f>grand[[#This Row],[ carcass weight]]/grand[[#This Row],[received]]</f>
        <v>262.47222222222223</v>
      </c>
      <c r="T2259" s="7">
        <f>grand[[#This Row],[ kidneys fat quantity]]/grand[[#This Row],[received]]</f>
        <v>0</v>
      </c>
      <c r="U2259" s="4">
        <v>25</v>
      </c>
      <c r="V2259" s="4">
        <v>0</v>
      </c>
      <c r="W2259" s="4">
        <v>49.6</v>
      </c>
      <c r="X2259" s="4">
        <v>10</v>
      </c>
      <c r="Y2259" s="8">
        <v>8.5</v>
      </c>
      <c r="Z2259" s="3">
        <f>grand[[#This Row],[av. Transportation loss]]/grand[[#This Row],[av.total weight]]</f>
        <v>7.6531278568630012E-2</v>
      </c>
      <c r="AA2259" s="12">
        <f>AVERAGE((grand[[#This Row],[am]]/25),(grand[[#This Row],[pm]]/50))</f>
        <v>0.996</v>
      </c>
      <c r="AB2259" s="3">
        <f>grand[[#This Row],[ carcass weight]]/grand[[#This Row],[total weight]]</f>
        <v>0.61701710852814418</v>
      </c>
      <c r="AC2259" s="6">
        <f>SUM(grand[[#This Row],[am]:[meat transportation]])/100</f>
        <v>0.93099999999999994</v>
      </c>
      <c r="AD2259" s="9" t="s">
        <v>195</v>
      </c>
      <c r="AE2259" s="4"/>
      <c r="AF2259" s="4" t="s">
        <v>199</v>
      </c>
      <c r="AG2259" s="4"/>
      <c r="AH2259" s="4"/>
      <c r="AI2259" s="4"/>
      <c r="AJ2259" s="2"/>
      <c r="AK2259" s="4"/>
      <c r="AL2259" s="2">
        <f>457+426+7+7</f>
        <v>897</v>
      </c>
    </row>
    <row r="2260" spans="1:38" hidden="1" x14ac:dyDescent="0.2">
      <c r="A2260" s="11">
        <v>44084</v>
      </c>
      <c r="B2260" s="53" t="s">
        <v>2549</v>
      </c>
      <c r="C2260" s="52" t="str">
        <f>IF(MID(B2260,4,2)="09","Ramadan",IF(AND(MID(B2260,4,2)="12",VALUE(LEFT(B2260,2))&lt;=9),"Adha Season","Normal"))</f>
        <v>Normal</v>
      </c>
      <c r="D2260" s="1" t="s">
        <v>45</v>
      </c>
      <c r="F2260" s="4" t="s">
        <v>46</v>
      </c>
      <c r="G2260" s="4">
        <v>37</v>
      </c>
      <c r="H2260" s="4">
        <v>35</v>
      </c>
      <c r="I2260" s="2">
        <f>grand[[#This Row],[number]]-grand[[#This Row],[received]]</f>
        <v>2</v>
      </c>
      <c r="J2260" s="30" t="s">
        <v>115</v>
      </c>
      <c r="K2260" s="4">
        <v>15504</v>
      </c>
      <c r="L2260" s="4">
        <v>14984</v>
      </c>
      <c r="M2260" s="2">
        <f>K2260-L2260</f>
        <v>520</v>
      </c>
      <c r="N2260" s="4">
        <v>9447.9</v>
      </c>
      <c r="O2260" s="4"/>
      <c r="P2260" s="7">
        <f>grand[[#This Row],[total weight]]/grand[[#This Row],[received]]</f>
        <v>442.97142857142859</v>
      </c>
      <c r="Q2260" s="7">
        <f>grand[[#This Row],[receiving weight]]/grand[[#This Row],[received]]</f>
        <v>428.1142857142857</v>
      </c>
      <c r="R2260" s="7">
        <f>grand[[#This Row],[transportation loss ]]/grand[[#This Row],[received]]</f>
        <v>14.857142857142858</v>
      </c>
      <c r="S2260" s="7">
        <f>grand[[#This Row],[ carcass weight]]/grand[[#This Row],[received]]</f>
        <v>269.94</v>
      </c>
      <c r="T2260" s="7">
        <f>grand[[#This Row],[ kidneys fat quantity]]/grand[[#This Row],[received]]</f>
        <v>0</v>
      </c>
      <c r="U2260" s="4">
        <v>25</v>
      </c>
      <c r="V2260" s="4">
        <v>0</v>
      </c>
      <c r="W2260" s="4">
        <v>49.7</v>
      </c>
      <c r="X2260" s="4">
        <v>10</v>
      </c>
      <c r="Y2260" s="8">
        <v>8.5</v>
      </c>
      <c r="Z2260" s="3">
        <f>grand[[#This Row],[av. Transportation loss]]/grand[[#This Row],[av.total weight]]</f>
        <v>3.3539731682146544E-2</v>
      </c>
      <c r="AA2260" s="12">
        <f>AVERAGE((grand[[#This Row],[am]]/25),(grand[[#This Row],[pm]]/50))</f>
        <v>0.99700000000000011</v>
      </c>
      <c r="AB2260" s="3">
        <f>grand[[#This Row],[ carcass weight]]/grand[[#This Row],[total weight]]</f>
        <v>0.60938467492260062</v>
      </c>
      <c r="AC2260" s="6">
        <f>SUM(grand[[#This Row],[am]:[meat transportation]])/100</f>
        <v>0.93200000000000005</v>
      </c>
      <c r="AD2260" s="9"/>
      <c r="AE2260" s="4">
        <v>3</v>
      </c>
      <c r="AF2260" s="4" t="s">
        <v>82</v>
      </c>
      <c r="AG2260" s="4"/>
      <c r="AH2260" s="4"/>
      <c r="AI2260" s="4"/>
      <c r="AJ2260" s="2"/>
      <c r="AK2260" s="4"/>
      <c r="AL2260" s="2">
        <f>459+537+2</f>
        <v>998</v>
      </c>
    </row>
    <row r="2261" spans="1:38" hidden="1" x14ac:dyDescent="0.2">
      <c r="A2261" s="11">
        <v>44094</v>
      </c>
      <c r="B2261" s="53" t="s">
        <v>1515</v>
      </c>
      <c r="C2261" s="52" t="str">
        <f>IF(MID(B2261,4,2)="09","Ramadan",IF(AND(MID(B2261,4,2)="12",VALUE(LEFT(B2261,2))&lt;=9),"Adha Season","Normal"))</f>
        <v>Normal</v>
      </c>
      <c r="D2261" s="1" t="s">
        <v>45</v>
      </c>
      <c r="F2261" s="4" t="s">
        <v>50</v>
      </c>
      <c r="G2261" s="4">
        <v>32</v>
      </c>
      <c r="H2261" s="4">
        <v>30</v>
      </c>
      <c r="I2261" s="2">
        <f>grand[[#This Row],[number]]-grand[[#This Row],[received]]</f>
        <v>2</v>
      </c>
      <c r="J2261" s="30" t="s">
        <v>204</v>
      </c>
      <c r="K2261" s="4">
        <v>13121</v>
      </c>
      <c r="L2261" s="4">
        <v>12222</v>
      </c>
      <c r="M2261" s="2">
        <f>K2261-L2261</f>
        <v>899</v>
      </c>
      <c r="N2261" s="4">
        <v>8086</v>
      </c>
      <c r="O2261" s="4"/>
      <c r="P2261" s="7">
        <f>grand[[#This Row],[total weight]]/grand[[#This Row],[received]]</f>
        <v>437.36666666666667</v>
      </c>
      <c r="Q2261" s="7">
        <f>grand[[#This Row],[receiving weight]]/grand[[#This Row],[received]]</f>
        <v>407.4</v>
      </c>
      <c r="R2261" s="7">
        <f>grand[[#This Row],[transportation loss ]]/grand[[#This Row],[received]]</f>
        <v>29.966666666666665</v>
      </c>
      <c r="S2261" s="7">
        <f>grand[[#This Row],[ carcass weight]]/grand[[#This Row],[received]]</f>
        <v>269.53333333333336</v>
      </c>
      <c r="T2261" s="7">
        <f>grand[[#This Row],[ kidneys fat quantity]]/grand[[#This Row],[received]]</f>
        <v>0</v>
      </c>
      <c r="U2261" s="4">
        <v>25</v>
      </c>
      <c r="V2261" s="4">
        <v>0</v>
      </c>
      <c r="W2261" s="4">
        <v>49.1</v>
      </c>
      <c r="X2261" s="4">
        <v>10</v>
      </c>
      <c r="Y2261" s="8">
        <v>8.5</v>
      </c>
      <c r="Z2261" s="3">
        <f>grand[[#This Row],[av. Transportation loss]]/grand[[#This Row],[av.total weight]]</f>
        <v>6.8516119198231834E-2</v>
      </c>
      <c r="AA2261" s="12">
        <f>AVERAGE((grand[[#This Row],[am]]/25),(grand[[#This Row],[pm]]/50))</f>
        <v>0.99099999999999999</v>
      </c>
      <c r="AB2261" s="3">
        <f>grand[[#This Row],[ carcass weight]]/grand[[#This Row],[total weight]]</f>
        <v>0.61626400426796735</v>
      </c>
      <c r="AC2261" s="6">
        <f>SUM(grand[[#This Row],[am]:[meat transportation]])/100</f>
        <v>0.92599999999999993</v>
      </c>
      <c r="AD2261" s="9" t="s">
        <v>205</v>
      </c>
      <c r="AE2261" s="4">
        <v>4</v>
      </c>
      <c r="AF2261" s="4" t="s">
        <v>55</v>
      </c>
      <c r="AG2261" s="4"/>
      <c r="AH2261" s="4"/>
      <c r="AI2261" s="4"/>
      <c r="AJ2261" s="2"/>
      <c r="AK2261" s="4"/>
      <c r="AL2261" s="2">
        <f>773+10</f>
        <v>783</v>
      </c>
    </row>
    <row r="2262" spans="1:38" hidden="1" x14ac:dyDescent="0.2">
      <c r="A2262" s="11">
        <v>44101</v>
      </c>
      <c r="B2262" s="53" t="s">
        <v>1516</v>
      </c>
      <c r="C2262" s="52" t="str">
        <f>IF(MID(B2262,4,2)="09","Ramadan",IF(AND(MID(B2262,4,2)="12",VALUE(LEFT(B2262,2))&lt;=9),"Adha Season","Normal"))</f>
        <v>Normal</v>
      </c>
      <c r="D2262" s="1" t="s">
        <v>45</v>
      </c>
      <c r="F2262" s="4" t="s">
        <v>50</v>
      </c>
      <c r="G2262" s="4">
        <v>35</v>
      </c>
      <c r="H2262" s="4">
        <v>33</v>
      </c>
      <c r="I2262" s="2">
        <f>grand[[#This Row],[number]]-grand[[#This Row],[received]]</f>
        <v>2</v>
      </c>
      <c r="J2262" s="30" t="s">
        <v>198</v>
      </c>
      <c r="K2262" s="4">
        <v>14528</v>
      </c>
      <c r="L2262" s="4">
        <v>13671</v>
      </c>
      <c r="M2262" s="2">
        <f>K2262-L2262</f>
        <v>857</v>
      </c>
      <c r="N2262" s="4">
        <v>9010.5</v>
      </c>
      <c r="O2262" s="4"/>
      <c r="P2262" s="7">
        <f>grand[[#This Row],[total weight]]/grand[[#This Row],[received]]</f>
        <v>440.24242424242425</v>
      </c>
      <c r="Q2262" s="7">
        <f>grand[[#This Row],[receiving weight]]/grand[[#This Row],[received]]</f>
        <v>414.27272727272725</v>
      </c>
      <c r="R2262" s="7">
        <f>grand[[#This Row],[transportation loss ]]/grand[[#This Row],[received]]</f>
        <v>25.969696969696969</v>
      </c>
      <c r="S2262" s="7">
        <f>grand[[#This Row],[ carcass weight]]/grand[[#This Row],[received]]</f>
        <v>273.04545454545456</v>
      </c>
      <c r="T2262" s="7">
        <f>grand[[#This Row],[ kidneys fat quantity]]/grand[[#This Row],[received]]</f>
        <v>0</v>
      </c>
      <c r="U2262" s="4">
        <v>25</v>
      </c>
      <c r="V2262" s="4">
        <v>0</v>
      </c>
      <c r="W2262" s="4">
        <v>49.9</v>
      </c>
      <c r="X2262" s="4">
        <v>10</v>
      </c>
      <c r="Y2262" s="8">
        <v>8.5</v>
      </c>
      <c r="Z2262" s="3">
        <f>grand[[#This Row],[av. Transportation loss]]/grand[[#This Row],[av.total weight]]</f>
        <v>5.8989537444933918E-2</v>
      </c>
      <c r="AA2262" s="12">
        <f>AVERAGE((grand[[#This Row],[am]]/25),(grand[[#This Row],[pm]]/50))</f>
        <v>0.999</v>
      </c>
      <c r="AB2262" s="3">
        <f>grand[[#This Row],[ carcass weight]]/grand[[#This Row],[total weight]]</f>
        <v>0.62021613436123346</v>
      </c>
      <c r="AC2262" s="6">
        <f>SUM(grand[[#This Row],[am]:[meat transportation]])/100</f>
        <v>0.93400000000000005</v>
      </c>
      <c r="AD2262" s="9"/>
      <c r="AE2262" s="4"/>
      <c r="AF2262" s="4" t="s">
        <v>207</v>
      </c>
      <c r="AG2262" s="4"/>
      <c r="AH2262" s="4"/>
      <c r="AI2262" s="4"/>
      <c r="AJ2262" s="2"/>
      <c r="AK2262" s="4"/>
      <c r="AL2262" s="2">
        <v>935</v>
      </c>
    </row>
    <row r="2263" spans="1:38" hidden="1" x14ac:dyDescent="0.2">
      <c r="A2263" s="11">
        <v>44117</v>
      </c>
      <c r="B2263" s="53" t="s">
        <v>2562</v>
      </c>
      <c r="C2263" s="52" t="str">
        <f>IF(MID(B2263,4,2)="09","Ramadan",IF(AND(MID(B2263,4,2)="12",VALUE(LEFT(B2263,2))&lt;=9),"Adha Season","Normal"))</f>
        <v>Normal</v>
      </c>
      <c r="D2263" s="1" t="s">
        <v>45</v>
      </c>
      <c r="F2263" s="4" t="s">
        <v>50</v>
      </c>
      <c r="G2263" s="4">
        <v>32</v>
      </c>
      <c r="H2263" s="4">
        <v>30</v>
      </c>
      <c r="I2263" s="2">
        <f>grand[[#This Row],[number]]-grand[[#This Row],[received]]</f>
        <v>2</v>
      </c>
      <c r="J2263" s="30" t="s">
        <v>108</v>
      </c>
      <c r="K2263" s="4">
        <v>12761</v>
      </c>
      <c r="L2263" s="4">
        <v>11996</v>
      </c>
      <c r="M2263" s="2">
        <f>K2263-L2263</f>
        <v>765</v>
      </c>
      <c r="N2263" s="4">
        <v>7836.6</v>
      </c>
      <c r="O2263" s="4"/>
      <c r="P2263" s="7">
        <f>grand[[#This Row],[total weight]]/grand[[#This Row],[received]]</f>
        <v>425.36666666666667</v>
      </c>
      <c r="Q2263" s="7">
        <f>grand[[#This Row],[receiving weight]]/grand[[#This Row],[received]]</f>
        <v>399.86666666666667</v>
      </c>
      <c r="R2263" s="7">
        <f>grand[[#This Row],[transportation loss ]]/grand[[#This Row],[received]]</f>
        <v>25.5</v>
      </c>
      <c r="S2263" s="7">
        <f>grand[[#This Row],[ carcass weight]]/grand[[#This Row],[received]]</f>
        <v>261.22000000000003</v>
      </c>
      <c r="T2263" s="7">
        <f>grand[[#This Row],[ kidneys fat quantity]]/grand[[#This Row],[received]]</f>
        <v>0</v>
      </c>
      <c r="U2263" s="4">
        <v>25</v>
      </c>
      <c r="V2263" s="4">
        <v>0</v>
      </c>
      <c r="W2263" s="4">
        <v>49.7</v>
      </c>
      <c r="X2263" s="4">
        <v>10</v>
      </c>
      <c r="Y2263" s="8">
        <v>8.5</v>
      </c>
      <c r="Z2263" s="3">
        <f>grand[[#This Row],[av. Transportation loss]]/grand[[#This Row],[av.total weight]]</f>
        <v>5.9948279915367136E-2</v>
      </c>
      <c r="AA2263" s="12">
        <f>AVERAGE((grand[[#This Row],[am]]/25),(grand[[#This Row],[pm]]/50))</f>
        <v>0.99700000000000011</v>
      </c>
      <c r="AB2263" s="3">
        <f>grand[[#This Row],[ carcass weight]]/grand[[#This Row],[total weight]]</f>
        <v>0.61410547762714529</v>
      </c>
      <c r="AC2263" s="6">
        <f>SUM(grand[[#This Row],[am]:[meat transportation]])/100</f>
        <v>0.93200000000000005</v>
      </c>
      <c r="AD2263" s="9"/>
      <c r="AE2263" s="4">
        <v>2</v>
      </c>
      <c r="AF2263" s="4" t="s">
        <v>216</v>
      </c>
      <c r="AG2263" s="4"/>
      <c r="AH2263" s="4"/>
      <c r="AI2263" s="4"/>
      <c r="AJ2263" s="2"/>
      <c r="AK2263" s="4"/>
      <c r="AL2263" s="2">
        <f>904+9</f>
        <v>913</v>
      </c>
    </row>
    <row r="2264" spans="1:38" hidden="1" x14ac:dyDescent="0.2">
      <c r="A2264" s="11">
        <v>44117</v>
      </c>
      <c r="B2264" s="53" t="s">
        <v>2562</v>
      </c>
      <c r="C2264" s="52" t="str">
        <f>IF(MID(B2264,4,2)="09","Ramadan",IF(AND(MID(B2264,4,2)="12",VALUE(LEFT(B2264,2))&lt;=9),"Adha Season","Normal"))</f>
        <v>Normal</v>
      </c>
      <c r="D2264" s="2" t="s">
        <v>294</v>
      </c>
      <c r="E2264" s="2"/>
      <c r="F2264" s="4" t="s">
        <v>217</v>
      </c>
      <c r="G2264" s="4">
        <v>23</v>
      </c>
      <c r="H2264" s="4">
        <v>21</v>
      </c>
      <c r="I2264" s="2">
        <f>grand[[#This Row],[number]]-grand[[#This Row],[received]]</f>
        <v>2</v>
      </c>
      <c r="J2264" s="30" t="s">
        <v>218</v>
      </c>
      <c r="K2264" s="4"/>
      <c r="L2264" s="4"/>
      <c r="M2264" s="2">
        <f>K2264-L2264</f>
        <v>0</v>
      </c>
      <c r="N2264" s="4"/>
      <c r="O2264" s="4"/>
      <c r="P2264" s="7">
        <f>grand[[#This Row],[total weight]]/grand[[#This Row],[received]]</f>
        <v>0</v>
      </c>
      <c r="Q2264" s="7">
        <f>grand[[#This Row],[receiving weight]]/grand[[#This Row],[received]]</f>
        <v>0</v>
      </c>
      <c r="R2264" s="7">
        <f>grand[[#This Row],[transportation loss ]]/grand[[#This Row],[received]]</f>
        <v>0</v>
      </c>
      <c r="S2264" s="7">
        <f>grand[[#This Row],[ carcass weight]]/grand[[#This Row],[received]]</f>
        <v>0</v>
      </c>
      <c r="T2264" s="7">
        <f>grand[[#This Row],[ kidneys fat quantity]]/grand[[#This Row],[received]]</f>
        <v>0</v>
      </c>
      <c r="U2264" s="4">
        <v>15</v>
      </c>
      <c r="V2264" s="4">
        <v>0</v>
      </c>
      <c r="W2264" s="4">
        <v>49.8</v>
      </c>
      <c r="X2264" s="4">
        <v>10</v>
      </c>
      <c r="Y2264" s="8">
        <v>8.5</v>
      </c>
      <c r="Z2264" s="3"/>
      <c r="AA2264" s="12">
        <f>AVERAGE((grand[[#This Row],[am]]/25),(grand[[#This Row],[pm]]/50))</f>
        <v>0.79800000000000004</v>
      </c>
      <c r="AB2264" s="3"/>
      <c r="AC2264" s="6">
        <f>SUM(grand[[#This Row],[am]:[meat transportation]])/100</f>
        <v>0.83299999999999996</v>
      </c>
      <c r="AD2264" s="9"/>
      <c r="AE2264" s="4"/>
      <c r="AF2264" s="4" t="s">
        <v>219</v>
      </c>
      <c r="AG2264" s="4"/>
      <c r="AH2264" s="4"/>
      <c r="AI2264" s="4"/>
      <c r="AJ2264" s="2">
        <v>21</v>
      </c>
      <c r="AK2264" s="4">
        <v>21</v>
      </c>
      <c r="AL2264" s="2">
        <v>82.5</v>
      </c>
    </row>
    <row r="2265" spans="1:38" hidden="1" x14ac:dyDescent="0.2">
      <c r="A2265" s="11">
        <v>44122</v>
      </c>
      <c r="B2265" s="53" t="s">
        <v>1519</v>
      </c>
      <c r="C2265" s="52" t="str">
        <f>IF(MID(B2265,4,2)="09","Ramadan",IF(AND(MID(B2265,4,2)="12",VALUE(LEFT(B2265,2))&lt;=9),"Adha Season","Normal"))</f>
        <v>Normal</v>
      </c>
      <c r="D2265" s="1" t="s">
        <v>45</v>
      </c>
      <c r="F2265" s="4" t="s">
        <v>50</v>
      </c>
      <c r="G2265" s="4">
        <v>40</v>
      </c>
      <c r="H2265" s="4">
        <v>38</v>
      </c>
      <c r="I2265" s="2">
        <f>grand[[#This Row],[number]]-grand[[#This Row],[received]]</f>
        <v>2</v>
      </c>
      <c r="J2265" s="30" t="s">
        <v>108</v>
      </c>
      <c r="K2265" s="4">
        <v>16608</v>
      </c>
      <c r="L2265" s="4">
        <v>15414</v>
      </c>
      <c r="M2265" s="2">
        <f>K2265-L2265</f>
        <v>1194</v>
      </c>
      <c r="N2265" s="4">
        <v>10058.5</v>
      </c>
      <c r="O2265" s="4"/>
      <c r="P2265" s="7">
        <f>grand[[#This Row],[total weight]]/grand[[#This Row],[received]]</f>
        <v>437.05263157894734</v>
      </c>
      <c r="Q2265" s="7">
        <f>grand[[#This Row],[receiving weight]]/grand[[#This Row],[received]]</f>
        <v>405.63157894736844</v>
      </c>
      <c r="R2265" s="7">
        <f>grand[[#This Row],[transportation loss ]]/grand[[#This Row],[received]]</f>
        <v>31.421052631578949</v>
      </c>
      <c r="S2265" s="7">
        <f>grand[[#This Row],[ carcass weight]]/grand[[#This Row],[received]]</f>
        <v>264.69736842105266</v>
      </c>
      <c r="T2265" s="7">
        <f>grand[[#This Row],[ kidneys fat quantity]]/grand[[#This Row],[received]]</f>
        <v>0</v>
      </c>
      <c r="U2265" s="4">
        <v>25</v>
      </c>
      <c r="V2265" s="4">
        <v>0</v>
      </c>
      <c r="W2265" s="4">
        <v>49.9</v>
      </c>
      <c r="X2265" s="4">
        <v>10</v>
      </c>
      <c r="Y2265" s="8">
        <v>8.5</v>
      </c>
      <c r="Z2265" s="3">
        <f>grand[[#This Row],[av. Transportation loss]]/grand[[#This Row],[av.total weight]]</f>
        <v>7.1893063583815031E-2</v>
      </c>
      <c r="AA2265" s="12">
        <f>AVERAGE((grand[[#This Row],[am]]/25),(grand[[#This Row],[pm]]/50))</f>
        <v>0.999</v>
      </c>
      <c r="AB2265" s="3">
        <f>grand[[#This Row],[ carcass weight]]/grand[[#This Row],[total weight]]</f>
        <v>0.60564185934489401</v>
      </c>
      <c r="AC2265" s="6">
        <f>SUM(grand[[#This Row],[am]:[meat transportation]])/100</f>
        <v>0.93400000000000005</v>
      </c>
      <c r="AD2265" s="9" t="s">
        <v>100</v>
      </c>
      <c r="AE2265" s="4"/>
      <c r="AF2265" s="4"/>
      <c r="AG2265" s="4"/>
      <c r="AH2265" s="4"/>
      <c r="AI2265" s="4"/>
      <c r="AJ2265" s="2"/>
      <c r="AK2265" s="4"/>
      <c r="AL2265" s="2">
        <f>821+10</f>
        <v>831</v>
      </c>
    </row>
    <row r="2266" spans="1:38" hidden="1" x14ac:dyDescent="0.2">
      <c r="A2266" s="11">
        <v>44131</v>
      </c>
      <c r="B2266" s="53" t="s">
        <v>2568</v>
      </c>
      <c r="C2266" s="52" t="str">
        <f>IF(MID(B2266,4,2)="09","Ramadan",IF(AND(MID(B2266,4,2)="12",VALUE(LEFT(B2266,2))&lt;=9),"Adha Season","Normal"))</f>
        <v>Normal</v>
      </c>
      <c r="D2266" s="1" t="s">
        <v>45</v>
      </c>
      <c r="F2266" s="4" t="s">
        <v>43</v>
      </c>
      <c r="G2266" s="4">
        <v>24</v>
      </c>
      <c r="H2266" s="4">
        <v>22</v>
      </c>
      <c r="I2266" s="2">
        <f>grand[[#This Row],[number]]-grand[[#This Row],[received]]</f>
        <v>2</v>
      </c>
      <c r="J2266" s="30" t="s">
        <v>1115</v>
      </c>
      <c r="K2266" s="4">
        <v>9063</v>
      </c>
      <c r="L2266" s="4">
        <v>8966</v>
      </c>
      <c r="M2266" s="2">
        <f>K2266-L2266</f>
        <v>97</v>
      </c>
      <c r="N2266" s="4">
        <v>5437.5</v>
      </c>
      <c r="O2266" s="4"/>
      <c r="P2266" s="7">
        <f>grand[[#This Row],[total weight]]/grand[[#This Row],[received]]</f>
        <v>411.95454545454544</v>
      </c>
      <c r="Q2266" s="7">
        <f>grand[[#This Row],[receiving weight]]/grand[[#This Row],[received]]</f>
        <v>407.54545454545456</v>
      </c>
      <c r="R2266" s="7">
        <f>grand[[#This Row],[transportation loss ]]/grand[[#This Row],[received]]</f>
        <v>4.4090909090909092</v>
      </c>
      <c r="S2266" s="7">
        <f>grand[[#This Row],[ carcass weight]]/grand[[#This Row],[received]]</f>
        <v>247.15909090909091</v>
      </c>
      <c r="T2266" s="7">
        <f>grand[[#This Row],[ kidneys fat quantity]]/grand[[#This Row],[received]]</f>
        <v>0</v>
      </c>
      <c r="U2266" s="4">
        <v>25</v>
      </c>
      <c r="V2266" s="4">
        <v>0</v>
      </c>
      <c r="W2266" s="4">
        <v>49.9</v>
      </c>
      <c r="X2266" s="4">
        <v>10</v>
      </c>
      <c r="Y2266" s="8">
        <v>8.5</v>
      </c>
      <c r="Z2266" s="3">
        <f>grand[[#This Row],[av. Transportation loss]]/grand[[#This Row],[av.total weight]]</f>
        <v>1.0702857773364228E-2</v>
      </c>
      <c r="AA2266" s="12">
        <f>AVERAGE((grand[[#This Row],[am]]/25),(grand[[#This Row],[pm]]/50))</f>
        <v>0.999</v>
      </c>
      <c r="AB2266" s="3">
        <f>grand[[#This Row],[ carcass weight]]/grand[[#This Row],[total weight]]</f>
        <v>0.59996689837802053</v>
      </c>
      <c r="AC2266" s="6">
        <f>SUM(grand[[#This Row],[am]:[meat transportation]])/100</f>
        <v>0.93400000000000005</v>
      </c>
      <c r="AD2266" s="9"/>
      <c r="AE2266" s="4"/>
      <c r="AF2266" s="4" t="s">
        <v>55</v>
      </c>
      <c r="AG2266" s="4"/>
      <c r="AH2266" s="4"/>
      <c r="AI2266" s="4"/>
      <c r="AJ2266" s="2"/>
      <c r="AK2266" s="4"/>
      <c r="AL2266" s="2">
        <f>914+3</f>
        <v>917</v>
      </c>
    </row>
    <row r="2267" spans="1:38" hidden="1" x14ac:dyDescent="0.2">
      <c r="A2267" s="11">
        <v>44150</v>
      </c>
      <c r="B2267" s="53" t="s">
        <v>1523</v>
      </c>
      <c r="C2267" s="52" t="str">
        <f>IF(MID(B2267,4,2)="09","Ramadan",IF(AND(MID(B2267,4,2)="12",VALUE(LEFT(B2267,2))&lt;=9),"Adha Season","Normal"))</f>
        <v>Normal</v>
      </c>
      <c r="D2267" s="1" t="s">
        <v>45</v>
      </c>
      <c r="F2267" s="4" t="s">
        <v>50</v>
      </c>
      <c r="G2267" s="4">
        <v>44</v>
      </c>
      <c r="H2267" s="4">
        <v>42</v>
      </c>
      <c r="I2267" s="2">
        <f>grand[[#This Row],[number]]-grand[[#This Row],[received]]</f>
        <v>2</v>
      </c>
      <c r="J2267" s="30" t="s">
        <v>230</v>
      </c>
      <c r="K2267" s="4">
        <v>18377</v>
      </c>
      <c r="L2267" s="4">
        <v>17004</v>
      </c>
      <c r="M2267" s="2">
        <f>K2267-L2267</f>
        <v>1373</v>
      </c>
      <c r="N2267" s="4">
        <v>11351.2</v>
      </c>
      <c r="O2267" s="4"/>
      <c r="P2267" s="7">
        <f>grand[[#This Row],[total weight]]/grand[[#This Row],[received]]</f>
        <v>437.54761904761904</v>
      </c>
      <c r="Q2267" s="7">
        <f>grand[[#This Row],[receiving weight]]/grand[[#This Row],[received]]</f>
        <v>404.85714285714283</v>
      </c>
      <c r="R2267" s="7">
        <f>grand[[#This Row],[transportation loss ]]/grand[[#This Row],[received]]</f>
        <v>32.69047619047619</v>
      </c>
      <c r="S2267" s="7">
        <f>grand[[#This Row],[ carcass weight]]/grand[[#This Row],[received]]</f>
        <v>270.26666666666671</v>
      </c>
      <c r="T2267" s="7">
        <f>grand[[#This Row],[ kidneys fat quantity]]/grand[[#This Row],[received]]</f>
        <v>0</v>
      </c>
      <c r="U2267" s="4">
        <v>25</v>
      </c>
      <c r="V2267" s="4">
        <v>0</v>
      </c>
      <c r="W2267" s="4">
        <v>49.95</v>
      </c>
      <c r="X2267" s="4">
        <v>10</v>
      </c>
      <c r="Y2267" s="8">
        <v>8.5</v>
      </c>
      <c r="Z2267" s="3">
        <f>grand[[#This Row],[av. Transportation loss]]/grand[[#This Row],[av.total weight]]</f>
        <v>7.4712956412907441E-2</v>
      </c>
      <c r="AA2267" s="12">
        <f>AVERAGE((grand[[#This Row],[am]]/25),(grand[[#This Row],[pm]]/50))</f>
        <v>0.99950000000000006</v>
      </c>
      <c r="AB2267" s="3">
        <f>grand[[#This Row],[ carcass weight]]/grand[[#This Row],[total weight]]</f>
        <v>0.61768514991565548</v>
      </c>
      <c r="AC2267" s="6">
        <f>SUM(grand[[#This Row],[am]:[meat transportation]])/100</f>
        <v>0.9345</v>
      </c>
      <c r="AD2267" s="9" t="s">
        <v>89</v>
      </c>
      <c r="AE2267" s="4"/>
      <c r="AF2267" s="4"/>
      <c r="AG2267" s="4"/>
      <c r="AH2267" s="4"/>
      <c r="AI2267" s="4"/>
      <c r="AJ2267" s="2"/>
      <c r="AK2267" s="4"/>
      <c r="AL2267" s="2">
        <f>856+2</f>
        <v>858</v>
      </c>
    </row>
    <row r="2268" spans="1:38" hidden="1" x14ac:dyDescent="0.2">
      <c r="A2268" s="11">
        <v>44161</v>
      </c>
      <c r="B2268" s="53" t="s">
        <v>2581</v>
      </c>
      <c r="C2268" s="52" t="str">
        <f>IF(MID(B2268,4,2)="09","Ramadan",IF(AND(MID(B2268,4,2)="12",VALUE(LEFT(B2268,2))&lt;=9),"Adha Season","Normal"))</f>
        <v>Normal</v>
      </c>
      <c r="D2268" s="1" t="s">
        <v>45</v>
      </c>
      <c r="F2268" s="4" t="s">
        <v>46</v>
      </c>
      <c r="G2268" s="4">
        <v>44</v>
      </c>
      <c r="H2268" s="4">
        <v>42</v>
      </c>
      <c r="I2268" s="2">
        <f>grand[[#This Row],[number]]-grand[[#This Row],[received]]</f>
        <v>2</v>
      </c>
      <c r="J2268" s="30" t="s">
        <v>1117</v>
      </c>
      <c r="K2268" s="4">
        <v>20658</v>
      </c>
      <c r="L2268" s="4">
        <v>19685</v>
      </c>
      <c r="M2268" s="2">
        <f>K2268-L2268</f>
        <v>973</v>
      </c>
      <c r="N2268" s="4">
        <v>12418.4</v>
      </c>
      <c r="O2268" s="4"/>
      <c r="P2268" s="7">
        <f>grand[[#This Row],[total weight]]/grand[[#This Row],[received]]</f>
        <v>491.85714285714283</v>
      </c>
      <c r="Q2268" s="7">
        <f>grand[[#This Row],[receiving weight]]/grand[[#This Row],[received]]</f>
        <v>468.6904761904762</v>
      </c>
      <c r="R2268" s="7">
        <f>grand[[#This Row],[transportation loss ]]/grand[[#This Row],[received]]</f>
        <v>23.166666666666668</v>
      </c>
      <c r="S2268" s="7">
        <f>grand[[#This Row],[ carcass weight]]/grand[[#This Row],[received]]</f>
        <v>295.67619047619047</v>
      </c>
      <c r="T2268" s="7">
        <f>grand[[#This Row],[ kidneys fat quantity]]/grand[[#This Row],[received]]</f>
        <v>0</v>
      </c>
      <c r="U2268" s="4">
        <v>25</v>
      </c>
      <c r="V2268" s="4">
        <v>0</v>
      </c>
      <c r="W2268" s="4">
        <v>49.69</v>
      </c>
      <c r="X2268" s="4">
        <v>10</v>
      </c>
      <c r="Y2268" s="8">
        <v>8.5</v>
      </c>
      <c r="Z2268" s="3">
        <f>grand[[#This Row],[av. Transportation loss]]/grand[[#This Row],[av.total weight]]</f>
        <v>4.7100396940652538E-2</v>
      </c>
      <c r="AA2268" s="12">
        <f>AVERAGE((grand[[#This Row],[am]]/25),(grand[[#This Row],[pm]]/50))</f>
        <v>0.9968999999999999</v>
      </c>
      <c r="AB2268" s="3">
        <f>grand[[#This Row],[ carcass weight]]/grand[[#This Row],[total weight]]</f>
        <v>0.60114241456094486</v>
      </c>
      <c r="AC2268" s="6">
        <f>SUM(grand[[#This Row],[am]:[meat transportation]])/100</f>
        <v>0.93189999999999995</v>
      </c>
      <c r="AD2268" s="9" t="s">
        <v>81</v>
      </c>
      <c r="AE2268" s="4">
        <v>2</v>
      </c>
      <c r="AF2268" s="4"/>
      <c r="AG2268" s="4"/>
      <c r="AH2268" s="4"/>
      <c r="AI2268" s="4"/>
      <c r="AJ2268" s="2"/>
      <c r="AK2268" s="4"/>
      <c r="AL2268" s="2">
        <f>385+495+8</f>
        <v>888</v>
      </c>
    </row>
    <row r="2269" spans="1:38" hidden="1" x14ac:dyDescent="0.2">
      <c r="A2269" s="11">
        <v>44171</v>
      </c>
      <c r="B2269" s="53" t="s">
        <v>1526</v>
      </c>
      <c r="C2269" s="52" t="str">
        <f>IF(MID(B2269,4,2)="09","Ramadan",IF(AND(MID(B2269,4,2)="12",VALUE(LEFT(B2269,2))&lt;=9),"Adha Season","Normal"))</f>
        <v>Normal</v>
      </c>
      <c r="D2269" s="1" t="s">
        <v>45</v>
      </c>
      <c r="F2269" s="4" t="s">
        <v>44</v>
      </c>
      <c r="G2269" s="4">
        <v>47</v>
      </c>
      <c r="H2269" s="4">
        <v>45</v>
      </c>
      <c r="I2269" s="2">
        <f>grand[[#This Row],[number]]-grand[[#This Row],[received]]</f>
        <v>2</v>
      </c>
      <c r="J2269" s="30" t="s">
        <v>1119</v>
      </c>
      <c r="K2269" s="4">
        <v>21537</v>
      </c>
      <c r="L2269" s="4">
        <v>20609</v>
      </c>
      <c r="M2269" s="2">
        <f>K2269-L2269</f>
        <v>928</v>
      </c>
      <c r="N2269" s="4">
        <v>13839</v>
      </c>
      <c r="O2269" s="4"/>
      <c r="P2269" s="7">
        <f>grand[[#This Row],[total weight]]/grand[[#This Row],[received]]</f>
        <v>478.6</v>
      </c>
      <c r="Q2269" s="7">
        <f>grand[[#This Row],[receiving weight]]/grand[[#This Row],[received]]</f>
        <v>457.97777777777776</v>
      </c>
      <c r="R2269" s="7">
        <f>grand[[#This Row],[transportation loss ]]/grand[[#This Row],[received]]</f>
        <v>20.622222222222224</v>
      </c>
      <c r="S2269" s="7">
        <f>grand[[#This Row],[ carcass weight]]/grand[[#This Row],[received]]</f>
        <v>307.53333333333336</v>
      </c>
      <c r="T2269" s="7">
        <f>grand[[#This Row],[ kidneys fat quantity]]/grand[[#This Row],[received]]</f>
        <v>0</v>
      </c>
      <c r="U2269" s="4">
        <v>25</v>
      </c>
      <c r="V2269" s="4">
        <v>0</v>
      </c>
      <c r="W2269" s="4">
        <v>49.64</v>
      </c>
      <c r="X2269" s="4">
        <v>10</v>
      </c>
      <c r="Y2269" s="8">
        <v>8.5</v>
      </c>
      <c r="Z2269" s="3">
        <f>grand[[#This Row],[av. Transportation loss]]/grand[[#This Row],[av.total weight]]</f>
        <v>4.3088638157589267E-2</v>
      </c>
      <c r="AA2269" s="12">
        <f>AVERAGE((grand[[#This Row],[am]]/25),(grand[[#This Row],[pm]]/50))</f>
        <v>0.99639999999999995</v>
      </c>
      <c r="AB2269" s="3">
        <f>grand[[#This Row],[ carcass weight]]/grand[[#This Row],[total weight]]</f>
        <v>0.64256860286948048</v>
      </c>
      <c r="AC2269" s="6">
        <f>SUM(grand[[#This Row],[am]:[meat transportation]])/100</f>
        <v>0.93140000000000001</v>
      </c>
      <c r="AD2269" s="9" t="s">
        <v>71</v>
      </c>
      <c r="AE2269" s="4"/>
      <c r="AF2269" s="4"/>
      <c r="AG2269" s="4"/>
      <c r="AH2269" s="4"/>
      <c r="AI2269" s="4"/>
      <c r="AJ2269" s="2"/>
      <c r="AK2269" s="4"/>
      <c r="AL2269" s="2">
        <f>911+16</f>
        <v>927</v>
      </c>
    </row>
    <row r="2270" spans="1:38" hidden="1" x14ac:dyDescent="0.2">
      <c r="A2270" s="11">
        <v>44178</v>
      </c>
      <c r="B2270" s="53" t="s">
        <v>1527</v>
      </c>
      <c r="C2270" s="52" t="str">
        <f>IF(MID(B2270,4,2)="09","Ramadan",IF(AND(MID(B2270,4,2)="12",VALUE(LEFT(B2270,2))&lt;=9),"Adha Season","Normal"))</f>
        <v>Normal</v>
      </c>
      <c r="D2270" s="1" t="s">
        <v>45</v>
      </c>
      <c r="F2270" s="4" t="s">
        <v>50</v>
      </c>
      <c r="G2270" s="4">
        <v>44</v>
      </c>
      <c r="H2270" s="4">
        <v>42</v>
      </c>
      <c r="I2270" s="2">
        <f>grand[[#This Row],[number]]-grand[[#This Row],[received]]</f>
        <v>2</v>
      </c>
      <c r="J2270" s="30" t="s">
        <v>108</v>
      </c>
      <c r="K2270" s="4">
        <v>18376</v>
      </c>
      <c r="L2270" s="4">
        <v>17221</v>
      </c>
      <c r="M2270" s="2">
        <f>K2270-L2270</f>
        <v>1155</v>
      </c>
      <c r="N2270" s="4">
        <v>11309.9</v>
      </c>
      <c r="O2270" s="4"/>
      <c r="P2270" s="7">
        <f>grand[[#This Row],[total weight]]/grand[[#This Row],[received]]</f>
        <v>437.52380952380952</v>
      </c>
      <c r="Q2270" s="7">
        <f>grand[[#This Row],[receiving weight]]/grand[[#This Row],[received]]</f>
        <v>410.02380952380952</v>
      </c>
      <c r="R2270" s="7">
        <f>grand[[#This Row],[transportation loss ]]/grand[[#This Row],[received]]</f>
        <v>27.5</v>
      </c>
      <c r="S2270" s="7">
        <f>grand[[#This Row],[ carcass weight]]/grand[[#This Row],[received]]</f>
        <v>269.2833333333333</v>
      </c>
      <c r="T2270" s="7">
        <f>grand[[#This Row],[ kidneys fat quantity]]/grand[[#This Row],[received]]</f>
        <v>0</v>
      </c>
      <c r="U2270" s="4">
        <v>25</v>
      </c>
      <c r="V2270" s="4">
        <v>0</v>
      </c>
      <c r="W2270" s="4">
        <v>49.67</v>
      </c>
      <c r="X2270" s="4">
        <v>10</v>
      </c>
      <c r="Y2270" s="8">
        <v>8.5</v>
      </c>
      <c r="Z2270" s="3">
        <f>grand[[#This Row],[av. Transportation loss]]/grand[[#This Row],[av.total weight]]</f>
        <v>6.2853722246408353E-2</v>
      </c>
      <c r="AA2270" s="12">
        <f>AVERAGE((grand[[#This Row],[am]]/25),(grand[[#This Row],[pm]]/50))</f>
        <v>0.99670000000000003</v>
      </c>
      <c r="AB2270" s="3">
        <f>grand[[#This Row],[ carcass weight]]/grand[[#This Row],[total weight]]</f>
        <v>0.61547126686983022</v>
      </c>
      <c r="AC2270" s="6">
        <f>SUM(grand[[#This Row],[am]:[meat transportation]])/100</f>
        <v>0.93169999999999997</v>
      </c>
      <c r="AD2270" s="9" t="s">
        <v>71</v>
      </c>
      <c r="AE2270" s="4"/>
      <c r="AF2270" s="4"/>
      <c r="AG2270" s="4"/>
      <c r="AH2270" s="4"/>
      <c r="AI2270" s="4"/>
      <c r="AJ2270" s="2"/>
      <c r="AK2270" s="12">
        <f>grand[[#This Row],[accepted as exception]]/grand[[#This Row],[number]]</f>
        <v>0</v>
      </c>
      <c r="AL2270" s="2">
        <f>904+16</f>
        <v>920</v>
      </c>
    </row>
    <row r="2271" spans="1:38" hidden="1" x14ac:dyDescent="0.2">
      <c r="A2271" s="11">
        <v>44185</v>
      </c>
      <c r="B2271" s="53" t="s">
        <v>1528</v>
      </c>
      <c r="C2271" s="52" t="str">
        <f>IF(MID(B2271,4,2)="09","Ramadan",IF(AND(MID(B2271,4,2)="12",VALUE(LEFT(B2271,2))&lt;=9),"Adha Season","Normal"))</f>
        <v>Normal</v>
      </c>
      <c r="D2271" s="1" t="s">
        <v>45</v>
      </c>
      <c r="F2271" s="4" t="s">
        <v>50</v>
      </c>
      <c r="G2271" s="4">
        <v>40</v>
      </c>
      <c r="H2271" s="4">
        <v>38</v>
      </c>
      <c r="I2271" s="2">
        <f>grand[[#This Row],[number]]-grand[[#This Row],[received]]</f>
        <v>2</v>
      </c>
      <c r="J2271" s="30" t="s">
        <v>248</v>
      </c>
      <c r="K2271" s="4">
        <v>16842</v>
      </c>
      <c r="L2271" s="4">
        <v>15755</v>
      </c>
      <c r="M2271" s="2">
        <f>K2271-L2271</f>
        <v>1087</v>
      </c>
      <c r="N2271" s="4">
        <v>10337</v>
      </c>
      <c r="O2271" s="4"/>
      <c r="P2271" s="7">
        <f>grand[[#This Row],[total weight]]/grand[[#This Row],[received]]</f>
        <v>443.21052631578948</v>
      </c>
      <c r="Q2271" s="7">
        <f>grand[[#This Row],[receiving weight]]/grand[[#This Row],[received]]</f>
        <v>414.60526315789474</v>
      </c>
      <c r="R2271" s="7">
        <f>grand[[#This Row],[transportation loss ]]/grand[[#This Row],[received]]</f>
        <v>28.605263157894736</v>
      </c>
      <c r="S2271" s="7">
        <f>grand[[#This Row],[ carcass weight]]/grand[[#This Row],[received]]</f>
        <v>272.0263157894737</v>
      </c>
      <c r="T2271" s="7">
        <f>grand[[#This Row],[ kidneys fat quantity]]/grand[[#This Row],[received]]</f>
        <v>0</v>
      </c>
      <c r="U2271" s="4">
        <v>25</v>
      </c>
      <c r="V2271" s="4">
        <v>0</v>
      </c>
      <c r="W2271" s="4">
        <v>49.76</v>
      </c>
      <c r="X2271" s="4">
        <v>10</v>
      </c>
      <c r="Y2271" s="8">
        <v>8.5</v>
      </c>
      <c r="Z2271" s="3">
        <f>grand[[#This Row],[av. Transportation loss]]/grand[[#This Row],[av.total weight]]</f>
        <v>6.4541028381427376E-2</v>
      </c>
      <c r="AA2271" s="12">
        <f>AVERAGE((grand[[#This Row],[am]]/25),(grand[[#This Row],[pm]]/50))</f>
        <v>0.99760000000000004</v>
      </c>
      <c r="AB2271" s="3">
        <f>grand[[#This Row],[ carcass weight]]/grand[[#This Row],[total weight]]</f>
        <v>0.61376321102006892</v>
      </c>
      <c r="AC2271" s="6">
        <f>SUM(grand[[#This Row],[am]:[meat transportation]])/100</f>
        <v>0.93259999999999987</v>
      </c>
      <c r="AD2271" s="9" t="s">
        <v>81</v>
      </c>
      <c r="AE2271" s="4"/>
      <c r="AF2271" s="4" t="s">
        <v>249</v>
      </c>
      <c r="AG2271" s="4"/>
      <c r="AH2271" s="4"/>
      <c r="AI2271" s="4"/>
      <c r="AJ2271" s="2">
        <v>7</v>
      </c>
      <c r="AK2271" s="12">
        <f>grand[[#This Row],[accepted as exception]]/grand[[#This Row],[number]]</f>
        <v>0.17499999999999999</v>
      </c>
      <c r="AL2271" s="2">
        <f>889+7</f>
        <v>896</v>
      </c>
    </row>
    <row r="2272" spans="1:38" hidden="1" x14ac:dyDescent="0.2">
      <c r="A2272" s="11">
        <v>44226</v>
      </c>
      <c r="B2272" s="53" t="s">
        <v>2609</v>
      </c>
      <c r="C2272" s="52" t="str">
        <f>IF(MID(B2272,4,2)="09","Ramadan",IF(AND(MID(B2272,4,2)="12",VALUE(LEFT(B2272,2))&lt;=9),"Adha Season","Normal"))</f>
        <v>Normal</v>
      </c>
      <c r="D2272" s="1" t="s">
        <v>45</v>
      </c>
      <c r="F2272" s="4" t="s">
        <v>165</v>
      </c>
      <c r="G2272" s="4">
        <v>36</v>
      </c>
      <c r="H2272" s="4">
        <v>34</v>
      </c>
      <c r="I2272" s="2">
        <f>grand[[#This Row],[number]]-grand[[#This Row],[received]]</f>
        <v>2</v>
      </c>
      <c r="J2272" s="30" t="s">
        <v>258</v>
      </c>
      <c r="K2272" s="4">
        <v>15490</v>
      </c>
      <c r="L2272" s="4">
        <v>15267</v>
      </c>
      <c r="M2272" s="2">
        <f>K2272-L2272</f>
        <v>223</v>
      </c>
      <c r="N2272" s="4">
        <v>9293.4</v>
      </c>
      <c r="O2272" s="4"/>
      <c r="P2272" s="7">
        <f>grand[[#This Row],[total weight]]/grand[[#This Row],[received]]</f>
        <v>455.58823529411762</v>
      </c>
      <c r="Q2272" s="7">
        <f>grand[[#This Row],[receiving weight]]/grand[[#This Row],[received]]</f>
        <v>449.02941176470586</v>
      </c>
      <c r="R2272" s="7">
        <f>grand[[#This Row],[transportation loss ]]/grand[[#This Row],[received]]</f>
        <v>6.5588235294117645</v>
      </c>
      <c r="S2272" s="7">
        <f>grand[[#This Row],[ carcass weight]]/grand[[#This Row],[received]]</f>
        <v>273.33529411764704</v>
      </c>
      <c r="T2272" s="7">
        <f>grand[[#This Row],[ kidneys fat quantity]]/grand[[#This Row],[received]]</f>
        <v>0</v>
      </c>
      <c r="U2272" s="4">
        <v>25</v>
      </c>
      <c r="V2272" s="4">
        <v>0</v>
      </c>
      <c r="W2272" s="4">
        <v>49.29</v>
      </c>
      <c r="X2272" s="4">
        <v>9.9</v>
      </c>
      <c r="Y2272" s="8">
        <v>8.5</v>
      </c>
      <c r="Z2272" s="3">
        <f>grand[[#This Row],[av. Transportation loss]]/grand[[#This Row],[av.total weight]]</f>
        <v>1.4396384764364107E-2</v>
      </c>
      <c r="AA2272" s="12">
        <f>AVERAGE((grand[[#This Row],[am]]/25),(grand[[#This Row],[pm]]/50))</f>
        <v>0.9929</v>
      </c>
      <c r="AB2272" s="3">
        <f>grand[[#This Row],[ carcass weight]]/grand[[#This Row],[total weight]]</f>
        <v>0.59996126533247252</v>
      </c>
      <c r="AC2272" s="6">
        <f>SUM(grand[[#This Row],[am]:[meat transportation]])/100</f>
        <v>0.92689999999999995</v>
      </c>
      <c r="AD2272" s="9" t="s">
        <v>259</v>
      </c>
      <c r="AE2272" s="4"/>
      <c r="AF2272" s="4"/>
      <c r="AG2272" s="4"/>
      <c r="AH2272" s="4"/>
      <c r="AI2272" s="4">
        <v>1</v>
      </c>
      <c r="AJ2272" s="2">
        <v>10</v>
      </c>
      <c r="AK2272" s="12">
        <f>grand[[#This Row],[accepted as exception]]/grand[[#This Row],[number]]</f>
        <v>0.27777777777777779</v>
      </c>
      <c r="AL2272" s="2">
        <f>918+66.6+14</f>
        <v>998.6</v>
      </c>
    </row>
    <row r="2273" spans="1:38" hidden="1" x14ac:dyDescent="0.2">
      <c r="A2273" s="11">
        <v>44233</v>
      </c>
      <c r="B2273" s="53" t="s">
        <v>2612</v>
      </c>
      <c r="C2273" s="52" t="str">
        <f>IF(MID(B2273,4,2)="09","Ramadan",IF(AND(MID(B2273,4,2)="12",VALUE(LEFT(B2273,2))&lt;=9),"Adha Season","Normal"))</f>
        <v>Normal</v>
      </c>
      <c r="D2273" s="1" t="s">
        <v>45</v>
      </c>
      <c r="F2273" s="4" t="s">
        <v>165</v>
      </c>
      <c r="G2273" s="4">
        <v>37</v>
      </c>
      <c r="H2273" s="4">
        <v>35</v>
      </c>
      <c r="I2273" s="2">
        <f>grand[[#This Row],[number]]-grand[[#This Row],[received]]</f>
        <v>2</v>
      </c>
      <c r="J2273" s="30" t="s">
        <v>1121</v>
      </c>
      <c r="K2273" s="9">
        <v>15681</v>
      </c>
      <c r="L2273" s="4">
        <v>15330</v>
      </c>
      <c r="M2273" s="2">
        <f>K2273-L2273</f>
        <v>351</v>
      </c>
      <c r="N2273" s="4">
        <v>9413.5</v>
      </c>
      <c r="O2273" s="4"/>
      <c r="P2273" s="7">
        <f>grand[[#This Row],[total weight]]/grand[[#This Row],[received]]</f>
        <v>448.02857142857141</v>
      </c>
      <c r="Q2273" s="7">
        <f>grand[[#This Row],[receiving weight]]/grand[[#This Row],[received]]</f>
        <v>438</v>
      </c>
      <c r="R2273" s="7">
        <f>grand[[#This Row],[transportation loss ]]/grand[[#This Row],[received]]</f>
        <v>10.028571428571428</v>
      </c>
      <c r="S2273" s="7">
        <f>grand[[#This Row],[ carcass weight]]/grand[[#This Row],[received]]</f>
        <v>268.95714285714286</v>
      </c>
      <c r="T2273" s="7">
        <f>grand[[#This Row],[ kidneys fat quantity]]/grand[[#This Row],[received]]</f>
        <v>0</v>
      </c>
      <c r="U2273" s="4">
        <v>25</v>
      </c>
      <c r="V2273" s="4">
        <v>0</v>
      </c>
      <c r="W2273" s="4">
        <v>49.89</v>
      </c>
      <c r="X2273" s="4">
        <v>9.9</v>
      </c>
      <c r="Y2273" s="8">
        <v>8.5</v>
      </c>
      <c r="Z2273" s="3">
        <f>grand[[#This Row],[av. Transportation loss]]/grand[[#This Row],[av.total weight]]</f>
        <v>2.2383776544863211E-2</v>
      </c>
      <c r="AA2273" s="12">
        <f>AVERAGE((grand[[#This Row],[am]]/25),(grand[[#This Row],[pm]]/50))</f>
        <v>0.99890000000000001</v>
      </c>
      <c r="AB2273" s="3">
        <f>grand[[#This Row],[ carcass weight]]/grand[[#This Row],[total weight]]</f>
        <v>0.60031248007142402</v>
      </c>
      <c r="AC2273" s="6">
        <f>SUM(grand[[#This Row],[am]:[meat transportation]])/100</f>
        <v>0.93290000000000006</v>
      </c>
      <c r="AD2273" s="9"/>
      <c r="AE2273" s="4"/>
      <c r="AF2273" s="4" t="s">
        <v>71</v>
      </c>
      <c r="AG2273" s="4"/>
      <c r="AH2273" s="4"/>
      <c r="AI2273" s="4"/>
      <c r="AJ2273" s="2">
        <v>12</v>
      </c>
      <c r="AK2273" s="12">
        <f>grand[[#This Row],[accepted as exception]]/grand[[#This Row],[number]]</f>
        <v>0.32432432432432434</v>
      </c>
      <c r="AL2273" s="2">
        <f>485+425</f>
        <v>910</v>
      </c>
    </row>
    <row r="2274" spans="1:38" hidden="1" x14ac:dyDescent="0.2">
      <c r="A2274" s="11">
        <v>44236</v>
      </c>
      <c r="B2274" s="53" t="s">
        <v>2613</v>
      </c>
      <c r="C2274" s="52" t="str">
        <f>IF(MID(B2274,4,2)="09","Ramadan",IF(AND(MID(B2274,4,2)="12",VALUE(LEFT(B2274,2))&lt;=9),"Adha Season","Normal"))</f>
        <v>Normal</v>
      </c>
      <c r="D2274" s="1" t="s">
        <v>45</v>
      </c>
      <c r="F2274" s="4" t="s">
        <v>50</v>
      </c>
      <c r="G2274" s="4">
        <v>40</v>
      </c>
      <c r="H2274" s="4">
        <v>38</v>
      </c>
      <c r="I2274" s="2">
        <f>grand[[#This Row],[number]]-grand[[#This Row],[received]]</f>
        <v>2</v>
      </c>
      <c r="J2274" s="30" t="s">
        <v>108</v>
      </c>
      <c r="K2274" s="4">
        <v>16402</v>
      </c>
      <c r="L2274" s="4">
        <v>15587</v>
      </c>
      <c r="M2274" s="2">
        <f>K2274-L2274</f>
        <v>815</v>
      </c>
      <c r="N2274" s="4">
        <v>10315.9</v>
      </c>
      <c r="O2274" s="4"/>
      <c r="P2274" s="7">
        <f>grand[[#This Row],[total weight]]/grand[[#This Row],[received]]</f>
        <v>431.63157894736844</v>
      </c>
      <c r="Q2274" s="7">
        <f>grand[[#This Row],[receiving weight]]/grand[[#This Row],[received]]</f>
        <v>410.18421052631578</v>
      </c>
      <c r="R2274" s="7">
        <f>grand[[#This Row],[transportation loss ]]/grand[[#This Row],[received]]</f>
        <v>21.44736842105263</v>
      </c>
      <c r="S2274" s="7">
        <f>grand[[#This Row],[ carcass weight]]/grand[[#This Row],[received]]</f>
        <v>271.47105263157891</v>
      </c>
      <c r="T2274" s="7">
        <f>grand[[#This Row],[ kidneys fat quantity]]/grand[[#This Row],[received]]</f>
        <v>0</v>
      </c>
      <c r="U2274" s="4">
        <v>25</v>
      </c>
      <c r="V2274" s="4">
        <v>0</v>
      </c>
      <c r="W2274" s="4">
        <v>49.95</v>
      </c>
      <c r="X2274" s="4">
        <v>10</v>
      </c>
      <c r="Y2274" s="8">
        <v>8.5</v>
      </c>
      <c r="Z2274" s="3">
        <f>grand[[#This Row],[av. Transportation loss]]/grand[[#This Row],[av.total weight]]</f>
        <v>4.9689062309474452E-2</v>
      </c>
      <c r="AA2274" s="12">
        <f>AVERAGE((grand[[#This Row],[am]]/25),(grand[[#This Row],[pm]]/50))</f>
        <v>0.99950000000000006</v>
      </c>
      <c r="AB2274" s="3">
        <f>grand[[#This Row],[ carcass weight]]/grand[[#This Row],[total weight]]</f>
        <v>0.62894159248872084</v>
      </c>
      <c r="AC2274" s="6">
        <f>SUM(grand[[#This Row],[am]:[meat transportation]])/100</f>
        <v>0.9345</v>
      </c>
      <c r="AD2274" s="9"/>
      <c r="AE2274" s="4"/>
      <c r="AF2274" s="4" t="s">
        <v>81</v>
      </c>
      <c r="AG2274" s="4"/>
      <c r="AH2274" s="4"/>
      <c r="AI2274" s="4"/>
      <c r="AJ2274" s="2">
        <v>4</v>
      </c>
      <c r="AK2274" s="12">
        <f>grand[[#This Row],[accepted as exception]]/grand[[#This Row],[number]]</f>
        <v>0.1</v>
      </c>
      <c r="AL2274" s="2">
        <f>924</f>
        <v>924</v>
      </c>
    </row>
    <row r="2275" spans="1:38" hidden="1" x14ac:dyDescent="0.2">
      <c r="A2275" s="11">
        <v>44257</v>
      </c>
      <c r="B2275" s="53" t="s">
        <v>2622</v>
      </c>
      <c r="C2275" s="52" t="str">
        <f>IF(MID(B2275,4,2)="09","Ramadan",IF(AND(MID(B2275,4,2)="12",VALUE(LEFT(B2275,2))&lt;=9),"Adha Season","Normal"))</f>
        <v>Normal</v>
      </c>
      <c r="D2275" s="1" t="s">
        <v>45</v>
      </c>
      <c r="F2275" s="4" t="s">
        <v>43</v>
      </c>
      <c r="G2275" s="4">
        <v>35</v>
      </c>
      <c r="H2275" s="4">
        <v>33</v>
      </c>
      <c r="I2275" s="2">
        <f>grand[[#This Row],[number]]-grand[[#This Row],[received]]</f>
        <v>2</v>
      </c>
      <c r="J2275" s="30" t="s">
        <v>1125</v>
      </c>
      <c r="K2275" s="9">
        <v>15361</v>
      </c>
      <c r="L2275" s="9">
        <v>14801</v>
      </c>
      <c r="M2275" s="2">
        <f>K2275-L2275</f>
        <v>560</v>
      </c>
      <c r="N2275" s="9">
        <v>9263.6</v>
      </c>
      <c r="O2275" s="2"/>
      <c r="P2275" s="7">
        <f>grand[[#This Row],[total weight]]/grand[[#This Row],[received]]</f>
        <v>465.4848484848485</v>
      </c>
      <c r="Q2275" s="7">
        <f>grand[[#This Row],[receiving weight]]/grand[[#This Row],[received]]</f>
        <v>448.5151515151515</v>
      </c>
      <c r="R2275" s="7">
        <f>grand[[#This Row],[transportation loss ]]/grand[[#This Row],[received]]</f>
        <v>16.969696969696969</v>
      </c>
      <c r="S2275" s="7">
        <f>grand[[#This Row],[ carcass weight]]/grand[[#This Row],[received]]</f>
        <v>280.71515151515155</v>
      </c>
      <c r="T2275" s="7">
        <f>grand[[#This Row],[ kidneys fat quantity]]/grand[[#This Row],[received]]</f>
        <v>0</v>
      </c>
      <c r="U2275" s="4">
        <v>25</v>
      </c>
      <c r="V2275" s="4">
        <v>0</v>
      </c>
      <c r="W2275" s="4">
        <v>48.03</v>
      </c>
      <c r="X2275" s="4">
        <v>9.6999999999999993</v>
      </c>
      <c r="Y2275" s="8">
        <v>8.5</v>
      </c>
      <c r="Z2275" s="3">
        <f>grand[[#This Row],[av. Transportation loss]]/grand[[#This Row],[av.total weight]]</f>
        <v>3.6455959898444107E-2</v>
      </c>
      <c r="AA2275" s="12">
        <f>AVERAGE((grand[[#This Row],[am]]/25),(grand[[#This Row],[pm]]/50))</f>
        <v>0.98029999999999995</v>
      </c>
      <c r="AB2275" s="3">
        <f>grand[[#This Row],[ carcass weight]]/grand[[#This Row],[total weight]]</f>
        <v>0.60305969663433368</v>
      </c>
      <c r="AC2275" s="6">
        <f>SUM(grand[[#This Row],[am]:[meat transportation]])/100</f>
        <v>0.9123</v>
      </c>
      <c r="AD2275" s="9" t="s">
        <v>270</v>
      </c>
      <c r="AE2275" s="2"/>
      <c r="AF2275" s="4" t="s">
        <v>271</v>
      </c>
      <c r="AG2275" s="2"/>
      <c r="AH2275" s="2"/>
      <c r="AI2275" s="2"/>
      <c r="AJ2275" s="2">
        <v>10</v>
      </c>
      <c r="AK2275" s="12">
        <f>grand[[#This Row],[accepted as exception]]/grand[[#This Row],[number]]</f>
        <v>0.2857142857142857</v>
      </c>
      <c r="AL2275" s="2">
        <f>969+15</f>
        <v>984</v>
      </c>
    </row>
    <row r="2276" spans="1:38" hidden="1" x14ac:dyDescent="0.2">
      <c r="A2276" s="11">
        <v>44278</v>
      </c>
      <c r="B2276" s="53" t="s">
        <v>2631</v>
      </c>
      <c r="C2276" s="52" t="str">
        <f>IF(MID(B2276,4,2)="09","Ramadan",IF(AND(MID(B2276,4,2)="12",VALUE(LEFT(B2276,2))&lt;=9),"Adha Season","Normal"))</f>
        <v>Normal</v>
      </c>
      <c r="D2276" s="1" t="s">
        <v>45</v>
      </c>
      <c r="F2276" s="4" t="s">
        <v>50</v>
      </c>
      <c r="G2276" s="4">
        <v>27</v>
      </c>
      <c r="H2276" s="4">
        <v>25</v>
      </c>
      <c r="I2276" s="2">
        <f>grand[[#This Row],[number]]-grand[[#This Row],[received]]</f>
        <v>2</v>
      </c>
      <c r="J2276" s="30" t="s">
        <v>108</v>
      </c>
      <c r="K2276" s="9">
        <v>11582</v>
      </c>
      <c r="L2276" s="9">
        <v>10867</v>
      </c>
      <c r="M2276" s="2">
        <f>K2276-L2276</f>
        <v>715</v>
      </c>
      <c r="N2276" s="9">
        <v>7299.8</v>
      </c>
      <c r="O2276" s="2"/>
      <c r="P2276" s="7">
        <f>grand[[#This Row],[total weight]]/grand[[#This Row],[received]]</f>
        <v>463.28</v>
      </c>
      <c r="Q2276" s="7">
        <f>grand[[#This Row],[receiving weight]]/grand[[#This Row],[received]]</f>
        <v>434.68</v>
      </c>
      <c r="R2276" s="7">
        <f>grand[[#This Row],[transportation loss ]]/grand[[#This Row],[received]]</f>
        <v>28.6</v>
      </c>
      <c r="S2276" s="7">
        <f>grand[[#This Row],[ carcass weight]]/grand[[#This Row],[received]]</f>
        <v>291.99200000000002</v>
      </c>
      <c r="T2276" s="7">
        <f>grand[[#This Row],[ kidneys fat quantity]]/grand[[#This Row],[received]]</f>
        <v>0</v>
      </c>
      <c r="U2276" s="4">
        <v>25</v>
      </c>
      <c r="V2276" s="4">
        <v>0</v>
      </c>
      <c r="W2276" s="4">
        <v>49.52</v>
      </c>
      <c r="X2276" s="4">
        <v>10</v>
      </c>
      <c r="Y2276" s="8">
        <v>8.5</v>
      </c>
      <c r="Z2276" s="3">
        <f>grand[[#This Row],[av. Transportation loss]]/grand[[#This Row],[av.total weight]]</f>
        <v>6.1733724745294427E-2</v>
      </c>
      <c r="AA2276" s="12">
        <f>AVERAGE((grand[[#This Row],[am]]/25),(grand[[#This Row],[pm]]/50))</f>
        <v>0.99520000000000008</v>
      </c>
      <c r="AB2276" s="3">
        <f>grand[[#This Row],[ carcass weight]]/grand[[#This Row],[total weight]]</f>
        <v>0.6302711103436367</v>
      </c>
      <c r="AC2276" s="6">
        <f>SUM(grand[[#This Row],[am]:[meat transportation]])/100</f>
        <v>0.93020000000000014</v>
      </c>
      <c r="AD2276" s="9" t="s">
        <v>81</v>
      </c>
      <c r="AE2276" s="4"/>
      <c r="AF2276" s="4" t="s">
        <v>137</v>
      </c>
      <c r="AG2276" s="2"/>
      <c r="AH2276" s="2"/>
      <c r="AI2276" s="2"/>
      <c r="AJ2276" s="2">
        <v>7</v>
      </c>
      <c r="AK2276" s="12">
        <f>grand[[#This Row],[accepted as exception]]/grand[[#This Row],[number]]</f>
        <v>0.25925925925925924</v>
      </c>
      <c r="AL2276" s="2">
        <f>920</f>
        <v>920</v>
      </c>
    </row>
    <row r="2277" spans="1:38" hidden="1" x14ac:dyDescent="0.2">
      <c r="A2277" s="11">
        <v>44296</v>
      </c>
      <c r="B2277" s="53" t="s">
        <v>1545</v>
      </c>
      <c r="C2277" s="52" t="str">
        <f>IF(MID(B2277,4,2)="09","Ramadan",IF(AND(MID(B2277,4,2)="12",VALUE(LEFT(B2277,2))&lt;=9),"Adha Season","Normal"))</f>
        <v>Normal</v>
      </c>
      <c r="D2277" s="1" t="s">
        <v>45</v>
      </c>
      <c r="F2277" s="4" t="s">
        <v>46</v>
      </c>
      <c r="G2277" s="4">
        <v>50</v>
      </c>
      <c r="H2277" s="4">
        <v>48</v>
      </c>
      <c r="I2277" s="2">
        <f>grand[[#This Row],[number]]-grand[[#This Row],[received]]</f>
        <v>2</v>
      </c>
      <c r="J2277" s="30" t="s">
        <v>285</v>
      </c>
      <c r="K2277" s="9">
        <v>23448</v>
      </c>
      <c r="L2277" s="9">
        <v>22399</v>
      </c>
      <c r="M2277" s="2">
        <f>K2277-L2277</f>
        <v>1049</v>
      </c>
      <c r="N2277" s="9">
        <v>14068.9</v>
      </c>
      <c r="O2277" s="2"/>
      <c r="P2277" s="7">
        <f>grand[[#This Row],[total weight]]/grand[[#This Row],[received]]</f>
        <v>488.5</v>
      </c>
      <c r="Q2277" s="7">
        <f>grand[[#This Row],[receiving weight]]/grand[[#This Row],[received]]</f>
        <v>466.64583333333331</v>
      </c>
      <c r="R2277" s="7">
        <f>grand[[#This Row],[transportation loss ]]/grand[[#This Row],[received]]</f>
        <v>21.854166666666668</v>
      </c>
      <c r="S2277" s="7">
        <f>grand[[#This Row],[ carcass weight]]/grand[[#This Row],[received]]</f>
        <v>293.10208333333333</v>
      </c>
      <c r="T2277" s="7">
        <f>grand[[#This Row],[ kidneys fat quantity]]/grand[[#This Row],[received]]</f>
        <v>0</v>
      </c>
      <c r="U2277" s="4">
        <v>25</v>
      </c>
      <c r="V2277" s="4">
        <v>0</v>
      </c>
      <c r="W2277" s="4">
        <v>49.63</v>
      </c>
      <c r="X2277" s="4">
        <v>10</v>
      </c>
      <c r="Y2277" s="8">
        <v>8.5</v>
      </c>
      <c r="Z2277" s="3">
        <f>grand[[#This Row],[av. Transportation loss]]/grand[[#This Row],[av.total weight]]</f>
        <v>4.4737291026953258E-2</v>
      </c>
      <c r="AA2277" s="12">
        <f>AVERAGE((grand[[#This Row],[am]]/25),(grand[[#This Row],[pm]]/50))</f>
        <v>0.99629999999999996</v>
      </c>
      <c r="AB2277" s="3">
        <f>grand[[#This Row],[ carcass weight]]/grand[[#This Row],[total weight]]</f>
        <v>0.60000426475605595</v>
      </c>
      <c r="AC2277" s="6">
        <f>SUM(grand[[#This Row],[am]:[meat transportation]])/100</f>
        <v>0.93129999999999991</v>
      </c>
      <c r="AD2277" s="9"/>
      <c r="AE2277" s="4"/>
      <c r="AF2277" s="4"/>
      <c r="AG2277" s="2"/>
      <c r="AH2277" s="2"/>
      <c r="AI2277" s="2"/>
      <c r="AJ2277" s="2">
        <v>10</v>
      </c>
      <c r="AK2277" s="12">
        <f>grand[[#This Row],[accepted as exception]]/grand[[#This Row],[number]]</f>
        <v>0.2</v>
      </c>
      <c r="AL2277" s="2">
        <f>976+7</f>
        <v>983</v>
      </c>
    </row>
    <row r="2278" spans="1:38" hidden="1" x14ac:dyDescent="0.2">
      <c r="A2278" s="11">
        <v>44322</v>
      </c>
      <c r="B2278" s="53" t="s">
        <v>2648</v>
      </c>
      <c r="C2278" s="52" t="str">
        <f>IF(MID(B2278,4,2)="09","Ramadan",IF(AND(MID(B2278,4,2)="12",VALUE(LEFT(B2278,2))&lt;=9),"Adha Season","Normal"))</f>
        <v>Ramadan</v>
      </c>
      <c r="D2278" s="1" t="s">
        <v>45</v>
      </c>
      <c r="F2278" s="4" t="s">
        <v>46</v>
      </c>
      <c r="G2278" s="4">
        <v>43</v>
      </c>
      <c r="H2278" s="4">
        <v>41</v>
      </c>
      <c r="I2278" s="2">
        <f>grand[[#This Row],[number]]-grand[[#This Row],[received]]</f>
        <v>2</v>
      </c>
      <c r="J2278" s="30" t="s">
        <v>108</v>
      </c>
      <c r="K2278" s="9">
        <v>21871</v>
      </c>
      <c r="L2278" s="9">
        <v>20498</v>
      </c>
      <c r="M2278" s="2">
        <f>K2278-L2278</f>
        <v>1373</v>
      </c>
      <c r="N2278" s="9">
        <v>13536.2</v>
      </c>
      <c r="O2278" s="2"/>
      <c r="P2278" s="7">
        <f>grand[[#This Row],[total weight]]/grand[[#This Row],[received]]</f>
        <v>533.43902439024396</v>
      </c>
      <c r="Q2278" s="7">
        <f>grand[[#This Row],[receiving weight]]/grand[[#This Row],[received]]</f>
        <v>499.95121951219511</v>
      </c>
      <c r="R2278" s="7">
        <f>grand[[#This Row],[transportation loss ]]/grand[[#This Row],[received]]</f>
        <v>33.487804878048777</v>
      </c>
      <c r="S2278" s="7">
        <f>grand[[#This Row],[ carcass weight]]/grand[[#This Row],[received]]</f>
        <v>330.15121951219515</v>
      </c>
      <c r="T2278" s="7">
        <f>grand[[#This Row],[ kidneys fat quantity]]/grand[[#This Row],[received]]</f>
        <v>0</v>
      </c>
      <c r="U2278" s="4">
        <v>23</v>
      </c>
      <c r="V2278" s="4">
        <v>0</v>
      </c>
      <c r="W2278" s="4">
        <v>49.32</v>
      </c>
      <c r="X2278" s="5">
        <v>8.5</v>
      </c>
      <c r="Y2278" s="8">
        <v>8.5</v>
      </c>
      <c r="Z2278" s="3">
        <f>grand[[#This Row],[av. Transportation loss]]/grand[[#This Row],[av.total weight]]</f>
        <v>6.2777193543962315E-2</v>
      </c>
      <c r="AA2278" s="12">
        <f>AVERAGE((grand[[#This Row],[am]]/25),(grand[[#This Row],[pm]]/50))</f>
        <v>0.95320000000000005</v>
      </c>
      <c r="AB2278" s="3">
        <f>grand[[#This Row],[ carcass weight]]/grand[[#This Row],[total weight]]</f>
        <v>0.61891088656211424</v>
      </c>
      <c r="AC2278" s="6">
        <f>SUM(grand[[#This Row],[am]:[meat transportation]])/100</f>
        <v>0.89319999999999988</v>
      </c>
      <c r="AD2278" s="2"/>
      <c r="AE2278" s="2"/>
      <c r="AF2278" s="2"/>
      <c r="AG2278" s="2"/>
      <c r="AH2278" s="2"/>
      <c r="AI2278" s="2"/>
      <c r="AJ2278" s="2">
        <v>18</v>
      </c>
      <c r="AK2278" s="12">
        <f>grand[[#This Row],[accepted as exception]]/grand[[#This Row],[number]]</f>
        <v>0.41860465116279072</v>
      </c>
      <c r="AL2278" s="2">
        <v>1047</v>
      </c>
    </row>
    <row r="2279" spans="1:38" hidden="1" x14ac:dyDescent="0.2">
      <c r="A2279" s="11">
        <v>44334</v>
      </c>
      <c r="B2279" s="53" t="s">
        <v>1554</v>
      </c>
      <c r="C2279" s="52" t="str">
        <f>IF(MID(B2279,4,2)="09","Ramadan",IF(AND(MID(B2279,4,2)="12",VALUE(LEFT(B2279,2))&lt;=9),"Adha Season","Normal"))</f>
        <v>Normal</v>
      </c>
      <c r="D2279" s="1" t="s">
        <v>45</v>
      </c>
      <c r="F2279" s="4" t="s">
        <v>39</v>
      </c>
      <c r="G2279" s="4">
        <v>45</v>
      </c>
      <c r="H2279" s="4">
        <v>43</v>
      </c>
      <c r="I2279" s="2">
        <f>grand[[#This Row],[number]]-grand[[#This Row],[received]]</f>
        <v>2</v>
      </c>
      <c r="J2279" s="30" t="s">
        <v>108</v>
      </c>
      <c r="K2279" s="9">
        <v>18218</v>
      </c>
      <c r="L2279" s="9">
        <v>17181</v>
      </c>
      <c r="M2279" s="2">
        <f>K2279-L2279</f>
        <v>1037</v>
      </c>
      <c r="N2279" s="9">
        <v>11147.7</v>
      </c>
      <c r="O2279" s="2"/>
      <c r="P2279" s="7">
        <f>grand[[#This Row],[total weight]]/grand[[#This Row],[received]]</f>
        <v>423.67441860465118</v>
      </c>
      <c r="Q2279" s="7">
        <f>grand[[#This Row],[receiving weight]]/grand[[#This Row],[received]]</f>
        <v>399.55813953488371</v>
      </c>
      <c r="R2279" s="7">
        <f>grand[[#This Row],[transportation loss ]]/grand[[#This Row],[received]]</f>
        <v>24.11627906976744</v>
      </c>
      <c r="S2279" s="7">
        <f>grand[[#This Row],[ carcass weight]]/grand[[#This Row],[received]]</f>
        <v>259.24883720930234</v>
      </c>
      <c r="T2279" s="7">
        <f>grand[[#This Row],[ kidneys fat quantity]]/grand[[#This Row],[received]]</f>
        <v>0</v>
      </c>
      <c r="U2279" s="4">
        <v>25</v>
      </c>
      <c r="V2279" s="4">
        <v>0</v>
      </c>
      <c r="W2279" s="4">
        <v>49.6</v>
      </c>
      <c r="X2279" s="4">
        <v>10</v>
      </c>
      <c r="Y2279" s="8">
        <v>8.5</v>
      </c>
      <c r="Z2279" s="3">
        <f>grand[[#This Row],[av. Transportation loss]]/grand[[#This Row],[av.total weight]]</f>
        <v>5.6921725765726197E-2</v>
      </c>
      <c r="AA2279" s="12">
        <f>AVERAGE((grand[[#This Row],[am]]/25),(grand[[#This Row],[pm]]/50))</f>
        <v>0.996</v>
      </c>
      <c r="AB2279" s="3">
        <f>grand[[#This Row],[ carcass weight]]/grand[[#This Row],[total weight]]</f>
        <v>0.61190580744318812</v>
      </c>
      <c r="AC2279" s="6">
        <f>SUM(grand[[#This Row],[am]:[meat transportation]])/100</f>
        <v>0.93099999999999994</v>
      </c>
      <c r="AD2279" s="2"/>
      <c r="AE2279" s="2"/>
      <c r="AF2279" s="2"/>
      <c r="AG2279" s="2"/>
      <c r="AH2279" s="2"/>
      <c r="AI2279" s="2"/>
      <c r="AJ2279" s="2">
        <v>3</v>
      </c>
      <c r="AK2279" s="12">
        <f>grand[[#This Row],[accepted as exception]]/grand[[#This Row],[number]]</f>
        <v>6.6666666666666666E-2</v>
      </c>
      <c r="AL2279" s="2">
        <v>834</v>
      </c>
    </row>
    <row r="2280" spans="1:38" hidden="1" x14ac:dyDescent="0.2">
      <c r="A2280" s="11">
        <v>44348</v>
      </c>
      <c r="B2280" s="53" t="s">
        <v>2657</v>
      </c>
      <c r="C2280" s="52" t="str">
        <f>IF(MID(B2280,4,2)="09","Ramadan",IF(AND(MID(B2280,4,2)="12",VALUE(LEFT(B2280,2))&lt;=9),"Adha Season","Normal"))</f>
        <v>Normal</v>
      </c>
      <c r="D2280" s="1" t="s">
        <v>45</v>
      </c>
      <c r="F2280" s="4" t="s">
        <v>42</v>
      </c>
      <c r="G2280" s="4">
        <v>30</v>
      </c>
      <c r="H2280" s="4">
        <v>28</v>
      </c>
      <c r="I2280" s="2">
        <f>grand[[#This Row],[number]]-grand[[#This Row],[received]]</f>
        <v>2</v>
      </c>
      <c r="J2280" s="30" t="s">
        <v>295</v>
      </c>
      <c r="K2280" s="9">
        <v>12425</v>
      </c>
      <c r="L2280" s="9">
        <v>11957</v>
      </c>
      <c r="M2280" s="2">
        <f>K2280-L2280</f>
        <v>468</v>
      </c>
      <c r="N2280" s="9">
        <v>7454.4</v>
      </c>
      <c r="O2280" s="2"/>
      <c r="P2280" s="7">
        <f>grand[[#This Row],[total weight]]/grand[[#This Row],[received]]</f>
        <v>443.75</v>
      </c>
      <c r="Q2280" s="7">
        <f>grand[[#This Row],[receiving weight]]/grand[[#This Row],[received]]</f>
        <v>427.03571428571428</v>
      </c>
      <c r="R2280" s="7">
        <f>grand[[#This Row],[transportation loss ]]/grand[[#This Row],[received]]</f>
        <v>16.714285714285715</v>
      </c>
      <c r="S2280" s="7">
        <f>grand[[#This Row],[ carcass weight]]/grand[[#This Row],[received]]</f>
        <v>266.2285714285714</v>
      </c>
      <c r="T2280" s="7">
        <f>grand[[#This Row],[ kidneys fat quantity]]/grand[[#This Row],[received]]</f>
        <v>0</v>
      </c>
      <c r="U2280" s="4">
        <v>25</v>
      </c>
      <c r="V2280" s="4">
        <v>0</v>
      </c>
      <c r="W2280" s="4">
        <v>49.86</v>
      </c>
      <c r="X2280" s="4">
        <v>10</v>
      </c>
      <c r="Y2280" s="8">
        <v>8.5</v>
      </c>
      <c r="Z2280" s="3">
        <f>grand[[#This Row],[av. Transportation loss]]/grand[[#This Row],[av.total weight]]</f>
        <v>3.7665995975855134E-2</v>
      </c>
      <c r="AA2280" s="12">
        <f>AVERAGE((grand[[#This Row],[am]]/25),(grand[[#This Row],[pm]]/50))</f>
        <v>0.99859999999999993</v>
      </c>
      <c r="AB2280" s="3">
        <f>grand[[#This Row],[ carcass weight]]/grand[[#This Row],[total weight]]</f>
        <v>0.59995171026156935</v>
      </c>
      <c r="AC2280" s="6">
        <f>SUM(grand[[#This Row],[am]:[meat transportation]])/100</f>
        <v>0.93359999999999999</v>
      </c>
      <c r="AD2280" s="2"/>
      <c r="AE2280" s="2"/>
      <c r="AF2280" s="2"/>
      <c r="AG2280" s="2"/>
      <c r="AH2280" s="2"/>
      <c r="AI2280" s="2"/>
      <c r="AJ2280" s="2">
        <v>7</v>
      </c>
      <c r="AK2280" s="12">
        <f>grand[[#This Row],[accepted as exception]]/grand[[#This Row],[number]]</f>
        <v>0.23333333333333334</v>
      </c>
      <c r="AL2280" s="2">
        <f>486+412+7</f>
        <v>905</v>
      </c>
    </row>
    <row r="2281" spans="1:38" hidden="1" x14ac:dyDescent="0.2">
      <c r="A2281" s="11">
        <v>44350</v>
      </c>
      <c r="B2281" s="53" t="s">
        <v>2658</v>
      </c>
      <c r="C2281" s="52" t="str">
        <f>IF(MID(B2281,4,2)="09","Ramadan",IF(AND(MID(B2281,4,2)="12",VALUE(LEFT(B2281,2))&lt;=9),"Adha Season","Normal"))</f>
        <v>Normal</v>
      </c>
      <c r="D2281" s="1" t="s">
        <v>45</v>
      </c>
      <c r="F2281" s="4" t="s">
        <v>46</v>
      </c>
      <c r="G2281" s="4">
        <v>57</v>
      </c>
      <c r="H2281" s="4">
        <v>55</v>
      </c>
      <c r="I2281" s="2">
        <f>grand[[#This Row],[number]]-grand[[#This Row],[received]]</f>
        <v>2</v>
      </c>
      <c r="J2281" s="30" t="s">
        <v>296</v>
      </c>
      <c r="K2281" s="9">
        <v>23784</v>
      </c>
      <c r="L2281" s="9">
        <v>23023</v>
      </c>
      <c r="M2281" s="2">
        <f>K2281-L2281</f>
        <v>761</v>
      </c>
      <c r="N2281" s="9">
        <v>14271.1</v>
      </c>
      <c r="O2281" s="2"/>
      <c r="P2281" s="7">
        <f>grand[[#This Row],[total weight]]/grand[[#This Row],[received]]</f>
        <v>432.43636363636364</v>
      </c>
      <c r="Q2281" s="7">
        <f>grand[[#This Row],[receiving weight]]/grand[[#This Row],[received]]</f>
        <v>418.6</v>
      </c>
      <c r="R2281" s="7">
        <f>grand[[#This Row],[transportation loss ]]/grand[[#This Row],[received]]</f>
        <v>13.836363636363636</v>
      </c>
      <c r="S2281" s="7">
        <f>grand[[#This Row],[ carcass weight]]/grand[[#This Row],[received]]</f>
        <v>259.47454545454548</v>
      </c>
      <c r="T2281" s="7">
        <f>grand[[#This Row],[ kidneys fat quantity]]/grand[[#This Row],[received]]</f>
        <v>0</v>
      </c>
      <c r="U2281" s="4">
        <v>25</v>
      </c>
      <c r="V2281" s="4">
        <v>0</v>
      </c>
      <c r="W2281" s="4">
        <v>49.65</v>
      </c>
      <c r="X2281" s="4">
        <v>10</v>
      </c>
      <c r="Y2281" s="8">
        <v>8.5</v>
      </c>
      <c r="Z2281" s="3">
        <f>grand[[#This Row],[av. Transportation loss]]/grand[[#This Row],[av.total weight]]</f>
        <v>3.1996300033636058E-2</v>
      </c>
      <c r="AA2281" s="12">
        <f>AVERAGE((grand[[#This Row],[am]]/25),(grand[[#This Row],[pm]]/50))</f>
        <v>0.99649999999999994</v>
      </c>
      <c r="AB2281" s="3">
        <f>grand[[#This Row],[ carcass weight]]/grand[[#This Row],[total weight]]</f>
        <v>0.60002943155062227</v>
      </c>
      <c r="AC2281" s="6">
        <f>SUM(grand[[#This Row],[am]:[meat transportation]])/100</f>
        <v>0.93150000000000011</v>
      </c>
      <c r="AD2281" s="2"/>
      <c r="AE2281" s="2"/>
      <c r="AF2281" s="2"/>
      <c r="AG2281" s="2"/>
      <c r="AH2281" s="2"/>
      <c r="AI2281" s="2"/>
      <c r="AJ2281" s="2">
        <v>21</v>
      </c>
      <c r="AK2281" s="12">
        <f>grand[[#This Row],[accepted as exception]]/grand[[#This Row],[number]]</f>
        <v>0.36842105263157893</v>
      </c>
      <c r="AL2281" s="2">
        <f>485+412+18</f>
        <v>915</v>
      </c>
    </row>
    <row r="2282" spans="1:38" hidden="1" x14ac:dyDescent="0.2">
      <c r="A2282" s="11">
        <v>44366</v>
      </c>
      <c r="B2282" s="53" t="s">
        <v>2665</v>
      </c>
      <c r="C2282" s="52" t="str">
        <f>IF(MID(B2282,4,2)="09","Ramadan",IF(AND(MID(B2282,4,2)="12",VALUE(LEFT(B2282,2))&lt;=9),"Adha Season","Normal"))</f>
        <v>Normal</v>
      </c>
      <c r="D2282" s="1" t="s">
        <v>45</v>
      </c>
      <c r="F2282" s="4" t="s">
        <v>280</v>
      </c>
      <c r="G2282" s="4">
        <v>34</v>
      </c>
      <c r="H2282" s="4">
        <v>32</v>
      </c>
      <c r="I2282" s="2">
        <f>grand[[#This Row],[number]]-grand[[#This Row],[received]]</f>
        <v>2</v>
      </c>
      <c r="J2282" s="30" t="s">
        <v>230</v>
      </c>
      <c r="K2282" s="9">
        <v>14840</v>
      </c>
      <c r="L2282" s="9">
        <v>14545</v>
      </c>
      <c r="M2282" s="2">
        <f>K2282-L2282</f>
        <v>295</v>
      </c>
      <c r="N2282" s="9">
        <v>9071.2999999999993</v>
      </c>
      <c r="O2282" s="2"/>
      <c r="P2282" s="7">
        <f>grand[[#This Row],[total weight]]/grand[[#This Row],[received]]</f>
        <v>463.75</v>
      </c>
      <c r="Q2282" s="7">
        <f>grand[[#This Row],[receiving weight]]/grand[[#This Row],[received]]</f>
        <v>454.53125</v>
      </c>
      <c r="R2282" s="7">
        <f>grand[[#This Row],[transportation loss ]]/grand[[#This Row],[received]]</f>
        <v>9.21875</v>
      </c>
      <c r="S2282" s="7">
        <f>grand[[#This Row],[ carcass weight]]/grand[[#This Row],[received]]</f>
        <v>283.47812499999998</v>
      </c>
      <c r="T2282" s="7">
        <f>grand[[#This Row],[ kidneys fat quantity]]/grand[[#This Row],[received]]</f>
        <v>0</v>
      </c>
      <c r="U2282" s="4">
        <v>25</v>
      </c>
      <c r="V2282" s="4">
        <v>0</v>
      </c>
      <c r="W2282" s="4">
        <v>50</v>
      </c>
      <c r="X2282" s="4">
        <v>10</v>
      </c>
      <c r="Y2282" s="8">
        <v>8.5</v>
      </c>
      <c r="Z2282" s="3">
        <f>grand[[#This Row],[av. Transportation loss]]/grand[[#This Row],[av.total weight]]</f>
        <v>1.9878706199460916E-2</v>
      </c>
      <c r="AA2282" s="12">
        <f>AVERAGE((grand[[#This Row],[am]]/25),(grand[[#This Row],[pm]]/50))</f>
        <v>1</v>
      </c>
      <c r="AB2282" s="3">
        <f>grand[[#This Row],[ carcass weight]]/grand[[#This Row],[total weight]]</f>
        <v>0.61127358490566031</v>
      </c>
      <c r="AC2282" s="6">
        <f>SUM(grand[[#This Row],[am]:[meat transportation]])/100</f>
        <v>0.93500000000000005</v>
      </c>
      <c r="AD2282" s="2"/>
      <c r="AE2282" s="2"/>
      <c r="AF2282" s="2"/>
      <c r="AG2282" s="2"/>
      <c r="AH2282" s="2"/>
      <c r="AI2282" s="2"/>
      <c r="AJ2282" s="2">
        <v>7</v>
      </c>
      <c r="AK2282" s="12">
        <f>grand[[#This Row],[accepted as exception]]/grand[[#This Row],[number]]</f>
        <v>0.20588235294117646</v>
      </c>
      <c r="AL2282" s="2">
        <v>865</v>
      </c>
    </row>
    <row r="2283" spans="1:38" hidden="1" x14ac:dyDescent="0.2">
      <c r="A2283" s="11">
        <v>44383</v>
      </c>
      <c r="B2283" s="53" t="s">
        <v>2672</v>
      </c>
      <c r="C2283" s="52" t="str">
        <f>IF(MID(B2283,4,2)="09","Ramadan",IF(AND(MID(B2283,4,2)="12",VALUE(LEFT(B2283,2))&lt;=9),"Adha Season","Normal"))</f>
        <v>Normal</v>
      </c>
      <c r="D2283" s="1" t="s">
        <v>45</v>
      </c>
      <c r="F2283" s="4" t="s">
        <v>42</v>
      </c>
      <c r="G2283" s="4">
        <v>21</v>
      </c>
      <c r="H2283" s="4">
        <v>19</v>
      </c>
      <c r="I2283" s="2">
        <f>grand[[#This Row],[number]]-grand[[#This Row],[received]]</f>
        <v>2</v>
      </c>
      <c r="J2283" s="30" t="s">
        <v>108</v>
      </c>
      <c r="K2283" s="2">
        <v>7532</v>
      </c>
      <c r="L2283" s="2">
        <v>7429</v>
      </c>
      <c r="M2283" s="2">
        <f>K2283-L2283</f>
        <v>103</v>
      </c>
      <c r="N2283" s="2">
        <v>4519.5</v>
      </c>
      <c r="O2283" s="2"/>
      <c r="P2283" s="7">
        <f>grand[[#This Row],[total weight]]/grand[[#This Row],[received]]</f>
        <v>396.42105263157896</v>
      </c>
      <c r="Q2283" s="7">
        <f>grand[[#This Row],[receiving weight]]/grand[[#This Row],[received]]</f>
        <v>391</v>
      </c>
      <c r="R2283" s="7">
        <f>grand[[#This Row],[transportation loss ]]/grand[[#This Row],[received]]</f>
        <v>5.4210526315789478</v>
      </c>
      <c r="S2283" s="7">
        <f>grand[[#This Row],[ carcass weight]]/grand[[#This Row],[received]]</f>
        <v>237.86842105263159</v>
      </c>
      <c r="T2283" s="7">
        <f>grand[[#This Row],[ kidneys fat quantity]]/grand[[#This Row],[received]]</f>
        <v>0</v>
      </c>
      <c r="U2283" s="4">
        <v>25</v>
      </c>
      <c r="V2283" s="4">
        <v>0</v>
      </c>
      <c r="W2283" s="4">
        <v>50</v>
      </c>
      <c r="X2283" s="4">
        <v>10</v>
      </c>
      <c r="Y2283" s="8">
        <v>8.5</v>
      </c>
      <c r="Z2283" s="3">
        <f>grand[[#This Row],[av. Transportation loss]]/grand[[#This Row],[av.total weight]]</f>
        <v>1.3674986723313862E-2</v>
      </c>
      <c r="AA2283" s="12">
        <f>AVERAGE((grand[[#This Row],[am]]/25),(grand[[#This Row],[pm]]/50))</f>
        <v>1</v>
      </c>
      <c r="AB2283" s="3">
        <f>grand[[#This Row],[ carcass weight]]/grand[[#This Row],[total weight]]</f>
        <v>0.60003983005841743</v>
      </c>
      <c r="AC2283" s="6">
        <f>SUM(grand[[#This Row],[am]:[meat transportation]])/100</f>
        <v>0.93500000000000005</v>
      </c>
      <c r="AD2283" s="2"/>
      <c r="AE2283" s="2"/>
      <c r="AF2283" s="2"/>
      <c r="AG2283" s="2"/>
      <c r="AH2283" s="2"/>
      <c r="AI2283" s="2"/>
      <c r="AJ2283" s="2">
        <v>2</v>
      </c>
      <c r="AK2283" s="12">
        <f>grand[[#This Row],[accepted as exception]]/grand[[#This Row],[number]]</f>
        <v>9.5238095238095233E-2</v>
      </c>
      <c r="AL2283" s="2">
        <v>881</v>
      </c>
    </row>
    <row r="2284" spans="1:38" hidden="1" x14ac:dyDescent="0.2">
      <c r="A2284" s="11">
        <v>44387</v>
      </c>
      <c r="B2284" s="53" t="s">
        <v>2674</v>
      </c>
      <c r="C2284" s="52" t="str">
        <f>IF(MID(B2284,4,2)="09","Ramadan",IF(AND(MID(B2284,4,2)="12",VALUE(LEFT(B2284,2))&lt;=9),"Adha Season","Normal"))</f>
        <v>Normal</v>
      </c>
      <c r="D2284" s="1" t="s">
        <v>45</v>
      </c>
      <c r="F2284" s="4" t="s">
        <v>280</v>
      </c>
      <c r="G2284" s="4">
        <v>42</v>
      </c>
      <c r="H2284" s="4">
        <v>40</v>
      </c>
      <c r="I2284" s="2">
        <f>grand[[#This Row],[number]]-grand[[#This Row],[received]]</f>
        <v>2</v>
      </c>
      <c r="J2284" s="30" t="s">
        <v>309</v>
      </c>
      <c r="K2284" s="2">
        <v>18345</v>
      </c>
      <c r="L2284" s="2">
        <v>18345</v>
      </c>
      <c r="M2284" s="2">
        <f>K2284-L2284</f>
        <v>0</v>
      </c>
      <c r="N2284" s="2">
        <v>11120.7</v>
      </c>
      <c r="O2284" s="2"/>
      <c r="P2284" s="7">
        <f>grand[[#This Row],[total weight]]/grand[[#This Row],[received]]</f>
        <v>458.625</v>
      </c>
      <c r="Q2284" s="7">
        <f>grand[[#This Row],[receiving weight]]/grand[[#This Row],[received]]</f>
        <v>458.625</v>
      </c>
      <c r="R2284" s="7">
        <f>grand[[#This Row],[transportation loss ]]/grand[[#This Row],[received]]</f>
        <v>0</v>
      </c>
      <c r="S2284" s="7">
        <f>grand[[#This Row],[ carcass weight]]/grand[[#This Row],[received]]</f>
        <v>278.01750000000004</v>
      </c>
      <c r="T2284" s="7">
        <f>grand[[#This Row],[ kidneys fat quantity]]/grand[[#This Row],[received]]</f>
        <v>0</v>
      </c>
      <c r="U2284" s="4">
        <v>25</v>
      </c>
      <c r="V2284" s="4">
        <v>0</v>
      </c>
      <c r="W2284" s="4">
        <v>50</v>
      </c>
      <c r="X2284" s="4">
        <v>10</v>
      </c>
      <c r="Y2284" s="8">
        <v>8.5</v>
      </c>
      <c r="Z2284" s="3">
        <f>grand[[#This Row],[av. Transportation loss]]/grand[[#This Row],[av.total weight]]</f>
        <v>0</v>
      </c>
      <c r="AA2284" s="12">
        <f>AVERAGE((grand[[#This Row],[am]]/25),(grand[[#This Row],[pm]]/50))</f>
        <v>1</v>
      </c>
      <c r="AB2284" s="3">
        <f>grand[[#This Row],[ carcass weight]]/grand[[#This Row],[total weight]]</f>
        <v>0.60619787408013082</v>
      </c>
      <c r="AC2284" s="6">
        <f>SUM(grand[[#This Row],[am]:[meat transportation]])/100</f>
        <v>0.93500000000000005</v>
      </c>
      <c r="AD2284" s="2"/>
      <c r="AE2284" s="2"/>
      <c r="AF2284" s="2"/>
      <c r="AG2284" s="2"/>
      <c r="AH2284" s="2"/>
      <c r="AI2284" s="2"/>
      <c r="AJ2284" s="2">
        <v>18</v>
      </c>
      <c r="AK2284" s="12">
        <f>grand[[#This Row],[accepted as exception]]/grand[[#This Row],[number]]</f>
        <v>0.42857142857142855</v>
      </c>
      <c r="AL2284" s="2">
        <f>459*2</f>
        <v>918</v>
      </c>
    </row>
    <row r="2285" spans="1:38" hidden="1" x14ac:dyDescent="0.2">
      <c r="A2285" s="11">
        <v>44389</v>
      </c>
      <c r="B2285" s="53" t="s">
        <v>1563</v>
      </c>
      <c r="C2285" s="52" t="str">
        <f>IF(MID(B2285,4,2)="09","Ramadan",IF(AND(MID(B2285,4,2)="12",VALUE(LEFT(B2285,2))&lt;=9),"Adha Season","Normal"))</f>
        <v>Adha Season</v>
      </c>
      <c r="D2285" s="1" t="s">
        <v>45</v>
      </c>
      <c r="F2285" s="4" t="s">
        <v>39</v>
      </c>
      <c r="G2285" s="4">
        <v>42</v>
      </c>
      <c r="H2285" s="4">
        <v>40</v>
      </c>
      <c r="I2285" s="2">
        <f>grand[[#This Row],[number]]-grand[[#This Row],[received]]</f>
        <v>2</v>
      </c>
      <c r="J2285" s="30" t="s">
        <v>131</v>
      </c>
      <c r="K2285" s="2">
        <v>17475</v>
      </c>
      <c r="L2285" s="2">
        <v>17475</v>
      </c>
      <c r="M2285" s="2">
        <f>K2285-L2285</f>
        <v>0</v>
      </c>
      <c r="N2285" s="2">
        <v>11007.2</v>
      </c>
      <c r="O2285" s="2"/>
      <c r="P2285" s="7">
        <f>grand[[#This Row],[total weight]]/grand[[#This Row],[received]]</f>
        <v>436.875</v>
      </c>
      <c r="Q2285" s="7">
        <f>grand[[#This Row],[receiving weight]]/grand[[#This Row],[received]]</f>
        <v>436.875</v>
      </c>
      <c r="R2285" s="7">
        <f>grand[[#This Row],[transportation loss ]]/grand[[#This Row],[received]]</f>
        <v>0</v>
      </c>
      <c r="S2285" s="7">
        <f>grand[[#This Row],[ carcass weight]]/grand[[#This Row],[received]]</f>
        <v>275.18</v>
      </c>
      <c r="T2285" s="7">
        <f>grand[[#This Row],[ kidneys fat quantity]]/grand[[#This Row],[received]]</f>
        <v>0</v>
      </c>
      <c r="U2285" s="4">
        <v>25</v>
      </c>
      <c r="V2285" s="4">
        <v>0</v>
      </c>
      <c r="W2285" s="4">
        <v>50</v>
      </c>
      <c r="X2285" s="4">
        <v>10</v>
      </c>
      <c r="Y2285" s="8">
        <v>8.5</v>
      </c>
      <c r="Z2285" s="3">
        <f>grand[[#This Row],[av. Transportation loss]]/grand[[#This Row],[av.total weight]]</f>
        <v>0</v>
      </c>
      <c r="AA2285" s="12">
        <f>AVERAGE((grand[[#This Row],[am]]/25),(grand[[#This Row],[pm]]/50))</f>
        <v>1</v>
      </c>
      <c r="AB2285" s="3">
        <f>grand[[#This Row],[ carcass weight]]/grand[[#This Row],[total weight]]</f>
        <v>0.62988268955650939</v>
      </c>
      <c r="AC2285" s="6">
        <f>SUM(grand[[#This Row],[am]:[meat transportation]])/100</f>
        <v>0.93500000000000005</v>
      </c>
      <c r="AD2285" s="2"/>
      <c r="AE2285" s="2"/>
      <c r="AF2285" s="2"/>
      <c r="AG2285" s="2"/>
      <c r="AH2285" s="2"/>
      <c r="AI2285" s="2"/>
      <c r="AJ2285" s="2">
        <v>9</v>
      </c>
      <c r="AK2285" s="12">
        <f>grand[[#This Row],[accepted as exception]]/grand[[#This Row],[number]]</f>
        <v>0.21428571428571427</v>
      </c>
      <c r="AL2285" s="2">
        <v>807</v>
      </c>
    </row>
    <row r="2286" spans="1:38" hidden="1" x14ac:dyDescent="0.2">
      <c r="A2286" s="11">
        <v>44391</v>
      </c>
      <c r="B2286" s="53" t="s">
        <v>1565</v>
      </c>
      <c r="C2286" s="52" t="str">
        <f>IF(MID(B2286,4,2)="09","Ramadan",IF(AND(MID(B2286,4,2)="12",VALUE(LEFT(B2286,2))&lt;=9),"Adha Season","Normal"))</f>
        <v>Adha Season</v>
      </c>
      <c r="D2286" s="1" t="s">
        <v>45</v>
      </c>
      <c r="F2286" s="4" t="s">
        <v>46</v>
      </c>
      <c r="G2286" s="4">
        <v>52</v>
      </c>
      <c r="H2286" s="4">
        <v>50</v>
      </c>
      <c r="I2286" s="2">
        <f>grand[[#This Row],[number]]-grand[[#This Row],[received]]</f>
        <v>2</v>
      </c>
      <c r="J2286" s="30" t="s">
        <v>311</v>
      </c>
      <c r="K2286" s="2">
        <v>22123</v>
      </c>
      <c r="L2286" s="2">
        <v>22123</v>
      </c>
      <c r="M2286" s="2">
        <f>K2286-L2286</f>
        <v>0</v>
      </c>
      <c r="N2286" s="2">
        <v>13274.3</v>
      </c>
      <c r="O2286" s="2"/>
      <c r="P2286" s="7">
        <f>grand[[#This Row],[total weight]]/grand[[#This Row],[received]]</f>
        <v>442.46</v>
      </c>
      <c r="Q2286" s="7">
        <f>grand[[#This Row],[receiving weight]]/grand[[#This Row],[received]]</f>
        <v>442.46</v>
      </c>
      <c r="R2286" s="7">
        <f>grand[[#This Row],[transportation loss ]]/grand[[#This Row],[received]]</f>
        <v>0</v>
      </c>
      <c r="S2286" s="7">
        <f>grand[[#This Row],[ carcass weight]]/grand[[#This Row],[received]]</f>
        <v>265.48599999999999</v>
      </c>
      <c r="T2286" s="7">
        <f>grand[[#This Row],[ kidneys fat quantity]]/grand[[#This Row],[received]]</f>
        <v>0</v>
      </c>
      <c r="U2286" s="4">
        <v>24.2</v>
      </c>
      <c r="V2286" s="4">
        <v>0</v>
      </c>
      <c r="W2286" s="4">
        <v>49.6</v>
      </c>
      <c r="X2286" s="4">
        <v>10</v>
      </c>
      <c r="Y2286" s="8">
        <v>8.5</v>
      </c>
      <c r="Z2286" s="3">
        <f>grand[[#This Row],[av. Transportation loss]]/grand[[#This Row],[av.total weight]]</f>
        <v>0</v>
      </c>
      <c r="AA2286" s="12">
        <f>AVERAGE((grand[[#This Row],[am]]/25),(grand[[#This Row],[pm]]/50))</f>
        <v>0.98</v>
      </c>
      <c r="AB2286" s="3">
        <f>grand[[#This Row],[ carcass weight]]/grand[[#This Row],[total weight]]</f>
        <v>0.60002260091307691</v>
      </c>
      <c r="AC2286" s="6">
        <f>SUM(grand[[#This Row],[am]:[meat transportation]])/100</f>
        <v>0.92299999999999993</v>
      </c>
      <c r="AD2286" s="2"/>
      <c r="AE2286" s="2"/>
      <c r="AF2286" s="2"/>
      <c r="AG2286" s="2"/>
      <c r="AH2286" s="2"/>
      <c r="AI2286" s="2"/>
      <c r="AJ2286" s="2">
        <v>10</v>
      </c>
      <c r="AK2286" s="12">
        <f>grand[[#This Row],[accepted as exception]]/grand[[#This Row],[number]]</f>
        <v>0.19230769230769232</v>
      </c>
      <c r="AL2286" s="2">
        <v>933</v>
      </c>
    </row>
    <row r="2287" spans="1:38" hidden="1" x14ac:dyDescent="0.2">
      <c r="A2287" s="11">
        <v>44443</v>
      </c>
      <c r="B2287" s="53" t="s">
        <v>2691</v>
      </c>
      <c r="C2287" s="52" t="str">
        <f>IF(MID(B2287,4,2)="09","Ramadan",IF(AND(MID(B2287,4,2)="12",VALUE(LEFT(B2287,2))&lt;=9),"Adha Season","Normal"))</f>
        <v>Normal</v>
      </c>
      <c r="D2287" s="1" t="s">
        <v>45</v>
      </c>
      <c r="F2287" s="4" t="s">
        <v>39</v>
      </c>
      <c r="G2287" s="4">
        <v>36</v>
      </c>
      <c r="H2287" s="4">
        <v>34</v>
      </c>
      <c r="I2287" s="2">
        <f>grand[[#This Row],[number]]-grand[[#This Row],[received]]</f>
        <v>2</v>
      </c>
      <c r="J2287" s="30" t="s">
        <v>320</v>
      </c>
      <c r="K2287" s="9">
        <v>14271</v>
      </c>
      <c r="L2287" s="9">
        <v>13397</v>
      </c>
      <c r="M2287" s="2">
        <f>K2287-L2287</f>
        <v>874</v>
      </c>
      <c r="N2287" s="9">
        <v>8690.2000000000007</v>
      </c>
      <c r="O2287" s="9"/>
      <c r="P2287" s="7">
        <f>grand[[#This Row],[total weight]]/grand[[#This Row],[received]]</f>
        <v>419.73529411764707</v>
      </c>
      <c r="Q2287" s="7">
        <f>grand[[#This Row],[receiving weight]]/grand[[#This Row],[received]]</f>
        <v>394.02941176470586</v>
      </c>
      <c r="R2287" s="7">
        <f>grand[[#This Row],[transportation loss ]]/grand[[#This Row],[received]]</f>
        <v>25.705882352941178</v>
      </c>
      <c r="S2287" s="7">
        <f>grand[[#This Row],[ carcass weight]]/grand[[#This Row],[received]]</f>
        <v>255.59411764705885</v>
      </c>
      <c r="T2287" s="7">
        <f>grand[[#This Row],[ kidneys fat quantity]]/grand[[#This Row],[received]]</f>
        <v>0</v>
      </c>
      <c r="U2287" s="4">
        <v>25</v>
      </c>
      <c r="V2287" s="4">
        <v>0</v>
      </c>
      <c r="W2287" s="4">
        <v>49.88</v>
      </c>
      <c r="X2287" s="4">
        <v>10</v>
      </c>
      <c r="Y2287" s="8">
        <v>8.5</v>
      </c>
      <c r="Z2287" s="3">
        <f>grand[[#This Row],[av. Transportation loss]]/grand[[#This Row],[av.total weight]]</f>
        <v>6.1243080372783969E-2</v>
      </c>
      <c r="AA2287" s="12">
        <f>AVERAGE((grand[[#This Row],[am]]/25),(grand[[#This Row],[pm]]/50))</f>
        <v>0.99880000000000002</v>
      </c>
      <c r="AB2287" s="3">
        <f>grand[[#This Row],[ carcass weight]]/grand[[#This Row],[total weight]]</f>
        <v>0.60894120944572916</v>
      </c>
      <c r="AC2287" s="6">
        <f>SUM(grand[[#This Row],[am]:[meat transportation]])/100</f>
        <v>0.93379999999999996</v>
      </c>
      <c r="AD2287" s="2"/>
      <c r="AE2287" s="2"/>
      <c r="AF2287" s="2"/>
      <c r="AG2287" s="2"/>
      <c r="AH2287" s="2"/>
      <c r="AI2287" s="2"/>
      <c r="AJ2287" s="2">
        <v>2</v>
      </c>
      <c r="AK2287" s="12">
        <f>grand[[#This Row],[accepted as exception]]/grand[[#This Row],[number]]</f>
        <v>5.5555555555555552E-2</v>
      </c>
      <c r="AL2287" s="2">
        <v>808</v>
      </c>
    </row>
    <row r="2288" spans="1:38" hidden="1" x14ac:dyDescent="0.2">
      <c r="A2288" s="11">
        <v>44457</v>
      </c>
      <c r="B2288" s="53" t="s">
        <v>2697</v>
      </c>
      <c r="C2288" s="52" t="str">
        <f>IF(MID(B2288,4,2)="09","Ramadan",IF(AND(MID(B2288,4,2)="12",VALUE(LEFT(B2288,2))&lt;=9),"Adha Season","Normal"))</f>
        <v>Normal</v>
      </c>
      <c r="D2288" s="1" t="s">
        <v>45</v>
      </c>
      <c r="F2288" s="4" t="s">
        <v>39</v>
      </c>
      <c r="G2288" s="4">
        <v>31</v>
      </c>
      <c r="H2288" s="4">
        <v>29</v>
      </c>
      <c r="I2288" s="2">
        <f>grand[[#This Row],[number]]-grand[[#This Row],[received]]</f>
        <v>2</v>
      </c>
      <c r="J2288" s="30" t="s">
        <v>320</v>
      </c>
      <c r="K2288" s="9">
        <v>12486</v>
      </c>
      <c r="L2288" s="9">
        <v>11743</v>
      </c>
      <c r="M2288" s="2">
        <f>K2288-L2288</f>
        <v>743</v>
      </c>
      <c r="N2288" s="9">
        <v>7649</v>
      </c>
      <c r="O2288" s="9"/>
      <c r="P2288" s="7">
        <f>grand[[#This Row],[total weight]]/grand[[#This Row],[received]]</f>
        <v>430.55172413793105</v>
      </c>
      <c r="Q2288" s="7">
        <f>grand[[#This Row],[receiving weight]]/grand[[#This Row],[received]]</f>
        <v>404.93103448275861</v>
      </c>
      <c r="R2288" s="7">
        <f>grand[[#This Row],[transportation loss ]]/grand[[#This Row],[received]]</f>
        <v>25.620689655172413</v>
      </c>
      <c r="S2288" s="7">
        <f>grand[[#This Row],[ carcass weight]]/grand[[#This Row],[received]]</f>
        <v>263.75862068965517</v>
      </c>
      <c r="T2288" s="7">
        <f>grand[[#This Row],[ kidneys fat quantity]]/grand[[#This Row],[received]]</f>
        <v>0</v>
      </c>
      <c r="U2288" s="4">
        <v>25</v>
      </c>
      <c r="V2288" s="4">
        <v>0</v>
      </c>
      <c r="W2288" s="4">
        <v>49.66</v>
      </c>
      <c r="X2288" s="4">
        <v>10</v>
      </c>
      <c r="Y2288" s="8">
        <v>8.5</v>
      </c>
      <c r="Z2288" s="3">
        <f>grand[[#This Row],[av. Transportation loss]]/grand[[#This Row],[av.total weight]]</f>
        <v>5.9506647445138554E-2</v>
      </c>
      <c r="AA2288" s="12">
        <f>AVERAGE((grand[[#This Row],[am]]/25),(grand[[#This Row],[pm]]/50))</f>
        <v>0.99659999999999993</v>
      </c>
      <c r="AB2288" s="3">
        <f>grand[[#This Row],[ carcass weight]]/grand[[#This Row],[total weight]]</f>
        <v>0.61260611885311544</v>
      </c>
      <c r="AC2288" s="6">
        <f>SUM(grand[[#This Row],[am]:[meat transportation]])/100</f>
        <v>0.93159999999999998</v>
      </c>
      <c r="AD2288" s="2"/>
      <c r="AE2288" s="2"/>
      <c r="AF2288" s="2"/>
      <c r="AG2288" s="2"/>
      <c r="AH2288" s="2"/>
      <c r="AI2288" s="2"/>
      <c r="AJ2288" s="2">
        <v>5</v>
      </c>
      <c r="AK2288" s="12">
        <f>grand[[#This Row],[accepted as exception]]/grand[[#This Row],[number]]</f>
        <v>0.16129032258064516</v>
      </c>
      <c r="AL2288" s="2">
        <v>887</v>
      </c>
    </row>
    <row r="2289" spans="1:38" hidden="1" x14ac:dyDescent="0.2">
      <c r="A2289" s="11">
        <v>44472</v>
      </c>
      <c r="B2289" s="53" t="s">
        <v>1584</v>
      </c>
      <c r="C2289" s="52" t="str">
        <f>IF(MID(B2289,4,2)="09","Ramadan",IF(AND(MID(B2289,4,2)="12",VALUE(LEFT(B2289,2))&lt;=9),"Adha Season","Normal"))</f>
        <v>Normal</v>
      </c>
      <c r="D2289" s="1" t="s">
        <v>45</v>
      </c>
      <c r="F2289" s="4" t="s">
        <v>280</v>
      </c>
      <c r="G2289" s="4">
        <v>39</v>
      </c>
      <c r="H2289" s="4">
        <v>37</v>
      </c>
      <c r="I2289" s="2">
        <f>grand[[#This Row],[number]]-grand[[#This Row],[received]]</f>
        <v>2</v>
      </c>
      <c r="J2289" s="30" t="s">
        <v>320</v>
      </c>
      <c r="K2289" s="9">
        <v>15839</v>
      </c>
      <c r="L2289" s="9">
        <v>15597</v>
      </c>
      <c r="M2289" s="2">
        <f>K2289-L2289</f>
        <v>242</v>
      </c>
      <c r="N2289" s="9">
        <v>9503</v>
      </c>
      <c r="O2289" s="9">
        <v>295</v>
      </c>
      <c r="P2289" s="7">
        <f>grand[[#This Row],[total weight]]/grand[[#This Row],[received]]</f>
        <v>428.08108108108109</v>
      </c>
      <c r="Q2289" s="7">
        <f>grand[[#This Row],[receiving weight]]/grand[[#This Row],[received]]</f>
        <v>421.54054054054052</v>
      </c>
      <c r="R2289" s="7">
        <f>grand[[#This Row],[transportation loss ]]/grand[[#This Row],[received]]</f>
        <v>6.5405405405405403</v>
      </c>
      <c r="S2289" s="7">
        <f>grand[[#This Row],[ carcass weight]]/grand[[#This Row],[received]]</f>
        <v>256.83783783783781</v>
      </c>
      <c r="T2289" s="7">
        <f>grand[[#This Row],[ kidneys fat quantity]]/grand[[#This Row],[received]]</f>
        <v>7.9729729729729728</v>
      </c>
      <c r="U2289" s="4">
        <v>25</v>
      </c>
      <c r="V2289" s="4">
        <v>0</v>
      </c>
      <c r="W2289" s="4">
        <v>49.810810810810807</v>
      </c>
      <c r="X2289" s="4">
        <v>10</v>
      </c>
      <c r="Y2289" s="8">
        <v>8.5</v>
      </c>
      <c r="Z2289" s="3">
        <f>grand[[#This Row],[av. Transportation loss]]/grand[[#This Row],[av.total weight]]</f>
        <v>1.5278742344845001E-2</v>
      </c>
      <c r="AA2289" s="12">
        <f>AVERAGE((grand[[#This Row],[am]]/25),(grand[[#This Row],[pm]]/50))</f>
        <v>0.99810810810810802</v>
      </c>
      <c r="AB2289" s="3">
        <f>grand[[#This Row],[ carcass weight]]/grand[[#This Row],[total weight]]</f>
        <v>0.59997474588042177</v>
      </c>
      <c r="AC2289" s="6">
        <f>SUM(grand[[#This Row],[am]:[meat transportation]])/100</f>
        <v>0.93310810810810807</v>
      </c>
      <c r="AD2289" s="2"/>
      <c r="AE2289" s="2"/>
      <c r="AF2289" s="2"/>
      <c r="AG2289" s="2"/>
      <c r="AH2289" s="2"/>
      <c r="AI2289" s="2"/>
      <c r="AJ2289" s="2">
        <v>9</v>
      </c>
      <c r="AK2289" s="12">
        <f>grand[[#This Row],[accepted as exception]]/grand[[#This Row],[number]]</f>
        <v>0.23076923076923078</v>
      </c>
      <c r="AL2289" s="2">
        <v>950.5</v>
      </c>
    </row>
    <row r="2290" spans="1:38" hidden="1" x14ac:dyDescent="0.2">
      <c r="A2290" s="11">
        <v>44492</v>
      </c>
      <c r="B2290" s="53" t="s">
        <v>2712</v>
      </c>
      <c r="C2290" s="52" t="str">
        <f>IF(MID(B2290,4,2)="09","Ramadan",IF(AND(MID(B2290,4,2)="12",VALUE(LEFT(B2290,2))&lt;=9),"Adha Season","Normal"))</f>
        <v>Normal</v>
      </c>
      <c r="D2290" s="1" t="s">
        <v>45</v>
      </c>
      <c r="F2290" s="4" t="s">
        <v>280</v>
      </c>
      <c r="G2290" s="4">
        <v>29</v>
      </c>
      <c r="H2290" s="4">
        <v>27</v>
      </c>
      <c r="I2290" s="2">
        <f>grand[[#This Row],[number]]-grand[[#This Row],[received]]</f>
        <v>2</v>
      </c>
      <c r="J2290" s="30" t="s">
        <v>327</v>
      </c>
      <c r="K2290" s="9">
        <v>12810</v>
      </c>
      <c r="L2290" s="9">
        <v>12325</v>
      </c>
      <c r="M2290" s="2">
        <f>K2290-L2290</f>
        <v>485</v>
      </c>
      <c r="N2290" s="9">
        <v>7685.8</v>
      </c>
      <c r="O2290" s="9">
        <v>268</v>
      </c>
      <c r="P2290" s="7">
        <f>grand[[#This Row],[total weight]]/grand[[#This Row],[received]]</f>
        <v>474.44444444444446</v>
      </c>
      <c r="Q2290" s="7">
        <f>grand[[#This Row],[receiving weight]]/grand[[#This Row],[received]]</f>
        <v>456.48148148148147</v>
      </c>
      <c r="R2290" s="7">
        <f>grand[[#This Row],[transportation loss ]]/grand[[#This Row],[received]]</f>
        <v>17.962962962962962</v>
      </c>
      <c r="S2290" s="7">
        <f>grand[[#This Row],[ carcass weight]]/grand[[#This Row],[received]]</f>
        <v>284.65925925925927</v>
      </c>
      <c r="T2290" s="7">
        <f>grand[[#This Row],[ kidneys fat quantity]]/grand[[#This Row],[received]]</f>
        <v>9.9259259259259256</v>
      </c>
      <c r="U2290" s="4">
        <v>25</v>
      </c>
      <c r="V2290" s="4">
        <v>0</v>
      </c>
      <c r="W2290" s="4">
        <v>48.931034482758626</v>
      </c>
      <c r="X2290" s="4">
        <v>10</v>
      </c>
      <c r="Y2290" s="8">
        <v>8.5</v>
      </c>
      <c r="Z2290" s="3">
        <f>grand[[#This Row],[av. Transportation loss]]/grand[[#This Row],[av.total weight]]</f>
        <v>3.7861046057767363E-2</v>
      </c>
      <c r="AA2290" s="12">
        <f>AVERAGE((grand[[#This Row],[am]]/25),(grand[[#This Row],[pm]]/50))</f>
        <v>0.98931034482758629</v>
      </c>
      <c r="AB2290" s="3">
        <f>grand[[#This Row],[ carcass weight]]/grand[[#This Row],[total weight]]</f>
        <v>0.59998438719750191</v>
      </c>
      <c r="AC2290" s="6">
        <f>SUM(grand[[#This Row],[am]:[meat transportation]])/100</f>
        <v>0.92431034482758634</v>
      </c>
      <c r="AD2290" s="2"/>
      <c r="AE2290" s="2"/>
      <c r="AF2290" s="2"/>
      <c r="AG2290" s="2"/>
      <c r="AH2290" s="2"/>
      <c r="AI2290" s="2"/>
      <c r="AJ2290" s="2">
        <f>10+2</f>
        <v>12</v>
      </c>
      <c r="AK2290" s="12">
        <f>grand[[#This Row],[accepted as exception]]/grand[[#This Row],[number]]</f>
        <v>0.41379310344827586</v>
      </c>
      <c r="AL2290" s="2">
        <v>993</v>
      </c>
    </row>
    <row r="2291" spans="1:38" hidden="1" x14ac:dyDescent="0.2">
      <c r="A2291" s="11">
        <v>44525</v>
      </c>
      <c r="B2291" s="53" t="s">
        <v>2726</v>
      </c>
      <c r="C2291" s="52" t="str">
        <f>IF(MID(B2291,4,2)="09","Ramadan",IF(AND(MID(B2291,4,2)="12",VALUE(LEFT(B2291,2))&lt;=9),"Adha Season","Normal"))</f>
        <v>Normal</v>
      </c>
      <c r="D2291" s="1" t="s">
        <v>45</v>
      </c>
      <c r="F2291" s="4" t="s">
        <v>46</v>
      </c>
      <c r="G2291" s="1">
        <v>40</v>
      </c>
      <c r="H2291" s="15">
        <v>38</v>
      </c>
      <c r="I2291" s="1">
        <f>grand[[#This Row],[number]]-grand[[#This Row],[received]]</f>
        <v>2</v>
      </c>
      <c r="J2291" s="30" t="s">
        <v>332</v>
      </c>
      <c r="K2291" s="9">
        <v>15744</v>
      </c>
      <c r="L2291" s="9">
        <v>15176</v>
      </c>
      <c r="M2291" s="2">
        <f>K2291-L2291</f>
        <v>568</v>
      </c>
      <c r="N2291" s="9">
        <v>9446.6</v>
      </c>
      <c r="O2291" s="9">
        <v>260</v>
      </c>
      <c r="P2291" s="16">
        <f>grand[[#This Row],[total weight]]/grand[[#This Row],[received]]</f>
        <v>414.31578947368422</v>
      </c>
      <c r="Q2291" s="16">
        <f>grand[[#This Row],[receiving weight]]/grand[[#This Row],[received]]</f>
        <v>399.36842105263156</v>
      </c>
      <c r="R2291" s="16">
        <f>grand[[#This Row],[transportation loss ]]/grand[[#This Row],[received]]</f>
        <v>14.947368421052632</v>
      </c>
      <c r="S2291" s="16">
        <f>grand[[#This Row],[ carcass weight]]/grand[[#This Row],[received]]</f>
        <v>248.59473684210528</v>
      </c>
      <c r="T2291" s="16">
        <f>grand[[#This Row],[ kidneys fat quantity]]/grand[[#This Row],[received]]</f>
        <v>6.8421052631578947</v>
      </c>
      <c r="U2291" s="15">
        <v>25</v>
      </c>
      <c r="V2291" s="15">
        <v>0</v>
      </c>
      <c r="W2291" s="15">
        <v>49.94736842105263</v>
      </c>
      <c r="X2291" s="15">
        <v>10</v>
      </c>
      <c r="Y2291" s="8">
        <v>8.5</v>
      </c>
      <c r="Z2291" s="18">
        <f>grand[[#This Row],[av. Transportation loss]]/grand[[#This Row],[av.total weight]]</f>
        <v>3.6077235772357726E-2</v>
      </c>
      <c r="AA2291" s="12">
        <f>AVERAGE((grand[[#This Row],[am]]/25),(grand[[#This Row],[pm]]/50))</f>
        <v>0.99947368421052629</v>
      </c>
      <c r="AB2291" s="18">
        <f>grand[[#This Row],[ carcass weight]]/grand[[#This Row],[total weight]]</f>
        <v>0.6000127032520326</v>
      </c>
      <c r="AC2291" s="19">
        <f>SUM(grand[[#This Row],[am]:[meat transportation]])/100</f>
        <v>0.93447368421052635</v>
      </c>
      <c r="AJ2291" s="1">
        <v>8</v>
      </c>
      <c r="AK2291" s="20">
        <f>grand[[#This Row],[accepted as exception]]/grand[[#This Row],[number]]</f>
        <v>0.2</v>
      </c>
      <c r="AL2291">
        <v>809.1</v>
      </c>
    </row>
    <row r="2292" spans="1:38" hidden="1" x14ac:dyDescent="0.2">
      <c r="A2292" s="11">
        <v>44528</v>
      </c>
      <c r="B2292" s="53" t="s">
        <v>1592</v>
      </c>
      <c r="C2292" s="52" t="str">
        <f>IF(MID(B2292,4,2)="09","Ramadan",IF(AND(MID(B2292,4,2)="12",VALUE(LEFT(B2292,2))&lt;=9),"Adha Season","Normal"))</f>
        <v>Normal</v>
      </c>
      <c r="D2292" s="1" t="s">
        <v>45</v>
      </c>
      <c r="F2292" s="15" t="s">
        <v>41</v>
      </c>
      <c r="G2292" s="1">
        <v>16</v>
      </c>
      <c r="H2292" s="15">
        <v>14</v>
      </c>
      <c r="I2292" s="1">
        <f>grand[[#This Row],[number]]-grand[[#This Row],[received]]</f>
        <v>2</v>
      </c>
      <c r="J2292" s="30" t="s">
        <v>310</v>
      </c>
      <c r="K2292" s="9">
        <v>6076</v>
      </c>
      <c r="L2292" s="9">
        <v>5778</v>
      </c>
      <c r="M2292" s="2">
        <f>K2292-L2292</f>
        <v>298</v>
      </c>
      <c r="N2292" s="9">
        <v>3645.5</v>
      </c>
      <c r="O2292" s="9">
        <v>92</v>
      </c>
      <c r="P2292" s="16">
        <f>grand[[#This Row],[total weight]]/grand[[#This Row],[received]]</f>
        <v>434</v>
      </c>
      <c r="Q2292" s="16">
        <f>grand[[#This Row],[receiving weight]]/grand[[#This Row],[received]]</f>
        <v>412.71428571428572</v>
      </c>
      <c r="R2292" s="16">
        <f>grand[[#This Row],[transportation loss ]]/grand[[#This Row],[received]]</f>
        <v>21.285714285714285</v>
      </c>
      <c r="S2292" s="16">
        <f>grand[[#This Row],[ carcass weight]]/grand[[#This Row],[received]]</f>
        <v>260.39285714285717</v>
      </c>
      <c r="T2292" s="16">
        <f>grand[[#This Row],[ kidneys fat quantity]]/grand[[#This Row],[received]]</f>
        <v>6.5714285714285712</v>
      </c>
      <c r="U2292" s="15">
        <v>25</v>
      </c>
      <c r="V2292" s="15">
        <v>0</v>
      </c>
      <c r="W2292" s="15">
        <v>49.500000000000007</v>
      </c>
      <c r="X2292" s="15">
        <v>10</v>
      </c>
      <c r="Y2292" s="8">
        <v>8.5</v>
      </c>
      <c r="Z2292" s="18">
        <f>grand[[#This Row],[av. Transportation loss]]/grand[[#This Row],[av.total weight]]</f>
        <v>4.9045424621461484E-2</v>
      </c>
      <c r="AA2292" s="12">
        <f>AVERAGE((grand[[#This Row],[am]]/25),(grand[[#This Row],[pm]]/50))</f>
        <v>0.99500000000000011</v>
      </c>
      <c r="AB2292" s="18">
        <f>grand[[#This Row],[ carcass weight]]/grand[[#This Row],[total weight]]</f>
        <v>0.5999835418038183</v>
      </c>
      <c r="AC2292" s="19">
        <f>SUM(grand[[#This Row],[am]:[meat transportation]])/100</f>
        <v>0.93</v>
      </c>
      <c r="AJ2292" s="1">
        <v>7</v>
      </c>
      <c r="AK2292" s="20">
        <f>grand[[#This Row],[accepted as exception]]/grand[[#This Row],[number]]</f>
        <v>0.4375</v>
      </c>
      <c r="AL2292">
        <v>818</v>
      </c>
    </row>
    <row r="2293" spans="1:38" hidden="1" x14ac:dyDescent="0.2">
      <c r="A2293" s="11">
        <v>44537</v>
      </c>
      <c r="B2293" s="53" t="s">
        <v>2731</v>
      </c>
      <c r="C2293" s="52" t="str">
        <f>IF(MID(B2293,4,2)="09","Ramadan",IF(AND(MID(B2293,4,2)="12",VALUE(LEFT(B2293,2))&lt;=9),"Adha Season","Normal"))</f>
        <v>Normal</v>
      </c>
      <c r="D2293" s="1" t="s">
        <v>45</v>
      </c>
      <c r="F2293" s="4" t="s">
        <v>39</v>
      </c>
      <c r="G2293" s="1">
        <v>45</v>
      </c>
      <c r="H2293" s="15">
        <v>43</v>
      </c>
      <c r="I2293" s="1">
        <f>grand[[#This Row],[number]]-grand[[#This Row],[received]]</f>
        <v>2</v>
      </c>
      <c r="J2293" s="30" t="s">
        <v>336</v>
      </c>
      <c r="K2293" s="9">
        <v>19119</v>
      </c>
      <c r="L2293" s="9">
        <v>17764</v>
      </c>
      <c r="M2293" s="2">
        <f>K2293-L2293</f>
        <v>1355</v>
      </c>
      <c r="N2293" s="9">
        <v>11643.2</v>
      </c>
      <c r="O2293" s="9">
        <v>413</v>
      </c>
      <c r="P2293" s="7">
        <f>grand[[#This Row],[total weight]]/grand[[#This Row],[received]]</f>
        <v>444.62790697674421</v>
      </c>
      <c r="Q2293" s="7">
        <f>grand[[#This Row],[receiving weight]]/grand[[#This Row],[received]]</f>
        <v>413.11627906976742</v>
      </c>
      <c r="R2293" s="7">
        <f>grand[[#This Row],[transportation loss ]]/grand[[#This Row],[received]]</f>
        <v>31.511627906976745</v>
      </c>
      <c r="S2293" s="7">
        <f>grand[[#This Row],[ carcass weight]]/grand[[#This Row],[received]]</f>
        <v>270.77209302325582</v>
      </c>
      <c r="T2293" s="7">
        <f>grand[[#This Row],[ kidneys fat quantity]]/grand[[#This Row],[received]]</f>
        <v>9.604651162790697</v>
      </c>
      <c r="U2293" s="15">
        <v>25</v>
      </c>
      <c r="V2293" s="15">
        <v>0</v>
      </c>
      <c r="W2293" s="15">
        <v>49.837209302325576</v>
      </c>
      <c r="X2293" s="15">
        <v>10</v>
      </c>
      <c r="Y2293" s="8">
        <v>8.5</v>
      </c>
      <c r="Z2293" s="18">
        <f>grand[[#This Row],[av. Transportation loss]]/grand[[#This Row],[av.total weight]]</f>
        <v>7.0871907526544278E-2</v>
      </c>
      <c r="AA2293" s="12">
        <f>AVERAGE((grand[[#This Row],[am]]/25),(grand[[#This Row],[pm]]/50))</f>
        <v>0.9983720930232558</v>
      </c>
      <c r="AB2293" s="3">
        <f>grand[[#This Row],[ carcass weight]]/grand[[#This Row],[total weight]]</f>
        <v>0.60898582561849468</v>
      </c>
      <c r="AC2293" s="19">
        <f>SUM(grand[[#This Row],[am]:[meat transportation]])/100</f>
        <v>0.93337209302325574</v>
      </c>
      <c r="AD2293" s="1" t="s">
        <v>337</v>
      </c>
      <c r="AJ2293" s="1">
        <v>3</v>
      </c>
      <c r="AK2293" s="20">
        <f>grand[[#This Row],[accepted as exception]]/grand[[#This Row],[number]]</f>
        <v>6.6666666666666666E-2</v>
      </c>
      <c r="AL2293" s="1">
        <f>776+7</f>
        <v>783</v>
      </c>
    </row>
    <row r="2294" spans="1:38" hidden="1" x14ac:dyDescent="0.2">
      <c r="A2294" s="11">
        <v>44542</v>
      </c>
      <c r="B2294" s="53" t="s">
        <v>1594</v>
      </c>
      <c r="C2294" s="52" t="str">
        <f>IF(MID(B2294,4,2)="09","Ramadan",IF(AND(MID(B2294,4,2)="12",VALUE(LEFT(B2294,2))&lt;=9),"Adha Season","Normal"))</f>
        <v>Normal</v>
      </c>
      <c r="D2294" s="1" t="s">
        <v>45</v>
      </c>
      <c r="F2294" s="4" t="s">
        <v>39</v>
      </c>
      <c r="G2294" s="1">
        <v>16</v>
      </c>
      <c r="H2294" s="15">
        <v>14</v>
      </c>
      <c r="I2294" s="1">
        <f>grand[[#This Row],[number]]-grand[[#This Row],[received]]</f>
        <v>2</v>
      </c>
      <c r="J2294" s="30" t="s">
        <v>340</v>
      </c>
      <c r="K2294" s="9">
        <v>6374</v>
      </c>
      <c r="L2294" s="9">
        <v>6004</v>
      </c>
      <c r="M2294" s="2">
        <f>K2294-L2294</f>
        <v>370</v>
      </c>
      <c r="N2294" s="9">
        <v>3932.3</v>
      </c>
      <c r="O2294" s="9">
        <v>144</v>
      </c>
      <c r="P2294" s="7">
        <f>grand[[#This Row],[total weight]]/grand[[#This Row],[received]]</f>
        <v>455.28571428571428</v>
      </c>
      <c r="Q2294" s="7">
        <f>grand[[#This Row],[receiving weight]]/grand[[#This Row],[received]]</f>
        <v>428.85714285714283</v>
      </c>
      <c r="R2294" s="7">
        <f>grand[[#This Row],[transportation loss ]]/grand[[#This Row],[received]]</f>
        <v>26.428571428571427</v>
      </c>
      <c r="S2294" s="7">
        <f>grand[[#This Row],[ carcass weight]]/grand[[#This Row],[received]]</f>
        <v>280.87857142857143</v>
      </c>
      <c r="T2294" s="7">
        <f>grand[[#This Row],[ kidneys fat quantity]]/grand[[#This Row],[received]]</f>
        <v>10.285714285714286</v>
      </c>
      <c r="U2294" s="15">
        <v>25</v>
      </c>
      <c r="V2294" s="15">
        <v>0</v>
      </c>
      <c r="W2294" s="15">
        <v>50</v>
      </c>
      <c r="X2294" s="15">
        <v>10</v>
      </c>
      <c r="Y2294" s="8">
        <v>8.5</v>
      </c>
      <c r="Z2294" s="18">
        <f>grand[[#This Row],[av. Transportation loss]]/grand[[#This Row],[av.total weight]]</f>
        <v>5.804832130530279E-2</v>
      </c>
      <c r="AA2294" s="12">
        <f>AVERAGE((grand[[#This Row],[am]]/25),(grand[[#This Row],[pm]]/50))</f>
        <v>1</v>
      </c>
      <c r="AB2294" s="3">
        <f>grand[[#This Row],[ carcass weight]]/grand[[#This Row],[total weight]]</f>
        <v>0.61692814559146536</v>
      </c>
      <c r="AC2294" s="19">
        <f>SUM(grand[[#This Row],[am]:[meat transportation]])/100</f>
        <v>0.93500000000000005</v>
      </c>
      <c r="AJ2294" s="1">
        <v>2</v>
      </c>
      <c r="AK2294" s="20">
        <f>grand[[#This Row],[accepted as exception]]/grand[[#This Row],[number]]</f>
        <v>0.125</v>
      </c>
      <c r="AL2294" s="1">
        <v>836</v>
      </c>
    </row>
    <row r="2295" spans="1:38" hidden="1" x14ac:dyDescent="0.2">
      <c r="A2295" s="11">
        <v>44544</v>
      </c>
      <c r="B2295" s="53" t="s">
        <v>2734</v>
      </c>
      <c r="C2295" s="52" t="str">
        <f>IF(MID(B2295,4,2)="09","Ramadan",IF(AND(MID(B2295,4,2)="12",VALUE(LEFT(B2295,2))&lt;=9),"Adha Season","Normal"))</f>
        <v>Normal</v>
      </c>
      <c r="D2295" s="1" t="s">
        <v>45</v>
      </c>
      <c r="F2295" s="4" t="s">
        <v>39</v>
      </c>
      <c r="G2295" s="1">
        <v>32</v>
      </c>
      <c r="H2295" s="15">
        <v>30</v>
      </c>
      <c r="I2295" s="1">
        <f>grand[[#This Row],[number]]-grand[[#This Row],[received]]</f>
        <v>2</v>
      </c>
      <c r="J2295" s="30" t="s">
        <v>336</v>
      </c>
      <c r="K2295" s="9">
        <v>12560</v>
      </c>
      <c r="L2295" s="9">
        <v>11871</v>
      </c>
      <c r="M2295" s="2">
        <f>K2295-L2295</f>
        <v>689</v>
      </c>
      <c r="N2295" s="9">
        <v>7834.4</v>
      </c>
      <c r="O2295" s="9">
        <v>296</v>
      </c>
      <c r="P2295" s="7">
        <f>grand[[#This Row],[total weight]]/grand[[#This Row],[received]]</f>
        <v>418.66666666666669</v>
      </c>
      <c r="Q2295" s="7">
        <f>grand[[#This Row],[receiving weight]]/grand[[#This Row],[received]]</f>
        <v>395.7</v>
      </c>
      <c r="R2295" s="7">
        <f>grand[[#This Row],[transportation loss ]]/grand[[#This Row],[received]]</f>
        <v>22.966666666666665</v>
      </c>
      <c r="S2295" s="7">
        <f>grand[[#This Row],[ carcass weight]]/grand[[#This Row],[received]]</f>
        <v>261.14666666666665</v>
      </c>
      <c r="T2295" s="7">
        <f>grand[[#This Row],[ kidneys fat quantity]]/grand[[#This Row],[received]]</f>
        <v>9.8666666666666671</v>
      </c>
      <c r="U2295" s="15">
        <v>25</v>
      </c>
      <c r="V2295" s="15">
        <v>0</v>
      </c>
      <c r="W2295" s="15">
        <v>50</v>
      </c>
      <c r="X2295" s="15">
        <v>10</v>
      </c>
      <c r="Y2295" s="8">
        <v>8.5</v>
      </c>
      <c r="Z2295" s="18">
        <f>grand[[#This Row],[av. Transportation loss]]/grand[[#This Row],[av.total weight]]</f>
        <v>5.4856687898089167E-2</v>
      </c>
      <c r="AA2295" s="12">
        <f>AVERAGE((grand[[#This Row],[am]]/25),(grand[[#This Row],[pm]]/50))</f>
        <v>1</v>
      </c>
      <c r="AB2295" s="3">
        <f>grand[[#This Row],[ carcass weight]]/grand[[#This Row],[total weight]]</f>
        <v>0.62375796178343945</v>
      </c>
      <c r="AC2295" s="19">
        <f>SUM(grand[[#This Row],[am]:[meat transportation]])/100</f>
        <v>0.93500000000000005</v>
      </c>
      <c r="AJ2295" s="1">
        <v>3</v>
      </c>
      <c r="AK2295" s="20">
        <f>grand[[#This Row],[accepted as exception]]/grand[[#This Row],[number]]</f>
        <v>9.375E-2</v>
      </c>
      <c r="AL2295" s="1">
        <v>922</v>
      </c>
    </row>
    <row r="2296" spans="1:38" hidden="1" x14ac:dyDescent="0.2">
      <c r="A2296" s="11">
        <v>44560</v>
      </c>
      <c r="B2296" s="53" t="s">
        <v>2741</v>
      </c>
      <c r="C2296" s="52" t="str">
        <f>IF(MID(B2296,4,2)="09","Ramadan",IF(AND(MID(B2296,4,2)="12",VALUE(LEFT(B2296,2))&lt;=9),"Adha Season","Normal"))</f>
        <v>Normal</v>
      </c>
      <c r="D2296" s="1" t="s">
        <v>45</v>
      </c>
      <c r="F2296" s="4" t="s">
        <v>46</v>
      </c>
      <c r="G2296" s="1">
        <v>45</v>
      </c>
      <c r="H2296" s="15">
        <v>43</v>
      </c>
      <c r="I2296" s="1">
        <f>grand[[#This Row],[number]]-grand[[#This Row],[received]]</f>
        <v>2</v>
      </c>
      <c r="J2296" s="30" t="s">
        <v>320</v>
      </c>
      <c r="K2296" s="9">
        <v>20075</v>
      </c>
      <c r="L2296" s="9">
        <v>19058</v>
      </c>
      <c r="M2296" s="2">
        <f>K2296-L2296</f>
        <v>1017</v>
      </c>
      <c r="N2296" s="9">
        <v>12045.6</v>
      </c>
      <c r="O2296" s="9">
        <v>415</v>
      </c>
      <c r="P2296" s="7">
        <f>grand[[#This Row],[total weight]]/grand[[#This Row],[received]]</f>
        <v>466.86046511627904</v>
      </c>
      <c r="Q2296" s="7">
        <f>grand[[#This Row],[receiving weight]]/grand[[#This Row],[received]]</f>
        <v>443.2093023255814</v>
      </c>
      <c r="R2296" s="7">
        <f>grand[[#This Row],[transportation loss ]]/grand[[#This Row],[received]]</f>
        <v>23.651162790697676</v>
      </c>
      <c r="S2296" s="7">
        <f>grand[[#This Row],[ carcass weight]]/grand[[#This Row],[received]]</f>
        <v>280.13023255813954</v>
      </c>
      <c r="T2296" s="7">
        <f>grand[[#This Row],[ kidneys fat quantity]]/grand[[#This Row],[received]]</f>
        <v>9.6511627906976738</v>
      </c>
      <c r="U2296" s="15">
        <v>25</v>
      </c>
      <c r="V2296" s="15">
        <v>0</v>
      </c>
      <c r="W2296" s="15">
        <v>49.651162790697676</v>
      </c>
      <c r="X2296" s="15">
        <v>10</v>
      </c>
      <c r="Y2296" s="8">
        <v>8.5</v>
      </c>
      <c r="Z2296" s="18">
        <f>grand[[#This Row],[av. Transportation loss]]/grand[[#This Row],[av.total weight]]</f>
        <v>5.0660024906600251E-2</v>
      </c>
      <c r="AA2296" s="12">
        <f>AVERAGE((grand[[#This Row],[am]]/25),(grand[[#This Row],[pm]]/50))</f>
        <v>0.99651162790697678</v>
      </c>
      <c r="AB2296" s="3">
        <f>grand[[#This Row],[ carcass weight]]/grand[[#This Row],[total weight]]</f>
        <v>0.60002988792029888</v>
      </c>
      <c r="AC2296" s="19">
        <f>SUM(grand[[#This Row],[am]:[meat transportation]])/100</f>
        <v>0.93151162790697672</v>
      </c>
      <c r="AD2296" s="9" t="s">
        <v>348</v>
      </c>
      <c r="AJ2296" s="1">
        <v>24</v>
      </c>
      <c r="AK2296" s="20">
        <f>grand[[#This Row],[accepted as exception]]/grand[[#This Row],[number]]</f>
        <v>0.53333333333333333</v>
      </c>
      <c r="AL2296" s="1">
        <v>939</v>
      </c>
    </row>
    <row r="2297" spans="1:38" hidden="1" x14ac:dyDescent="0.2">
      <c r="A2297" s="11">
        <v>44572</v>
      </c>
      <c r="B2297" s="53" t="s">
        <v>2746</v>
      </c>
      <c r="C2297" s="52" t="str">
        <f>IF(MID(B2297,4,2)="09","Ramadan",IF(AND(MID(B2297,4,2)="12",VALUE(LEFT(B2297,2))&lt;=9),"Adha Season","Normal"))</f>
        <v>Normal</v>
      </c>
      <c r="D2297" s="1" t="s">
        <v>45</v>
      </c>
      <c r="E2297" s="1" t="s">
        <v>481</v>
      </c>
      <c r="F2297" s="4" t="s">
        <v>39</v>
      </c>
      <c r="G2297" s="1">
        <v>44</v>
      </c>
      <c r="H2297" s="15">
        <v>42</v>
      </c>
      <c r="I2297" s="1">
        <f>grand[[#This Row],[number]]-grand[[#This Row],[received]]</f>
        <v>2</v>
      </c>
      <c r="J2297" s="30" t="s">
        <v>320</v>
      </c>
      <c r="K2297" s="9">
        <v>19782</v>
      </c>
      <c r="L2297" s="9">
        <v>18710</v>
      </c>
      <c r="M2297" s="2">
        <f>K2297-L2297</f>
        <v>1072</v>
      </c>
      <c r="N2297" s="9">
        <v>12204.8</v>
      </c>
      <c r="O2297" s="9">
        <v>456</v>
      </c>
      <c r="P2297" s="7">
        <f>grand[[#This Row],[total weight]]/grand[[#This Row],[received]]</f>
        <v>471</v>
      </c>
      <c r="Q2297" s="7">
        <f>grand[[#This Row],[receiving weight]]/grand[[#This Row],[received]]</f>
        <v>445.47619047619048</v>
      </c>
      <c r="R2297" s="7">
        <f>grand[[#This Row],[transportation loss ]]/grand[[#This Row],[received]]</f>
        <v>25.523809523809526</v>
      </c>
      <c r="S2297" s="7">
        <f>grand[[#This Row],[ carcass weight]]/grand[[#This Row],[received]]</f>
        <v>290.59047619047618</v>
      </c>
      <c r="T2297" s="7">
        <f>grand[[#This Row],[ kidneys fat quantity]]/grand[[#This Row],[received]]</f>
        <v>10.857142857142858</v>
      </c>
      <c r="U2297" s="15">
        <v>25</v>
      </c>
      <c r="V2297" s="15">
        <v>0</v>
      </c>
      <c r="W2297" s="15">
        <v>49.5</v>
      </c>
      <c r="X2297" s="15">
        <v>10</v>
      </c>
      <c r="Y2297" s="8">
        <v>8.5</v>
      </c>
      <c r="Z2297" s="18">
        <f>grand[[#This Row],[av. Transportation loss]]/grand[[#This Row],[av.total weight]]</f>
        <v>5.4190678394500057E-2</v>
      </c>
      <c r="AA2297" s="12">
        <f>AVERAGE((grand[[#This Row],[am]]/25),(grand[[#This Row],[pm]]/50))</f>
        <v>0.995</v>
      </c>
      <c r="AB2297" s="3">
        <f>grand[[#This Row],[ carcass weight]]/grand[[#This Row],[total weight]]</f>
        <v>0.61696491760186023</v>
      </c>
      <c r="AC2297" s="19">
        <f>SUM(grand[[#This Row],[am]:[meat transportation]])/100</f>
        <v>0.93</v>
      </c>
      <c r="AD2297" s="9" t="s">
        <v>354</v>
      </c>
      <c r="AJ2297" s="1">
        <v>3</v>
      </c>
      <c r="AK2297" s="20">
        <f>grand[[#This Row],[accepted as exception]]/grand[[#This Row],[number]]</f>
        <v>6.8181818181818177E-2</v>
      </c>
      <c r="AL2297" s="1">
        <f>995+12</f>
        <v>1007</v>
      </c>
    </row>
    <row r="2298" spans="1:38" hidden="1" x14ac:dyDescent="0.2">
      <c r="A2298" s="11">
        <v>44576</v>
      </c>
      <c r="B2298" s="53" t="s">
        <v>2748</v>
      </c>
      <c r="C2298" s="52" t="str">
        <f>IF(MID(B2298,4,2)="09","Ramadan",IF(AND(MID(B2298,4,2)="12",VALUE(LEFT(B2298,2))&lt;=9),"Adha Season","Normal"))</f>
        <v>Normal</v>
      </c>
      <c r="D2298" s="1" t="s">
        <v>45</v>
      </c>
      <c r="E2298" s="1" t="s">
        <v>481</v>
      </c>
      <c r="F2298" s="4" t="s">
        <v>39</v>
      </c>
      <c r="G2298" s="1">
        <v>22</v>
      </c>
      <c r="H2298" s="15">
        <v>20</v>
      </c>
      <c r="I2298" s="1">
        <f>grand[[#This Row],[number]]-grand[[#This Row],[received]]</f>
        <v>2</v>
      </c>
      <c r="J2298" s="30" t="s">
        <v>320</v>
      </c>
      <c r="K2298" s="9">
        <v>9241</v>
      </c>
      <c r="L2298" s="9">
        <v>8834</v>
      </c>
      <c r="M2298" s="2">
        <f>K2298-L2298</f>
        <v>407</v>
      </c>
      <c r="N2298" s="9">
        <v>5759.7</v>
      </c>
      <c r="O2298" s="9">
        <v>203</v>
      </c>
      <c r="P2298" s="7">
        <f>grand[[#This Row],[total weight]]/grand[[#This Row],[received]]</f>
        <v>462.05</v>
      </c>
      <c r="Q2298" s="7">
        <f>grand[[#This Row],[receiving weight]]/grand[[#This Row],[received]]</f>
        <v>441.7</v>
      </c>
      <c r="R2298" s="7">
        <f>grand[[#This Row],[transportation loss ]]/grand[[#This Row],[received]]</f>
        <v>20.350000000000001</v>
      </c>
      <c r="S2298" s="7">
        <f>grand[[#This Row],[ carcass weight]]/grand[[#This Row],[received]]</f>
        <v>287.98500000000001</v>
      </c>
      <c r="T2298" s="7">
        <f>grand[[#This Row],[ kidneys fat quantity]]/grand[[#This Row],[received]]</f>
        <v>10.15</v>
      </c>
      <c r="U2298" s="15">
        <v>25</v>
      </c>
      <c r="V2298" s="15">
        <v>0</v>
      </c>
      <c r="W2298" s="15">
        <v>49.25</v>
      </c>
      <c r="X2298" s="15">
        <v>10</v>
      </c>
      <c r="Y2298" s="8">
        <v>8.5</v>
      </c>
      <c r="Z2298" s="18">
        <f>grand[[#This Row],[av. Transportation loss]]/grand[[#This Row],[av.total weight]]</f>
        <v>4.4042852505140138E-2</v>
      </c>
      <c r="AA2298" s="12">
        <f>AVERAGE((grand[[#This Row],[am]]/25),(grand[[#This Row],[pm]]/50))</f>
        <v>0.99249999999999994</v>
      </c>
      <c r="AB2298" s="3">
        <f>grand[[#This Row],[ carcass weight]]/grand[[#This Row],[total weight]]</f>
        <v>0.62327670165566496</v>
      </c>
      <c r="AC2298" s="19">
        <f>SUM(grand[[#This Row],[am]:[meat transportation]])/100</f>
        <v>0.92749999999999999</v>
      </c>
      <c r="AD2298" s="9" t="s">
        <v>201</v>
      </c>
      <c r="AJ2298" s="1">
        <v>4</v>
      </c>
      <c r="AK2298" s="20">
        <f>grand[[#This Row],[accepted as exception]]/grand[[#This Row],[number]]</f>
        <v>0.18181818181818182</v>
      </c>
      <c r="AL2298" s="1">
        <v>1002</v>
      </c>
    </row>
    <row r="2299" spans="1:38" hidden="1" x14ac:dyDescent="0.2">
      <c r="A2299" s="11">
        <v>44579</v>
      </c>
      <c r="B2299" s="53" t="s">
        <v>2749</v>
      </c>
      <c r="C2299" s="52" t="str">
        <f>IF(MID(B2299,4,2)="09","Ramadan",IF(AND(MID(B2299,4,2)="12",VALUE(LEFT(B2299,2))&lt;=9),"Adha Season","Normal"))</f>
        <v>Normal</v>
      </c>
      <c r="D2299" s="1" t="s">
        <v>45</v>
      </c>
      <c r="E2299" s="1" t="s">
        <v>481</v>
      </c>
      <c r="F2299" s="4" t="s">
        <v>39</v>
      </c>
      <c r="G2299" s="1">
        <v>32</v>
      </c>
      <c r="H2299" s="15">
        <v>30</v>
      </c>
      <c r="I2299" s="1">
        <f>grand[[#This Row],[number]]-grand[[#This Row],[received]]</f>
        <v>2</v>
      </c>
      <c r="J2299" s="30" t="s">
        <v>108</v>
      </c>
      <c r="K2299" s="9">
        <v>13723</v>
      </c>
      <c r="L2299" s="9">
        <v>13031</v>
      </c>
      <c r="M2299" s="2">
        <f>K2299-L2299</f>
        <v>692</v>
      </c>
      <c r="N2299" s="9">
        <v>8559.4</v>
      </c>
      <c r="O2299" s="9">
        <v>297</v>
      </c>
      <c r="P2299" s="7">
        <f>grand[[#This Row],[total weight]]/grand[[#This Row],[received]]</f>
        <v>457.43333333333334</v>
      </c>
      <c r="Q2299" s="7">
        <f>grand[[#This Row],[receiving weight]]/grand[[#This Row],[received]]</f>
        <v>434.36666666666667</v>
      </c>
      <c r="R2299" s="7">
        <f>grand[[#This Row],[transportation loss ]]/grand[[#This Row],[received]]</f>
        <v>23.066666666666666</v>
      </c>
      <c r="S2299" s="7">
        <f>grand[[#This Row],[ carcass weight]]/grand[[#This Row],[received]]</f>
        <v>285.31333333333333</v>
      </c>
      <c r="T2299" s="7">
        <f>grand[[#This Row],[ kidneys fat quantity]]/grand[[#This Row],[received]]</f>
        <v>9.9</v>
      </c>
      <c r="U2299" s="15">
        <v>25</v>
      </c>
      <c r="V2299" s="15">
        <v>0</v>
      </c>
      <c r="W2299" s="15">
        <v>50</v>
      </c>
      <c r="X2299" s="15">
        <v>10</v>
      </c>
      <c r="Y2299" s="8">
        <v>8.5</v>
      </c>
      <c r="Z2299" s="18">
        <f>grand[[#This Row],[av. Transportation loss]]/grand[[#This Row],[av.total weight]]</f>
        <v>5.0426291627195217E-2</v>
      </c>
      <c r="AA2299" s="12">
        <f>AVERAGE((grand[[#This Row],[am]]/25),(grand[[#This Row],[pm]]/50))</f>
        <v>1</v>
      </c>
      <c r="AB2299" s="3">
        <f>grand[[#This Row],[ carcass weight]]/grand[[#This Row],[total weight]]</f>
        <v>0.62372659039568601</v>
      </c>
      <c r="AC2299" s="19">
        <f>SUM(grand[[#This Row],[am]:[meat transportation]])/100</f>
        <v>0.93500000000000005</v>
      </c>
      <c r="AD2299" s="9"/>
      <c r="AJ2299" s="1">
        <v>0</v>
      </c>
      <c r="AK2299" s="20">
        <f>grand[[#This Row],[accepted as exception]]/grand[[#This Row],[number]]</f>
        <v>0</v>
      </c>
      <c r="AL2299" s="1">
        <v>1024</v>
      </c>
    </row>
    <row r="2300" spans="1:38" hidden="1" x14ac:dyDescent="0.2">
      <c r="A2300" s="11">
        <v>44586</v>
      </c>
      <c r="B2300" s="53" t="s">
        <v>2752</v>
      </c>
      <c r="C2300" s="52" t="str">
        <f>IF(MID(B2300,4,2)="09","Ramadan",IF(AND(MID(B2300,4,2)="12",VALUE(LEFT(B2300,2))&lt;=9),"Adha Season","Normal"))</f>
        <v>Normal</v>
      </c>
      <c r="D2300" s="1" t="s">
        <v>45</v>
      </c>
      <c r="F2300" s="4" t="s">
        <v>333</v>
      </c>
      <c r="G2300" s="1">
        <v>9</v>
      </c>
      <c r="H2300" s="15">
        <v>7</v>
      </c>
      <c r="I2300" s="1">
        <f>grand[[#This Row],[number]]-grand[[#This Row],[received]]</f>
        <v>2</v>
      </c>
      <c r="J2300" s="30" t="s">
        <v>362</v>
      </c>
      <c r="K2300" s="9">
        <v>3019</v>
      </c>
      <c r="L2300" s="9">
        <v>2972</v>
      </c>
      <c r="M2300" s="2">
        <f>K2300-L2300</f>
        <v>47</v>
      </c>
      <c r="N2300" s="9">
        <v>1811.3</v>
      </c>
      <c r="O2300" s="9">
        <v>53</v>
      </c>
      <c r="P2300" s="7">
        <f>grand[[#This Row],[total weight]]/grand[[#This Row],[received]]</f>
        <v>431.28571428571428</v>
      </c>
      <c r="Q2300" s="7">
        <f>grand[[#This Row],[receiving weight]]/grand[[#This Row],[received]]</f>
        <v>424.57142857142856</v>
      </c>
      <c r="R2300" s="7">
        <f>grand[[#This Row],[transportation loss ]]/grand[[#This Row],[received]]</f>
        <v>6.7142857142857144</v>
      </c>
      <c r="S2300" s="7">
        <f>grand[[#This Row],[ carcass weight]]/grand[[#This Row],[received]]</f>
        <v>258.75714285714287</v>
      </c>
      <c r="T2300" s="7">
        <f>grand[[#This Row],[ kidneys fat quantity]]/grand[[#This Row],[received]]</f>
        <v>7.5714285714285712</v>
      </c>
      <c r="U2300" s="15">
        <v>25</v>
      </c>
      <c r="V2300" s="15">
        <v>0</v>
      </c>
      <c r="W2300" s="15">
        <v>47.142857142857139</v>
      </c>
      <c r="X2300" s="15">
        <v>10</v>
      </c>
      <c r="Y2300" s="8">
        <v>8.5</v>
      </c>
      <c r="Z2300" s="18">
        <f>grand[[#This Row],[av. Transportation loss]]/grand[[#This Row],[av.total weight]]</f>
        <v>1.5568068896985757E-2</v>
      </c>
      <c r="AA2300" s="12">
        <f>AVERAGE((grand[[#This Row],[am]]/25),(grand[[#This Row],[pm]]/50))</f>
        <v>0.97142857142857131</v>
      </c>
      <c r="AB2300" s="3">
        <f>grand[[#This Row],[ carcass weight]]/grand[[#This Row],[total weight]]</f>
        <v>0.59996687644915536</v>
      </c>
      <c r="AC2300" s="19">
        <f>SUM(grand[[#This Row],[am]:[meat transportation]])/100</f>
        <v>0.90642857142857136</v>
      </c>
      <c r="AD2300" s="2"/>
      <c r="AJ2300" s="1">
        <v>1</v>
      </c>
      <c r="AK2300" s="20">
        <f>grand[[#This Row],[accepted as exception]]/grand[[#This Row],[number]]</f>
        <v>0.1111111111111111</v>
      </c>
      <c r="AL2300" s="1">
        <f>993+1.5</f>
        <v>994.5</v>
      </c>
    </row>
    <row r="2301" spans="1:38" hidden="1" x14ac:dyDescent="0.2">
      <c r="A2301" s="11">
        <v>44591</v>
      </c>
      <c r="B2301" s="53" t="s">
        <v>1601</v>
      </c>
      <c r="C2301" s="52" t="str">
        <f>IF(MID(B2301,4,2)="09","Ramadan",IF(AND(MID(B2301,4,2)="12",VALUE(LEFT(B2301,2))&lt;=9),"Adha Season","Normal"))</f>
        <v>Normal</v>
      </c>
      <c r="D2301" s="1" t="s">
        <v>45</v>
      </c>
      <c r="E2301" s="1" t="s">
        <v>481</v>
      </c>
      <c r="F2301" s="4" t="s">
        <v>39</v>
      </c>
      <c r="G2301" s="1">
        <v>45</v>
      </c>
      <c r="H2301" s="15">
        <v>43</v>
      </c>
      <c r="I2301" s="1">
        <f>grand[[#This Row],[number]]-grand[[#This Row],[received]]</f>
        <v>2</v>
      </c>
      <c r="J2301" s="30" t="s">
        <v>108</v>
      </c>
      <c r="K2301" s="9">
        <v>19340</v>
      </c>
      <c r="L2301" s="9">
        <v>18525</v>
      </c>
      <c r="M2301" s="2">
        <f>K2301-L2301</f>
        <v>815</v>
      </c>
      <c r="N2301" s="9">
        <v>12048.5</v>
      </c>
      <c r="O2301" s="9">
        <v>422</v>
      </c>
      <c r="P2301" s="7">
        <f>grand[[#This Row],[total weight]]/grand[[#This Row],[received]]</f>
        <v>449.76744186046511</v>
      </c>
      <c r="Q2301" s="7">
        <f>grand[[#This Row],[receiving weight]]/grand[[#This Row],[received]]</f>
        <v>430.81395348837208</v>
      </c>
      <c r="R2301" s="7">
        <f>grand[[#This Row],[transportation loss ]]/grand[[#This Row],[received]]</f>
        <v>18.953488372093023</v>
      </c>
      <c r="S2301" s="7">
        <f>grand[[#This Row],[ carcass weight]]/grand[[#This Row],[received]]</f>
        <v>280.19767441860466</v>
      </c>
      <c r="T2301" s="7">
        <f>grand[[#This Row],[ kidneys fat quantity]]/grand[[#This Row],[received]]</f>
        <v>9.8139534883720927</v>
      </c>
      <c r="U2301" s="15">
        <v>25</v>
      </c>
      <c r="V2301" s="15">
        <v>0</v>
      </c>
      <c r="W2301" s="15">
        <v>49.837209302325576</v>
      </c>
      <c r="X2301" s="15">
        <v>10</v>
      </c>
      <c r="Y2301" s="8">
        <v>8.5</v>
      </c>
      <c r="Z2301" s="18">
        <f>grand[[#This Row],[av. Transportation loss]]/grand[[#This Row],[av.total weight]]</f>
        <v>4.2140641158221304E-2</v>
      </c>
      <c r="AA2301" s="12">
        <f>AVERAGE((grand[[#This Row],[am]]/25),(grand[[#This Row],[pm]]/50))</f>
        <v>0.9983720930232558</v>
      </c>
      <c r="AB2301" s="3">
        <f>grand[[#This Row],[ carcass weight]]/grand[[#This Row],[total weight]]</f>
        <v>0.62298345398138577</v>
      </c>
      <c r="AC2301" s="19">
        <f>SUM(grand[[#This Row],[am]:[meat transportation]])/100</f>
        <v>0.93337209302325574</v>
      </c>
      <c r="AD2301" s="9" t="s">
        <v>94</v>
      </c>
      <c r="AJ2301" s="1">
        <v>1</v>
      </c>
      <c r="AK2301" s="20">
        <f>grand[[#This Row],[accepted as exception]]/grand[[#This Row],[number]]</f>
        <v>2.2222222222222223E-2</v>
      </c>
      <c r="AL2301" s="1">
        <v>845.5</v>
      </c>
    </row>
    <row r="2302" spans="1:38" hidden="1" x14ac:dyDescent="0.2">
      <c r="A2302" s="11">
        <v>44604</v>
      </c>
      <c r="B2302" s="53" t="s">
        <v>2760</v>
      </c>
      <c r="C2302" s="52" t="str">
        <f>IF(MID(B2302,4,2)="09","Ramadan",IF(AND(MID(B2302,4,2)="12",VALUE(LEFT(B2302,2))&lt;=9),"Adha Season","Normal"))</f>
        <v>Normal</v>
      </c>
      <c r="D2302" s="1" t="s">
        <v>45</v>
      </c>
      <c r="E2302" s="1" t="s">
        <v>483</v>
      </c>
      <c r="F2302" s="4" t="s">
        <v>43</v>
      </c>
      <c r="G2302" s="1">
        <v>30</v>
      </c>
      <c r="H2302" s="15">
        <v>28</v>
      </c>
      <c r="I2302" s="1">
        <f>grand[[#This Row],[number]]-grand[[#This Row],[received]]</f>
        <v>2</v>
      </c>
      <c r="J2302" s="30" t="s">
        <v>375</v>
      </c>
      <c r="K2302" s="9">
        <v>12694</v>
      </c>
      <c r="L2302" s="9">
        <v>12513</v>
      </c>
      <c r="M2302" s="2">
        <f>K2302-L2302</f>
        <v>181</v>
      </c>
      <c r="N2302" s="9">
        <v>7616.7</v>
      </c>
      <c r="O2302" s="9">
        <v>257</v>
      </c>
      <c r="P2302" s="7">
        <f>grand[[#This Row],[total weight]]/grand[[#This Row],[received]]</f>
        <v>453.35714285714283</v>
      </c>
      <c r="Q2302" s="7">
        <f>grand[[#This Row],[receiving weight]]/grand[[#This Row],[received]]</f>
        <v>446.89285714285717</v>
      </c>
      <c r="R2302" s="7">
        <f>grand[[#This Row],[transportation loss ]]/grand[[#This Row],[received]]</f>
        <v>6.4642857142857144</v>
      </c>
      <c r="S2302" s="7">
        <f>grand[[#This Row],[ carcass weight]]/grand[[#This Row],[received]]</f>
        <v>272.02499999999998</v>
      </c>
      <c r="T2302" s="7">
        <f>grand[[#This Row],[ kidneys fat quantity]]/grand[[#This Row],[received]]</f>
        <v>9.1785714285714288</v>
      </c>
      <c r="U2302" s="15">
        <v>24.642857142857142</v>
      </c>
      <c r="V2302" s="15">
        <v>0</v>
      </c>
      <c r="W2302" s="15">
        <v>49.291871921182263</v>
      </c>
      <c r="X2302" s="15">
        <v>10</v>
      </c>
      <c r="Y2302" s="8">
        <v>8.5</v>
      </c>
      <c r="Z2302" s="18">
        <f>grand[[#This Row],[av. Transportation loss]]/grand[[#This Row],[av.total weight]]</f>
        <v>1.4258704899952734E-2</v>
      </c>
      <c r="AA2302" s="12">
        <f>AVERAGE((grand[[#This Row],[am]]/25),(grand[[#This Row],[pm]]/50))</f>
        <v>0.98577586206896539</v>
      </c>
      <c r="AB2302" s="3">
        <f>grand[[#This Row],[ carcass weight]]/grand[[#This Row],[total weight]]</f>
        <v>0.60002363321254137</v>
      </c>
      <c r="AC2302" s="19">
        <f>SUM(grand[[#This Row],[am]:[meat transportation]])/100</f>
        <v>0.924347290640394</v>
      </c>
      <c r="AD2302" s="9" t="s">
        <v>376</v>
      </c>
      <c r="AJ2302" s="1">
        <v>9</v>
      </c>
      <c r="AK2302" s="20">
        <f>grand[[#This Row],[accepted as exception]]/grand[[#This Row],[number]]</f>
        <v>0.3</v>
      </c>
      <c r="AL2302" s="1">
        <v>1089</v>
      </c>
    </row>
    <row r="2303" spans="1:38" hidden="1" x14ac:dyDescent="0.2">
      <c r="A2303" s="11">
        <v>44614</v>
      </c>
      <c r="B2303" s="53" t="s">
        <v>2764</v>
      </c>
      <c r="C2303" s="52" t="str">
        <f>IF(MID(B2303,4,2)="09","Ramadan",IF(AND(MID(B2303,4,2)="12",VALUE(LEFT(B2303,2))&lt;=9),"Adha Season","Normal"))</f>
        <v>Normal</v>
      </c>
      <c r="D2303" s="1" t="s">
        <v>45</v>
      </c>
      <c r="E2303" s="1" t="s">
        <v>481</v>
      </c>
      <c r="F2303" s="4" t="s">
        <v>50</v>
      </c>
      <c r="G2303" s="1">
        <v>29</v>
      </c>
      <c r="H2303" s="15">
        <v>27</v>
      </c>
      <c r="I2303" s="1">
        <f>grand[[#This Row],[number]]-grand[[#This Row],[received]]</f>
        <v>2</v>
      </c>
      <c r="J2303" s="30" t="s">
        <v>383</v>
      </c>
      <c r="K2303" s="9">
        <v>12872</v>
      </c>
      <c r="L2303" s="9">
        <v>12329</v>
      </c>
      <c r="M2303" s="2">
        <f>K2303-L2303</f>
        <v>543</v>
      </c>
      <c r="N2303" s="9">
        <v>8040.3</v>
      </c>
      <c r="O2303" s="9">
        <v>331</v>
      </c>
      <c r="P2303" s="7">
        <f>grand[[#This Row],[total weight]]/grand[[#This Row],[received]]</f>
        <v>476.74074074074076</v>
      </c>
      <c r="Q2303" s="7">
        <f>grand[[#This Row],[receiving weight]]/grand[[#This Row],[received]]</f>
        <v>456.62962962962962</v>
      </c>
      <c r="R2303" s="7">
        <f>grand[[#This Row],[transportation loss ]]/grand[[#This Row],[received]]</f>
        <v>20.111111111111111</v>
      </c>
      <c r="S2303" s="7">
        <f>grand[[#This Row],[ carcass weight]]/grand[[#This Row],[received]]</f>
        <v>297.78888888888889</v>
      </c>
      <c r="T2303" s="7">
        <f>grand[[#This Row],[ kidneys fat quantity]]/grand[[#This Row],[received]]</f>
        <v>12.25925925925926</v>
      </c>
      <c r="U2303" s="15">
        <v>25</v>
      </c>
      <c r="V2303" s="15">
        <v>0</v>
      </c>
      <c r="W2303" s="15">
        <v>49.666666666666664</v>
      </c>
      <c r="X2303" s="15">
        <v>10</v>
      </c>
      <c r="Y2303" s="8">
        <v>8.5</v>
      </c>
      <c r="Z2303" s="18">
        <f>grand[[#This Row],[av. Transportation loss]]/grand[[#This Row],[av.total weight]]</f>
        <v>4.2184586699813544E-2</v>
      </c>
      <c r="AA2303" s="12">
        <f>AVERAGE((grand[[#This Row],[am]]/25),(grand[[#This Row],[pm]]/50))</f>
        <v>0.99666666666666659</v>
      </c>
      <c r="AB2303" s="3">
        <f>grand[[#This Row],[ carcass weight]]/grand[[#This Row],[total weight]]</f>
        <v>0.62463486637663146</v>
      </c>
      <c r="AC2303" s="19">
        <f>SUM(grand[[#This Row],[am]:[meat transportation]])/100</f>
        <v>0.93166666666666653</v>
      </c>
      <c r="AD2303" s="9" t="s">
        <v>97</v>
      </c>
      <c r="AJ2303" s="1">
        <v>0</v>
      </c>
      <c r="AK2303" s="20">
        <f>grand[[#This Row],[accepted as exception]]/grand[[#This Row],[number]]</f>
        <v>0</v>
      </c>
      <c r="AL2303" s="1">
        <v>1022</v>
      </c>
    </row>
    <row r="2304" spans="1:38" hidden="1" x14ac:dyDescent="0.2">
      <c r="A2304" s="11">
        <v>44632</v>
      </c>
      <c r="B2304" s="53" t="s">
        <v>2772</v>
      </c>
      <c r="C2304" s="52" t="str">
        <f>IF(MID(B2304,4,2)="09","Ramadan",IF(AND(MID(B2304,4,2)="12",VALUE(LEFT(B2304,2))&lt;=9),"Adha Season","Normal"))</f>
        <v>Normal</v>
      </c>
      <c r="D2304" s="1" t="s">
        <v>45</v>
      </c>
      <c r="E2304" s="1" t="s">
        <v>483</v>
      </c>
      <c r="F2304" s="4" t="s">
        <v>43</v>
      </c>
      <c r="G2304" s="1">
        <v>37</v>
      </c>
      <c r="H2304" s="15">
        <v>35</v>
      </c>
      <c r="I2304" s="1">
        <f>grand[[#This Row],[number]]-grand[[#This Row],[received]]</f>
        <v>2</v>
      </c>
      <c r="J2304" s="30" t="s">
        <v>388</v>
      </c>
      <c r="K2304" s="9">
        <v>17533</v>
      </c>
      <c r="L2304" s="9">
        <v>16838</v>
      </c>
      <c r="M2304" s="2">
        <f>K2304-L2304</f>
        <v>695</v>
      </c>
      <c r="N2304" s="9">
        <v>10519.9</v>
      </c>
      <c r="O2304" s="9">
        <v>403</v>
      </c>
      <c r="P2304" s="7">
        <f>grand[[#This Row],[total weight]]/grand[[#This Row],[received]]</f>
        <v>500.94285714285712</v>
      </c>
      <c r="Q2304" s="7">
        <f>grand[[#This Row],[receiving weight]]/grand[[#This Row],[received]]</f>
        <v>481.08571428571429</v>
      </c>
      <c r="R2304" s="7">
        <f>grand[[#This Row],[transportation loss ]]/grand[[#This Row],[received]]</f>
        <v>19.857142857142858</v>
      </c>
      <c r="S2304" s="7">
        <f>grand[[#This Row],[ carcass weight]]/grand[[#This Row],[received]]</f>
        <v>300.56857142857143</v>
      </c>
      <c r="T2304" s="7">
        <f>grand[[#This Row],[ kidneys fat quantity]]/grand[[#This Row],[received]]</f>
        <v>11.514285714285714</v>
      </c>
      <c r="U2304" s="15">
        <v>24.285714285714285</v>
      </c>
      <c r="V2304" s="15">
        <v>0</v>
      </c>
      <c r="W2304" s="15">
        <v>49.514285714285712</v>
      </c>
      <c r="X2304" s="17">
        <v>10</v>
      </c>
      <c r="Y2304" s="8">
        <v>8.5</v>
      </c>
      <c r="Z2304" s="18">
        <f>grand[[#This Row],[av. Transportation loss]]/grand[[#This Row],[av.total weight]]</f>
        <v>3.9639536873324589E-2</v>
      </c>
      <c r="AA2304" s="12">
        <f>AVERAGE((grand[[#This Row],[am]]/25),(grand[[#This Row],[pm]]/50))</f>
        <v>0.98085714285714287</v>
      </c>
      <c r="AB2304" s="3">
        <f>grand[[#This Row],[ carcass weight]]/grand[[#This Row],[total weight]]</f>
        <v>0.60000570353048532</v>
      </c>
      <c r="AC2304" s="19">
        <f>SUM(grand[[#This Row],[am]:[meat transportation]])/100</f>
        <v>0.92299999999999993</v>
      </c>
      <c r="AD2304" s="9" t="s">
        <v>389</v>
      </c>
      <c r="AJ2304" s="1">
        <v>17</v>
      </c>
      <c r="AK2304" s="20">
        <f>grand[[#This Row],[accepted as exception]]/grand[[#This Row],[number]]</f>
        <v>0.45945945945945948</v>
      </c>
      <c r="AL2304" s="1">
        <v>1122</v>
      </c>
    </row>
    <row r="2305" spans="1:38" hidden="1" x14ac:dyDescent="0.2">
      <c r="A2305" s="11">
        <v>44637</v>
      </c>
      <c r="B2305" s="53" t="s">
        <v>2774</v>
      </c>
      <c r="C2305" s="52" t="str">
        <f>IF(MID(B2305,4,2)="09","Ramadan",IF(AND(MID(B2305,4,2)="12",VALUE(LEFT(B2305,2))&lt;=9),"Adha Season","Normal"))</f>
        <v>Normal</v>
      </c>
      <c r="D2305" s="1" t="s">
        <v>45</v>
      </c>
      <c r="F2305" s="4" t="s">
        <v>46</v>
      </c>
      <c r="G2305" s="1">
        <v>45</v>
      </c>
      <c r="H2305" s="15">
        <v>43</v>
      </c>
      <c r="I2305" s="1">
        <f>grand[[#This Row],[number]]-grand[[#This Row],[received]]</f>
        <v>2</v>
      </c>
      <c r="J2305" s="30" t="s">
        <v>392</v>
      </c>
      <c r="K2305" s="9">
        <v>18957</v>
      </c>
      <c r="L2305" s="9">
        <v>18082</v>
      </c>
      <c r="M2305" s="2">
        <f>K2305-L2305</f>
        <v>875</v>
      </c>
      <c r="N2305" s="9">
        <v>11373.4</v>
      </c>
      <c r="O2305" s="9">
        <v>373</v>
      </c>
      <c r="P2305" s="7">
        <f>grand[[#This Row],[total weight]]/grand[[#This Row],[received]]</f>
        <v>440.86046511627904</v>
      </c>
      <c r="Q2305" s="7">
        <f>grand[[#This Row],[receiving weight]]/grand[[#This Row],[received]]</f>
        <v>420.51162790697674</v>
      </c>
      <c r="R2305" s="7">
        <f>grand[[#This Row],[transportation loss ]]/grand[[#This Row],[received]]</f>
        <v>20.348837209302324</v>
      </c>
      <c r="S2305" s="7">
        <f>grand[[#This Row],[ carcass weight]]/grand[[#This Row],[received]]</f>
        <v>264.49767441860462</v>
      </c>
      <c r="T2305" s="7">
        <f>grand[[#This Row],[ kidneys fat quantity]]/grand[[#This Row],[received]]</f>
        <v>8.6744186046511622</v>
      </c>
      <c r="U2305" s="15">
        <v>25</v>
      </c>
      <c r="V2305" s="15">
        <v>0</v>
      </c>
      <c r="W2305" s="15">
        <v>49.302325581395351</v>
      </c>
      <c r="X2305" s="15">
        <v>10</v>
      </c>
      <c r="Y2305" s="8">
        <v>8.5</v>
      </c>
      <c r="Z2305" s="18">
        <f>grand[[#This Row],[av. Transportation loss]]/grand[[#This Row],[av.total weight]]</f>
        <v>4.6157092366935694E-2</v>
      </c>
      <c r="AA2305" s="12">
        <f>AVERAGE((grand[[#This Row],[am]]/25),(grand[[#This Row],[pm]]/50))</f>
        <v>0.99302325581395356</v>
      </c>
      <c r="AB2305" s="3">
        <f>grand[[#This Row],[ carcass weight]]/grand[[#This Row],[total weight]]</f>
        <v>0.59995779922983594</v>
      </c>
      <c r="AC2305" s="19">
        <f>SUM(grand[[#This Row],[am]:[meat transportation]])/100</f>
        <v>0.92802325581395351</v>
      </c>
      <c r="AD2305" s="9" t="s">
        <v>393</v>
      </c>
      <c r="AJ2305" s="1">
        <v>6</v>
      </c>
      <c r="AK2305" s="20">
        <f>grand[[#This Row],[accepted as exception]]/grand[[#This Row],[number]]</f>
        <v>0.13333333333333333</v>
      </c>
      <c r="AL2305" s="1">
        <v>871</v>
      </c>
    </row>
    <row r="2306" spans="1:38" hidden="1" x14ac:dyDescent="0.2">
      <c r="A2306" s="11">
        <v>44647</v>
      </c>
      <c r="B2306" s="53" t="s">
        <v>1609</v>
      </c>
      <c r="C2306" s="52" t="str">
        <f>IF(MID(B2306,4,2)="09","Ramadan",IF(AND(MID(B2306,4,2)="12",VALUE(LEFT(B2306,2))&lt;=9),"Adha Season","Normal"))</f>
        <v>Normal</v>
      </c>
      <c r="D2306" s="1" t="s">
        <v>45</v>
      </c>
      <c r="F2306" s="4" t="s">
        <v>280</v>
      </c>
      <c r="G2306" s="1">
        <v>64</v>
      </c>
      <c r="H2306" s="15">
        <v>62</v>
      </c>
      <c r="I2306" s="1">
        <f>grand[[#This Row],[number]]-grand[[#This Row],[received]]</f>
        <v>2</v>
      </c>
      <c r="J2306" s="30" t="s">
        <v>388</v>
      </c>
      <c r="K2306" s="9">
        <v>29036</v>
      </c>
      <c r="L2306" s="9">
        <v>29036</v>
      </c>
      <c r="M2306" s="2">
        <f>K2306-L2306</f>
        <v>0</v>
      </c>
      <c r="N2306" s="9">
        <v>17626</v>
      </c>
      <c r="O2306" s="9">
        <v>590</v>
      </c>
      <c r="P2306" s="7">
        <f>grand[[#This Row],[total weight]]/grand[[#This Row],[received]]</f>
        <v>468.32258064516128</v>
      </c>
      <c r="Q2306" s="7">
        <f>grand[[#This Row],[receiving weight]]/grand[[#This Row],[received]]</f>
        <v>468.32258064516128</v>
      </c>
      <c r="R2306" s="7">
        <f>grand[[#This Row],[transportation loss ]]/grand[[#This Row],[received]]</f>
        <v>0</v>
      </c>
      <c r="S2306" s="7">
        <f>grand[[#This Row],[ carcass weight]]/grand[[#This Row],[received]]</f>
        <v>284.29032258064518</v>
      </c>
      <c r="T2306" s="7">
        <f>grand[[#This Row],[ kidneys fat quantity]]/grand[[#This Row],[received]]</f>
        <v>9.5161290322580641</v>
      </c>
      <c r="U2306" s="15">
        <v>25</v>
      </c>
      <c r="V2306" s="15">
        <v>0</v>
      </c>
      <c r="W2306" s="15">
        <v>49.532258064516128</v>
      </c>
      <c r="X2306" s="15">
        <v>10</v>
      </c>
      <c r="Y2306" s="8">
        <v>8.5</v>
      </c>
      <c r="Z2306" s="18">
        <f>grand[[#This Row],[av. Transportation loss]]/grand[[#This Row],[av.total weight]]</f>
        <v>0</v>
      </c>
      <c r="AA2306" s="12">
        <f>AVERAGE((grand[[#This Row],[am]]/25),(grand[[#This Row],[pm]]/50))</f>
        <v>0.99532258064516133</v>
      </c>
      <c r="AB2306" s="3">
        <f>grand[[#This Row],[ carcass weight]]/grand[[#This Row],[total weight]]</f>
        <v>0.60703953712632597</v>
      </c>
      <c r="AC2306" s="19">
        <f>SUM(grand[[#This Row],[am]:[meat transportation]])/100</f>
        <v>0.93032258064516127</v>
      </c>
      <c r="AD2306" s="9" t="s">
        <v>188</v>
      </c>
      <c r="AJ2306" s="1">
        <v>21</v>
      </c>
      <c r="AK2306" s="20">
        <f>grand[[#This Row],[accepted as exception]]/grand[[#This Row],[number]]</f>
        <v>0.328125</v>
      </c>
      <c r="AL2306" s="1">
        <v>857</v>
      </c>
    </row>
    <row r="2307" spans="1:38" hidden="1" x14ac:dyDescent="0.2">
      <c r="A2307" s="11">
        <v>44660</v>
      </c>
      <c r="B2307" s="53" t="s">
        <v>1614</v>
      </c>
      <c r="C2307" s="52" t="str">
        <f>IF(MID(B2307,4,2)="09","Ramadan",IF(AND(MID(B2307,4,2)="12",VALUE(LEFT(B2307,2))&lt;=9),"Adha Season","Normal"))</f>
        <v>Ramadan</v>
      </c>
      <c r="D2307" s="1" t="s">
        <v>45</v>
      </c>
      <c r="E2307" s="1" t="s">
        <v>481</v>
      </c>
      <c r="F2307" s="4" t="s">
        <v>39</v>
      </c>
      <c r="G2307" s="1">
        <v>31</v>
      </c>
      <c r="H2307" s="15">
        <v>29</v>
      </c>
      <c r="I2307" s="1">
        <f>grand[[#This Row],[number]]-grand[[#This Row],[received]]</f>
        <v>2</v>
      </c>
      <c r="J2307" s="30" t="s">
        <v>406</v>
      </c>
      <c r="K2307" s="9">
        <v>13570</v>
      </c>
      <c r="L2307" s="9">
        <v>12726</v>
      </c>
      <c r="M2307" s="2">
        <f>K2307-L2307</f>
        <v>844</v>
      </c>
      <c r="N2307" s="9">
        <v>8279.6</v>
      </c>
      <c r="O2307" s="9">
        <v>307</v>
      </c>
      <c r="P2307" s="7">
        <f>grand[[#This Row],[total weight]]/grand[[#This Row],[received]]</f>
        <v>467.93103448275861</v>
      </c>
      <c r="Q2307" s="7">
        <f>grand[[#This Row],[receiving weight]]/grand[[#This Row],[received]]</f>
        <v>438.82758620689657</v>
      </c>
      <c r="R2307" s="7">
        <f>grand[[#This Row],[transportation loss ]]/grand[[#This Row],[received]]</f>
        <v>29.103448275862068</v>
      </c>
      <c r="S2307" s="7">
        <f>grand[[#This Row],[ carcass weight]]/grand[[#This Row],[received]]</f>
        <v>285.50344827586207</v>
      </c>
      <c r="T2307" s="7">
        <f>grand[[#This Row],[ kidneys fat quantity]]/grand[[#This Row],[received]]</f>
        <v>10.586206896551724</v>
      </c>
      <c r="U2307" s="15">
        <v>25</v>
      </c>
      <c r="V2307" s="15">
        <v>0</v>
      </c>
      <c r="W2307" s="15">
        <v>49.758620689655174</v>
      </c>
      <c r="X2307" s="15">
        <v>9.8275862068965516</v>
      </c>
      <c r="Y2307" s="8">
        <v>8.5</v>
      </c>
      <c r="Z2307" s="18">
        <f>grand[[#This Row],[av. Transportation loss]]/grand[[#This Row],[av.total weight]]</f>
        <v>6.2196020633750917E-2</v>
      </c>
      <c r="AA2307" s="12">
        <f>AVERAGE((grand[[#This Row],[am]]/25),(grand[[#This Row],[pm]]/50))</f>
        <v>0.99758620689655175</v>
      </c>
      <c r="AB2307" s="3">
        <f>grand[[#This Row],[ carcass weight]]/grand[[#This Row],[total weight]]</f>
        <v>0.61014001473839352</v>
      </c>
      <c r="AC2307" s="19">
        <f>SUM(grand[[#This Row],[am]:[meat transportation]])/100</f>
        <v>0.93086206896551726</v>
      </c>
      <c r="AD2307" s="2" t="s">
        <v>188</v>
      </c>
      <c r="AJ2307" s="1">
        <v>3</v>
      </c>
      <c r="AK2307" s="20"/>
      <c r="AL2307" s="1">
        <v>965</v>
      </c>
    </row>
    <row r="2308" spans="1:38" hidden="1" x14ac:dyDescent="0.2">
      <c r="A2308" s="11">
        <v>44681</v>
      </c>
      <c r="B2308" s="53" t="s">
        <v>1626</v>
      </c>
      <c r="C2308" s="52" t="str">
        <f>IF(MID(B2308,4,2)="09","Ramadan",IF(AND(MID(B2308,4,2)="12",VALUE(LEFT(B2308,2))&lt;=9),"Adha Season","Normal"))</f>
        <v>Ramadan</v>
      </c>
      <c r="D2308" s="1" t="s">
        <v>45</v>
      </c>
      <c r="E2308" s="1" t="s">
        <v>481</v>
      </c>
      <c r="F2308" s="4" t="s">
        <v>39</v>
      </c>
      <c r="G2308" s="1">
        <v>32</v>
      </c>
      <c r="H2308" s="15">
        <v>30</v>
      </c>
      <c r="I2308" s="1">
        <f>grand[[#This Row],[number]]-grand[[#This Row],[received]]</f>
        <v>2</v>
      </c>
      <c r="J2308" s="30" t="s">
        <v>415</v>
      </c>
      <c r="K2308" s="9">
        <v>14077</v>
      </c>
      <c r="L2308" s="9">
        <v>13286</v>
      </c>
      <c r="M2308" s="2">
        <f>K2308-L2308</f>
        <v>791</v>
      </c>
      <c r="N2308" s="9">
        <v>8718.7000000000007</v>
      </c>
      <c r="O2308" s="9">
        <v>303</v>
      </c>
      <c r="P2308" s="7">
        <f>grand[[#This Row],[total weight]]/grand[[#This Row],[received]]</f>
        <v>469.23333333333335</v>
      </c>
      <c r="Q2308" s="7">
        <f>grand[[#This Row],[receiving weight]]/grand[[#This Row],[received]]</f>
        <v>442.86666666666667</v>
      </c>
      <c r="R2308" s="7">
        <f>grand[[#This Row],[transportation loss ]]/grand[[#This Row],[received]]</f>
        <v>26.366666666666667</v>
      </c>
      <c r="S2308" s="7">
        <f>grand[[#This Row],[ carcass weight]]/grand[[#This Row],[received]]</f>
        <v>290.62333333333333</v>
      </c>
      <c r="T2308" s="7">
        <f>grand[[#This Row],[ kidneys fat quantity]]/grand[[#This Row],[received]]</f>
        <v>10.1</v>
      </c>
      <c r="U2308" s="15">
        <v>25</v>
      </c>
      <c r="V2308" s="15">
        <v>0</v>
      </c>
      <c r="W2308" s="15">
        <v>50</v>
      </c>
      <c r="X2308" s="15">
        <v>10</v>
      </c>
      <c r="Y2308" s="8">
        <v>8.5</v>
      </c>
      <c r="Z2308" s="18">
        <f>grand[[#This Row],[av. Transportation loss]]/grand[[#This Row],[av.total weight]]</f>
        <v>5.6190949776230729E-2</v>
      </c>
      <c r="AA2308" s="12">
        <f>AVERAGE((grand[[#This Row],[am]]/25),(grand[[#This Row],[pm]]/50))</f>
        <v>1</v>
      </c>
      <c r="AB2308" s="3">
        <f>grand[[#This Row],[ carcass weight]]/grand[[#This Row],[total weight]]</f>
        <v>0.61935781771684317</v>
      </c>
      <c r="AC2308" s="19">
        <f>SUM(grand[[#This Row],[am]:[meat transportation]])/100</f>
        <v>0.93500000000000005</v>
      </c>
      <c r="AD2308" s="2"/>
      <c r="AJ2308" s="1">
        <v>0</v>
      </c>
      <c r="AK2308" s="20"/>
      <c r="AL2308" s="1">
        <v>979</v>
      </c>
    </row>
    <row r="2309" spans="1:38" hidden="1" x14ac:dyDescent="0.2">
      <c r="A2309" s="11">
        <v>44695</v>
      </c>
      <c r="B2309" s="53" t="s">
        <v>1633</v>
      </c>
      <c r="C2309" s="52" t="str">
        <f>IF(MID(B2309,4,2)="09","Ramadan",IF(AND(MID(B2309,4,2)="12",VALUE(LEFT(B2309,2))&lt;=9),"Adha Season","Normal"))</f>
        <v>Normal</v>
      </c>
      <c r="D2309" s="1" t="s">
        <v>45</v>
      </c>
      <c r="E2309" s="1" t="s">
        <v>481</v>
      </c>
      <c r="F2309" s="4" t="s">
        <v>39</v>
      </c>
      <c r="G2309" s="1">
        <v>27</v>
      </c>
      <c r="H2309" s="15">
        <v>25</v>
      </c>
      <c r="I2309" s="1">
        <f>grand[[#This Row],[number]]-grand[[#This Row],[received]]</f>
        <v>2</v>
      </c>
      <c r="J2309" s="30" t="s">
        <v>424</v>
      </c>
      <c r="K2309" s="9">
        <v>11705</v>
      </c>
      <c r="L2309" s="9">
        <v>10994</v>
      </c>
      <c r="M2309" s="2">
        <f>K2309-L2309</f>
        <v>711</v>
      </c>
      <c r="N2309" s="9">
        <v>7228.6</v>
      </c>
      <c r="O2309" s="9">
        <v>238</v>
      </c>
      <c r="P2309" s="7">
        <f>grand[[#This Row],[total weight]]/grand[[#This Row],[received]]</f>
        <v>468.2</v>
      </c>
      <c r="Q2309" s="7">
        <f>grand[[#This Row],[receiving weight]]/grand[[#This Row],[received]]</f>
        <v>439.76</v>
      </c>
      <c r="R2309" s="7">
        <f>grand[[#This Row],[transportation loss ]]/grand[[#This Row],[received]]</f>
        <v>28.44</v>
      </c>
      <c r="S2309" s="7">
        <f>grand[[#This Row],[ carcass weight]]/grand[[#This Row],[received]]</f>
        <v>289.14400000000001</v>
      </c>
      <c r="T2309" s="7">
        <f>grand[[#This Row],[ kidneys fat quantity]]/grand[[#This Row],[received]]</f>
        <v>9.52</v>
      </c>
      <c r="U2309" s="15">
        <v>24.92</v>
      </c>
      <c r="V2309" s="15">
        <v>0</v>
      </c>
      <c r="W2309" s="15">
        <v>49.92</v>
      </c>
      <c r="X2309" s="15">
        <v>9.8000000000000007</v>
      </c>
      <c r="Y2309" s="8">
        <v>8.5</v>
      </c>
      <c r="Z2309" s="18">
        <f>grand[[#This Row],[av. Transportation loss]]/grand[[#This Row],[av.total weight]]</f>
        <v>6.0743272105937635E-2</v>
      </c>
      <c r="AA2309" s="12">
        <f>AVERAGE((grand[[#This Row],[am]]/25),(grand[[#This Row],[pm]]/50))</f>
        <v>0.99760000000000004</v>
      </c>
      <c r="AB2309" s="3">
        <f>grand[[#This Row],[ carcass weight]]/grand[[#This Row],[total weight]]</f>
        <v>0.61756514310123878</v>
      </c>
      <c r="AC2309" s="19">
        <f>SUM(grand[[#This Row],[am]:[meat transportation]])/100</f>
        <v>0.93140000000000001</v>
      </c>
      <c r="AD2309" s="2"/>
      <c r="AJ2309" s="1">
        <v>1</v>
      </c>
      <c r="AK2309" s="20"/>
      <c r="AL2309" s="1">
        <v>951</v>
      </c>
    </row>
    <row r="2310" spans="1:38" hidden="1" x14ac:dyDescent="0.2">
      <c r="A2310" s="11">
        <v>44696</v>
      </c>
      <c r="B2310" s="53" t="s">
        <v>1634</v>
      </c>
      <c r="C2310" s="52" t="str">
        <f>IF(MID(B2310,4,2)="09","Ramadan",IF(AND(MID(B2310,4,2)="12",VALUE(LEFT(B2310,2))&lt;=9),"Adha Season","Normal"))</f>
        <v>Normal</v>
      </c>
      <c r="D2310" s="1" t="s">
        <v>45</v>
      </c>
      <c r="F2310" s="4" t="s">
        <v>280</v>
      </c>
      <c r="G2310" s="1">
        <v>42</v>
      </c>
      <c r="H2310" s="15">
        <v>40</v>
      </c>
      <c r="I2310" s="1">
        <f>grand[[#This Row],[number]]-grand[[#This Row],[received]]</f>
        <v>2</v>
      </c>
      <c r="J2310" s="30" t="s">
        <v>425</v>
      </c>
      <c r="K2310" s="9">
        <v>18745</v>
      </c>
      <c r="L2310" s="9">
        <v>18250</v>
      </c>
      <c r="M2310" s="2">
        <f>K2310-L2310</f>
        <v>495</v>
      </c>
      <c r="N2310" s="9">
        <v>11246.1</v>
      </c>
      <c r="O2310" s="9">
        <v>363</v>
      </c>
      <c r="P2310" s="7">
        <f>grand[[#This Row],[total weight]]/grand[[#This Row],[received]]</f>
        <v>468.625</v>
      </c>
      <c r="Q2310" s="7">
        <f>grand[[#This Row],[receiving weight]]/grand[[#This Row],[received]]</f>
        <v>456.25</v>
      </c>
      <c r="R2310" s="7">
        <f>grand[[#This Row],[transportation loss ]]/grand[[#This Row],[received]]</f>
        <v>12.375</v>
      </c>
      <c r="S2310" s="7">
        <f>grand[[#This Row],[ carcass weight]]/grand[[#This Row],[received]]</f>
        <v>281.15250000000003</v>
      </c>
      <c r="T2310" s="7">
        <f>grand[[#This Row],[ kidneys fat quantity]]/grand[[#This Row],[received]]</f>
        <v>9.0749999999999993</v>
      </c>
      <c r="U2310" s="15">
        <v>25</v>
      </c>
      <c r="V2310" s="15">
        <v>0</v>
      </c>
      <c r="W2310" s="15">
        <v>49.75</v>
      </c>
      <c r="X2310" s="15">
        <v>10</v>
      </c>
      <c r="Y2310" s="8">
        <v>8.5</v>
      </c>
      <c r="Z2310" s="18">
        <f>grand[[#This Row],[av. Transportation loss]]/grand[[#This Row],[av.total weight]]</f>
        <v>2.6407041877834089E-2</v>
      </c>
      <c r="AA2310" s="12">
        <f>AVERAGE((grand[[#This Row],[am]]/25),(grand[[#This Row],[pm]]/50))</f>
        <v>0.99750000000000005</v>
      </c>
      <c r="AB2310" s="3">
        <f>grand[[#This Row],[ carcass weight]]/grand[[#This Row],[total weight]]</f>
        <v>0.59995198719658582</v>
      </c>
      <c r="AC2310" s="19">
        <f>SUM(grand[[#This Row],[am]:[meat transportation]])/100</f>
        <v>0.9325</v>
      </c>
      <c r="AD2310" s="2"/>
      <c r="AJ2310" s="1">
        <v>12</v>
      </c>
      <c r="AK2310" s="20"/>
      <c r="AL2310" s="1">
        <f>445+550</f>
        <v>995</v>
      </c>
    </row>
    <row r="2311" spans="1:38" hidden="1" x14ac:dyDescent="0.2">
      <c r="A2311" s="11">
        <v>44698</v>
      </c>
      <c r="B2311" s="53" t="s">
        <v>1635</v>
      </c>
      <c r="C2311" s="52" t="str">
        <f>IF(MID(B2311,4,2)="09","Ramadan",IF(AND(MID(B2311,4,2)="12",VALUE(LEFT(B2311,2))&lt;=9),"Adha Season","Normal"))</f>
        <v>Normal</v>
      </c>
      <c r="D2311" s="1" t="s">
        <v>45</v>
      </c>
      <c r="E2311" s="1" t="s">
        <v>481</v>
      </c>
      <c r="F2311" s="4" t="s">
        <v>39</v>
      </c>
      <c r="G2311" s="1">
        <v>27</v>
      </c>
      <c r="H2311" s="15">
        <v>25</v>
      </c>
      <c r="I2311" s="1">
        <f>grand[[#This Row],[number]]-grand[[#This Row],[received]]</f>
        <v>2</v>
      </c>
      <c r="J2311" s="30" t="s">
        <v>424</v>
      </c>
      <c r="K2311" s="9">
        <v>11148</v>
      </c>
      <c r="L2311" s="9">
        <v>10569</v>
      </c>
      <c r="M2311" s="2">
        <f>K2311-L2311</f>
        <v>579</v>
      </c>
      <c r="N2311" s="9">
        <v>6912.8</v>
      </c>
      <c r="O2311" s="9">
        <v>246</v>
      </c>
      <c r="P2311" s="7">
        <f>grand[[#This Row],[total weight]]/grand[[#This Row],[received]]</f>
        <v>445.92</v>
      </c>
      <c r="Q2311" s="7">
        <f>grand[[#This Row],[receiving weight]]/grand[[#This Row],[received]]</f>
        <v>422.76</v>
      </c>
      <c r="R2311" s="7">
        <f>grand[[#This Row],[transportation loss ]]/grand[[#This Row],[received]]</f>
        <v>23.16</v>
      </c>
      <c r="S2311" s="7">
        <f>grand[[#This Row],[ carcass weight]]/grand[[#This Row],[received]]</f>
        <v>276.512</v>
      </c>
      <c r="T2311" s="7">
        <f>grand[[#This Row],[ kidneys fat quantity]]/grand[[#This Row],[received]]</f>
        <v>9.84</v>
      </c>
      <c r="U2311" s="15">
        <v>25</v>
      </c>
      <c r="V2311" s="15">
        <v>0</v>
      </c>
      <c r="W2311" s="15">
        <v>50</v>
      </c>
      <c r="X2311" s="15">
        <v>9.8000000000000007</v>
      </c>
      <c r="Y2311" s="8">
        <v>8.5</v>
      </c>
      <c r="Z2311" s="18">
        <f>grand[[#This Row],[av. Transportation loss]]/grand[[#This Row],[av.total weight]]</f>
        <v>5.1937567276641547E-2</v>
      </c>
      <c r="AA2311" s="12">
        <f>AVERAGE((grand[[#This Row],[am]]/25),(grand[[#This Row],[pm]]/50))</f>
        <v>1</v>
      </c>
      <c r="AB2311" s="3">
        <f>grand[[#This Row],[ carcass weight]]/grand[[#This Row],[total weight]]</f>
        <v>0.62009329027628279</v>
      </c>
      <c r="AC2311" s="19">
        <f>SUM(grand[[#This Row],[am]:[meat transportation]])/100</f>
        <v>0.93299999999999994</v>
      </c>
      <c r="AD2311" s="2"/>
      <c r="AJ2311" s="1">
        <v>2</v>
      </c>
      <c r="AK2311" s="20"/>
      <c r="AL2311" s="1">
        <v>851</v>
      </c>
    </row>
    <row r="2312" spans="1:38" hidden="1" x14ac:dyDescent="0.2">
      <c r="A2312" s="11">
        <v>44700</v>
      </c>
      <c r="B2312" s="53" t="s">
        <v>1636</v>
      </c>
      <c r="C2312" s="52" t="str">
        <f>IF(MID(B2312,4,2)="09","Ramadan",IF(AND(MID(B2312,4,2)="12",VALUE(LEFT(B2312,2))&lt;=9),"Adha Season","Normal"))</f>
        <v>Normal</v>
      </c>
      <c r="D2312" s="1" t="s">
        <v>45</v>
      </c>
      <c r="F2312" s="4" t="s">
        <v>414</v>
      </c>
      <c r="G2312" s="1">
        <v>8</v>
      </c>
      <c r="H2312" s="15">
        <v>6</v>
      </c>
      <c r="I2312" s="1">
        <f>grand[[#This Row],[number]]-grand[[#This Row],[received]]</f>
        <v>2</v>
      </c>
      <c r="J2312" s="30" t="s">
        <v>426</v>
      </c>
      <c r="K2312" s="9">
        <v>2673</v>
      </c>
      <c r="L2312" s="9">
        <v>2495</v>
      </c>
      <c r="M2312" s="2">
        <f>K2312-L2312</f>
        <v>178</v>
      </c>
      <c r="N2312" s="9">
        <v>1603.8</v>
      </c>
      <c r="O2312" s="9">
        <v>45</v>
      </c>
      <c r="P2312" s="7">
        <f>grand[[#This Row],[total weight]]/grand[[#This Row],[received]]</f>
        <v>445.5</v>
      </c>
      <c r="Q2312" s="7">
        <f>grand[[#This Row],[receiving weight]]/grand[[#This Row],[received]]</f>
        <v>415.83333333333331</v>
      </c>
      <c r="R2312" s="7">
        <f>grand[[#This Row],[transportation loss ]]/grand[[#This Row],[received]]</f>
        <v>29.666666666666668</v>
      </c>
      <c r="S2312" s="7">
        <f>grand[[#This Row],[ carcass weight]]/grand[[#This Row],[received]]</f>
        <v>267.3</v>
      </c>
      <c r="T2312" s="7">
        <f>grand[[#This Row],[ kidneys fat quantity]]/grand[[#This Row],[received]]</f>
        <v>7.5</v>
      </c>
      <c r="U2312" s="15">
        <v>25</v>
      </c>
      <c r="V2312" s="15">
        <v>0</v>
      </c>
      <c r="W2312" s="15">
        <v>46.333333333333336</v>
      </c>
      <c r="X2312" s="15">
        <v>10</v>
      </c>
      <c r="Y2312" s="8">
        <v>8.5</v>
      </c>
      <c r="Z2312" s="18">
        <f>grand[[#This Row],[av. Transportation loss]]/grand[[#This Row],[av.total weight]]</f>
        <v>6.659184436962215E-2</v>
      </c>
      <c r="AA2312" s="12">
        <f>AVERAGE((grand[[#This Row],[am]]/25),(grand[[#This Row],[pm]]/50))</f>
        <v>0.96333333333333337</v>
      </c>
      <c r="AB2312" s="3">
        <f>grand[[#This Row],[ carcass weight]]/grand[[#This Row],[total weight]]</f>
        <v>0.6</v>
      </c>
      <c r="AC2312" s="19">
        <f>SUM(grand[[#This Row],[am]:[meat transportation]])/100</f>
        <v>0.89833333333333343</v>
      </c>
      <c r="AD2312" s="2" t="s">
        <v>97</v>
      </c>
      <c r="AJ2312" s="1">
        <v>2</v>
      </c>
      <c r="AK2312" s="20"/>
      <c r="AL2312" s="1">
        <v>915</v>
      </c>
    </row>
    <row r="2313" spans="1:38" hidden="1" x14ac:dyDescent="0.2">
      <c r="A2313" s="11">
        <v>44709</v>
      </c>
      <c r="B2313" s="53" t="s">
        <v>1641</v>
      </c>
      <c r="C2313" s="52" t="str">
        <f>IF(MID(B2313,4,2)="09","Ramadan",IF(AND(MID(B2313,4,2)="12",VALUE(LEFT(B2313,2))&lt;=9),"Adha Season","Normal"))</f>
        <v>Normal</v>
      </c>
      <c r="D2313" s="1" t="s">
        <v>45</v>
      </c>
      <c r="E2313" s="1" t="s">
        <v>481</v>
      </c>
      <c r="F2313" s="4" t="s">
        <v>39</v>
      </c>
      <c r="G2313" s="1">
        <v>28</v>
      </c>
      <c r="H2313" s="15">
        <v>26</v>
      </c>
      <c r="I2313" s="1">
        <f>grand[[#This Row],[number]]-grand[[#This Row],[received]]</f>
        <v>2</v>
      </c>
      <c r="J2313" s="30" t="s">
        <v>424</v>
      </c>
      <c r="K2313" s="9">
        <v>12125</v>
      </c>
      <c r="L2313" s="9">
        <v>11493</v>
      </c>
      <c r="M2313" s="2">
        <f>K2313-L2313</f>
        <v>632</v>
      </c>
      <c r="N2313" s="9">
        <v>7574.9</v>
      </c>
      <c r="O2313" s="9">
        <v>278</v>
      </c>
      <c r="P2313" s="7">
        <f>grand[[#This Row],[total weight]]/grand[[#This Row],[received]]</f>
        <v>466.34615384615387</v>
      </c>
      <c r="Q2313" s="7">
        <f>grand[[#This Row],[receiving weight]]/grand[[#This Row],[received]]</f>
        <v>442.03846153846155</v>
      </c>
      <c r="R2313" s="7">
        <f>grand[[#This Row],[transportation loss ]]/grand[[#This Row],[received]]</f>
        <v>24.307692307692307</v>
      </c>
      <c r="S2313" s="7">
        <f>grand[[#This Row],[ carcass weight]]/grand[[#This Row],[received]]</f>
        <v>291.34230769230766</v>
      </c>
      <c r="T2313" s="7">
        <f>grand[[#This Row],[ kidneys fat quantity]]/grand[[#This Row],[received]]</f>
        <v>10.692307692307692</v>
      </c>
      <c r="U2313" s="15">
        <v>25</v>
      </c>
      <c r="V2313" s="15">
        <v>0</v>
      </c>
      <c r="W2313" s="15">
        <v>50</v>
      </c>
      <c r="X2313" s="15">
        <v>9.8076923076923066</v>
      </c>
      <c r="Y2313" s="8">
        <v>8.5</v>
      </c>
      <c r="Z2313" s="18">
        <f>grand[[#This Row],[av. Transportation loss]]/grand[[#This Row],[av.total weight]]</f>
        <v>5.2123711340206179E-2</v>
      </c>
      <c r="AA2313" s="12">
        <f>AVERAGE((grand[[#This Row],[am]]/25),(grand[[#This Row],[pm]]/50))</f>
        <v>1</v>
      </c>
      <c r="AB2313" s="3">
        <f>grand[[#This Row],[ carcass weight]]/grand[[#This Row],[total weight]]</f>
        <v>0.62473402061855665</v>
      </c>
      <c r="AC2313" s="19">
        <f>SUM(grand[[#This Row],[am]:[meat transportation]])/100</f>
        <v>0.93307692307692303</v>
      </c>
      <c r="AD2313" s="2"/>
      <c r="AI2313" s="1" t="s">
        <v>335</v>
      </c>
      <c r="AJ2313" s="1">
        <v>2</v>
      </c>
      <c r="AK2313" s="20"/>
      <c r="AL2313" s="1">
        <v>883</v>
      </c>
    </row>
    <row r="2314" spans="1:38" hidden="1" x14ac:dyDescent="0.2">
      <c r="A2314" s="11">
        <v>44712</v>
      </c>
      <c r="B2314" s="53" t="s">
        <v>1643</v>
      </c>
      <c r="C2314" s="52" t="str">
        <f>IF(MID(B2314,4,2)="09","Ramadan",IF(AND(MID(B2314,4,2)="12",VALUE(LEFT(B2314,2))&lt;=9),"Adha Season","Normal"))</f>
        <v>Normal</v>
      </c>
      <c r="D2314" s="1" t="s">
        <v>45</v>
      </c>
      <c r="E2314" s="1" t="s">
        <v>481</v>
      </c>
      <c r="F2314" s="4" t="s">
        <v>39</v>
      </c>
      <c r="G2314" s="1">
        <v>35</v>
      </c>
      <c r="H2314" s="15">
        <v>33</v>
      </c>
      <c r="I2314" s="1">
        <f>grand[[#This Row],[number]]-grand[[#This Row],[received]]</f>
        <v>2</v>
      </c>
      <c r="J2314" s="30" t="s">
        <v>424</v>
      </c>
      <c r="K2314" s="9">
        <v>15136</v>
      </c>
      <c r="L2314" s="9">
        <v>14369</v>
      </c>
      <c r="M2314" s="2">
        <f>K2314-L2314</f>
        <v>767</v>
      </c>
      <c r="N2314" s="9">
        <v>9370.2999999999993</v>
      </c>
      <c r="O2314" s="9">
        <v>299</v>
      </c>
      <c r="P2314" s="7">
        <f>grand[[#This Row],[total weight]]/grand[[#This Row],[received]]</f>
        <v>458.66666666666669</v>
      </c>
      <c r="Q2314" s="7">
        <f>grand[[#This Row],[receiving weight]]/grand[[#This Row],[received]]</f>
        <v>435.42424242424244</v>
      </c>
      <c r="R2314" s="7">
        <f>grand[[#This Row],[transportation loss ]]/grand[[#This Row],[received]]</f>
        <v>23.242424242424242</v>
      </c>
      <c r="S2314" s="7">
        <f>grand[[#This Row],[ carcass weight]]/grand[[#This Row],[received]]</f>
        <v>283.94848484848484</v>
      </c>
      <c r="T2314" s="7">
        <f>grand[[#This Row],[ kidneys fat quantity]]/grand[[#This Row],[received]]</f>
        <v>9.0606060606060606</v>
      </c>
      <c r="U2314" s="15">
        <v>25</v>
      </c>
      <c r="V2314" s="15">
        <v>0</v>
      </c>
      <c r="W2314" s="15">
        <v>49.939393939393938</v>
      </c>
      <c r="X2314" s="15">
        <v>10</v>
      </c>
      <c r="Y2314" s="8">
        <v>8.5</v>
      </c>
      <c r="Z2314" s="18">
        <f>grand[[#This Row],[av. Transportation loss]]/grand[[#This Row],[av.total weight]]</f>
        <v>5.0673890063424945E-2</v>
      </c>
      <c r="AA2314" s="12">
        <f>AVERAGE((grand[[#This Row],[am]]/25),(grand[[#This Row],[pm]]/50))</f>
        <v>0.99939393939393939</v>
      </c>
      <c r="AB2314" s="3">
        <f>grand[[#This Row],[ carcass weight]]/grand[[#This Row],[total weight]]</f>
        <v>0.61907373150105705</v>
      </c>
      <c r="AC2314" s="19">
        <f>SUM(grand[[#This Row],[am]:[meat transportation]])/100</f>
        <v>0.93439393939393933</v>
      </c>
      <c r="AD2314" s="2"/>
      <c r="AJ2314" s="1">
        <v>2</v>
      </c>
      <c r="AK2314" s="20"/>
      <c r="AL2314" s="1">
        <v>976</v>
      </c>
    </row>
    <row r="2315" spans="1:38" hidden="1" x14ac:dyDescent="0.2">
      <c r="A2315" s="11">
        <v>44716</v>
      </c>
      <c r="B2315" s="53" t="s">
        <v>1645</v>
      </c>
      <c r="C2315" s="52" t="str">
        <f>IF(MID(B2315,4,2)="09","Ramadan",IF(AND(MID(B2315,4,2)="12",VALUE(LEFT(B2315,2))&lt;=9),"Adha Season","Normal"))</f>
        <v>Normal</v>
      </c>
      <c r="D2315" s="1" t="s">
        <v>45</v>
      </c>
      <c r="F2315" s="4" t="s">
        <v>46</v>
      </c>
      <c r="G2315" s="1">
        <v>33</v>
      </c>
      <c r="H2315" s="15">
        <v>31</v>
      </c>
      <c r="I2315" s="1">
        <f>grand[[#This Row],[number]]-grand[[#This Row],[received]]</f>
        <v>2</v>
      </c>
      <c r="J2315" s="30" t="s">
        <v>432</v>
      </c>
      <c r="K2315" s="9">
        <v>13370</v>
      </c>
      <c r="L2315" s="9">
        <v>12770</v>
      </c>
      <c r="M2315" s="2">
        <f>K2315-L2315</f>
        <v>600</v>
      </c>
      <c r="N2315" s="9">
        <v>8137.1</v>
      </c>
      <c r="O2315" s="9">
        <v>252</v>
      </c>
      <c r="P2315" s="7">
        <f>grand[[#This Row],[total weight]]/grand[[#This Row],[received]]</f>
        <v>431.29032258064518</v>
      </c>
      <c r="Q2315" s="7">
        <f>grand[[#This Row],[receiving weight]]/grand[[#This Row],[received]]</f>
        <v>411.93548387096774</v>
      </c>
      <c r="R2315" s="7">
        <f>grand[[#This Row],[transportation loss ]]/grand[[#This Row],[received]]</f>
        <v>19.35483870967742</v>
      </c>
      <c r="S2315" s="7">
        <f>grand[[#This Row],[ carcass weight]]/grand[[#This Row],[received]]</f>
        <v>262.48709677419356</v>
      </c>
      <c r="T2315" s="7">
        <f>grand[[#This Row],[ kidneys fat quantity]]/grand[[#This Row],[received]]</f>
        <v>8.129032258064516</v>
      </c>
      <c r="U2315" s="15">
        <v>25</v>
      </c>
      <c r="V2315" s="15">
        <v>0</v>
      </c>
      <c r="W2315" s="15">
        <v>49.483870967741936</v>
      </c>
      <c r="X2315" s="15">
        <v>10</v>
      </c>
      <c r="Y2315" s="8">
        <v>8.5</v>
      </c>
      <c r="Z2315" s="18">
        <f>grand[[#This Row],[av. Transportation loss]]/grand[[#This Row],[av.total weight]]</f>
        <v>4.4876589379207181E-2</v>
      </c>
      <c r="AA2315" s="12">
        <f>AVERAGE((grand[[#This Row],[am]]/25),(grand[[#This Row],[pm]]/50))</f>
        <v>0.99483870967741939</v>
      </c>
      <c r="AB2315" s="3">
        <f>grand[[#This Row],[ carcass weight]]/grand[[#This Row],[total weight]]</f>
        <v>0.60860882572924457</v>
      </c>
      <c r="AC2315" s="19">
        <f>SUM(grand[[#This Row],[am]:[meat transportation]])/100</f>
        <v>0.92983870967741933</v>
      </c>
      <c r="AD2315" s="2" t="s">
        <v>228</v>
      </c>
      <c r="AJ2315" s="1">
        <v>2</v>
      </c>
      <c r="AK2315" s="20"/>
      <c r="AL2315" s="1">
        <v>757</v>
      </c>
    </row>
    <row r="2316" spans="1:38" hidden="1" x14ac:dyDescent="0.2">
      <c r="A2316" s="11">
        <v>44745</v>
      </c>
      <c r="B2316" s="53" t="s">
        <v>1662</v>
      </c>
      <c r="C2316" s="52" t="str">
        <f>IF(MID(B2316,4,2)="09","Ramadan",IF(AND(MID(B2316,4,2)="12",VALUE(LEFT(B2316,2))&lt;=9),"Adha Season","Normal"))</f>
        <v>Adha Season</v>
      </c>
      <c r="D2316" s="1" t="s">
        <v>45</v>
      </c>
      <c r="E2316" s="1" t="s">
        <v>482</v>
      </c>
      <c r="F2316" s="4" t="s">
        <v>39</v>
      </c>
      <c r="G2316" s="1">
        <v>43</v>
      </c>
      <c r="H2316" s="15">
        <v>41</v>
      </c>
      <c r="I2316" s="1">
        <f>grand[[#This Row],[number]]-grand[[#This Row],[received]]</f>
        <v>2</v>
      </c>
      <c r="J2316" s="30" t="s">
        <v>161</v>
      </c>
      <c r="K2316" s="2">
        <v>24437</v>
      </c>
      <c r="L2316" s="2">
        <v>24437</v>
      </c>
      <c r="M2316" s="2">
        <f>K2316-L2316</f>
        <v>0</v>
      </c>
      <c r="N2316" s="2">
        <v>15056.4</v>
      </c>
      <c r="O2316" s="2">
        <v>269</v>
      </c>
      <c r="P2316" s="7">
        <f>grand[[#This Row],[total weight]]/grand[[#This Row],[received]]</f>
        <v>596.02439024390242</v>
      </c>
      <c r="Q2316" s="7">
        <f>grand[[#This Row],[receiving weight]]/grand[[#This Row],[received]]</f>
        <v>596.02439024390242</v>
      </c>
      <c r="R2316" s="7">
        <f>grand[[#This Row],[transportation loss ]]/grand[[#This Row],[received]]</f>
        <v>0</v>
      </c>
      <c r="S2316" s="7">
        <f>grand[[#This Row],[ carcass weight]]/grand[[#This Row],[received]]</f>
        <v>367.22926829268295</v>
      </c>
      <c r="T2316" s="7">
        <f>grand[[#This Row],[ kidneys fat quantity]]/grand[[#This Row],[received]]</f>
        <v>6.5609756097560972</v>
      </c>
      <c r="U2316" s="15">
        <v>25</v>
      </c>
      <c r="V2316" s="15">
        <v>0</v>
      </c>
      <c r="W2316" s="15">
        <v>49.833333333333329</v>
      </c>
      <c r="X2316" s="15">
        <v>10</v>
      </c>
      <c r="Y2316" s="8">
        <v>8.5</v>
      </c>
      <c r="Z2316" s="20">
        <f>grand[[#This Row],[av. Transportation loss]]/grand[[#This Row],[av.total weight]]</f>
        <v>0</v>
      </c>
      <c r="AA2316" s="12">
        <f>AVERAGE((grand[[#This Row],[am]]/25),(grand[[#This Row],[pm]]/50))</f>
        <v>0.99833333333333329</v>
      </c>
      <c r="AB2316" s="12">
        <f>grand[[#This Row],[ carcass weight]]/grand[[#This Row],[total weight]]</f>
        <v>0.61613127634324993</v>
      </c>
      <c r="AC2316" s="22">
        <f>SUM(grand[[#This Row],[am]:[meat transportation]])/100</f>
        <v>0.93333333333333324</v>
      </c>
      <c r="AD2316" s="9" t="s">
        <v>89</v>
      </c>
      <c r="AJ2316" s="1">
        <v>0</v>
      </c>
      <c r="AK2316" s="20"/>
      <c r="AL2316" s="1">
        <v>1140</v>
      </c>
    </row>
    <row r="2317" spans="1:38" hidden="1" x14ac:dyDescent="0.2">
      <c r="A2317" s="11">
        <v>44763</v>
      </c>
      <c r="B2317" s="53" t="s">
        <v>1672</v>
      </c>
      <c r="C2317" s="52" t="str">
        <f>IF(MID(B2317,4,2)="09","Ramadan",IF(AND(MID(B2317,4,2)="12",VALUE(LEFT(B2317,2))&lt;=9),"Adha Season","Normal"))</f>
        <v>Normal</v>
      </c>
      <c r="D2317" s="1" t="s">
        <v>45</v>
      </c>
      <c r="E2317" s="1" t="s">
        <v>481</v>
      </c>
      <c r="F2317" s="4" t="s">
        <v>39</v>
      </c>
      <c r="G2317" s="1">
        <v>50</v>
      </c>
      <c r="H2317" s="15">
        <v>48</v>
      </c>
      <c r="I2317" s="1">
        <f>grand[[#This Row],[number]]-grand[[#This Row],[received]]</f>
        <v>2</v>
      </c>
      <c r="J2317" s="30" t="s">
        <v>452</v>
      </c>
      <c r="K2317" s="2">
        <v>24841</v>
      </c>
      <c r="L2317" s="2">
        <v>23824</v>
      </c>
      <c r="M2317" s="2">
        <f>K2317-L2317</f>
        <v>1017</v>
      </c>
      <c r="N2317" s="2">
        <v>15561</v>
      </c>
      <c r="O2317" s="2">
        <v>358</v>
      </c>
      <c r="P2317" s="7">
        <f>grand[[#This Row],[total weight]]/grand[[#This Row],[received]]</f>
        <v>517.52083333333337</v>
      </c>
      <c r="Q2317" s="7">
        <f>grand[[#This Row],[receiving weight]]/grand[[#This Row],[received]]</f>
        <v>496.33333333333331</v>
      </c>
      <c r="R2317" s="7">
        <f>grand[[#This Row],[transportation loss ]]/grand[[#This Row],[received]]</f>
        <v>21.1875</v>
      </c>
      <c r="S2317" s="7">
        <f>grand[[#This Row],[ carcass weight]]/grand[[#This Row],[received]]</f>
        <v>324.1875</v>
      </c>
      <c r="T2317" s="7">
        <f>grand[[#This Row],[ kidneys fat quantity]]/grand[[#This Row],[received]]</f>
        <v>7.458333333333333</v>
      </c>
      <c r="U2317" s="15">
        <v>25</v>
      </c>
      <c r="V2317" s="15">
        <v>0</v>
      </c>
      <c r="W2317" s="15">
        <v>48.687499999999993</v>
      </c>
      <c r="X2317" s="15">
        <v>9.8958333333333321</v>
      </c>
      <c r="Y2317" s="8">
        <v>8.5</v>
      </c>
      <c r="Z2317" s="20">
        <f>grand[[#This Row],[av. Transportation loss]]/grand[[#This Row],[av.total weight]]</f>
        <v>4.0940380822028097E-2</v>
      </c>
      <c r="AA2317" s="12">
        <f>AVERAGE((grand[[#This Row],[am]]/25),(grand[[#This Row],[pm]]/50))</f>
        <v>0.98687499999999995</v>
      </c>
      <c r="AB2317" s="12">
        <f>grand[[#This Row],[ carcass weight]]/grand[[#This Row],[total weight]]</f>
        <v>0.62642405700253612</v>
      </c>
      <c r="AC2317" s="22">
        <f>SUM(grand[[#This Row],[am]:[meat transportation]])/100</f>
        <v>0.92083333333333328</v>
      </c>
      <c r="AD2317" s="2" t="s">
        <v>453</v>
      </c>
      <c r="AJ2317" s="1">
        <v>0</v>
      </c>
      <c r="AK2317" s="20"/>
      <c r="AL2317" s="1">
        <f>873+7</f>
        <v>880</v>
      </c>
    </row>
    <row r="2318" spans="1:38" hidden="1" x14ac:dyDescent="0.2">
      <c r="A2318" s="11">
        <v>44768</v>
      </c>
      <c r="B2318" s="53" t="s">
        <v>1674</v>
      </c>
      <c r="C2318" s="52" t="str">
        <f>IF(MID(B2318,4,2)="09","Ramadan",IF(AND(MID(B2318,4,2)="12",VALUE(LEFT(B2318,2))&lt;=9),"Adha Season","Normal"))</f>
        <v>Normal</v>
      </c>
      <c r="D2318" s="1" t="s">
        <v>45</v>
      </c>
      <c r="E2318" s="1" t="s">
        <v>481</v>
      </c>
      <c r="F2318" s="4" t="s">
        <v>39</v>
      </c>
      <c r="G2318" s="1">
        <v>38</v>
      </c>
      <c r="H2318" s="15">
        <v>36</v>
      </c>
      <c r="I2318" s="1">
        <f>grand[[#This Row],[number]]-grand[[#This Row],[received]]</f>
        <v>2</v>
      </c>
      <c r="J2318" s="30" t="s">
        <v>455</v>
      </c>
      <c r="K2318" s="9">
        <v>19331</v>
      </c>
      <c r="L2318" s="9">
        <v>18316</v>
      </c>
      <c r="M2318" s="2">
        <f>K2318-L2318</f>
        <v>1015</v>
      </c>
      <c r="N2318" s="9">
        <v>12155</v>
      </c>
      <c r="O2318" s="9">
        <v>270</v>
      </c>
      <c r="P2318" s="7">
        <f>grand[[#This Row],[total weight]]/grand[[#This Row],[received]]</f>
        <v>536.97222222222217</v>
      </c>
      <c r="Q2318" s="7">
        <f>grand[[#This Row],[receiving weight]]/grand[[#This Row],[received]]</f>
        <v>508.77777777777777</v>
      </c>
      <c r="R2318" s="7">
        <f>grand[[#This Row],[transportation loss ]]/grand[[#This Row],[received]]</f>
        <v>28.194444444444443</v>
      </c>
      <c r="S2318" s="7">
        <f>grand[[#This Row],[ carcass weight]]/grand[[#This Row],[received]]</f>
        <v>337.63888888888891</v>
      </c>
      <c r="T2318" s="7">
        <f>grand[[#This Row],[ kidneys fat quantity]]/grand[[#This Row],[received]]</f>
        <v>7.5</v>
      </c>
      <c r="U2318" s="15">
        <v>25</v>
      </c>
      <c r="V2318" s="15">
        <v>0</v>
      </c>
      <c r="W2318" s="15">
        <v>50</v>
      </c>
      <c r="X2318" s="15">
        <v>10</v>
      </c>
      <c r="Y2318" s="8">
        <v>8.5</v>
      </c>
      <c r="Z2318" s="20">
        <f>grand[[#This Row],[av. Transportation loss]]/grand[[#This Row],[av.total weight]]</f>
        <v>5.2506336971703482E-2</v>
      </c>
      <c r="AA2318" s="12">
        <f>AVERAGE((grand[[#This Row],[am]]/25),(grand[[#This Row],[pm]]/50))</f>
        <v>1</v>
      </c>
      <c r="AB2318" s="12">
        <f>grand[[#This Row],[ carcass weight]]/grand[[#This Row],[total weight]]</f>
        <v>0.62878278412911903</v>
      </c>
      <c r="AC2318" s="22">
        <f>SUM(grand[[#This Row],[am]:[meat transportation]])/100</f>
        <v>0.93500000000000005</v>
      </c>
      <c r="AD2318" s="2"/>
      <c r="AJ2318" s="1">
        <v>1</v>
      </c>
      <c r="AK2318" s="20"/>
      <c r="AL2318" s="1">
        <v>1039</v>
      </c>
    </row>
    <row r="2319" spans="1:38" hidden="1" x14ac:dyDescent="0.2">
      <c r="A2319" s="11">
        <v>44772</v>
      </c>
      <c r="B2319" s="53" t="s">
        <v>1676</v>
      </c>
      <c r="C2319" s="52" t="str">
        <f>IF(MID(B2319,4,2)="09","Ramadan",IF(AND(MID(B2319,4,2)="12",VALUE(LEFT(B2319,2))&lt;=9),"Adha Season","Normal"))</f>
        <v>Normal</v>
      </c>
      <c r="D2319" s="1" t="s">
        <v>45</v>
      </c>
      <c r="F2319" s="4" t="s">
        <v>280</v>
      </c>
      <c r="G2319" s="1">
        <v>30</v>
      </c>
      <c r="H2319" s="15">
        <v>28</v>
      </c>
      <c r="I2319" s="1">
        <f>grand[[#This Row],[number]]-grand[[#This Row],[received]]</f>
        <v>2</v>
      </c>
      <c r="J2319" s="30" t="s">
        <v>426</v>
      </c>
      <c r="K2319" s="9">
        <v>12998</v>
      </c>
      <c r="L2319" s="9">
        <v>12583</v>
      </c>
      <c r="M2319" s="2">
        <f>K2319-L2319</f>
        <v>415</v>
      </c>
      <c r="N2319" s="9">
        <v>8005.7</v>
      </c>
      <c r="O2319" s="9">
        <v>194</v>
      </c>
      <c r="P2319" s="7">
        <f>grand[[#This Row],[total weight]]/grand[[#This Row],[received]]</f>
        <v>464.21428571428572</v>
      </c>
      <c r="Q2319" s="7">
        <f>grand[[#This Row],[receiving weight]]/grand[[#This Row],[received]]</f>
        <v>449.39285714285717</v>
      </c>
      <c r="R2319" s="7">
        <f>grand[[#This Row],[transportation loss ]]/grand[[#This Row],[received]]</f>
        <v>14.821428571428571</v>
      </c>
      <c r="S2319" s="7">
        <f>grand[[#This Row],[ carcass weight]]/grand[[#This Row],[received]]</f>
        <v>285.91785714285714</v>
      </c>
      <c r="T2319" s="7">
        <f>grand[[#This Row],[ kidneys fat quantity]]/grand[[#This Row],[received]]</f>
        <v>6.9285714285714288</v>
      </c>
      <c r="U2319" s="15">
        <v>24.821428571428569</v>
      </c>
      <c r="V2319" s="15">
        <v>0</v>
      </c>
      <c r="W2319" s="15">
        <v>48.565934065934066</v>
      </c>
      <c r="X2319" s="15">
        <v>10</v>
      </c>
      <c r="Y2319" s="8">
        <v>8.5</v>
      </c>
      <c r="Z2319" s="20">
        <f>grand[[#This Row],[av. Transportation loss]]/grand[[#This Row],[av.total weight]]</f>
        <v>3.1927988921372517E-2</v>
      </c>
      <c r="AA2319" s="12">
        <f>AVERAGE((grand[[#This Row],[am]]/25),(grand[[#This Row],[pm]]/50))</f>
        <v>0.98208791208791202</v>
      </c>
      <c r="AB2319" s="12">
        <f>grand[[#This Row],[ carcass weight]]/grand[[#This Row],[total weight]]</f>
        <v>0.61591783351284812</v>
      </c>
      <c r="AC2319" s="22">
        <f>SUM(grand[[#This Row],[am]:[meat transportation]])/100</f>
        <v>0.91887362637362624</v>
      </c>
      <c r="AD2319" s="9" t="s">
        <v>457</v>
      </c>
      <c r="AJ2319" s="1">
        <v>1</v>
      </c>
      <c r="AK2319" s="20"/>
      <c r="AL2319" s="1">
        <f>609+6</f>
        <v>615</v>
      </c>
    </row>
    <row r="2320" spans="1:38" hidden="1" x14ac:dyDescent="0.2">
      <c r="A2320" s="11">
        <v>44833</v>
      </c>
      <c r="B2320" s="53" t="s">
        <v>1707</v>
      </c>
      <c r="C2320" s="52" t="str">
        <f>IF(MID(B2320,4,2)="09","Ramadan",IF(AND(MID(B2320,4,2)="12",VALUE(LEFT(B2320,2))&lt;=9),"Adha Season","Normal"))</f>
        <v>Normal</v>
      </c>
      <c r="D2320" s="1" t="s">
        <v>45</v>
      </c>
      <c r="F2320" s="4" t="s">
        <v>46</v>
      </c>
      <c r="G2320" s="1">
        <v>41</v>
      </c>
      <c r="H2320" s="15">
        <v>39</v>
      </c>
      <c r="I2320" s="1">
        <f>grand[[#This Row],[number]]-grand[[#This Row],[received]]</f>
        <v>2</v>
      </c>
      <c r="J2320" s="30" t="s">
        <v>1132</v>
      </c>
      <c r="K2320" s="2">
        <v>16353</v>
      </c>
      <c r="L2320" s="2">
        <v>15650</v>
      </c>
      <c r="M2320" s="2">
        <f>K2320-L2320</f>
        <v>703</v>
      </c>
      <c r="N2320" s="2">
        <v>9812</v>
      </c>
      <c r="O2320" s="2">
        <v>263</v>
      </c>
      <c r="P2320" s="7">
        <f>grand[[#This Row],[total weight]]/grand[[#This Row],[received]]</f>
        <v>419.30769230769232</v>
      </c>
      <c r="Q2320" s="7">
        <f>grand[[#This Row],[receiving weight]]/grand[[#This Row],[received]]</f>
        <v>401.28205128205127</v>
      </c>
      <c r="R2320" s="7">
        <f>grand[[#This Row],[transportation loss ]]/grand[[#This Row],[received]]</f>
        <v>18.025641025641026</v>
      </c>
      <c r="S2320" s="7">
        <f>grand[[#This Row],[ carcass weight]]/grand[[#This Row],[received]]</f>
        <v>251.58974358974359</v>
      </c>
      <c r="T2320" s="7">
        <f>grand[[#This Row],[ kidneys fat quantity]]/grand[[#This Row],[received]]</f>
        <v>6.7435897435897436</v>
      </c>
      <c r="U2320" s="15">
        <v>25</v>
      </c>
      <c r="V2320" s="15">
        <v>0</v>
      </c>
      <c r="W2320" s="15">
        <v>49.641025641025642</v>
      </c>
      <c r="X2320" s="15">
        <v>10</v>
      </c>
      <c r="Y2320" s="8">
        <v>8.5</v>
      </c>
      <c r="Z2320" s="20">
        <f>grand[[#This Row],[av. Transportation loss]]/grand[[#This Row],[av.total weight]]</f>
        <v>4.2989053996208643E-2</v>
      </c>
      <c r="AA2320" s="12">
        <f>AVERAGE((grand[[#This Row],[am]]/25),(grand[[#This Row],[pm]]/50))</f>
        <v>0.99641025641025638</v>
      </c>
      <c r="AB2320" s="12">
        <f>grand[[#This Row],[ carcass weight]]/grand[[#This Row],[total weight]]</f>
        <v>0.60001223017183392</v>
      </c>
      <c r="AC2320" s="22">
        <f>SUM(grand[[#This Row],[am]:[meat transportation]])/100</f>
        <v>0.93141025641025632</v>
      </c>
      <c r="AD2320" s="2" t="s">
        <v>71</v>
      </c>
      <c r="AJ2320" s="1">
        <v>0</v>
      </c>
      <c r="AK2320" s="20"/>
      <c r="AL2320" s="1">
        <v>679</v>
      </c>
    </row>
    <row r="2321" spans="1:38" hidden="1" x14ac:dyDescent="0.2">
      <c r="A2321" s="11">
        <v>44835</v>
      </c>
      <c r="B2321" s="53" t="s">
        <v>1708</v>
      </c>
      <c r="C2321" s="52" t="str">
        <f>IF(MID(B2321,4,2)="09","Ramadan",IF(AND(MID(B2321,4,2)="12",VALUE(LEFT(B2321,2))&lt;=9),"Adha Season","Normal"))</f>
        <v>Normal</v>
      </c>
      <c r="D2321" s="1" t="s">
        <v>45</v>
      </c>
      <c r="E2321" s="1" t="s">
        <v>481</v>
      </c>
      <c r="F2321" s="4" t="s">
        <v>39</v>
      </c>
      <c r="G2321" s="1">
        <v>24</v>
      </c>
      <c r="H2321" s="15">
        <v>22</v>
      </c>
      <c r="I2321" s="1">
        <f>grand[[#This Row],[number]]-grand[[#This Row],[received]]</f>
        <v>2</v>
      </c>
      <c r="J2321" s="30" t="s">
        <v>320</v>
      </c>
      <c r="K2321" s="2">
        <v>9721</v>
      </c>
      <c r="L2321" s="2">
        <v>9109</v>
      </c>
      <c r="M2321" s="2">
        <f>K2321-L2321</f>
        <v>612</v>
      </c>
      <c r="N2321" s="2">
        <v>5926.5</v>
      </c>
      <c r="O2321" s="2">
        <v>220</v>
      </c>
      <c r="P2321" s="7">
        <f>grand[[#This Row],[total weight]]/grand[[#This Row],[received]]</f>
        <v>441.86363636363637</v>
      </c>
      <c r="Q2321" s="7">
        <f>grand[[#This Row],[receiving weight]]/grand[[#This Row],[received]]</f>
        <v>414.04545454545456</v>
      </c>
      <c r="R2321" s="7">
        <f>grand[[#This Row],[transportation loss ]]/grand[[#This Row],[received]]</f>
        <v>27.818181818181817</v>
      </c>
      <c r="S2321" s="7">
        <f>grand[[#This Row],[ carcass weight]]/grand[[#This Row],[received]]</f>
        <v>269.38636363636363</v>
      </c>
      <c r="T2321" s="7">
        <f>grand[[#This Row],[ kidneys fat quantity]]/grand[[#This Row],[received]]</f>
        <v>10</v>
      </c>
      <c r="U2321" s="15">
        <v>25</v>
      </c>
      <c r="V2321" s="15">
        <v>0</v>
      </c>
      <c r="W2321" s="15">
        <v>49.909090909090907</v>
      </c>
      <c r="X2321" s="15">
        <v>10</v>
      </c>
      <c r="Y2321" s="8">
        <v>8.5</v>
      </c>
      <c r="Z2321" s="20">
        <f>grand[[#This Row],[av. Transportation loss]]/grand[[#This Row],[av.total weight]]</f>
        <v>6.2956485958234748E-2</v>
      </c>
      <c r="AA2321" s="12">
        <f>AVERAGE((grand[[#This Row],[am]]/25),(grand[[#This Row],[pm]]/50))</f>
        <v>0.99909090909090903</v>
      </c>
      <c r="AB2321" s="12">
        <f>grand[[#This Row],[ carcass weight]]/grand[[#This Row],[total weight]]</f>
        <v>0.60965950005143499</v>
      </c>
      <c r="AC2321" s="22">
        <f>SUM(grand[[#This Row],[am]:[meat transportation]])/100</f>
        <v>0.93409090909090908</v>
      </c>
      <c r="AD2321" s="2"/>
      <c r="AJ2321" s="1">
        <v>1</v>
      </c>
      <c r="AK2321" s="20"/>
      <c r="AL2321" s="1">
        <v>846</v>
      </c>
    </row>
    <row r="2322" spans="1:38" hidden="1" x14ac:dyDescent="0.2">
      <c r="A2322" s="11">
        <v>44836</v>
      </c>
      <c r="B2322" s="53" t="s">
        <v>1709</v>
      </c>
      <c r="C2322" s="52" t="str">
        <f>IF(MID(B2322,4,2)="09","Ramadan",IF(AND(MID(B2322,4,2)="12",VALUE(LEFT(B2322,2))&lt;=9),"Adha Season","Normal"))</f>
        <v>Normal</v>
      </c>
      <c r="D2322" s="1" t="s">
        <v>45</v>
      </c>
      <c r="F2322" s="4" t="s">
        <v>280</v>
      </c>
      <c r="G2322" s="1">
        <v>46</v>
      </c>
      <c r="H2322" s="15">
        <v>44</v>
      </c>
      <c r="I2322" s="1">
        <f>grand[[#This Row],[number]]-grand[[#This Row],[received]]</f>
        <v>2</v>
      </c>
      <c r="J2322" s="30" t="s">
        <v>1133</v>
      </c>
      <c r="K2322" s="2">
        <v>20269</v>
      </c>
      <c r="L2322" s="2">
        <v>19715</v>
      </c>
      <c r="M2322" s="2">
        <f>K2322-L2322</f>
        <v>554</v>
      </c>
      <c r="N2322" s="2">
        <v>12160.5</v>
      </c>
      <c r="O2322" s="2">
        <v>385</v>
      </c>
      <c r="P2322" s="7">
        <f>grand[[#This Row],[total weight]]/grand[[#This Row],[received]]</f>
        <v>460.65909090909093</v>
      </c>
      <c r="Q2322" s="7">
        <f>grand[[#This Row],[receiving weight]]/grand[[#This Row],[received]]</f>
        <v>448.06818181818181</v>
      </c>
      <c r="R2322" s="7">
        <f>grand[[#This Row],[transportation loss ]]/grand[[#This Row],[received]]</f>
        <v>12.590909090909092</v>
      </c>
      <c r="S2322" s="7">
        <f>grand[[#This Row],[ carcass weight]]/grand[[#This Row],[received]]</f>
        <v>276.375</v>
      </c>
      <c r="T2322" s="7">
        <f>grand[[#This Row],[ kidneys fat quantity]]/grand[[#This Row],[received]]</f>
        <v>8.75</v>
      </c>
      <c r="U2322" s="15">
        <v>25</v>
      </c>
      <c r="V2322" s="15">
        <v>0</v>
      </c>
      <c r="W2322" s="15">
        <v>49.681818181818187</v>
      </c>
      <c r="X2322" s="15">
        <v>10</v>
      </c>
      <c r="Y2322" s="8">
        <v>8.5</v>
      </c>
      <c r="Z2322" s="20">
        <f>grand[[#This Row],[av. Transportation loss]]/grand[[#This Row],[av.total weight]]</f>
        <v>2.7332379495781736E-2</v>
      </c>
      <c r="AA2322" s="12">
        <f>AVERAGE((grand[[#This Row],[am]]/25),(grand[[#This Row],[pm]]/50))</f>
        <v>0.99681818181818183</v>
      </c>
      <c r="AB2322" s="12">
        <f>grand[[#This Row],[ carcass weight]]/grand[[#This Row],[total weight]]</f>
        <v>0.59995559721742564</v>
      </c>
      <c r="AC2322" s="22">
        <f>SUM(grand[[#This Row],[am]:[meat transportation]])/100</f>
        <v>0.93181818181818188</v>
      </c>
      <c r="AD2322" s="2"/>
      <c r="AJ2322" s="1">
        <v>16</v>
      </c>
      <c r="AK2322" s="20"/>
      <c r="AL2322" s="1">
        <v>913</v>
      </c>
    </row>
    <row r="2323" spans="1:38" hidden="1" x14ac:dyDescent="0.2">
      <c r="A2323" s="11">
        <v>44870</v>
      </c>
      <c r="B2323" s="53" t="s">
        <v>1730</v>
      </c>
      <c r="C2323" s="52" t="str">
        <f>IF(MID(B2323,4,2)="09","Ramadan",IF(AND(MID(B2323,4,2)="12",VALUE(LEFT(B2323,2))&lt;=9),"Adha Season","Normal"))</f>
        <v>Normal</v>
      </c>
      <c r="D2323" s="1" t="s">
        <v>45</v>
      </c>
      <c r="F2323" s="4" t="s">
        <v>39</v>
      </c>
      <c r="G2323" s="1">
        <v>43</v>
      </c>
      <c r="H2323" s="15">
        <v>41</v>
      </c>
      <c r="I2323" s="1">
        <f>grand[[#This Row],[number]]-grand[[#This Row],[received]]</f>
        <v>2</v>
      </c>
      <c r="J2323" s="30" t="s">
        <v>486</v>
      </c>
      <c r="K2323" s="2">
        <v>17695</v>
      </c>
      <c r="L2323" s="2">
        <v>16486</v>
      </c>
      <c r="M2323" s="2">
        <f>K2323-L2323</f>
        <v>1209</v>
      </c>
      <c r="N2323" s="2">
        <v>10737</v>
      </c>
      <c r="O2323" s="2">
        <v>323</v>
      </c>
      <c r="P2323" s="7">
        <f>grand[[#This Row],[total weight]]/grand[[#This Row],[received]]</f>
        <v>431.58536585365852</v>
      </c>
      <c r="Q2323" s="7">
        <f>grand[[#This Row],[receiving weight]]/grand[[#This Row],[received]]</f>
        <v>402.09756097560978</v>
      </c>
      <c r="R2323" s="7">
        <f>grand[[#This Row],[transportation loss ]]/grand[[#This Row],[received]]</f>
        <v>29.487804878048781</v>
      </c>
      <c r="S2323" s="7">
        <f>grand[[#This Row],[ carcass weight]]/grand[[#This Row],[received]]</f>
        <v>261.8780487804878</v>
      </c>
      <c r="T2323" s="7">
        <f>grand[[#This Row],[ kidneys fat quantity]]/grand[[#This Row],[received]]</f>
        <v>7.8780487804878048</v>
      </c>
      <c r="U2323" s="15">
        <v>25</v>
      </c>
      <c r="V2323" s="15">
        <v>0</v>
      </c>
      <c r="W2323" s="15">
        <v>49.243902439024389</v>
      </c>
      <c r="X2323" s="15">
        <v>10</v>
      </c>
      <c r="Y2323" s="8">
        <v>8.5</v>
      </c>
      <c r="Z2323" s="20">
        <f>grand[[#This Row],[av. Transportation loss]]/grand[[#This Row],[av.total weight]]</f>
        <v>6.832438541961007E-2</v>
      </c>
      <c r="AA2323" s="12">
        <f>AVERAGE((grand[[#This Row],[am]]/25),(grand[[#This Row],[pm]]/50))</f>
        <v>0.9924390243902439</v>
      </c>
      <c r="AB2323" s="12">
        <f>grand[[#This Row],[ carcass weight]]/grand[[#This Row],[total weight]]</f>
        <v>0.60678157671658661</v>
      </c>
      <c r="AC2323" s="22">
        <f>SUM(grand[[#This Row],[am]:[meat transportation]])/100</f>
        <v>0.92743902439024395</v>
      </c>
      <c r="AD2323" s="2" t="s">
        <v>494</v>
      </c>
      <c r="AJ2323" s="1">
        <v>7</v>
      </c>
      <c r="AK2323" s="20"/>
      <c r="AL2323" s="1">
        <v>846.5</v>
      </c>
    </row>
    <row r="2324" spans="1:38" hidden="1" x14ac:dyDescent="0.2">
      <c r="A2324" s="11">
        <v>44913</v>
      </c>
      <c r="B2324" s="53" t="s">
        <v>1757</v>
      </c>
      <c r="C2324" s="52" t="str">
        <f>IF(MID(B2324,4,2)="09","Ramadan",IF(AND(MID(B2324,4,2)="12",VALUE(LEFT(B2324,2))&lt;=9),"Adha Season","Normal"))</f>
        <v>Normal</v>
      </c>
      <c r="D2324" s="1" t="s">
        <v>45</v>
      </c>
      <c r="F2324" s="4" t="s">
        <v>39</v>
      </c>
      <c r="G2324" s="1">
        <v>50</v>
      </c>
      <c r="H2324" s="15">
        <v>48</v>
      </c>
      <c r="I2324" s="1">
        <f>grand[[#This Row],[number]]-grand[[#This Row],[received]]</f>
        <v>2</v>
      </c>
      <c r="J2324" s="30" t="s">
        <v>512</v>
      </c>
      <c r="K2324" s="2">
        <v>21732</v>
      </c>
      <c r="L2324" s="2">
        <v>20381</v>
      </c>
      <c r="M2324" s="2">
        <f>K2324-L2324</f>
        <v>1351</v>
      </c>
      <c r="N2324" s="2">
        <v>13224.9</v>
      </c>
      <c r="O2324" s="2">
        <v>448</v>
      </c>
      <c r="P2324" s="7">
        <f>grand[[#This Row],[total weight]]/grand[[#This Row],[received]]</f>
        <v>452.75</v>
      </c>
      <c r="Q2324" s="7">
        <f>grand[[#This Row],[receiving weight]]/grand[[#This Row],[received]]</f>
        <v>424.60416666666669</v>
      </c>
      <c r="R2324" s="7">
        <f>grand[[#This Row],[transportation loss ]]/grand[[#This Row],[received]]</f>
        <v>28.145833333333332</v>
      </c>
      <c r="S2324" s="7">
        <f>grand[[#This Row],[ carcass weight]]/grand[[#This Row],[received]]</f>
        <v>275.51875000000001</v>
      </c>
      <c r="T2324" s="7">
        <f>grand[[#This Row],[ kidneys fat quantity]]/grand[[#This Row],[received]]</f>
        <v>9.3333333333333339</v>
      </c>
      <c r="U2324" s="15">
        <v>25</v>
      </c>
      <c r="V2324" s="15">
        <v>0</v>
      </c>
      <c r="W2324" s="15">
        <v>48.645833333333336</v>
      </c>
      <c r="X2324" s="15">
        <v>10</v>
      </c>
      <c r="Y2324" s="8">
        <v>8.5</v>
      </c>
      <c r="Z2324" s="21">
        <f>grand[[#This Row],[av. Transportation loss]]/grand[[#This Row],[av.total weight]]</f>
        <v>6.2166390576108961E-2</v>
      </c>
      <c r="AA2324" s="12">
        <f>AVERAGE((grand[[#This Row],[am]]/25),(grand[[#This Row],[pm]]/50))</f>
        <v>0.98645833333333344</v>
      </c>
      <c r="AB2324" s="23">
        <f>grand[[#This Row],[ carcass weight]]/grand[[#This Row],[total weight]]</f>
        <v>0.60854500276090551</v>
      </c>
      <c r="AC2324" s="24">
        <f>SUM(grand[[#This Row],[am]:[meat transportation]])/100</f>
        <v>0.92145833333333338</v>
      </c>
      <c r="AD2324" s="9" t="s">
        <v>513</v>
      </c>
      <c r="AJ2324" s="1">
        <v>4</v>
      </c>
      <c r="AK2324" s="20"/>
      <c r="AL2324" s="1">
        <v>894</v>
      </c>
    </row>
    <row r="2325" spans="1:38" hidden="1" x14ac:dyDescent="0.2">
      <c r="A2325" s="11">
        <v>44929</v>
      </c>
      <c r="B2325" s="53" t="s">
        <v>1767</v>
      </c>
      <c r="C2325" s="52" t="str">
        <f>IF(MID(B2325,4,2)="09","Ramadan",IF(AND(MID(B2325,4,2)="12",VALUE(LEFT(B2325,2))&lt;=9),"Adha Season","Normal"))</f>
        <v>Normal</v>
      </c>
      <c r="D2325" s="1" t="s">
        <v>45</v>
      </c>
      <c r="E2325" s="1" t="s">
        <v>483</v>
      </c>
      <c r="F2325" s="4" t="s">
        <v>280</v>
      </c>
      <c r="G2325" s="1">
        <v>43</v>
      </c>
      <c r="H2325" s="15">
        <v>41</v>
      </c>
      <c r="I2325" s="1">
        <f>grand[[#This Row],[number]]-grand[[#This Row],[received]]</f>
        <v>2</v>
      </c>
      <c r="J2325" s="30" t="s">
        <v>519</v>
      </c>
      <c r="K2325" s="2">
        <v>19251</v>
      </c>
      <c r="L2325" s="2">
        <v>18405</v>
      </c>
      <c r="M2325" s="2">
        <f>K2325-L2325</f>
        <v>846</v>
      </c>
      <c r="N2325" s="2">
        <v>11549.7</v>
      </c>
      <c r="O2325" s="2">
        <v>409</v>
      </c>
      <c r="P2325" s="7">
        <f>grand[[#This Row],[total weight]]/grand[[#This Row],[received]]</f>
        <v>469.53658536585368</v>
      </c>
      <c r="Q2325" s="7">
        <f>grand[[#This Row],[receiving weight]]/grand[[#This Row],[received]]</f>
        <v>448.90243902439022</v>
      </c>
      <c r="R2325" s="7">
        <f>grand[[#This Row],[transportation loss ]]/grand[[#This Row],[received]]</f>
        <v>20.634146341463413</v>
      </c>
      <c r="S2325" s="7">
        <f>grand[[#This Row],[ carcass weight]]/grand[[#This Row],[received]]</f>
        <v>281.70000000000005</v>
      </c>
      <c r="T2325" s="7">
        <f>grand[[#This Row],[ kidneys fat quantity]]/grand[[#This Row],[received]]</f>
        <v>9.9756097560975618</v>
      </c>
      <c r="U2325" s="15">
        <v>25</v>
      </c>
      <c r="V2325" s="15">
        <v>0</v>
      </c>
      <c r="W2325" s="15">
        <v>49.195121951219519</v>
      </c>
      <c r="X2325" s="15">
        <v>10</v>
      </c>
      <c r="Y2325" s="8">
        <v>8.5</v>
      </c>
      <c r="Z2325" s="21">
        <f>grand[[#This Row],[av. Transportation loss]]/grand[[#This Row],[av.total weight]]</f>
        <v>4.3945769050958386E-2</v>
      </c>
      <c r="AA2325" s="12">
        <f>AVERAGE((grand[[#This Row],[am]]/25),(grand[[#This Row],[pm]]/50))</f>
        <v>0.99195121951219511</v>
      </c>
      <c r="AB2325" s="23">
        <f>grand[[#This Row],[ carcass weight]]/grand[[#This Row],[total weight]]</f>
        <v>0.59995324918186077</v>
      </c>
      <c r="AC2325" s="24">
        <f>SUM(grand[[#This Row],[am]:[meat transportation]])/100</f>
        <v>0.92695121951219517</v>
      </c>
      <c r="AD2325" s="2" t="s">
        <v>518</v>
      </c>
      <c r="AJ2325" s="1">
        <v>13</v>
      </c>
      <c r="AK2325" s="20"/>
      <c r="AL2325" s="1">
        <v>1008</v>
      </c>
    </row>
    <row r="2326" spans="1:38" hidden="1" x14ac:dyDescent="0.2">
      <c r="A2326" s="11">
        <v>44933</v>
      </c>
      <c r="B2326" s="53" t="s">
        <v>1770</v>
      </c>
      <c r="C2326" s="52" t="str">
        <f>IF(MID(B2326,4,2)="09","Ramadan",IF(AND(MID(B2326,4,2)="12",VALUE(LEFT(B2326,2))&lt;=9),"Adha Season","Normal"))</f>
        <v>Normal</v>
      </c>
      <c r="D2326" s="1" t="s">
        <v>45</v>
      </c>
      <c r="E2326" s="1" t="s">
        <v>483</v>
      </c>
      <c r="F2326" s="4" t="s">
        <v>43</v>
      </c>
      <c r="G2326" s="1">
        <v>44</v>
      </c>
      <c r="H2326" s="15">
        <v>42</v>
      </c>
      <c r="I2326" s="1">
        <f>grand[[#This Row],[number]]-grand[[#This Row],[received]]</f>
        <v>2</v>
      </c>
      <c r="J2326" s="30" t="s">
        <v>522</v>
      </c>
      <c r="K2326" s="2">
        <v>21420</v>
      </c>
      <c r="L2326" s="2">
        <v>20843</v>
      </c>
      <c r="M2326" s="2">
        <f>K2326-L2326</f>
        <v>577</v>
      </c>
      <c r="N2326" s="2">
        <v>12853</v>
      </c>
      <c r="O2326" s="2">
        <v>420</v>
      </c>
      <c r="P2326" s="7">
        <f>grand[[#This Row],[total weight]]/grand[[#This Row],[received]]</f>
        <v>510</v>
      </c>
      <c r="Q2326" s="7">
        <f>grand[[#This Row],[receiving weight]]/grand[[#This Row],[received]]</f>
        <v>496.26190476190476</v>
      </c>
      <c r="R2326" s="7">
        <f>grand[[#This Row],[transportation loss ]]/grand[[#This Row],[received]]</f>
        <v>13.738095238095237</v>
      </c>
      <c r="S2326" s="7">
        <f>grand[[#This Row],[ carcass weight]]/grand[[#This Row],[received]]</f>
        <v>306.02380952380952</v>
      </c>
      <c r="T2326" s="7">
        <f>grand[[#This Row],[ kidneys fat quantity]]/grand[[#This Row],[received]]</f>
        <v>10</v>
      </c>
      <c r="U2326" s="15">
        <v>25</v>
      </c>
      <c r="V2326" s="15">
        <v>0</v>
      </c>
      <c r="W2326" s="15">
        <v>49.023809523809526</v>
      </c>
      <c r="X2326" s="15">
        <v>10</v>
      </c>
      <c r="Y2326" s="8">
        <v>8.5</v>
      </c>
      <c r="Z2326" s="21">
        <f>grand[[#This Row],[av. Transportation loss]]/grand[[#This Row],[av.total weight]]</f>
        <v>2.6937441643323994E-2</v>
      </c>
      <c r="AA2326" s="12">
        <f>AVERAGE((grand[[#This Row],[am]]/25),(grand[[#This Row],[pm]]/50))</f>
        <v>0.99023809523809525</v>
      </c>
      <c r="AB2326" s="23">
        <f>grand[[#This Row],[ carcass weight]]/grand[[#This Row],[total weight]]</f>
        <v>0.60004668534080297</v>
      </c>
      <c r="AC2326" s="24">
        <f>SUM(grand[[#This Row],[am]:[meat transportation]])/100</f>
        <v>0.92523809523809519</v>
      </c>
      <c r="AD2326" s="2" t="s">
        <v>523</v>
      </c>
      <c r="AJ2326" s="1">
        <v>13</v>
      </c>
      <c r="AK2326" s="20"/>
      <c r="AL2326" s="1">
        <v>1036</v>
      </c>
    </row>
    <row r="2327" spans="1:38" hidden="1" x14ac:dyDescent="0.2">
      <c r="A2327" s="11">
        <v>44941</v>
      </c>
      <c r="B2327" s="53" t="s">
        <v>1775</v>
      </c>
      <c r="C2327" s="52" t="str">
        <f>IF(MID(B2327,4,2)="09","Ramadan",IF(AND(MID(B2327,4,2)="12",VALUE(LEFT(B2327,2))&lt;=9),"Adha Season","Normal"))</f>
        <v>Normal</v>
      </c>
      <c r="D2327" s="1" t="s">
        <v>45</v>
      </c>
      <c r="E2327" s="1" t="s">
        <v>483</v>
      </c>
      <c r="F2327" s="4" t="s">
        <v>43</v>
      </c>
      <c r="G2327" s="1">
        <v>27</v>
      </c>
      <c r="H2327" s="15">
        <v>25</v>
      </c>
      <c r="I2327" s="1">
        <f>grand[[#This Row],[number]]-grand[[#This Row],[received]]</f>
        <v>2</v>
      </c>
      <c r="J2327" s="30" t="s">
        <v>529</v>
      </c>
      <c r="K2327" s="2">
        <v>10144</v>
      </c>
      <c r="L2327" s="2">
        <v>10144</v>
      </c>
      <c r="M2327" s="2">
        <f>K2327-L2327</f>
        <v>0</v>
      </c>
      <c r="N2327" s="2">
        <v>6085.95</v>
      </c>
      <c r="O2327" s="2">
        <v>144</v>
      </c>
      <c r="P2327" s="7">
        <f>grand[[#This Row],[total weight]]/grand[[#This Row],[received]]</f>
        <v>405.76</v>
      </c>
      <c r="Q2327" s="7">
        <f>grand[[#This Row],[receiving weight]]/grand[[#This Row],[received]]</f>
        <v>405.76</v>
      </c>
      <c r="R2327" s="7">
        <f>grand[[#This Row],[transportation loss ]]/grand[[#This Row],[received]]</f>
        <v>0</v>
      </c>
      <c r="S2327" s="7">
        <f>grand[[#This Row],[ carcass weight]]/grand[[#This Row],[received]]</f>
        <v>243.43799999999999</v>
      </c>
      <c r="T2327" s="7">
        <f>grand[[#This Row],[ kidneys fat quantity]]/grand[[#This Row],[received]]</f>
        <v>5.76</v>
      </c>
      <c r="U2327" s="15">
        <v>25</v>
      </c>
      <c r="V2327" s="15">
        <v>0</v>
      </c>
      <c r="W2327" s="15">
        <v>47.8</v>
      </c>
      <c r="X2327" s="15">
        <v>10</v>
      </c>
      <c r="Y2327" s="8">
        <v>8.5</v>
      </c>
      <c r="Z2327" s="21">
        <f>grand[[#This Row],[av. Transportation loss]]/grand[[#This Row],[av.total weight]]</f>
        <v>0</v>
      </c>
      <c r="AA2327" s="12">
        <f>AVERAGE((grand[[#This Row],[am]]/25),(grand[[#This Row],[pm]]/50))</f>
        <v>0.97799999999999998</v>
      </c>
      <c r="AB2327" s="23">
        <f>grand[[#This Row],[ carcass weight]]/grand[[#This Row],[total weight]]</f>
        <v>0.59995563880126179</v>
      </c>
      <c r="AC2327" s="24">
        <f>SUM(grand[[#This Row],[am]:[meat transportation]])/100</f>
        <v>0.91299999999999992</v>
      </c>
      <c r="AD2327" s="2"/>
      <c r="AJ2327" s="1">
        <v>13</v>
      </c>
      <c r="AK2327" s="20"/>
      <c r="AL2327" s="1">
        <v>770</v>
      </c>
    </row>
    <row r="2328" spans="1:38" hidden="1" x14ac:dyDescent="0.2">
      <c r="A2328" s="11">
        <v>44943</v>
      </c>
      <c r="B2328" s="53" t="s">
        <v>1776</v>
      </c>
      <c r="C2328" s="52" t="str">
        <f>IF(MID(B2328,4,2)="09","Ramadan",IF(AND(MID(B2328,4,2)="12",VALUE(LEFT(B2328,2))&lt;=9),"Adha Season","Normal"))</f>
        <v>Normal</v>
      </c>
      <c r="D2328" s="1" t="s">
        <v>45</v>
      </c>
      <c r="E2328" s="1" t="s">
        <v>483</v>
      </c>
      <c r="F2328" s="4" t="s">
        <v>43</v>
      </c>
      <c r="G2328" s="1">
        <v>30</v>
      </c>
      <c r="H2328" s="15">
        <v>28</v>
      </c>
      <c r="I2328" s="1">
        <f>grand[[#This Row],[number]]-grand[[#This Row],[received]]</f>
        <v>2</v>
      </c>
      <c r="J2328" s="30" t="s">
        <v>531</v>
      </c>
      <c r="K2328" s="2">
        <v>14004</v>
      </c>
      <c r="L2328" s="2">
        <v>14004</v>
      </c>
      <c r="M2328" s="2">
        <f>K2328-L2328</f>
        <v>0</v>
      </c>
      <c r="N2328" s="2">
        <v>8402.25</v>
      </c>
      <c r="O2328" s="2">
        <v>298</v>
      </c>
      <c r="P2328" s="7">
        <f>grand[[#This Row],[total weight]]/grand[[#This Row],[received]]</f>
        <v>500.14285714285717</v>
      </c>
      <c r="Q2328" s="7">
        <f>grand[[#This Row],[receiving weight]]/grand[[#This Row],[received]]</f>
        <v>500.14285714285717</v>
      </c>
      <c r="R2328" s="7">
        <f>grand[[#This Row],[transportation loss ]]/grand[[#This Row],[received]]</f>
        <v>0</v>
      </c>
      <c r="S2328" s="7">
        <f>grand[[#This Row],[ carcass weight]]/grand[[#This Row],[received]]</f>
        <v>300.08035714285717</v>
      </c>
      <c r="T2328" s="7">
        <f>grand[[#This Row],[ kidneys fat quantity]]/grand[[#This Row],[received]]</f>
        <v>10.642857142857142</v>
      </c>
      <c r="U2328" s="15">
        <v>24.642857142857142</v>
      </c>
      <c r="V2328" s="15">
        <v>0</v>
      </c>
      <c r="W2328" s="15">
        <v>49.321428571428577</v>
      </c>
      <c r="X2328" s="15">
        <v>10</v>
      </c>
      <c r="Y2328" s="8">
        <v>8.5</v>
      </c>
      <c r="Z2328" s="21">
        <f>grand[[#This Row],[av. Transportation loss]]/grand[[#This Row],[av.total weight]]</f>
        <v>0</v>
      </c>
      <c r="AA2328" s="12">
        <f>AVERAGE((grand[[#This Row],[am]]/25),(grand[[#This Row],[pm]]/50))</f>
        <v>0.9860714285714286</v>
      </c>
      <c r="AB2328" s="23">
        <f>grand[[#This Row],[ carcass weight]]/grand[[#This Row],[total weight]]</f>
        <v>0.59998928877463586</v>
      </c>
      <c r="AC2328" s="24">
        <f>SUM(grand[[#This Row],[am]:[meat transportation]])/100</f>
        <v>0.92464285714285721</v>
      </c>
      <c r="AD2328" s="2" t="s">
        <v>459</v>
      </c>
      <c r="AJ2328" s="1">
        <v>13</v>
      </c>
      <c r="AK2328" s="20"/>
      <c r="AL2328" s="1">
        <v>972</v>
      </c>
    </row>
    <row r="2329" spans="1:38" hidden="1" x14ac:dyDescent="0.2">
      <c r="A2329" s="11">
        <v>44959</v>
      </c>
      <c r="B2329" s="53" t="s">
        <v>1787</v>
      </c>
      <c r="C2329" s="52" t="str">
        <f>IF(MID(B2329,4,2)="09","Ramadan",IF(AND(MID(B2329,4,2)="12",VALUE(LEFT(B2329,2))&lt;=9),"Adha Season","Normal"))</f>
        <v>Normal</v>
      </c>
      <c r="D2329" s="1" t="s">
        <v>45</v>
      </c>
      <c r="E2329" s="1" t="s">
        <v>528</v>
      </c>
      <c r="F2329" s="4" t="s">
        <v>280</v>
      </c>
      <c r="G2329" s="1">
        <v>28</v>
      </c>
      <c r="H2329" s="15">
        <v>26</v>
      </c>
      <c r="I2329" s="1">
        <f>grand[[#This Row],[number]]-grand[[#This Row],[received]]</f>
        <v>2</v>
      </c>
      <c r="J2329" s="30" t="s">
        <v>1136</v>
      </c>
      <c r="K2329" s="2">
        <v>14916</v>
      </c>
      <c r="L2329" s="2">
        <v>14181</v>
      </c>
      <c r="M2329" s="2">
        <f>K2329-L2329</f>
        <v>735</v>
      </c>
      <c r="N2329" s="2">
        <v>9283.9</v>
      </c>
      <c r="O2329" s="2">
        <v>232</v>
      </c>
      <c r="P2329" s="7">
        <f>grand[[#This Row],[total weight]]/grand[[#This Row],[received]]</f>
        <v>573.69230769230774</v>
      </c>
      <c r="Q2329" s="7">
        <f>grand[[#This Row],[receiving weight]]/grand[[#This Row],[received]]</f>
        <v>545.42307692307691</v>
      </c>
      <c r="R2329" s="7">
        <f>grand[[#This Row],[transportation loss ]]/grand[[#This Row],[received]]</f>
        <v>28.26923076923077</v>
      </c>
      <c r="S2329" s="7">
        <f>grand[[#This Row],[ carcass weight]]/grand[[#This Row],[received]]</f>
        <v>357.07307692307688</v>
      </c>
      <c r="T2329" s="7">
        <f>grand[[#This Row],[ kidneys fat quantity]]/grand[[#This Row],[received]]</f>
        <v>8.9230769230769234</v>
      </c>
      <c r="U2329" s="1">
        <v>24.807692307692307</v>
      </c>
      <c r="V2329" s="1">
        <v>0</v>
      </c>
      <c r="W2329" s="1">
        <v>49.42307692307692</v>
      </c>
      <c r="X2329" s="1">
        <v>10</v>
      </c>
      <c r="Y2329" s="1">
        <v>8.5</v>
      </c>
      <c r="Z2329" s="18">
        <f>grand[[#This Row],[av. Transportation loss]]/grand[[#This Row],[av.total weight]]</f>
        <v>4.9275945293644409E-2</v>
      </c>
      <c r="AA2329" s="12">
        <f>AVERAGE((grand[[#This Row],[am]]/25),(grand[[#This Row],[pm]]/50))</f>
        <v>0.99038461538461531</v>
      </c>
      <c r="AB2329" s="3">
        <f>grand[[#This Row],[ carcass weight]]/grand[[#This Row],[total weight]]</f>
        <v>0.62241217484580313</v>
      </c>
      <c r="AC2329" s="18">
        <f>SUM(grand[[#This Row],[am]:[meat transportation]])/100</f>
        <v>0.92730769230769228</v>
      </c>
      <c r="AJ2329" s="1">
        <v>16</v>
      </c>
      <c r="AK2329" s="1"/>
      <c r="AL2329" s="1"/>
    </row>
    <row r="2330" spans="1:38" hidden="1" x14ac:dyDescent="0.2">
      <c r="A2330" s="11">
        <v>44966</v>
      </c>
      <c r="B2330" s="53" t="s">
        <v>1791</v>
      </c>
      <c r="C2330" s="52" t="str">
        <f>IF(MID(B2330,4,2)="09","Ramadan",IF(AND(MID(B2330,4,2)="12",VALUE(LEFT(B2330,2))&lt;=9),"Adha Season","Normal"))</f>
        <v>Normal</v>
      </c>
      <c r="D2330" s="1" t="s">
        <v>45</v>
      </c>
      <c r="E2330" s="1" t="s">
        <v>483</v>
      </c>
      <c r="F2330" s="4" t="s">
        <v>39</v>
      </c>
      <c r="G2330" s="1">
        <v>48</v>
      </c>
      <c r="H2330" s="15">
        <v>46</v>
      </c>
      <c r="I2330" s="1">
        <f>grand[[#This Row],[number]]-grand[[#This Row],[received]]</f>
        <v>2</v>
      </c>
      <c r="J2330" s="30" t="s">
        <v>545</v>
      </c>
      <c r="K2330" s="2">
        <v>19797</v>
      </c>
      <c r="L2330" s="2">
        <v>18696</v>
      </c>
      <c r="M2330" s="2">
        <f>K2330-L2330</f>
        <v>1101</v>
      </c>
      <c r="N2330" s="2">
        <v>12074.9</v>
      </c>
      <c r="O2330" s="2">
        <v>430</v>
      </c>
      <c r="P2330" s="7">
        <f>grand[[#This Row],[total weight]]/grand[[#This Row],[received]]</f>
        <v>430.36956521739131</v>
      </c>
      <c r="Q2330" s="7">
        <f>grand[[#This Row],[receiving weight]]/grand[[#This Row],[received]]</f>
        <v>406.43478260869563</v>
      </c>
      <c r="R2330" s="7">
        <f>grand[[#This Row],[transportation loss ]]/grand[[#This Row],[received]]</f>
        <v>23.934782608695652</v>
      </c>
      <c r="S2330" s="7">
        <f>grand[[#This Row],[ carcass weight]]/grand[[#This Row],[received]]</f>
        <v>262.49782608695654</v>
      </c>
      <c r="T2330" s="7">
        <f>grand[[#This Row],[ kidneys fat quantity]]/grand[[#This Row],[received]]</f>
        <v>9.3478260869565215</v>
      </c>
      <c r="U2330" s="1">
        <v>25</v>
      </c>
      <c r="V2330" s="1">
        <v>0</v>
      </c>
      <c r="W2330" s="1">
        <v>48.54347826086957</v>
      </c>
      <c r="X2330" s="1">
        <v>9.891304347826086</v>
      </c>
      <c r="Y2330" s="1">
        <v>8.5</v>
      </c>
      <c r="Z2330" s="18">
        <f>grand[[#This Row],[av. Transportation loss]]/grand[[#This Row],[av.total weight]]</f>
        <v>5.5614487043491437E-2</v>
      </c>
      <c r="AA2330" s="12">
        <f>AVERAGE((grand[[#This Row],[am]]/25),(grand[[#This Row],[pm]]/50))</f>
        <v>0.98543478260869577</v>
      </c>
      <c r="AB2330" s="3">
        <f>grand[[#This Row],[ carcass weight]]/grand[[#This Row],[total weight]]</f>
        <v>0.60993584886598973</v>
      </c>
      <c r="AC2330" s="18">
        <f>SUM(grand[[#This Row],[am]:[meat transportation]])/100</f>
        <v>0.91934782608695653</v>
      </c>
      <c r="AD2330" s="1" t="s">
        <v>546</v>
      </c>
      <c r="AJ2330" s="1">
        <v>0</v>
      </c>
      <c r="AK2330" s="1"/>
      <c r="AL2330" s="1"/>
    </row>
    <row r="2331" spans="1:38" hidden="1" x14ac:dyDescent="0.2">
      <c r="A2331" s="11">
        <v>44976</v>
      </c>
      <c r="B2331" s="53" t="s">
        <v>1797</v>
      </c>
      <c r="C2331" s="52" t="str">
        <f>IF(MID(B2331,4,2)="09","Ramadan",IF(AND(MID(B2331,4,2)="12",VALUE(LEFT(B2331,2))&lt;=9),"Adha Season","Normal"))</f>
        <v>Normal</v>
      </c>
      <c r="D2331" s="1" t="s">
        <v>45</v>
      </c>
      <c r="E2331" s="1" t="s">
        <v>483</v>
      </c>
      <c r="F2331" s="4" t="s">
        <v>39</v>
      </c>
      <c r="G2331" s="1">
        <v>50</v>
      </c>
      <c r="H2331" s="15">
        <v>48</v>
      </c>
      <c r="I2331" s="1">
        <f>grand[[#This Row],[number]]-grand[[#This Row],[received]]</f>
        <v>2</v>
      </c>
      <c r="J2331" s="30" t="s">
        <v>547</v>
      </c>
      <c r="K2331" s="2">
        <v>21254</v>
      </c>
      <c r="L2331" s="2">
        <v>20176</v>
      </c>
      <c r="M2331" s="2">
        <f>K2331-L2331</f>
        <v>1078</v>
      </c>
      <c r="N2331" s="2">
        <v>13042.4</v>
      </c>
      <c r="O2331" s="2">
        <v>421</v>
      </c>
      <c r="P2331" s="7">
        <f>grand[[#This Row],[total weight]]/grand[[#This Row],[received]]</f>
        <v>442.79166666666669</v>
      </c>
      <c r="Q2331" s="7">
        <f>grand[[#This Row],[receiving weight]]/grand[[#This Row],[received]]</f>
        <v>420.33333333333331</v>
      </c>
      <c r="R2331" s="7">
        <f>grand[[#This Row],[transportation loss ]]/grand[[#This Row],[received]]</f>
        <v>22.458333333333332</v>
      </c>
      <c r="S2331" s="7">
        <f>grand[[#This Row],[ carcass weight]]/grand[[#This Row],[received]]</f>
        <v>271.71666666666664</v>
      </c>
      <c r="T2331" s="7">
        <f>grand[[#This Row],[ kidneys fat quantity]]/grand[[#This Row],[received]]</f>
        <v>8.7708333333333339</v>
      </c>
      <c r="U2331" s="1">
        <v>25</v>
      </c>
      <c r="V2331" s="1">
        <v>0</v>
      </c>
      <c r="W2331" s="1">
        <v>48.770833333333336</v>
      </c>
      <c r="X2331" s="1">
        <v>9.6875</v>
      </c>
      <c r="Y2331" s="1">
        <v>8.5</v>
      </c>
      <c r="Z2331" s="18">
        <f>grand[[#This Row],[av. Transportation loss]]/grand[[#This Row],[av.total weight]]</f>
        <v>5.0719864496094849E-2</v>
      </c>
      <c r="AA2331" s="12">
        <f>AVERAGE((grand[[#This Row],[am]]/25),(grand[[#This Row],[pm]]/50))</f>
        <v>0.98770833333333341</v>
      </c>
      <c r="AB2331" s="3">
        <f>grand[[#This Row],[ carcass weight]]/grand[[#This Row],[total weight]]</f>
        <v>0.61364449044885672</v>
      </c>
      <c r="AC2331" s="18">
        <f>SUM(grand[[#This Row],[am]:[meat transportation]])/100</f>
        <v>0.91958333333333342</v>
      </c>
      <c r="AD2331" s="1" t="s">
        <v>548</v>
      </c>
      <c r="AJ2331" s="1">
        <v>0</v>
      </c>
      <c r="AK2331" s="1"/>
      <c r="AL2331" s="1"/>
    </row>
    <row r="2332" spans="1:38" hidden="1" x14ac:dyDescent="0.2">
      <c r="A2332" s="11">
        <v>44983</v>
      </c>
      <c r="B2332" s="53" t="s">
        <v>1802</v>
      </c>
      <c r="C2332" s="52" t="str">
        <f>IF(MID(B2332,4,2)="09","Ramadan",IF(AND(MID(B2332,4,2)="12",VALUE(LEFT(B2332,2))&lt;=9),"Adha Season","Normal"))</f>
        <v>Normal</v>
      </c>
      <c r="D2332" s="1" t="s">
        <v>45</v>
      </c>
      <c r="E2332" s="1" t="s">
        <v>483</v>
      </c>
      <c r="F2332" s="4" t="s">
        <v>39</v>
      </c>
      <c r="G2332" s="1">
        <v>40</v>
      </c>
      <c r="H2332" s="15">
        <v>38</v>
      </c>
      <c r="I2332" s="1">
        <f>grand[[#This Row],[number]]-grand[[#This Row],[received]]</f>
        <v>2</v>
      </c>
      <c r="J2332" s="30" t="s">
        <v>388</v>
      </c>
      <c r="K2332" s="2">
        <v>17109</v>
      </c>
      <c r="L2332" s="2">
        <v>16287</v>
      </c>
      <c r="M2332" s="2">
        <f>K2332-L2332</f>
        <v>822</v>
      </c>
      <c r="N2332" s="2">
        <v>10474</v>
      </c>
      <c r="O2332" s="2">
        <v>368</v>
      </c>
      <c r="P2332" s="7">
        <f>grand[[#This Row],[total weight]]/grand[[#This Row],[received]]</f>
        <v>450.23684210526318</v>
      </c>
      <c r="Q2332" s="7">
        <f>grand[[#This Row],[receiving weight]]/grand[[#This Row],[received]]</f>
        <v>428.60526315789474</v>
      </c>
      <c r="R2332" s="7">
        <f>grand[[#This Row],[transportation loss ]]/grand[[#This Row],[received]]</f>
        <v>21.631578947368421</v>
      </c>
      <c r="S2332" s="7">
        <f>grand[[#This Row],[ carcass weight]]/grand[[#This Row],[received]]</f>
        <v>275.63157894736844</v>
      </c>
      <c r="T2332" s="7">
        <f>grand[[#This Row],[ kidneys fat quantity]]/grand[[#This Row],[received]]</f>
        <v>9.6842105263157894</v>
      </c>
      <c r="U2332" s="1">
        <v>25</v>
      </c>
      <c r="V2332" s="1">
        <v>0</v>
      </c>
      <c r="W2332" s="1">
        <v>49.55263157894737</v>
      </c>
      <c r="X2332" s="1">
        <v>10</v>
      </c>
      <c r="Y2332" s="1">
        <v>8.5</v>
      </c>
      <c r="Z2332" s="18">
        <f>grand[[#This Row],[av. Transportation loss]]/grand[[#This Row],[av.total weight]]</f>
        <v>4.8044888655093806E-2</v>
      </c>
      <c r="AA2332" s="12">
        <f>AVERAGE((grand[[#This Row],[am]]/25),(grand[[#This Row],[pm]]/50))</f>
        <v>0.9955263157894737</v>
      </c>
      <c r="AB2332" s="3">
        <f>grand[[#This Row],[ carcass weight]]/grand[[#This Row],[total weight]]</f>
        <v>0.61219241334969898</v>
      </c>
      <c r="AC2332" s="18">
        <f>SUM(grand[[#This Row],[am]:[meat transportation]])/100</f>
        <v>0.93052631578947365</v>
      </c>
      <c r="AD2332" s="1" t="s">
        <v>401</v>
      </c>
      <c r="AJ2332" s="1">
        <v>8</v>
      </c>
      <c r="AK2332" s="1"/>
      <c r="AL2332" s="1"/>
    </row>
    <row r="2333" spans="1:38" hidden="1" x14ac:dyDescent="0.2">
      <c r="A2333" s="11">
        <v>44994</v>
      </c>
      <c r="B2333" s="53" t="s">
        <v>1811</v>
      </c>
      <c r="C2333" s="52" t="str">
        <f>IF(MID(B2333,4,2)="09","Ramadan",IF(AND(MID(B2333,4,2)="12",VALUE(LEFT(B2333,2))&lt;=9),"Adha Season","Normal"))</f>
        <v>Normal</v>
      </c>
      <c r="D2333" s="1" t="s">
        <v>45</v>
      </c>
      <c r="E2333" s="1" t="s">
        <v>483</v>
      </c>
      <c r="F2333" s="4" t="s">
        <v>39</v>
      </c>
      <c r="G2333" s="1">
        <v>56</v>
      </c>
      <c r="H2333" s="1">
        <v>54</v>
      </c>
      <c r="I2333" s="1">
        <f>grand[[#This Row],[number]]-grand[[#This Row],[received]]</f>
        <v>2</v>
      </c>
      <c r="J2333" s="30" t="s">
        <v>388</v>
      </c>
      <c r="K2333" s="2">
        <v>23946</v>
      </c>
      <c r="L2333" s="2">
        <v>22792</v>
      </c>
      <c r="M2333" s="2">
        <f>K2333-L2333</f>
        <v>1154</v>
      </c>
      <c r="N2333" s="2">
        <v>14503.3</v>
      </c>
      <c r="O2333" s="2">
        <v>509</v>
      </c>
      <c r="P2333" s="7">
        <f>grand[[#This Row],[total weight]]/grand[[#This Row],[received]]</f>
        <v>443.44444444444446</v>
      </c>
      <c r="Q2333" s="7">
        <f>grand[[#This Row],[receiving weight]]/grand[[#This Row],[received]]</f>
        <v>422.07407407407408</v>
      </c>
      <c r="R2333" s="7">
        <f>grand[[#This Row],[transportation loss ]]/grand[[#This Row],[received]]</f>
        <v>21.37037037037037</v>
      </c>
      <c r="S2333" s="7">
        <f>grand[[#This Row],[ carcass weight]]/grand[[#This Row],[received]]</f>
        <v>268.57962962962961</v>
      </c>
      <c r="T2333" s="7">
        <f>grand[[#This Row],[ kidneys fat quantity]]/grand[[#This Row],[received]]</f>
        <v>9.4259259259259256</v>
      </c>
      <c r="U2333" s="1">
        <v>25</v>
      </c>
      <c r="V2333" s="1">
        <v>0</v>
      </c>
      <c r="W2333" s="1">
        <v>49.407407407407405</v>
      </c>
      <c r="X2333" s="1">
        <v>9.9074074074074083</v>
      </c>
      <c r="Y2333" s="1">
        <v>8.5</v>
      </c>
      <c r="Z2333" s="18">
        <f>grand[[#This Row],[av. Transportation loss]]/grand[[#This Row],[av.total weight]]</f>
        <v>4.8191764804142653E-2</v>
      </c>
      <c r="AA2333" s="12">
        <f>AVERAGE((grand[[#This Row],[am]]/25),(grand[[#This Row],[pm]]/50))</f>
        <v>0.99407407407407411</v>
      </c>
      <c r="AB2333" s="3">
        <f>grand[[#This Row],[ carcass weight]]/grand[[#This Row],[total weight]]</f>
        <v>0.60566691723043509</v>
      </c>
      <c r="AC2333" s="18">
        <f>SUM(grand[[#This Row],[am]:[meat transportation]])/100</f>
        <v>0.92814814814814806</v>
      </c>
      <c r="AJ2333" s="1">
        <v>3</v>
      </c>
      <c r="AK2333" s="1"/>
      <c r="AL2333" s="1">
        <v>855</v>
      </c>
    </row>
    <row r="2334" spans="1:38" hidden="1" x14ac:dyDescent="0.2">
      <c r="A2334" s="11">
        <v>45011</v>
      </c>
      <c r="B2334" s="53" t="s">
        <v>2781</v>
      </c>
      <c r="C2334" s="52" t="str">
        <f>IF(MID(B2334,4,2)="09","Ramadan",IF(AND(MID(B2334,4,2)="12",VALUE(LEFT(B2334,2))&lt;=9),"Adha Season","Normal"))</f>
        <v>Ramadan</v>
      </c>
      <c r="D2334" s="1" t="s">
        <v>45</v>
      </c>
      <c r="E2334" s="1" t="s">
        <v>483</v>
      </c>
      <c r="F2334" s="4" t="s">
        <v>280</v>
      </c>
      <c r="G2334" s="1">
        <v>36</v>
      </c>
      <c r="H2334" s="1">
        <v>34</v>
      </c>
      <c r="I2334" s="1">
        <f>grand[[#This Row],[number]]-grand[[#This Row],[received]]</f>
        <v>2</v>
      </c>
      <c r="J2334" s="30" t="s">
        <v>558</v>
      </c>
      <c r="K2334" s="2">
        <v>15447</v>
      </c>
      <c r="L2334" s="2">
        <v>14874</v>
      </c>
      <c r="M2334" s="2">
        <f>K2334-L2334</f>
        <v>573</v>
      </c>
      <c r="N2334" s="2">
        <v>9268</v>
      </c>
      <c r="O2334" s="2">
        <v>298</v>
      </c>
      <c r="P2334" s="7">
        <f>grand[[#This Row],[total weight]]/grand[[#This Row],[received]]</f>
        <v>454.3235294117647</v>
      </c>
      <c r="Q2334" s="7">
        <f>grand[[#This Row],[receiving weight]]/grand[[#This Row],[received]]</f>
        <v>437.47058823529414</v>
      </c>
      <c r="R2334" s="7">
        <f>grand[[#This Row],[transportation loss ]]/grand[[#This Row],[received]]</f>
        <v>16.852941176470587</v>
      </c>
      <c r="S2334" s="7">
        <f>grand[[#This Row],[ carcass weight]]/grand[[#This Row],[received]]</f>
        <v>272.58823529411762</v>
      </c>
      <c r="T2334" s="7">
        <f>grand[[#This Row],[ kidneys fat quantity]]/grand[[#This Row],[received]]</f>
        <v>8.764705882352942</v>
      </c>
      <c r="U2334" s="1">
        <v>24.705882352941178</v>
      </c>
      <c r="V2334" s="1">
        <v>0</v>
      </c>
      <c r="W2334" s="1">
        <v>48.764705882352935</v>
      </c>
      <c r="X2334" s="1">
        <v>9.7058823529411775</v>
      </c>
      <c r="Y2334" s="1">
        <v>8.5</v>
      </c>
      <c r="Z2334" s="18">
        <f>grand[[#This Row],[av. Transportation loss]]/grand[[#This Row],[av.total weight]]</f>
        <v>3.709458147213051E-2</v>
      </c>
      <c r="AA2334" s="12">
        <f>AVERAGE((grand[[#This Row],[am]]/25),(grand[[#This Row],[pm]]/50))</f>
        <v>0.98176470588235287</v>
      </c>
      <c r="AB2334" s="3">
        <f>grand[[#This Row],[ carcass weight]]/grand[[#This Row],[total weight]]</f>
        <v>0.59998705250210393</v>
      </c>
      <c r="AC2334" s="18">
        <f>SUM(grand[[#This Row],[am]:[meat transportation]])/100</f>
        <v>0.91676470588235293</v>
      </c>
      <c r="AJ2334" s="1">
        <v>11</v>
      </c>
      <c r="AK2334" s="1"/>
      <c r="AL2334" s="1">
        <v>851</v>
      </c>
    </row>
    <row r="2335" spans="1:38" hidden="1" x14ac:dyDescent="0.2">
      <c r="A2335" s="11">
        <v>45027</v>
      </c>
      <c r="B2335" s="53" t="s">
        <v>1834</v>
      </c>
      <c r="C2335" s="52" t="str">
        <f>IF(MID(B2335,4,2)="09","Ramadan",IF(AND(MID(B2335,4,2)="12",VALUE(LEFT(B2335,2))&lt;=9),"Adha Season","Normal"))</f>
        <v>Ramadan</v>
      </c>
      <c r="D2335" s="1" t="s">
        <v>45</v>
      </c>
      <c r="E2335" s="1" t="s">
        <v>483</v>
      </c>
      <c r="F2335" s="4" t="s">
        <v>39</v>
      </c>
      <c r="G2335" s="1">
        <v>40</v>
      </c>
      <c r="H2335" s="1">
        <v>38</v>
      </c>
      <c r="I2335" s="1">
        <f>grand[[#This Row],[number]]-grand[[#This Row],[received]]</f>
        <v>2</v>
      </c>
      <c r="J2335" s="30" t="s">
        <v>388</v>
      </c>
      <c r="K2335" s="2">
        <v>16938</v>
      </c>
      <c r="L2335" s="2">
        <v>16148</v>
      </c>
      <c r="M2335" s="2">
        <f>K2335-L2335</f>
        <v>790</v>
      </c>
      <c r="N2335" s="2">
        <v>10467</v>
      </c>
      <c r="O2335" s="2">
        <v>361</v>
      </c>
      <c r="P2335" s="7">
        <f>grand[[#This Row],[total weight]]/grand[[#This Row],[received]]</f>
        <v>445.73684210526318</v>
      </c>
      <c r="Q2335" s="7">
        <f>grand[[#This Row],[receiving weight]]/grand[[#This Row],[received]]</f>
        <v>424.94736842105266</v>
      </c>
      <c r="R2335" s="7">
        <f>grand[[#This Row],[transportation loss ]]/grand[[#This Row],[received]]</f>
        <v>20.789473684210527</v>
      </c>
      <c r="S2335" s="7">
        <f>grand[[#This Row],[ carcass weight]]/grand[[#This Row],[received]]</f>
        <v>275.44736842105266</v>
      </c>
      <c r="T2335" s="7">
        <f>grand[[#This Row],[ kidneys fat quantity]]/grand[[#This Row],[received]]</f>
        <v>9.5</v>
      </c>
      <c r="U2335" s="1">
        <v>25</v>
      </c>
      <c r="V2335" s="1">
        <v>0</v>
      </c>
      <c r="W2335" s="1">
        <v>48.710526315789473</v>
      </c>
      <c r="X2335" s="1">
        <v>10</v>
      </c>
      <c r="Y2335" s="1">
        <v>8.5</v>
      </c>
      <c r="Z2335" s="18">
        <f>grand[[#This Row],[av. Transportation loss]]/grand[[#This Row],[av.total weight]]</f>
        <v>4.664068957373952E-2</v>
      </c>
      <c r="AA2335" s="12">
        <f>AVERAGE((grand[[#This Row],[am]]/25),(grand[[#This Row],[pm]]/50))</f>
        <v>0.98710526315789471</v>
      </c>
      <c r="AB2335" s="3">
        <f>grand[[#This Row],[ carcass weight]]/grand[[#This Row],[total weight]]</f>
        <v>0.61795961742826777</v>
      </c>
      <c r="AC2335" s="18">
        <f>SUM(grand[[#This Row],[am]:[meat transportation]])/100</f>
        <v>0.92210526315789476</v>
      </c>
      <c r="AJ2335" s="1">
        <v>11</v>
      </c>
      <c r="AK2335" s="1"/>
      <c r="AL2335" s="1"/>
    </row>
    <row r="2336" spans="1:38" hidden="1" x14ac:dyDescent="0.2">
      <c r="A2336" s="11">
        <v>45045</v>
      </c>
      <c r="B2336" s="53" t="s">
        <v>2787</v>
      </c>
      <c r="C2336" s="52" t="str">
        <f>IF(MID(B2336,4,2)="09","Ramadan",IF(AND(MID(B2336,4,2)="12",VALUE(LEFT(B2336,2))&lt;=9),"Adha Season","Normal"))</f>
        <v>Normal</v>
      </c>
      <c r="D2336" s="1" t="s">
        <v>45</v>
      </c>
      <c r="E2336" s="1" t="s">
        <v>483</v>
      </c>
      <c r="F2336" s="4" t="s">
        <v>280</v>
      </c>
      <c r="G2336" s="1">
        <v>40</v>
      </c>
      <c r="H2336" s="1">
        <v>38</v>
      </c>
      <c r="I2336" s="1">
        <f>grand[[#This Row],[number]]-grand[[#This Row],[received]]</f>
        <v>2</v>
      </c>
      <c r="J2336" s="30" t="s">
        <v>563</v>
      </c>
      <c r="K2336" s="2">
        <v>17863</v>
      </c>
      <c r="L2336" s="2">
        <v>17395</v>
      </c>
      <c r="M2336" s="2">
        <f>K2336-L2336</f>
        <v>468</v>
      </c>
      <c r="N2336" s="2">
        <v>10717.6</v>
      </c>
      <c r="O2336" s="2">
        <v>317</v>
      </c>
      <c r="P2336" s="7">
        <f>grand[[#This Row],[total weight]]/grand[[#This Row],[received]]</f>
        <v>470.07894736842104</v>
      </c>
      <c r="Q2336" s="7">
        <f>grand[[#This Row],[receiving weight]]/grand[[#This Row],[received]]</f>
        <v>457.76315789473682</v>
      </c>
      <c r="R2336" s="7">
        <f>grand[[#This Row],[transportation loss ]]/grand[[#This Row],[received]]</f>
        <v>12.315789473684211</v>
      </c>
      <c r="S2336" s="7">
        <f>grand[[#This Row],[ carcass weight]]/grand[[#This Row],[received]]</f>
        <v>282.04210526315791</v>
      </c>
      <c r="T2336" s="7">
        <f>grand[[#This Row],[ kidneys fat quantity]]/grand[[#This Row],[received]]</f>
        <v>8.3421052631578956</v>
      </c>
      <c r="U2336" s="1">
        <v>24.210526315789473</v>
      </c>
      <c r="V2336" s="1">
        <v>0</v>
      </c>
      <c r="W2336" s="1">
        <v>49.473684210526315</v>
      </c>
      <c r="X2336" s="1">
        <v>10</v>
      </c>
      <c r="Y2336" s="1">
        <v>8.5</v>
      </c>
      <c r="Z2336" s="18">
        <f>grand[[#This Row],[av. Transportation loss]]/grand[[#This Row],[av.total weight]]</f>
        <v>2.6199406594636959E-2</v>
      </c>
      <c r="AA2336" s="12">
        <f>AVERAGE((grand[[#This Row],[am]]/25),(grand[[#This Row],[pm]]/50))</f>
        <v>0.97894736842105257</v>
      </c>
      <c r="AB2336" s="3">
        <f>grand[[#This Row],[ carcass weight]]/grand[[#This Row],[total weight]]</f>
        <v>0.59998880367239549</v>
      </c>
      <c r="AC2336" s="18">
        <f>SUM(grand[[#This Row],[am]:[meat transportation]])/100</f>
        <v>0.9218421052631578</v>
      </c>
      <c r="AJ2336" s="1">
        <v>12</v>
      </c>
      <c r="AK2336" s="1"/>
      <c r="AL2336" s="1"/>
    </row>
    <row r="2337" spans="1:38" hidden="1" x14ac:dyDescent="0.2">
      <c r="A2337" s="11">
        <v>45064</v>
      </c>
      <c r="B2337" s="53" t="s">
        <v>2795</v>
      </c>
      <c r="C2337" s="52" t="str">
        <f>IF(MID(B2337,4,2)="09","Ramadan",IF(AND(MID(B2337,4,2)="12",VALUE(LEFT(B2337,2))&lt;=9),"Adha Season","Normal"))</f>
        <v>Normal</v>
      </c>
      <c r="D2337" s="1" t="s">
        <v>45</v>
      </c>
      <c r="E2337" s="1" t="s">
        <v>528</v>
      </c>
      <c r="F2337" s="4" t="s">
        <v>39</v>
      </c>
      <c r="G2337" s="1">
        <v>56</v>
      </c>
      <c r="H2337" s="1">
        <v>54</v>
      </c>
      <c r="I2337" s="1">
        <f>grand[[#This Row],[number]]-grand[[#This Row],[received]]</f>
        <v>2</v>
      </c>
      <c r="J2337" s="30" t="s">
        <v>565</v>
      </c>
      <c r="K2337" s="2">
        <v>29713</v>
      </c>
      <c r="L2337" s="2">
        <v>28839</v>
      </c>
      <c r="M2337" s="2">
        <f>K2337-L2337</f>
        <v>874</v>
      </c>
      <c r="N2337" s="2">
        <v>19737.5</v>
      </c>
      <c r="O2337" s="2">
        <v>393</v>
      </c>
      <c r="P2337" s="7">
        <f>grand[[#This Row],[total weight]]/grand[[#This Row],[received]]</f>
        <v>550.24074074074076</v>
      </c>
      <c r="Q2337" s="7">
        <f>grand[[#This Row],[receiving weight]]/grand[[#This Row],[received]]</f>
        <v>534.05555555555554</v>
      </c>
      <c r="R2337" s="7">
        <f>grand[[#This Row],[transportation loss ]]/grand[[#This Row],[received]]</f>
        <v>16.185185185185187</v>
      </c>
      <c r="S2337" s="7">
        <f>grand[[#This Row],[ carcass weight]]/grand[[#This Row],[received]]</f>
        <v>365.50925925925924</v>
      </c>
      <c r="T2337" s="7">
        <f>grand[[#This Row],[ kidneys fat quantity]]/grand[[#This Row],[received]]</f>
        <v>7.2777777777777777</v>
      </c>
      <c r="U2337" s="1">
        <v>25</v>
      </c>
      <c r="V2337" s="1">
        <v>0</v>
      </c>
      <c r="W2337" s="1">
        <v>49.796296296296291</v>
      </c>
      <c r="X2337" s="1">
        <v>10</v>
      </c>
      <c r="Y2337" s="1">
        <v>8.5</v>
      </c>
      <c r="Z2337" s="18">
        <f>grand[[#This Row],[av. Transportation loss]]/grand[[#This Row],[av.total weight]]</f>
        <v>2.941473429138761E-2</v>
      </c>
      <c r="AA2337" s="12">
        <f>AVERAGE((grand[[#This Row],[am]]/25),(grand[[#This Row],[pm]]/50))</f>
        <v>0.99796296296296294</v>
      </c>
      <c r="AB2337" s="3">
        <f>grand[[#This Row],[ carcass weight]]/grand[[#This Row],[total weight]]</f>
        <v>0.66427153097970582</v>
      </c>
      <c r="AC2337" s="18">
        <f>SUM(grand[[#This Row],[am]:[meat transportation]])/100</f>
        <v>0.93296296296296288</v>
      </c>
      <c r="AJ2337" s="1">
        <v>0</v>
      </c>
      <c r="AK2337" s="1"/>
      <c r="AL2337" s="1">
        <v>1036</v>
      </c>
    </row>
    <row r="2338" spans="1:38" hidden="1" x14ac:dyDescent="0.2">
      <c r="A2338" s="11">
        <v>45074</v>
      </c>
      <c r="B2338" s="53" t="s">
        <v>2799</v>
      </c>
      <c r="C2338" s="52" t="str">
        <f>IF(MID(B2338,4,2)="09","Ramadan",IF(AND(MID(B2338,4,2)="12",VALUE(LEFT(B2338,2))&lt;=9),"Adha Season","Normal"))</f>
        <v>Normal</v>
      </c>
      <c r="D2338" s="1" t="s">
        <v>45</v>
      </c>
      <c r="E2338" s="1" t="s">
        <v>483</v>
      </c>
      <c r="F2338" s="4" t="s">
        <v>280</v>
      </c>
      <c r="G2338" s="1">
        <v>40</v>
      </c>
      <c r="H2338" s="1">
        <v>38</v>
      </c>
      <c r="I2338" s="1">
        <f>grand[[#This Row],[number]]-grand[[#This Row],[received]]</f>
        <v>2</v>
      </c>
      <c r="J2338" s="30" t="s">
        <v>568</v>
      </c>
      <c r="K2338" s="2">
        <v>18249</v>
      </c>
      <c r="L2338" s="2">
        <v>18249</v>
      </c>
      <c r="M2338" s="2">
        <f>K2338-L2338</f>
        <v>0</v>
      </c>
      <c r="N2338" s="2">
        <v>10948.5</v>
      </c>
      <c r="O2338" s="2">
        <v>371</v>
      </c>
      <c r="P2338" s="7">
        <f>grand[[#This Row],[total weight]]/grand[[#This Row],[received]]</f>
        <v>480.23684210526318</v>
      </c>
      <c r="Q2338" s="7">
        <f>grand[[#This Row],[receiving weight]]/grand[[#This Row],[received]]</f>
        <v>480.23684210526318</v>
      </c>
      <c r="R2338" s="7">
        <f>grand[[#This Row],[transportation loss ]]/grand[[#This Row],[received]]</f>
        <v>0</v>
      </c>
      <c r="S2338" s="7">
        <f>grand[[#This Row],[ carcass weight]]/grand[[#This Row],[received]]</f>
        <v>288.11842105263156</v>
      </c>
      <c r="T2338" s="7">
        <f>grand[[#This Row],[ kidneys fat quantity]]/grand[[#This Row],[received]]</f>
        <v>9.7631578947368425</v>
      </c>
      <c r="U2338" s="1">
        <v>24.473684210526315</v>
      </c>
      <c r="V2338" s="1">
        <v>0</v>
      </c>
      <c r="W2338" s="1">
        <v>49.263157894736842</v>
      </c>
      <c r="X2338" s="1">
        <v>10</v>
      </c>
      <c r="Y2338" s="1">
        <v>8.5</v>
      </c>
      <c r="Z2338" s="18">
        <f>grand[[#This Row],[av. Transportation loss]]/grand[[#This Row],[av.total weight]]</f>
        <v>0</v>
      </c>
      <c r="AA2338" s="12">
        <f>AVERAGE((grand[[#This Row],[am]]/25),(grand[[#This Row],[pm]]/50))</f>
        <v>0.9821052631578947</v>
      </c>
      <c r="AB2338" s="3">
        <f>grand[[#This Row],[ carcass weight]]/grand[[#This Row],[total weight]]</f>
        <v>0.59995068222916326</v>
      </c>
      <c r="AC2338" s="18">
        <f>SUM(grand[[#This Row],[am]:[meat transportation]])/100</f>
        <v>0.9223684210526315</v>
      </c>
      <c r="AJ2338" s="1">
        <v>10</v>
      </c>
      <c r="AK2338" s="1"/>
      <c r="AL2338" s="1">
        <v>847</v>
      </c>
    </row>
    <row r="2339" spans="1:38" hidden="1" x14ac:dyDescent="0.2">
      <c r="A2339" s="11">
        <v>45091</v>
      </c>
      <c r="B2339" s="53" t="s">
        <v>1849</v>
      </c>
      <c r="C2339" s="52" t="str">
        <f>IF(MID(B2339,4,2)="09","Ramadan",IF(AND(MID(B2339,4,2)="12",VALUE(LEFT(B2339,2))&lt;=9),"Adha Season","Normal"))</f>
        <v>Normal</v>
      </c>
      <c r="D2339" s="1" t="s">
        <v>45</v>
      </c>
      <c r="E2339" s="1" t="s">
        <v>483</v>
      </c>
      <c r="F2339" s="4" t="s">
        <v>1023</v>
      </c>
      <c r="G2339" s="1">
        <v>52</v>
      </c>
      <c r="H2339" s="1">
        <v>50</v>
      </c>
      <c r="I2339" s="1">
        <f>grand[[#This Row],[number]]-grand[[#This Row],[received]]</f>
        <v>2</v>
      </c>
      <c r="J2339" s="30" t="s">
        <v>570</v>
      </c>
      <c r="K2339" s="2">
        <v>19952</v>
      </c>
      <c r="L2339" s="2">
        <v>19952</v>
      </c>
      <c r="M2339" s="2">
        <f>K2339-L2339</f>
        <v>0</v>
      </c>
      <c r="N2339" s="2">
        <v>11712.25</v>
      </c>
      <c r="O2339" s="2">
        <v>264</v>
      </c>
      <c r="P2339" s="7">
        <f>grand[[#This Row],[total weight]]/grand[[#This Row],[received]]</f>
        <v>399.04</v>
      </c>
      <c r="Q2339" s="7">
        <f>grand[[#This Row],[receiving weight]]/grand[[#This Row],[received]]</f>
        <v>399.04</v>
      </c>
      <c r="R2339" s="7">
        <f>grand[[#This Row],[transportation loss ]]/grand[[#This Row],[received]]</f>
        <v>0</v>
      </c>
      <c r="S2339" s="7">
        <f>grand[[#This Row],[ carcass weight]]/grand[[#This Row],[received]]</f>
        <v>234.245</v>
      </c>
      <c r="T2339" s="7">
        <f>grand[[#This Row],[ kidneys fat quantity]]/grand[[#This Row],[received]]</f>
        <v>5.28</v>
      </c>
      <c r="U2339" s="1">
        <v>25</v>
      </c>
      <c r="V2339" s="1">
        <v>0</v>
      </c>
      <c r="W2339" s="1">
        <v>49.92</v>
      </c>
      <c r="X2339" s="1">
        <v>10</v>
      </c>
      <c r="Y2339" s="1">
        <v>8.5</v>
      </c>
      <c r="Z2339" s="18">
        <f>grand[[#This Row],[av. Transportation loss]]/grand[[#This Row],[av.total weight]]</f>
        <v>0</v>
      </c>
      <c r="AA2339" s="12">
        <f>AVERAGE((grand[[#This Row],[am]]/25),(grand[[#This Row],[pm]]/50))</f>
        <v>0.99920000000000009</v>
      </c>
      <c r="AB2339" s="3">
        <f>grand[[#This Row],[ carcass weight]]/grand[[#This Row],[total weight]]</f>
        <v>0.58702135124298316</v>
      </c>
      <c r="AC2339" s="18">
        <f>SUM(grand[[#This Row],[am]:[meat transportation]])/100</f>
        <v>0.93420000000000003</v>
      </c>
      <c r="AJ2339" s="1">
        <v>4</v>
      </c>
      <c r="AK2339" s="1"/>
      <c r="AL2339" s="1"/>
    </row>
    <row r="2340" spans="1:38" hidden="1" x14ac:dyDescent="0.2">
      <c r="A2340" s="11">
        <v>45096</v>
      </c>
      <c r="B2340" s="53" t="s">
        <v>1851</v>
      </c>
      <c r="C2340" s="52" t="str">
        <f>IF(MID(B2340,4,2)="09","Ramadan",IF(AND(MID(B2340,4,2)="12",VALUE(LEFT(B2340,2))&lt;=9),"Adha Season","Normal"))</f>
        <v>Normal</v>
      </c>
      <c r="D2340" s="1" t="s">
        <v>45</v>
      </c>
      <c r="E2340" s="1" t="s">
        <v>483</v>
      </c>
      <c r="F2340" s="4" t="s">
        <v>280</v>
      </c>
      <c r="G2340" s="1">
        <v>29</v>
      </c>
      <c r="H2340" s="1">
        <v>27</v>
      </c>
      <c r="I2340" s="1">
        <f>grand[[#This Row],[number]]-grand[[#This Row],[received]]</f>
        <v>2</v>
      </c>
      <c r="J2340" s="30" t="s">
        <v>452</v>
      </c>
      <c r="K2340" s="2">
        <v>11960</v>
      </c>
      <c r="L2340" s="2">
        <v>11960</v>
      </c>
      <c r="M2340" s="2">
        <f>K2340-L2340</f>
        <v>0</v>
      </c>
      <c r="N2340" s="2">
        <v>7176.3</v>
      </c>
      <c r="O2340" s="2">
        <v>218</v>
      </c>
      <c r="P2340" s="7">
        <f>grand[[#This Row],[total weight]]/grand[[#This Row],[received]]</f>
        <v>442.96296296296299</v>
      </c>
      <c r="Q2340" s="7">
        <f>grand[[#This Row],[receiving weight]]/grand[[#This Row],[received]]</f>
        <v>442.96296296296299</v>
      </c>
      <c r="R2340" s="7">
        <f>grand[[#This Row],[transportation loss ]]/grand[[#This Row],[received]]</f>
        <v>0</v>
      </c>
      <c r="S2340" s="7">
        <f>grand[[#This Row],[ carcass weight]]/grand[[#This Row],[received]]</f>
        <v>265.78888888888889</v>
      </c>
      <c r="T2340" s="7">
        <f>grand[[#This Row],[ kidneys fat quantity]]/grand[[#This Row],[received]]</f>
        <v>8.0740740740740744</v>
      </c>
      <c r="U2340" s="1">
        <v>24.814814814814817</v>
      </c>
      <c r="V2340" s="1">
        <v>0</v>
      </c>
      <c r="W2340" s="1">
        <v>47.925925925925924</v>
      </c>
      <c r="X2340" s="1">
        <v>10</v>
      </c>
      <c r="Y2340" s="1">
        <v>8.5</v>
      </c>
      <c r="Z2340" s="18">
        <f>grand[[#This Row],[av. Transportation loss]]/grand[[#This Row],[av.total weight]]</f>
        <v>0</v>
      </c>
      <c r="AA2340" s="12">
        <f>AVERAGE((grand[[#This Row],[am]]/25),(grand[[#This Row],[pm]]/50))</f>
        <v>0.97555555555555551</v>
      </c>
      <c r="AB2340" s="3">
        <f>grand[[#This Row],[ carcass weight]]/grand[[#This Row],[total weight]]</f>
        <v>0.6000250836120401</v>
      </c>
      <c r="AC2340" s="18">
        <f>SUM(grand[[#This Row],[am]:[meat transportation]])/100</f>
        <v>0.91240740740740733</v>
      </c>
      <c r="AJ2340" s="1">
        <v>6</v>
      </c>
      <c r="AK2340" s="1"/>
      <c r="AL2340" s="1"/>
    </row>
    <row r="2341" spans="1:38" hidden="1" x14ac:dyDescent="0.2">
      <c r="A2341" s="11">
        <v>45100</v>
      </c>
      <c r="B2341" s="53" t="s">
        <v>1855</v>
      </c>
      <c r="C2341" s="52" t="str">
        <f>IF(MID(B2341,4,2)="09","Ramadan",IF(AND(MID(B2341,4,2)="12",VALUE(LEFT(B2341,2))&lt;=9),"Adha Season","Normal"))</f>
        <v>Adha Season</v>
      </c>
      <c r="D2341" s="1" t="s">
        <v>45</v>
      </c>
      <c r="E2341" s="1" t="s">
        <v>483</v>
      </c>
      <c r="F2341" s="4" t="s">
        <v>39</v>
      </c>
      <c r="G2341" s="1">
        <v>56</v>
      </c>
      <c r="H2341" s="1">
        <v>54</v>
      </c>
      <c r="I2341" s="1">
        <f>grand[[#This Row],[number]]-grand[[#This Row],[received]]</f>
        <v>2</v>
      </c>
      <c r="J2341" s="30" t="s">
        <v>452</v>
      </c>
      <c r="K2341" s="2">
        <v>23515</v>
      </c>
      <c r="L2341" s="2">
        <v>23515</v>
      </c>
      <c r="M2341" s="2">
        <f>K2341-L2341</f>
        <v>0</v>
      </c>
      <c r="N2341" s="2">
        <v>14214.4</v>
      </c>
      <c r="O2341" s="2">
        <v>530</v>
      </c>
      <c r="P2341" s="7">
        <f>grand[[#This Row],[total weight]]/grand[[#This Row],[received]]</f>
        <v>435.46296296296299</v>
      </c>
      <c r="Q2341" s="7">
        <f>grand[[#This Row],[receiving weight]]/grand[[#This Row],[received]]</f>
        <v>435.46296296296299</v>
      </c>
      <c r="R2341" s="7">
        <f>grand[[#This Row],[transportation loss ]]/grand[[#This Row],[received]]</f>
        <v>0</v>
      </c>
      <c r="S2341" s="7">
        <f>grand[[#This Row],[ carcass weight]]/grand[[#This Row],[received]]</f>
        <v>263.22962962962964</v>
      </c>
      <c r="T2341" s="7">
        <f>grand[[#This Row],[ kidneys fat quantity]]/grand[[#This Row],[received]]</f>
        <v>9.8148148148148149</v>
      </c>
      <c r="U2341" s="1">
        <v>25</v>
      </c>
      <c r="V2341" s="1">
        <v>0</v>
      </c>
      <c r="W2341" s="1">
        <v>49.703703703703702</v>
      </c>
      <c r="X2341" s="1">
        <v>9.8148148148148149</v>
      </c>
      <c r="Y2341" s="1">
        <v>8.5</v>
      </c>
      <c r="Z2341" s="18">
        <f>grand[[#This Row],[av. Transportation loss]]/grand[[#This Row],[av.total weight]]</f>
        <v>0</v>
      </c>
      <c r="AA2341" s="12">
        <f>AVERAGE((grand[[#This Row],[am]]/25),(grand[[#This Row],[pm]]/50))</f>
        <v>0.99703703703703694</v>
      </c>
      <c r="AB2341" s="3">
        <f>grand[[#This Row],[ carcass weight]]/grand[[#This Row],[total weight]]</f>
        <v>0.60448224537529238</v>
      </c>
      <c r="AC2341" s="18">
        <f>SUM(grand[[#This Row],[am]:[meat transportation]])/100</f>
        <v>0.930185185185185</v>
      </c>
      <c r="AJ2341" s="1">
        <v>0</v>
      </c>
      <c r="AK2341" s="1"/>
      <c r="AL2341" s="1"/>
    </row>
    <row r="2342" spans="1:38" hidden="1" x14ac:dyDescent="0.2">
      <c r="A2342" s="11">
        <v>45127</v>
      </c>
      <c r="B2342" s="53" t="s">
        <v>2813</v>
      </c>
      <c r="C2342" s="52" t="str">
        <f>IF(MID(B2342,4,2)="09","Ramadan",IF(AND(MID(B2342,4,2)="12",VALUE(LEFT(B2342,2))&lt;=9),"Adha Season","Normal"))</f>
        <v>Normal</v>
      </c>
      <c r="D2342" s="1" t="s">
        <v>45</v>
      </c>
      <c r="E2342" s="1" t="s">
        <v>483</v>
      </c>
      <c r="F2342" s="4" t="s">
        <v>39</v>
      </c>
      <c r="G2342" s="1">
        <v>48</v>
      </c>
      <c r="H2342" s="1">
        <v>46</v>
      </c>
      <c r="I2342" s="1">
        <f>grand[[#This Row],[number]]-grand[[#This Row],[received]]</f>
        <v>2</v>
      </c>
      <c r="J2342" s="30" t="s">
        <v>578</v>
      </c>
      <c r="K2342" s="2">
        <v>20477</v>
      </c>
      <c r="L2342" s="2">
        <v>20477</v>
      </c>
      <c r="M2342" s="2">
        <f>K2342-L2342</f>
        <v>0</v>
      </c>
      <c r="N2342" s="2">
        <v>12654</v>
      </c>
      <c r="O2342" s="2">
        <v>411</v>
      </c>
      <c r="P2342" s="7">
        <f>grand[[#This Row],[total weight]]/grand[[#This Row],[received]]</f>
        <v>445.1521739130435</v>
      </c>
      <c r="Q2342" s="7">
        <f>grand[[#This Row],[receiving weight]]/grand[[#This Row],[received]]</f>
        <v>445.1521739130435</v>
      </c>
      <c r="R2342" s="7">
        <f>grand[[#This Row],[transportation loss ]]/grand[[#This Row],[received]]</f>
        <v>0</v>
      </c>
      <c r="S2342" s="7">
        <f>grand[[#This Row],[ carcass weight]]/grand[[#This Row],[received]]</f>
        <v>275.08695652173913</v>
      </c>
      <c r="T2342" s="7">
        <f>grand[[#This Row],[ kidneys fat quantity]]/grand[[#This Row],[received]]</f>
        <v>8.9347826086956523</v>
      </c>
      <c r="U2342" s="1">
        <v>25</v>
      </c>
      <c r="V2342" s="1">
        <v>0</v>
      </c>
      <c r="W2342" s="1">
        <v>49.695652173913039</v>
      </c>
      <c r="X2342" s="1">
        <v>10</v>
      </c>
      <c r="Y2342" s="1">
        <v>8.5</v>
      </c>
      <c r="Z2342" s="18">
        <f>grand[[#This Row],[av. Transportation loss]]/grand[[#This Row],[av.total weight]]</f>
        <v>0</v>
      </c>
      <c r="AA2342" s="12">
        <f>AVERAGE((grand[[#This Row],[am]]/25),(grand[[#This Row],[pm]]/50))</f>
        <v>0.99695652173913041</v>
      </c>
      <c r="AB2342" s="3">
        <f>grand[[#This Row],[ carcass weight]]/grand[[#This Row],[total weight]]</f>
        <v>0.61796161547101625</v>
      </c>
      <c r="AC2342" s="18">
        <f>SUM(grand[[#This Row],[am]:[meat transportation]])/100</f>
        <v>0.93195652173913035</v>
      </c>
      <c r="AJ2342" s="1">
        <v>8</v>
      </c>
      <c r="AK2342" s="1"/>
      <c r="AL2342" s="1"/>
    </row>
    <row r="2343" spans="1:38" hidden="1" x14ac:dyDescent="0.2">
      <c r="A2343" s="11">
        <v>45139</v>
      </c>
      <c r="B2343" s="53" t="s">
        <v>1864</v>
      </c>
      <c r="C2343" s="52" t="str">
        <f>IF(MID(B2343,4,2)="09","Ramadan",IF(AND(MID(B2343,4,2)="12",VALUE(LEFT(B2343,2))&lt;=9),"Adha Season","Normal"))</f>
        <v>Normal</v>
      </c>
      <c r="D2343" s="1" t="s">
        <v>45</v>
      </c>
      <c r="E2343" s="1" t="s">
        <v>483</v>
      </c>
      <c r="F2343" s="4" t="s">
        <v>280</v>
      </c>
      <c r="G2343" s="1">
        <v>59</v>
      </c>
      <c r="H2343" s="1">
        <v>57</v>
      </c>
      <c r="I2343" s="1">
        <f>grand[[#This Row],[number]]-grand[[#This Row],[received]]</f>
        <v>2</v>
      </c>
      <c r="J2343" s="30" t="s">
        <v>512</v>
      </c>
      <c r="K2343" s="2">
        <v>26680</v>
      </c>
      <c r="L2343" s="2">
        <v>26680</v>
      </c>
      <c r="M2343" s="2">
        <f>K2343-L2343</f>
        <v>0</v>
      </c>
      <c r="N2343" s="2">
        <v>16303.1</v>
      </c>
      <c r="O2343" s="2">
        <v>563</v>
      </c>
      <c r="P2343" s="7">
        <f>grand[[#This Row],[total weight]]/grand[[#This Row],[received]]</f>
        <v>468.07017543859649</v>
      </c>
      <c r="Q2343" s="7">
        <f>grand[[#This Row],[receiving weight]]/grand[[#This Row],[received]]</f>
        <v>468.07017543859649</v>
      </c>
      <c r="R2343" s="7">
        <f>grand[[#This Row],[transportation loss ]]/grand[[#This Row],[received]]</f>
        <v>0</v>
      </c>
      <c r="S2343" s="7">
        <f>grand[[#This Row],[ carcass weight]]/grand[[#This Row],[received]]</f>
        <v>286.01929824561404</v>
      </c>
      <c r="T2343" s="7">
        <f>grand[[#This Row],[ kidneys fat quantity]]/grand[[#This Row],[received]]</f>
        <v>9.8771929824561404</v>
      </c>
      <c r="U2343" s="1">
        <v>25</v>
      </c>
      <c r="V2343" s="1">
        <v>0</v>
      </c>
      <c r="W2343" s="1">
        <v>48.526315789473685</v>
      </c>
      <c r="X2343" s="1">
        <v>9.8947368421052637</v>
      </c>
      <c r="Y2343" s="1">
        <v>8.5</v>
      </c>
      <c r="Z2343" s="18">
        <f>grand[[#This Row],[av. Transportation loss]]/grand[[#This Row],[av.total weight]]</f>
        <v>0</v>
      </c>
      <c r="AA2343" s="12">
        <f>AVERAGE((grand[[#This Row],[am]]/25),(grand[[#This Row],[pm]]/50))</f>
        <v>0.98526315789473684</v>
      </c>
      <c r="AB2343" s="3">
        <f>grand[[#This Row],[ carcass weight]]/grand[[#This Row],[total weight]]</f>
        <v>0.61106071964017994</v>
      </c>
      <c r="AC2343" s="18">
        <f>SUM(grand[[#This Row],[am]:[meat transportation]])/100</f>
        <v>0.91921052631578948</v>
      </c>
      <c r="AJ2343" s="1">
        <v>19</v>
      </c>
      <c r="AK2343" s="1"/>
      <c r="AL2343" s="1"/>
    </row>
    <row r="2344" spans="1:38" hidden="1" x14ac:dyDescent="0.2">
      <c r="A2344" s="11">
        <v>45179</v>
      </c>
      <c r="B2344" s="53" t="s">
        <v>1882</v>
      </c>
      <c r="C2344" s="52" t="str">
        <f>IF(MID(B2344,4,2)="09","Ramadan",IF(AND(MID(B2344,4,2)="12",VALUE(LEFT(B2344,2))&lt;=9),"Adha Season","Normal"))</f>
        <v>Normal</v>
      </c>
      <c r="D2344" s="1" t="s">
        <v>45</v>
      </c>
      <c r="E2344" s="1" t="s">
        <v>483</v>
      </c>
      <c r="F2344" s="4" t="s">
        <v>39</v>
      </c>
      <c r="G2344" s="1">
        <v>51</v>
      </c>
      <c r="H2344" s="1">
        <v>49</v>
      </c>
      <c r="I2344" s="1">
        <f>grand[[#This Row],[number]]-grand[[#This Row],[received]]</f>
        <v>2</v>
      </c>
      <c r="J2344" s="30" t="s">
        <v>586</v>
      </c>
      <c r="K2344" s="2">
        <v>20937</v>
      </c>
      <c r="L2344" s="2">
        <v>20330</v>
      </c>
      <c r="M2344" s="2">
        <f>K2344-L2344</f>
        <v>607</v>
      </c>
      <c r="N2344" s="2">
        <v>12561.6</v>
      </c>
      <c r="O2344" s="2">
        <v>375</v>
      </c>
      <c r="P2344" s="7">
        <f>grand[[#This Row],[total weight]]/grand[[#This Row],[received]]</f>
        <v>427.28571428571428</v>
      </c>
      <c r="Q2344" s="7">
        <f>grand[[#This Row],[receiving weight]]/grand[[#This Row],[received]]</f>
        <v>414.89795918367349</v>
      </c>
      <c r="R2344" s="7">
        <f>grand[[#This Row],[transportation loss ]]/grand[[#This Row],[received]]</f>
        <v>12.387755102040817</v>
      </c>
      <c r="S2344" s="7">
        <f>grand[[#This Row],[ carcass weight]]/grand[[#This Row],[received]]</f>
        <v>256.35918367346937</v>
      </c>
      <c r="T2344" s="7">
        <f>grand[[#This Row],[ kidneys fat quantity]]/grand[[#This Row],[received]]</f>
        <v>7.6530612244897958</v>
      </c>
      <c r="U2344" s="1">
        <v>25</v>
      </c>
      <c r="V2344" s="1">
        <v>0</v>
      </c>
      <c r="W2344" s="1">
        <v>49.632653061224488</v>
      </c>
      <c r="X2344" s="1">
        <v>10</v>
      </c>
      <c r="Y2344" s="1">
        <v>8.5</v>
      </c>
      <c r="Z2344" s="18">
        <f>grand[[#This Row],[av. Transportation loss]]/grand[[#This Row],[av.total weight]]</f>
        <v>2.8991737116110236E-2</v>
      </c>
      <c r="AA2344" s="12">
        <f>AVERAGE((grand[[#This Row],[am]]/25),(grand[[#This Row],[pm]]/50))</f>
        <v>0.99632653061224485</v>
      </c>
      <c r="AB2344" s="3">
        <f>grand[[#This Row],[ carcass weight]]/grand[[#This Row],[total weight]]</f>
        <v>0.59997134259922624</v>
      </c>
      <c r="AC2344" s="18">
        <f>SUM(grand[[#This Row],[am]:[meat transportation]])/100</f>
        <v>0.93132653061224491</v>
      </c>
      <c r="AJ2344" s="1">
        <v>4</v>
      </c>
      <c r="AK2344" s="1"/>
      <c r="AL2344" s="1"/>
    </row>
    <row r="2345" spans="1:38" hidden="1" x14ac:dyDescent="0.2">
      <c r="A2345" s="11">
        <v>45204</v>
      </c>
      <c r="B2345" s="53" t="s">
        <v>2832</v>
      </c>
      <c r="C2345" s="52" t="str">
        <f>IF(MID(B2345,4,2)="09","Ramadan",IF(AND(MID(B2345,4,2)="12",VALUE(LEFT(B2345,2))&lt;=9),"Adha Season","Normal"))</f>
        <v>Normal</v>
      </c>
      <c r="D2345" s="1" t="s">
        <v>45</v>
      </c>
      <c r="E2345" s="1" t="s">
        <v>483</v>
      </c>
      <c r="F2345" s="4" t="s">
        <v>39</v>
      </c>
      <c r="G2345" s="1">
        <v>72</v>
      </c>
      <c r="H2345" s="1">
        <v>70</v>
      </c>
      <c r="I2345" s="1">
        <f>grand[[#This Row],[number]]-grand[[#This Row],[received]]</f>
        <v>2</v>
      </c>
      <c r="J2345" s="30" t="s">
        <v>388</v>
      </c>
      <c r="K2345" s="2">
        <v>30335</v>
      </c>
      <c r="L2345" s="2">
        <v>28745</v>
      </c>
      <c r="M2345" s="2">
        <f>K2345-L2345</f>
        <v>1590</v>
      </c>
      <c r="N2345" s="2">
        <v>18493.3</v>
      </c>
      <c r="O2345" s="2">
        <v>543</v>
      </c>
      <c r="P2345" s="7">
        <f>grand[[#This Row],[total weight]]/grand[[#This Row],[received]]</f>
        <v>433.35714285714283</v>
      </c>
      <c r="Q2345" s="7">
        <f>grand[[#This Row],[receiving weight]]/grand[[#This Row],[received]]</f>
        <v>410.64285714285717</v>
      </c>
      <c r="R2345" s="7">
        <f>grand[[#This Row],[transportation loss ]]/grand[[#This Row],[received]]</f>
        <v>22.714285714285715</v>
      </c>
      <c r="S2345" s="7">
        <f>grand[[#This Row],[ carcass weight]]/grand[[#This Row],[received]]</f>
        <v>264.19</v>
      </c>
      <c r="T2345" s="7">
        <f>grand[[#This Row],[ kidneys fat quantity]]/grand[[#This Row],[received]]</f>
        <v>7.7571428571428571</v>
      </c>
      <c r="U2345" s="1">
        <v>25</v>
      </c>
      <c r="V2345" s="1">
        <v>0</v>
      </c>
      <c r="W2345" s="1">
        <v>49.528571428571432</v>
      </c>
      <c r="X2345" s="1">
        <v>9.9285714285714288</v>
      </c>
      <c r="Y2345" s="1">
        <v>8.5</v>
      </c>
      <c r="Z2345" s="18">
        <f>grand[[#This Row],[av. Transportation loss]]/grand[[#This Row],[av.total weight]]</f>
        <v>5.241470248887424E-2</v>
      </c>
      <c r="AA2345" s="12">
        <f>AVERAGE((grand[[#This Row],[am]]/25),(grand[[#This Row],[pm]]/50))</f>
        <v>0.99528571428571433</v>
      </c>
      <c r="AB2345" s="3">
        <f>grand[[#This Row],[ carcass weight]]/grand[[#This Row],[total weight]]</f>
        <v>0.60963573430031315</v>
      </c>
      <c r="AC2345" s="18">
        <f>SUM(grand[[#This Row],[am]:[meat transportation]])/100</f>
        <v>0.92957142857142872</v>
      </c>
      <c r="AJ2345" s="1">
        <v>6</v>
      </c>
      <c r="AK2345" s="1"/>
      <c r="AL2345" s="1"/>
    </row>
    <row r="2346" spans="1:38" hidden="1" x14ac:dyDescent="0.2">
      <c r="A2346" s="11">
        <v>45211</v>
      </c>
      <c r="B2346" s="53" t="s">
        <v>2834</v>
      </c>
      <c r="C2346" s="52" t="str">
        <f>IF(MID(B2346,4,2)="09","Ramadan",IF(AND(MID(B2346,4,2)="12",VALUE(LEFT(B2346,2))&lt;=9),"Adha Season","Normal"))</f>
        <v>Normal</v>
      </c>
      <c r="D2346" s="1" t="s">
        <v>45</v>
      </c>
      <c r="E2346" s="1" t="s">
        <v>483</v>
      </c>
      <c r="F2346" s="4" t="s">
        <v>39</v>
      </c>
      <c r="G2346" s="1">
        <v>66</v>
      </c>
      <c r="H2346" s="1">
        <v>64</v>
      </c>
      <c r="I2346" s="1">
        <f>grand[[#This Row],[number]]-grand[[#This Row],[received]]</f>
        <v>2</v>
      </c>
      <c r="J2346" s="30" t="s">
        <v>586</v>
      </c>
      <c r="K2346" s="2">
        <v>27103</v>
      </c>
      <c r="L2346" s="2">
        <v>26430</v>
      </c>
      <c r="M2346" s="2">
        <f>K2346-L2346</f>
        <v>673</v>
      </c>
      <c r="N2346" s="2">
        <v>16385.8</v>
      </c>
      <c r="O2346" s="2">
        <v>483</v>
      </c>
      <c r="P2346" s="7">
        <f>grand[[#This Row],[total weight]]/grand[[#This Row],[received]]</f>
        <v>423.484375</v>
      </c>
      <c r="Q2346" s="7">
        <f>grand[[#This Row],[receiving weight]]/grand[[#This Row],[received]]</f>
        <v>412.96875</v>
      </c>
      <c r="R2346" s="7">
        <f>grand[[#This Row],[transportation loss ]]/grand[[#This Row],[received]]</f>
        <v>10.515625</v>
      </c>
      <c r="S2346" s="7">
        <f>grand[[#This Row],[ carcass weight]]/grand[[#This Row],[received]]</f>
        <v>256.02812499999999</v>
      </c>
      <c r="T2346" s="7">
        <f>grand[[#This Row],[ kidneys fat quantity]]/grand[[#This Row],[received]]</f>
        <v>7.546875</v>
      </c>
      <c r="U2346" s="1">
        <v>25</v>
      </c>
      <c r="V2346" s="1">
        <v>0</v>
      </c>
      <c r="W2346" s="1">
        <v>49.1875</v>
      </c>
      <c r="X2346" s="1">
        <v>10</v>
      </c>
      <c r="Y2346" s="1">
        <v>8.5</v>
      </c>
      <c r="Z2346" s="18">
        <f>grand[[#This Row],[av. Transportation loss]]/grand[[#This Row],[av.total weight]]</f>
        <v>2.483119949821053E-2</v>
      </c>
      <c r="AA2346" s="12">
        <f>AVERAGE((grand[[#This Row],[am]]/25),(grand[[#This Row],[pm]]/50))</f>
        <v>0.99187500000000006</v>
      </c>
      <c r="AB2346" s="3">
        <f>grand[[#This Row],[ carcass weight]]/grand[[#This Row],[total weight]]</f>
        <v>0.60457513928347417</v>
      </c>
      <c r="AC2346" s="18">
        <f>SUM(grand[[#This Row],[am]:[meat transportation]])/100</f>
        <v>0.926875</v>
      </c>
      <c r="AJ2346" s="1">
        <v>5</v>
      </c>
      <c r="AK2346" s="1"/>
      <c r="AL2346" s="1"/>
    </row>
    <row r="2347" spans="1:38" hidden="1" x14ac:dyDescent="0.2">
      <c r="A2347" s="11">
        <v>45214</v>
      </c>
      <c r="B2347" s="53" t="s">
        <v>1894</v>
      </c>
      <c r="C2347" s="52" t="str">
        <f>IF(MID(B2347,4,2)="09","Ramadan",IF(AND(MID(B2347,4,2)="12",VALUE(LEFT(B2347,2))&lt;=9),"Adha Season","Normal"))</f>
        <v>Normal</v>
      </c>
      <c r="D2347" s="1" t="s">
        <v>45</v>
      </c>
      <c r="E2347" s="1" t="s">
        <v>483</v>
      </c>
      <c r="F2347" s="4" t="s">
        <v>280</v>
      </c>
      <c r="G2347" s="1">
        <v>62</v>
      </c>
      <c r="H2347" s="1">
        <v>60</v>
      </c>
      <c r="I2347" s="1">
        <f>grand[[#This Row],[number]]-grand[[#This Row],[received]]</f>
        <v>2</v>
      </c>
      <c r="J2347" s="30" t="s">
        <v>590</v>
      </c>
      <c r="K2347" s="2">
        <v>24398</v>
      </c>
      <c r="L2347" s="2">
        <v>23170</v>
      </c>
      <c r="M2347" s="2">
        <f>K2347-L2347</f>
        <v>1228</v>
      </c>
      <c r="N2347" s="2">
        <v>14637.8</v>
      </c>
      <c r="O2347" s="2">
        <v>432</v>
      </c>
      <c r="P2347" s="7">
        <f>grand[[#This Row],[total weight]]/grand[[#This Row],[received]]</f>
        <v>406.63333333333333</v>
      </c>
      <c r="Q2347" s="7">
        <f>grand[[#This Row],[receiving weight]]/grand[[#This Row],[received]]</f>
        <v>386.16666666666669</v>
      </c>
      <c r="R2347" s="7">
        <f>grand[[#This Row],[transportation loss ]]/grand[[#This Row],[received]]</f>
        <v>20.466666666666665</v>
      </c>
      <c r="S2347" s="7">
        <f>grand[[#This Row],[ carcass weight]]/grand[[#This Row],[received]]</f>
        <v>243.96333333333331</v>
      </c>
      <c r="T2347" s="7">
        <f>grand[[#This Row],[ kidneys fat quantity]]/grand[[#This Row],[received]]</f>
        <v>7.2</v>
      </c>
      <c r="U2347" s="1">
        <v>24.916666666666664</v>
      </c>
      <c r="V2347" s="1">
        <v>0</v>
      </c>
      <c r="W2347" s="1">
        <v>48.833333333333336</v>
      </c>
      <c r="X2347" s="1">
        <v>10</v>
      </c>
      <c r="Y2347" s="1">
        <v>8.5</v>
      </c>
      <c r="Z2347" s="18">
        <f>grand[[#This Row],[av. Transportation loss]]/grand[[#This Row],[av.total weight]]</f>
        <v>5.0331994425772603E-2</v>
      </c>
      <c r="AA2347" s="12">
        <f>AVERAGE((grand[[#This Row],[am]]/25),(grand[[#This Row],[pm]]/50))</f>
        <v>0.98666666666666658</v>
      </c>
      <c r="AB2347" s="3">
        <f>grand[[#This Row],[ carcass weight]]/grand[[#This Row],[total weight]]</f>
        <v>0.59995901303385524</v>
      </c>
      <c r="AC2347" s="18">
        <f>SUM(grand[[#This Row],[am]:[meat transportation]])/100</f>
        <v>0.92249999999999999</v>
      </c>
      <c r="AJ2347" s="1">
        <v>15</v>
      </c>
      <c r="AK2347" s="1"/>
      <c r="AL2347" s="1"/>
    </row>
    <row r="2348" spans="1:38" hidden="1" x14ac:dyDescent="0.2">
      <c r="A2348" s="11">
        <v>45243</v>
      </c>
      <c r="B2348" s="53" t="s">
        <v>1905</v>
      </c>
      <c r="C2348" s="52" t="str">
        <f>IF(MID(B2348,4,2)="09","Ramadan",IF(AND(MID(B2348,4,2)="12",VALUE(LEFT(B2348,2))&lt;=9),"Adha Season","Normal"))</f>
        <v>Normal</v>
      </c>
      <c r="D2348" s="1" t="s">
        <v>45</v>
      </c>
      <c r="E2348" s="1" t="s">
        <v>528</v>
      </c>
      <c r="F2348" s="4" t="s">
        <v>462</v>
      </c>
      <c r="G2348" s="1">
        <v>50</v>
      </c>
      <c r="H2348" s="1">
        <v>48</v>
      </c>
      <c r="I2348" s="1">
        <f>grand[[#This Row],[number]]-grand[[#This Row],[received]]</f>
        <v>2</v>
      </c>
      <c r="J2348" s="30" t="s">
        <v>1139</v>
      </c>
      <c r="K2348" s="2">
        <v>22980</v>
      </c>
      <c r="L2348" s="2">
        <v>22980</v>
      </c>
      <c r="M2348" s="2">
        <f>K2348-L2348</f>
        <v>0</v>
      </c>
      <c r="N2348" s="2">
        <v>14523</v>
      </c>
      <c r="O2348" s="2">
        <v>0</v>
      </c>
      <c r="P2348" s="7">
        <f>grand[[#This Row],[total weight]]/grand[[#This Row],[received]]</f>
        <v>478.75</v>
      </c>
      <c r="Q2348" s="7">
        <f>grand[[#This Row],[receiving weight]]/grand[[#This Row],[received]]</f>
        <v>478.75</v>
      </c>
      <c r="R2348" s="7">
        <f>grand[[#This Row],[transportation loss ]]/grand[[#This Row],[received]]</f>
        <v>0</v>
      </c>
      <c r="S2348" s="7">
        <f>grand[[#This Row],[ carcass weight]]/grand[[#This Row],[received]]</f>
        <v>302.5625</v>
      </c>
      <c r="T2348" s="7">
        <f>grand[[#This Row],[ kidneys fat quantity]]/grand[[#This Row],[received]]</f>
        <v>0</v>
      </c>
      <c r="U2348" s="1">
        <v>25</v>
      </c>
      <c r="V2348" s="1">
        <v>4</v>
      </c>
      <c r="W2348" s="1">
        <v>50</v>
      </c>
      <c r="X2348" s="1">
        <v>9.7916666666666679</v>
      </c>
      <c r="Y2348" s="1">
        <v>8.5</v>
      </c>
      <c r="Z2348" s="18">
        <f>grand[[#This Row],[av. Transportation loss]]/grand[[#This Row],[av.total weight]]</f>
        <v>0</v>
      </c>
      <c r="AA2348" s="12">
        <f>AVERAGE((grand[[#This Row],[am]]/25),(grand[[#This Row],[pm]]/50))</f>
        <v>1</v>
      </c>
      <c r="AB2348" s="3">
        <f>grand[[#This Row],[ carcass weight]]/grand[[#This Row],[total weight]]</f>
        <v>0.63198433420365541</v>
      </c>
      <c r="AC2348" s="18">
        <f>SUM(grand[[#This Row],[am]:[meat transportation]])/100</f>
        <v>0.97291666666666676</v>
      </c>
      <c r="AK2348" s="1"/>
      <c r="AL2348" s="1"/>
    </row>
    <row r="2349" spans="1:38" hidden="1" x14ac:dyDescent="0.2">
      <c r="A2349" s="11">
        <v>45256</v>
      </c>
      <c r="B2349" s="53" t="s">
        <v>1909</v>
      </c>
      <c r="C2349" s="52" t="str">
        <f>IF(MID(B2349,4,2)="09","Ramadan",IF(AND(MID(B2349,4,2)="12",VALUE(LEFT(B2349,2))&lt;=9),"Adha Season","Normal"))</f>
        <v>Normal</v>
      </c>
      <c r="D2349" s="1" t="s">
        <v>45</v>
      </c>
      <c r="E2349" s="1" t="s">
        <v>483</v>
      </c>
      <c r="F2349" s="4" t="s">
        <v>280</v>
      </c>
      <c r="G2349" s="1">
        <v>61</v>
      </c>
      <c r="H2349" s="1">
        <v>59</v>
      </c>
      <c r="I2349" s="1">
        <f>grand[[#This Row],[number]]-grand[[#This Row],[received]]</f>
        <v>2</v>
      </c>
      <c r="J2349" s="30" t="s">
        <v>605</v>
      </c>
      <c r="K2349" s="2">
        <v>27026</v>
      </c>
      <c r="L2349" s="2">
        <v>25783</v>
      </c>
      <c r="M2349" s="2">
        <f>K2349-L2349</f>
        <v>1243</v>
      </c>
      <c r="N2349" s="2">
        <v>16291.8</v>
      </c>
      <c r="O2349" s="2">
        <v>530</v>
      </c>
      <c r="P2349" s="7">
        <f>grand[[#This Row],[total weight]]/grand[[#This Row],[received]]</f>
        <v>458.06779661016947</v>
      </c>
      <c r="Q2349" s="7">
        <f>grand[[#This Row],[receiving weight]]/grand[[#This Row],[received]]</f>
        <v>437</v>
      </c>
      <c r="R2349" s="7">
        <f>grand[[#This Row],[transportation loss ]]/grand[[#This Row],[received]]</f>
        <v>21.067796610169491</v>
      </c>
      <c r="S2349" s="7">
        <f>grand[[#This Row],[ carcass weight]]/grand[[#This Row],[received]]</f>
        <v>276.13220338983052</v>
      </c>
      <c r="T2349" s="7">
        <f>grand[[#This Row],[ kidneys fat quantity]]/grand[[#This Row],[received]]</f>
        <v>8.9830508474576263</v>
      </c>
      <c r="U2349" s="1">
        <v>25</v>
      </c>
      <c r="V2349" s="1">
        <v>0</v>
      </c>
      <c r="W2349" s="1">
        <v>49.406779661016955</v>
      </c>
      <c r="X2349" s="1">
        <v>10</v>
      </c>
      <c r="Y2349" s="1">
        <v>8.5</v>
      </c>
      <c r="Z2349" s="18">
        <f>grand[[#This Row],[av. Transportation loss]]/grand[[#This Row],[av.total weight]]</f>
        <v>4.599274772441353E-2</v>
      </c>
      <c r="AA2349" s="12">
        <f>AVERAGE((grand[[#This Row],[am]]/25),(grand[[#This Row],[pm]]/50))</f>
        <v>0.99406779661016953</v>
      </c>
      <c r="AB2349" s="3">
        <f>grand[[#This Row],[ carcass weight]]/grand[[#This Row],[total weight]]</f>
        <v>0.6028195071412713</v>
      </c>
      <c r="AC2349" s="18">
        <f>SUM(grand[[#This Row],[am]:[meat transportation]])/100</f>
        <v>0.92906779661016958</v>
      </c>
      <c r="AJ2349" s="1">
        <v>13</v>
      </c>
      <c r="AK2349" s="1"/>
      <c r="AL2349" s="1"/>
    </row>
    <row r="2350" spans="1:38" hidden="1" x14ac:dyDescent="0.2">
      <c r="A2350" s="11">
        <v>45260</v>
      </c>
      <c r="B2350" s="53" t="s">
        <v>2848</v>
      </c>
      <c r="C2350" s="52" t="str">
        <f>IF(MID(B2350,4,2)="09","Ramadan",IF(AND(MID(B2350,4,2)="12",VALUE(LEFT(B2350,2))&lt;=9),"Adha Season","Normal"))</f>
        <v>Normal</v>
      </c>
      <c r="D2350" s="1" t="s">
        <v>45</v>
      </c>
      <c r="E2350" s="1" t="s">
        <v>483</v>
      </c>
      <c r="F2350" s="4" t="s">
        <v>39</v>
      </c>
      <c r="G2350" s="1">
        <v>72</v>
      </c>
      <c r="H2350" s="1">
        <v>70</v>
      </c>
      <c r="I2350" s="1">
        <f>grand[[#This Row],[number]]-grand[[#This Row],[received]]</f>
        <v>2</v>
      </c>
      <c r="J2350" s="30" t="s">
        <v>606</v>
      </c>
      <c r="K2350" s="2">
        <v>31603</v>
      </c>
      <c r="L2350" s="2">
        <v>29972</v>
      </c>
      <c r="M2350" s="2">
        <f>K2350-L2350</f>
        <v>1631</v>
      </c>
      <c r="N2350" s="2">
        <v>19325.599999999999</v>
      </c>
      <c r="O2350" s="2">
        <v>693</v>
      </c>
      <c r="P2350" s="7">
        <f>grand[[#This Row],[total weight]]/grand[[#This Row],[received]]</f>
        <v>451.47142857142859</v>
      </c>
      <c r="Q2350" s="7">
        <f>grand[[#This Row],[receiving weight]]/grand[[#This Row],[received]]</f>
        <v>428.17142857142858</v>
      </c>
      <c r="R2350" s="7">
        <f>grand[[#This Row],[transportation loss ]]/grand[[#This Row],[received]]</f>
        <v>23.3</v>
      </c>
      <c r="S2350" s="7">
        <f>grand[[#This Row],[ carcass weight]]/grand[[#This Row],[received]]</f>
        <v>276.08</v>
      </c>
      <c r="T2350" s="7">
        <f>grand[[#This Row],[ kidneys fat quantity]]/grand[[#This Row],[received]]</f>
        <v>9.9</v>
      </c>
      <c r="U2350" s="1">
        <v>25</v>
      </c>
      <c r="V2350" s="1">
        <v>0</v>
      </c>
      <c r="W2350" s="1">
        <v>48.457142857142856</v>
      </c>
      <c r="X2350" s="1">
        <v>10</v>
      </c>
      <c r="Y2350" s="1">
        <v>8.5</v>
      </c>
      <c r="Z2350" s="18">
        <f>grand[[#This Row],[av. Transportation loss]]/grand[[#This Row],[av.total weight]]</f>
        <v>5.1609024459703196E-2</v>
      </c>
      <c r="AA2350" s="12">
        <f>AVERAGE((grand[[#This Row],[am]]/25),(grand[[#This Row],[pm]]/50))</f>
        <v>0.98457142857142854</v>
      </c>
      <c r="AB2350" s="3">
        <f>grand[[#This Row],[ carcass weight]]/grand[[#This Row],[total weight]]</f>
        <v>0.61151156535771911</v>
      </c>
      <c r="AC2350" s="18">
        <f>SUM(grand[[#This Row],[am]:[meat transportation]])/100</f>
        <v>0.9195714285714286</v>
      </c>
      <c r="AJ2350" s="1">
        <v>9</v>
      </c>
      <c r="AK2350" s="1"/>
      <c r="AL2350" s="1"/>
    </row>
    <row r="2351" spans="1:38" hidden="1" x14ac:dyDescent="0.2">
      <c r="A2351" s="11">
        <v>45262</v>
      </c>
      <c r="B2351" s="53" t="s">
        <v>2849</v>
      </c>
      <c r="C2351" s="52" t="str">
        <f>IF(MID(B2351,4,2)="09","Ramadan",IF(AND(MID(B2351,4,2)="12",VALUE(LEFT(B2351,2))&lt;=9),"Adha Season","Normal"))</f>
        <v>Normal</v>
      </c>
      <c r="D2351" s="1" t="s">
        <v>45</v>
      </c>
      <c r="E2351" s="1" t="s">
        <v>483</v>
      </c>
      <c r="F2351" s="4" t="s">
        <v>39</v>
      </c>
      <c r="G2351" s="1">
        <v>36</v>
      </c>
      <c r="H2351" s="1">
        <v>34</v>
      </c>
      <c r="I2351" s="1">
        <f>grand[[#This Row],[number]]-grand[[#This Row],[received]]</f>
        <v>2</v>
      </c>
      <c r="J2351" s="30" t="s">
        <v>586</v>
      </c>
      <c r="K2351" s="2">
        <v>15044</v>
      </c>
      <c r="L2351" s="2">
        <v>14242</v>
      </c>
      <c r="M2351" s="2">
        <f>K2351-L2351</f>
        <v>802</v>
      </c>
      <c r="N2351" s="2">
        <v>9092.7999999999993</v>
      </c>
      <c r="O2351" s="2">
        <v>323</v>
      </c>
      <c r="P2351" s="7">
        <f>grand[[#This Row],[total weight]]/grand[[#This Row],[received]]</f>
        <v>442.47058823529414</v>
      </c>
      <c r="Q2351" s="7">
        <f>grand[[#This Row],[receiving weight]]/grand[[#This Row],[received]]</f>
        <v>418.88235294117646</v>
      </c>
      <c r="R2351" s="7">
        <f>grand[[#This Row],[transportation loss ]]/grand[[#This Row],[received]]</f>
        <v>23.588235294117649</v>
      </c>
      <c r="S2351" s="7">
        <f>grand[[#This Row],[ carcass weight]]/grand[[#This Row],[received]]</f>
        <v>267.43529411764706</v>
      </c>
      <c r="T2351" s="7">
        <f>grand[[#This Row],[ kidneys fat quantity]]/grand[[#This Row],[received]]</f>
        <v>9.5</v>
      </c>
      <c r="U2351" s="1">
        <v>25</v>
      </c>
      <c r="V2351" s="1">
        <v>0</v>
      </c>
      <c r="W2351" s="1">
        <v>48.794117647058826</v>
      </c>
      <c r="X2351" s="1">
        <v>10</v>
      </c>
      <c r="Y2351" s="1">
        <v>8.5</v>
      </c>
      <c r="Z2351" s="18">
        <f>grand[[#This Row],[av. Transportation loss]]/grand[[#This Row],[av.total weight]]</f>
        <v>5.3310289816538153E-2</v>
      </c>
      <c r="AA2351" s="12">
        <f>AVERAGE((grand[[#This Row],[am]]/25),(grand[[#This Row],[pm]]/50))</f>
        <v>0.98794117647058832</v>
      </c>
      <c r="AB2351" s="3">
        <f>grand[[#This Row],[ carcass weight]]/grand[[#This Row],[total weight]]</f>
        <v>0.60441371975538416</v>
      </c>
      <c r="AC2351" s="18">
        <f>SUM(grand[[#This Row],[am]:[meat transportation]])/100</f>
        <v>0.92294117647058826</v>
      </c>
      <c r="AJ2351" s="1">
        <v>6</v>
      </c>
      <c r="AK2351" s="1"/>
      <c r="AL2351" s="1"/>
    </row>
    <row r="2352" spans="1:38" hidden="1" x14ac:dyDescent="0.2">
      <c r="A2352" s="11">
        <v>45264</v>
      </c>
      <c r="B2352" s="53" t="s">
        <v>1912</v>
      </c>
      <c r="C2352" s="52" t="str">
        <f>IF(MID(B2352,4,2)="09","Ramadan",IF(AND(MID(B2352,4,2)="12",VALUE(LEFT(B2352,2))&lt;=9),"Adha Season","Normal"))</f>
        <v>Normal</v>
      </c>
      <c r="D2352" s="1" t="s">
        <v>45</v>
      </c>
      <c r="E2352" s="1" t="s">
        <v>528</v>
      </c>
      <c r="F2352" s="4" t="s">
        <v>462</v>
      </c>
      <c r="G2352" s="1">
        <v>55</v>
      </c>
      <c r="H2352" s="1">
        <v>53</v>
      </c>
      <c r="I2352" s="1">
        <f>grand[[#This Row],[number]]-grand[[#This Row],[received]]</f>
        <v>2</v>
      </c>
      <c r="J2352" s="30" t="s">
        <v>1140</v>
      </c>
      <c r="K2352" s="2">
        <v>25454</v>
      </c>
      <c r="L2352" s="2">
        <v>25454</v>
      </c>
      <c r="M2352" s="2">
        <f>K2352-L2352</f>
        <v>0</v>
      </c>
      <c r="N2352" s="2">
        <v>16087</v>
      </c>
      <c r="O2352" s="2">
        <v>0</v>
      </c>
      <c r="P2352" s="7">
        <f>grand[[#This Row],[total weight]]/grand[[#This Row],[received]]</f>
        <v>480.2641509433962</v>
      </c>
      <c r="Q2352" s="7">
        <f>grand[[#This Row],[receiving weight]]/grand[[#This Row],[received]]</f>
        <v>480.2641509433962</v>
      </c>
      <c r="R2352" s="7">
        <f>grand[[#This Row],[transportation loss ]]/grand[[#This Row],[received]]</f>
        <v>0</v>
      </c>
      <c r="S2352" s="7">
        <f>grand[[#This Row],[ carcass weight]]/grand[[#This Row],[received]]</f>
        <v>303.52830188679246</v>
      </c>
      <c r="T2352" s="7">
        <f>grand[[#This Row],[ kidneys fat quantity]]/grand[[#This Row],[received]]</f>
        <v>0</v>
      </c>
      <c r="U2352" s="1">
        <v>25</v>
      </c>
      <c r="V2352" s="1">
        <v>4</v>
      </c>
      <c r="W2352" s="1">
        <v>50</v>
      </c>
      <c r="X2352" s="1">
        <v>9.8113207547169807</v>
      </c>
      <c r="Y2352" s="1">
        <v>8.5</v>
      </c>
      <c r="Z2352" s="18">
        <f>grand[[#This Row],[av. Transportation loss]]/grand[[#This Row],[av.total weight]]</f>
        <v>0</v>
      </c>
      <c r="AA2352" s="12">
        <f>AVERAGE((grand[[#This Row],[am]]/25),(grand[[#This Row],[pm]]/50))</f>
        <v>1</v>
      </c>
      <c r="AB2352" s="3">
        <f>grand[[#This Row],[ carcass weight]]/grand[[#This Row],[total weight]]</f>
        <v>0.63200282863204216</v>
      </c>
      <c r="AC2352" s="18">
        <f>SUM(grand[[#This Row],[am]:[meat transportation]])/100</f>
        <v>0.97311320754716979</v>
      </c>
      <c r="AK2352" s="1"/>
      <c r="AL2352" s="1"/>
    </row>
    <row r="2353" spans="1:38" hidden="1" x14ac:dyDescent="0.2">
      <c r="A2353" s="11">
        <v>45281</v>
      </c>
      <c r="B2353" s="53" t="s">
        <v>1918</v>
      </c>
      <c r="C2353" s="52" t="str">
        <f>IF(MID(B2353,4,2)="09","Ramadan",IF(AND(MID(B2353,4,2)="12",VALUE(LEFT(B2353,2))&lt;=9),"Adha Season","Normal"))</f>
        <v>Normal</v>
      </c>
      <c r="D2353" s="1" t="s">
        <v>45</v>
      </c>
      <c r="E2353" s="1" t="s">
        <v>483</v>
      </c>
      <c r="F2353" s="4" t="s">
        <v>280</v>
      </c>
      <c r="G2353" s="1">
        <v>28</v>
      </c>
      <c r="H2353" s="1">
        <v>26</v>
      </c>
      <c r="I2353" s="1">
        <f>grand[[#This Row],[number]]-grand[[#This Row],[received]]</f>
        <v>2</v>
      </c>
      <c r="J2353" s="30" t="s">
        <v>608</v>
      </c>
      <c r="K2353" s="2">
        <v>11510</v>
      </c>
      <c r="L2353" s="2">
        <v>10785</v>
      </c>
      <c r="M2353" s="2">
        <f>K2353-L2353</f>
        <v>725</v>
      </c>
      <c r="N2353" s="2">
        <v>6947.2</v>
      </c>
      <c r="O2353" s="2">
        <v>242</v>
      </c>
      <c r="P2353" s="7">
        <f>grand[[#This Row],[total weight]]/grand[[#This Row],[received]]</f>
        <v>442.69230769230768</v>
      </c>
      <c r="Q2353" s="7">
        <f>grand[[#This Row],[receiving weight]]/grand[[#This Row],[received]]</f>
        <v>414.80769230769232</v>
      </c>
      <c r="R2353" s="7">
        <f>grand[[#This Row],[transportation loss ]]/grand[[#This Row],[received]]</f>
        <v>27.884615384615383</v>
      </c>
      <c r="S2353" s="7">
        <f>grand[[#This Row],[ carcass weight]]/grand[[#This Row],[received]]</f>
        <v>267.2</v>
      </c>
      <c r="T2353" s="7">
        <f>grand[[#This Row],[ kidneys fat quantity]]/grand[[#This Row],[received]]</f>
        <v>9.3076923076923084</v>
      </c>
      <c r="U2353" s="1">
        <v>25</v>
      </c>
      <c r="V2353" s="1">
        <v>0</v>
      </c>
      <c r="W2353" s="1">
        <v>48.615384615384613</v>
      </c>
      <c r="X2353" s="1">
        <v>10</v>
      </c>
      <c r="Y2353" s="1">
        <v>8.5</v>
      </c>
      <c r="Z2353" s="18">
        <f>grand[[#This Row],[av. Transportation loss]]/grand[[#This Row],[av.total weight]]</f>
        <v>6.29887054735013E-2</v>
      </c>
      <c r="AA2353" s="12">
        <f>AVERAGE((grand[[#This Row],[am]]/25),(grand[[#This Row],[pm]]/50))</f>
        <v>0.98615384615384616</v>
      </c>
      <c r="AB2353" s="3">
        <f>grand[[#This Row],[ carcass weight]]/grand[[#This Row],[total weight]]</f>
        <v>0.60357949609035622</v>
      </c>
      <c r="AC2353" s="18">
        <f>SUM(grand[[#This Row],[am]:[meat transportation]])/100</f>
        <v>0.9211538461538461</v>
      </c>
      <c r="AJ2353" s="1">
        <v>4</v>
      </c>
      <c r="AK2353" s="1"/>
      <c r="AL2353" s="1"/>
    </row>
    <row r="2354" spans="1:38" hidden="1" x14ac:dyDescent="0.2">
      <c r="A2354" s="11">
        <v>45302</v>
      </c>
      <c r="B2354" s="53" t="s">
        <v>1929</v>
      </c>
      <c r="C2354" s="52" t="str">
        <f>IF(MID(B2354,4,2)="09","Ramadan",IF(AND(MID(B2354,4,2)="12",VALUE(LEFT(B2354,2))&lt;=9),"Adha Season","Normal"))</f>
        <v>Normal</v>
      </c>
      <c r="D2354" s="1" t="s">
        <v>45</v>
      </c>
      <c r="E2354" s="1" t="s">
        <v>528</v>
      </c>
      <c r="F2354" s="4" t="s">
        <v>462</v>
      </c>
      <c r="G2354" s="1">
        <v>32</v>
      </c>
      <c r="H2354" s="1">
        <v>30</v>
      </c>
      <c r="I2354" s="1">
        <f>grand[[#This Row],[number]]-grand[[#This Row],[received]]</f>
        <v>2</v>
      </c>
      <c r="J2354" s="30" t="s">
        <v>611</v>
      </c>
      <c r="K2354" s="2">
        <v>13687</v>
      </c>
      <c r="L2354" s="2">
        <v>13073</v>
      </c>
      <c r="M2354" s="2">
        <f>K2354-L2354</f>
        <v>614</v>
      </c>
      <c r="N2354" s="2">
        <v>8402.7999999999993</v>
      </c>
      <c r="O2354" s="2">
        <v>259</v>
      </c>
      <c r="P2354" s="7">
        <f>grand[[#This Row],[total weight]]/grand[[#This Row],[received]]</f>
        <v>456.23333333333335</v>
      </c>
      <c r="Q2354" s="7">
        <f>grand[[#This Row],[receiving weight]]/grand[[#This Row],[received]]</f>
        <v>435.76666666666665</v>
      </c>
      <c r="R2354" s="7">
        <f>grand[[#This Row],[transportation loss ]]/grand[[#This Row],[received]]</f>
        <v>20.466666666666665</v>
      </c>
      <c r="S2354" s="7">
        <f>grand[[#This Row],[ carcass weight]]/grand[[#This Row],[received]]</f>
        <v>280.09333333333331</v>
      </c>
      <c r="T2354" s="7">
        <f>grand[[#This Row],[ kidneys fat quantity]]/grand[[#This Row],[received]]</f>
        <v>8.6333333333333329</v>
      </c>
      <c r="U2354" s="1">
        <v>25</v>
      </c>
      <c r="V2354" s="1">
        <v>0</v>
      </c>
      <c r="W2354" s="1">
        <v>49.766666666666673</v>
      </c>
      <c r="X2354" s="1">
        <v>10</v>
      </c>
      <c r="Y2354" s="1">
        <v>8.5</v>
      </c>
      <c r="Z2354" s="18">
        <f>grand[[#This Row],[av. Transportation loss]]/grand[[#This Row],[av.total weight]]</f>
        <v>4.4860086213194997E-2</v>
      </c>
      <c r="AA2354" s="12">
        <f>AVERAGE((grand[[#This Row],[am]]/25),(grand[[#This Row],[pm]]/50))</f>
        <v>0.9976666666666667</v>
      </c>
      <c r="AB2354" s="3">
        <f>grand[[#This Row],[ carcass weight]]/grand[[#This Row],[total weight]]</f>
        <v>0.61392562285380281</v>
      </c>
      <c r="AC2354" s="18">
        <f>SUM(grand[[#This Row],[am]:[meat transportation]])/100</f>
        <v>0.93266666666666675</v>
      </c>
      <c r="AJ2354" s="1">
        <v>16</v>
      </c>
      <c r="AK2354" s="1"/>
      <c r="AL2354" s="1"/>
    </row>
    <row r="2355" spans="1:38" hidden="1" x14ac:dyDescent="0.2">
      <c r="A2355" s="11">
        <v>45322</v>
      </c>
      <c r="B2355" s="53" t="s">
        <v>2867</v>
      </c>
      <c r="C2355" s="52" t="str">
        <f>IF(MID(B2355,4,2)="09","Ramadan",IF(AND(MID(B2355,4,2)="12",VALUE(LEFT(B2355,2))&lt;=9),"Adha Season","Normal"))</f>
        <v>Normal</v>
      </c>
      <c r="D2355" s="1" t="s">
        <v>45</v>
      </c>
      <c r="E2355" s="1" t="s">
        <v>528</v>
      </c>
      <c r="F2355" s="4" t="s">
        <v>462</v>
      </c>
      <c r="G2355" s="1">
        <v>62</v>
      </c>
      <c r="H2355" s="26">
        <v>60</v>
      </c>
      <c r="I2355" s="1">
        <f>grand[[#This Row],[number]]-grand[[#This Row],[received]]</f>
        <v>2</v>
      </c>
      <c r="J2355" s="30" t="s">
        <v>1141</v>
      </c>
      <c r="K2355" s="2">
        <v>25797.468354430377</v>
      </c>
      <c r="L2355" s="2">
        <v>25797.468354430377</v>
      </c>
      <c r="M2355" s="2">
        <f>K2355-L2355</f>
        <v>0</v>
      </c>
      <c r="N2355" s="2">
        <v>16304</v>
      </c>
      <c r="O2355" s="2">
        <v>0</v>
      </c>
      <c r="P2355" s="7">
        <f>grand[[#This Row],[total weight]]/grand[[#This Row],[received]]</f>
        <v>429.95780590717294</v>
      </c>
      <c r="Q2355" s="7">
        <f>grand[[#This Row],[receiving weight]]/grand[[#This Row],[received]]</f>
        <v>429.95780590717294</v>
      </c>
      <c r="R2355" s="7">
        <f>grand[[#This Row],[transportation loss ]]/grand[[#This Row],[received]]</f>
        <v>0</v>
      </c>
      <c r="S2355" s="7">
        <f>grand[[#This Row],[ carcass weight]]/grand[[#This Row],[received]]</f>
        <v>271.73333333333335</v>
      </c>
      <c r="T2355" s="7">
        <f>grand[[#This Row],[ kidneys fat quantity]]/grand[[#This Row],[received]]</f>
        <v>0</v>
      </c>
      <c r="U2355" s="1">
        <v>25</v>
      </c>
      <c r="V2355" s="1">
        <v>0</v>
      </c>
      <c r="W2355" s="1">
        <v>50</v>
      </c>
      <c r="X2355" s="1">
        <v>10</v>
      </c>
      <c r="Y2355" s="1">
        <v>8.5</v>
      </c>
      <c r="Z2355" s="18">
        <f>grand[[#This Row],[av. Transportation loss]]/grand[[#This Row],[av.total weight]]</f>
        <v>0</v>
      </c>
      <c r="AA2355" s="12">
        <f>AVERAGE((grand[[#This Row],[am]]/25),(grand[[#This Row],[pm]]/50))</f>
        <v>1</v>
      </c>
      <c r="AB2355" s="3">
        <f>grand[[#This Row],[ carcass weight]]/grand[[#This Row],[total weight]]</f>
        <v>0.63200000000000012</v>
      </c>
      <c r="AC2355" s="18">
        <f>SUM(grand[[#This Row],[am]:[meat transportation]])/100</f>
        <v>0.93500000000000005</v>
      </c>
      <c r="AK2355" s="1"/>
      <c r="AL2355" s="1"/>
    </row>
    <row r="2356" spans="1:38" hidden="1" x14ac:dyDescent="0.2">
      <c r="A2356" s="11">
        <v>45324</v>
      </c>
      <c r="B2356" s="53" t="s">
        <v>2868</v>
      </c>
      <c r="C2356" s="52" t="str">
        <f>IF(MID(B2356,4,2)="09","Ramadan",IF(AND(MID(B2356,4,2)="12",VALUE(LEFT(B2356,2))&lt;=9),"Adha Season","Normal"))</f>
        <v>Normal</v>
      </c>
      <c r="D2356" s="1" t="s">
        <v>45</v>
      </c>
      <c r="E2356" s="1" t="s">
        <v>483</v>
      </c>
      <c r="F2356" s="4" t="s">
        <v>39</v>
      </c>
      <c r="G2356" s="1">
        <v>64</v>
      </c>
      <c r="H2356" s="1">
        <v>62</v>
      </c>
      <c r="I2356" s="1">
        <f>grand[[#This Row],[number]]-grand[[#This Row],[received]]</f>
        <v>2</v>
      </c>
      <c r="J2356" s="30" t="s">
        <v>388</v>
      </c>
      <c r="K2356" s="2">
        <v>27310</v>
      </c>
      <c r="L2356" s="2">
        <v>26581</v>
      </c>
      <c r="M2356" s="2">
        <f>K2356-L2356</f>
        <v>729</v>
      </c>
      <c r="N2356" s="2">
        <v>17232</v>
      </c>
      <c r="O2356" s="2">
        <v>582</v>
      </c>
      <c r="P2356" s="7">
        <f>grand[[#This Row],[total weight]]/grand[[#This Row],[received]]</f>
        <v>440.48387096774195</v>
      </c>
      <c r="Q2356" s="7">
        <f>grand[[#This Row],[receiving weight]]/grand[[#This Row],[received]]</f>
        <v>428.72580645161293</v>
      </c>
      <c r="R2356" s="7">
        <f>grand[[#This Row],[transportation loss ]]/grand[[#This Row],[received]]</f>
        <v>11.758064516129032</v>
      </c>
      <c r="S2356" s="7">
        <f>grand[[#This Row],[ carcass weight]]/grand[[#This Row],[received]]</f>
        <v>277.93548387096774</v>
      </c>
      <c r="T2356" s="7">
        <f>grand[[#This Row],[ kidneys fat quantity]]/grand[[#This Row],[received]]</f>
        <v>9.387096774193548</v>
      </c>
      <c r="U2356" s="1">
        <v>25</v>
      </c>
      <c r="V2356" s="1">
        <v>0</v>
      </c>
      <c r="W2356" s="1">
        <v>49.774193548387096</v>
      </c>
      <c r="X2356" s="1">
        <v>9.9193548387096779</v>
      </c>
      <c r="Y2356" s="1">
        <v>8.5</v>
      </c>
      <c r="Z2356" s="18">
        <f>grand[[#This Row],[av. Transportation loss]]/grand[[#This Row],[av.total weight]]</f>
        <v>2.669351885756133E-2</v>
      </c>
      <c r="AA2356" s="12">
        <f>AVERAGE((grand[[#This Row],[am]]/25),(grand[[#This Row],[pm]]/50))</f>
        <v>0.99774193548387102</v>
      </c>
      <c r="AB2356" s="3">
        <f>grand[[#This Row],[ carcass weight]]/grand[[#This Row],[total weight]]</f>
        <v>0.63097766385939213</v>
      </c>
      <c r="AC2356" s="18">
        <f>SUM(grand[[#This Row],[am]:[meat transportation]])/100</f>
        <v>0.93193548387096781</v>
      </c>
      <c r="AJ2356" s="1">
        <v>12</v>
      </c>
      <c r="AK2356" s="1"/>
      <c r="AL2356" s="1"/>
    </row>
    <row r="2357" spans="1:38" hidden="1" x14ac:dyDescent="0.2">
      <c r="A2357" s="11">
        <v>45340</v>
      </c>
      <c r="B2357" s="53" t="s">
        <v>2871</v>
      </c>
      <c r="C2357" s="52" t="str">
        <f>IF(MID(B2357,4,2)="09","Ramadan",IF(AND(MID(B2357,4,2)="12",VALUE(LEFT(B2357,2))&lt;=9),"Adha Season","Normal"))</f>
        <v>Normal</v>
      </c>
      <c r="D2357" s="1" t="s">
        <v>45</v>
      </c>
      <c r="E2357" s="1" t="s">
        <v>483</v>
      </c>
      <c r="F2357" s="4" t="s">
        <v>280</v>
      </c>
      <c r="G2357" s="1">
        <v>47</v>
      </c>
      <c r="H2357" s="1">
        <v>45</v>
      </c>
      <c r="I2357" s="1">
        <f>grand[[#This Row],[number]]-grand[[#This Row],[received]]</f>
        <v>2</v>
      </c>
      <c r="J2357" s="30" t="s">
        <v>616</v>
      </c>
      <c r="K2357" s="2">
        <v>22710</v>
      </c>
      <c r="L2357" s="2">
        <v>21960</v>
      </c>
      <c r="M2357" s="2">
        <f>K2357-L2357</f>
        <v>750</v>
      </c>
      <c r="N2357" s="2">
        <v>13685.7</v>
      </c>
      <c r="O2357" s="2">
        <v>523</v>
      </c>
      <c r="P2357" s="7">
        <f>grand[[#This Row],[total weight]]/grand[[#This Row],[received]]</f>
        <v>504.66666666666669</v>
      </c>
      <c r="Q2357" s="7">
        <f>grand[[#This Row],[receiving weight]]/grand[[#This Row],[received]]</f>
        <v>488</v>
      </c>
      <c r="R2357" s="7">
        <f>grand[[#This Row],[transportation loss ]]/grand[[#This Row],[received]]</f>
        <v>16.666666666666668</v>
      </c>
      <c r="S2357" s="7">
        <f>grand[[#This Row],[ carcass weight]]/grand[[#This Row],[received]]</f>
        <v>304.12666666666667</v>
      </c>
      <c r="T2357" s="7">
        <f>grand[[#This Row],[ kidneys fat quantity]]/grand[[#This Row],[received]]</f>
        <v>11.622222222222222</v>
      </c>
      <c r="U2357" s="1">
        <v>24.222222222222221</v>
      </c>
      <c r="V2357" s="1">
        <v>0</v>
      </c>
      <c r="W2357" s="1">
        <v>49.62222222222222</v>
      </c>
      <c r="X2357" s="1">
        <v>10</v>
      </c>
      <c r="Y2357" s="1">
        <v>8.5</v>
      </c>
      <c r="Z2357" s="18">
        <f>grand[[#This Row],[av. Transportation loss]]/grand[[#This Row],[av.total weight]]</f>
        <v>3.3025099075297229E-2</v>
      </c>
      <c r="AA2357" s="12">
        <f>AVERAGE((grand[[#This Row],[am]]/25),(grand[[#This Row],[pm]]/50))</f>
        <v>0.98066666666666658</v>
      </c>
      <c r="AB2357" s="3">
        <f>grand[[#This Row],[ carcass weight]]/grand[[#This Row],[total weight]]</f>
        <v>0.60262879788639367</v>
      </c>
      <c r="AC2357" s="18">
        <f>SUM(grand[[#This Row],[am]:[meat transportation]])/100</f>
        <v>0.92344444444444429</v>
      </c>
      <c r="AJ2357" s="1">
        <v>35</v>
      </c>
      <c r="AK2357" s="1"/>
      <c r="AL2357" s="1"/>
    </row>
    <row r="2358" spans="1:38" hidden="1" x14ac:dyDescent="0.2">
      <c r="A2358" s="11">
        <v>45358</v>
      </c>
      <c r="B2358" s="53" t="s">
        <v>1949</v>
      </c>
      <c r="C2358" s="52" t="str">
        <f>IF(MID(B2358,4,2)="09","Ramadan",IF(AND(MID(B2358,4,2)="12",VALUE(LEFT(B2358,2))&lt;=9),"Adha Season","Normal"))</f>
        <v>Normal</v>
      </c>
      <c r="D2358" s="1" t="s">
        <v>45</v>
      </c>
      <c r="E2358" s="1" t="s">
        <v>483</v>
      </c>
      <c r="F2358" s="4" t="s">
        <v>43</v>
      </c>
      <c r="G2358" s="1">
        <v>64</v>
      </c>
      <c r="H2358" s="1">
        <v>62</v>
      </c>
      <c r="I2358" s="1">
        <f>grand[[#This Row],[number]]-grand[[#This Row],[received]]</f>
        <v>2</v>
      </c>
      <c r="J2358" s="30" t="s">
        <v>621</v>
      </c>
      <c r="K2358" s="2">
        <v>30078</v>
      </c>
      <c r="L2358" s="2">
        <v>29525</v>
      </c>
      <c r="M2358" s="2">
        <f>K2358-L2358</f>
        <v>553</v>
      </c>
      <c r="N2358" s="2">
        <v>18045.5</v>
      </c>
      <c r="O2358" s="2">
        <v>673</v>
      </c>
      <c r="P2358" s="7">
        <f>grand[[#This Row],[total weight]]/grand[[#This Row],[received]]</f>
        <v>485.12903225806451</v>
      </c>
      <c r="Q2358" s="7">
        <f>grand[[#This Row],[receiving weight]]/grand[[#This Row],[received]]</f>
        <v>476.20967741935482</v>
      </c>
      <c r="R2358" s="7">
        <f>grand[[#This Row],[transportation loss ]]/grand[[#This Row],[received]]</f>
        <v>8.9193548387096779</v>
      </c>
      <c r="S2358" s="7">
        <f>grand[[#This Row],[ carcass weight]]/grand[[#This Row],[received]]</f>
        <v>291.05645161290323</v>
      </c>
      <c r="T2358" s="7">
        <f>grand[[#This Row],[ kidneys fat quantity]]/grand[[#This Row],[received]]</f>
        <v>10.85483870967742</v>
      </c>
      <c r="U2358" s="1">
        <v>24.35483870967742</v>
      </c>
      <c r="V2358" s="1">
        <v>0</v>
      </c>
      <c r="W2358" s="1">
        <v>48.967741935483872</v>
      </c>
      <c r="X2358" s="1">
        <v>9.9193548387096779</v>
      </c>
      <c r="Y2358" s="1">
        <v>8.5</v>
      </c>
      <c r="Z2358" s="18">
        <f>grand[[#This Row],[av. Transportation loss]]/grand[[#This Row],[av.total weight]]</f>
        <v>1.8385530952855909E-2</v>
      </c>
      <c r="AA2358" s="12">
        <f>AVERAGE((grand[[#This Row],[am]]/25),(grand[[#This Row],[pm]]/50))</f>
        <v>0.97677419354838713</v>
      </c>
      <c r="AB2358" s="3">
        <f>grand[[#This Row],[ carcass weight]]/grand[[#This Row],[total weight]]</f>
        <v>0.59995677904115963</v>
      </c>
      <c r="AC2358" s="18">
        <f>SUM(grand[[#This Row],[am]:[meat transportation]])/100</f>
        <v>0.91741935483870973</v>
      </c>
      <c r="AJ2358" s="1">
        <v>38</v>
      </c>
      <c r="AK2358" s="1"/>
      <c r="AL2358" s="1"/>
    </row>
    <row r="2359" spans="1:38" hidden="1" x14ac:dyDescent="0.2">
      <c r="A2359" s="11">
        <v>45391</v>
      </c>
      <c r="B2359" s="53" t="s">
        <v>2884</v>
      </c>
      <c r="C2359" s="52" t="str">
        <f>IF(MID(B2359,4,2)="09","Ramadan",IF(AND(MID(B2359,4,2)="12",VALUE(LEFT(B2359,2))&lt;=9),"Adha Season","Normal"))</f>
        <v>Ramadan</v>
      </c>
      <c r="D2359" s="1" t="s">
        <v>45</v>
      </c>
      <c r="E2359" s="1" t="s">
        <v>483</v>
      </c>
      <c r="F2359" s="4" t="s">
        <v>43</v>
      </c>
      <c r="G2359" s="1">
        <v>64</v>
      </c>
      <c r="H2359" s="1">
        <v>62</v>
      </c>
      <c r="I2359" s="1">
        <f>grand[[#This Row],[number]]-grand[[#This Row],[received]]</f>
        <v>2</v>
      </c>
      <c r="J2359" s="30" t="s">
        <v>627</v>
      </c>
      <c r="K2359" s="2">
        <v>31970</v>
      </c>
      <c r="L2359" s="2">
        <v>31970</v>
      </c>
      <c r="M2359" s="2">
        <f>K2359-L2359</f>
        <v>0</v>
      </c>
      <c r="N2359" s="2">
        <v>19182.900000000001</v>
      </c>
      <c r="O2359" s="2">
        <v>667</v>
      </c>
      <c r="P2359" s="7">
        <f>grand[[#This Row],[total weight]]/grand[[#This Row],[received]]</f>
        <v>515.64516129032256</v>
      </c>
      <c r="Q2359" s="7">
        <f>grand[[#This Row],[receiving weight]]/grand[[#This Row],[received]]</f>
        <v>515.64516129032256</v>
      </c>
      <c r="R2359" s="7">
        <f>grand[[#This Row],[transportation loss ]]/grand[[#This Row],[received]]</f>
        <v>0</v>
      </c>
      <c r="S2359" s="7">
        <f>grand[[#This Row],[ carcass weight]]/grand[[#This Row],[received]]</f>
        <v>309.40161290322584</v>
      </c>
      <c r="T2359" s="7">
        <f>grand[[#This Row],[ kidneys fat quantity]]/grand[[#This Row],[received]]</f>
        <v>10.758064516129032</v>
      </c>
      <c r="U2359" s="1">
        <v>24.274193548387096</v>
      </c>
      <c r="V2359" s="1">
        <v>0</v>
      </c>
      <c r="W2359" s="1">
        <v>48.548387096774199</v>
      </c>
      <c r="X2359" s="1">
        <v>10</v>
      </c>
      <c r="Y2359" s="1">
        <v>8.5</v>
      </c>
      <c r="Z2359" s="18">
        <f>grand[[#This Row],[av. Transportation loss]]/grand[[#This Row],[av.total weight]]</f>
        <v>0</v>
      </c>
      <c r="AA2359" s="12">
        <f>AVERAGE((grand[[#This Row],[am]]/25),(grand[[#This Row],[pm]]/50))</f>
        <v>0.97096774193548385</v>
      </c>
      <c r="AB2359" s="3">
        <f>grand[[#This Row],[ carcass weight]]/grand[[#This Row],[total weight]]</f>
        <v>0.60002815139193</v>
      </c>
      <c r="AC2359" s="18">
        <f>SUM(grand[[#This Row],[am]:[meat transportation]])/100</f>
        <v>0.913225806451613</v>
      </c>
      <c r="AJ2359" s="1">
        <v>48</v>
      </c>
      <c r="AK2359" s="1"/>
      <c r="AL2359" s="1"/>
    </row>
    <row r="2360" spans="1:38" hidden="1" x14ac:dyDescent="0.2">
      <c r="A2360" s="11">
        <v>45399</v>
      </c>
      <c r="B2360" s="53" t="s">
        <v>1965</v>
      </c>
      <c r="C2360" s="52" t="str">
        <f>IF(MID(B2360,4,2)="09","Ramadan",IF(AND(MID(B2360,4,2)="12",VALUE(LEFT(B2360,2))&lt;=9),"Adha Season","Normal"))</f>
        <v>Normal</v>
      </c>
      <c r="D2360" s="1" t="s">
        <v>45</v>
      </c>
      <c r="E2360" s="1" t="s">
        <v>528</v>
      </c>
      <c r="F2360" s="4" t="s">
        <v>462</v>
      </c>
      <c r="G2360" s="1">
        <v>70</v>
      </c>
      <c r="H2360" s="1">
        <v>68</v>
      </c>
      <c r="I2360" s="1">
        <f>grand[[#This Row],[number]]-grand[[#This Row],[received]]</f>
        <v>2</v>
      </c>
      <c r="J2360" s="30" t="s">
        <v>628</v>
      </c>
      <c r="K2360" s="2">
        <v>30349.683544303796</v>
      </c>
      <c r="L2360" s="2">
        <v>30349.683544303796</v>
      </c>
      <c r="M2360" s="2">
        <f>K2360-L2360</f>
        <v>0</v>
      </c>
      <c r="N2360" s="2">
        <v>19181</v>
      </c>
      <c r="O2360" s="2">
        <v>0</v>
      </c>
      <c r="P2360" s="7">
        <f>grand[[#This Row],[total weight]]/grand[[#This Row],[received]]</f>
        <v>446.31887565152641</v>
      </c>
      <c r="Q2360" s="7">
        <f>grand[[#This Row],[receiving weight]]/grand[[#This Row],[received]]</f>
        <v>446.31887565152641</v>
      </c>
      <c r="R2360" s="7">
        <f>grand[[#This Row],[transportation loss ]]/grand[[#This Row],[received]]</f>
        <v>0</v>
      </c>
      <c r="S2360" s="7">
        <f>grand[[#This Row],[ carcass weight]]/grand[[#This Row],[received]]</f>
        <v>282.0735294117647</v>
      </c>
      <c r="T2360" s="7">
        <f>grand[[#This Row],[ kidneys fat quantity]]/grand[[#This Row],[received]]</f>
        <v>0</v>
      </c>
      <c r="U2360" s="1">
        <v>25</v>
      </c>
      <c r="V2360" s="1">
        <v>4</v>
      </c>
      <c r="W2360" s="1">
        <v>50</v>
      </c>
      <c r="X2360" s="1">
        <v>9.9264705882352935</v>
      </c>
      <c r="Y2360" s="1">
        <v>8.5</v>
      </c>
      <c r="Z2360" s="18">
        <f>grand[[#This Row],[av. Transportation loss]]/grand[[#This Row],[av.total weight]]</f>
        <v>0</v>
      </c>
      <c r="AA2360" s="12">
        <f>AVERAGE((grand[[#This Row],[am]]/25),(grand[[#This Row],[pm]]/50))</f>
        <v>1</v>
      </c>
      <c r="AB2360" s="3">
        <f>grand[[#This Row],[ carcass weight]]/grand[[#This Row],[total weight]]</f>
        <v>0.63200000000000001</v>
      </c>
      <c r="AC2360" s="18">
        <f>SUM(grand[[#This Row],[am]:[meat transportation]])/100</f>
        <v>0.97426470588235292</v>
      </c>
      <c r="AK2360" s="1"/>
      <c r="AL2360" s="1"/>
    </row>
    <row r="2361" spans="1:38" hidden="1" x14ac:dyDescent="0.2">
      <c r="A2361" s="11">
        <v>45405</v>
      </c>
      <c r="B2361" s="53" t="s">
        <v>2887</v>
      </c>
      <c r="C2361" s="52" t="str">
        <f>IF(MID(B2361,4,2)="09","Ramadan",IF(AND(MID(B2361,4,2)="12",VALUE(LEFT(B2361,2))&lt;=9),"Adha Season","Normal"))</f>
        <v>Normal</v>
      </c>
      <c r="D2361" s="1" t="s">
        <v>45</v>
      </c>
      <c r="E2361" s="1" t="s">
        <v>483</v>
      </c>
      <c r="F2361" s="4" t="s">
        <v>39</v>
      </c>
      <c r="G2361" s="1">
        <v>26</v>
      </c>
      <c r="H2361" s="1">
        <v>24</v>
      </c>
      <c r="I2361" s="1">
        <f>grand[[#This Row],[number]]-grand[[#This Row],[received]]</f>
        <v>2</v>
      </c>
      <c r="J2361" s="30" t="s">
        <v>629</v>
      </c>
      <c r="K2361" s="2">
        <v>10736</v>
      </c>
      <c r="L2361" s="2">
        <v>10736</v>
      </c>
      <c r="M2361" s="2">
        <f>K2361-L2361</f>
        <v>0</v>
      </c>
      <c r="N2361" s="2">
        <v>6789.8</v>
      </c>
      <c r="O2361" s="2">
        <v>243</v>
      </c>
      <c r="P2361" s="7">
        <f>grand[[#This Row],[total weight]]/grand[[#This Row],[received]]</f>
        <v>447.33333333333331</v>
      </c>
      <c r="Q2361" s="7">
        <f>grand[[#This Row],[receiving weight]]/grand[[#This Row],[received]]</f>
        <v>447.33333333333331</v>
      </c>
      <c r="R2361" s="7">
        <f>grand[[#This Row],[transportation loss ]]/grand[[#This Row],[received]]</f>
        <v>0</v>
      </c>
      <c r="S2361" s="7">
        <f>grand[[#This Row],[ carcass weight]]/grand[[#This Row],[received]]</f>
        <v>282.90833333333336</v>
      </c>
      <c r="T2361" s="7">
        <f>grand[[#This Row],[ kidneys fat quantity]]/grand[[#This Row],[received]]</f>
        <v>10.125</v>
      </c>
      <c r="U2361" s="1">
        <v>25</v>
      </c>
      <c r="V2361" s="1">
        <v>0</v>
      </c>
      <c r="W2361" s="1">
        <v>48.083333333333329</v>
      </c>
      <c r="X2361" s="1">
        <v>10</v>
      </c>
      <c r="Y2361" s="1">
        <v>8.5</v>
      </c>
      <c r="Z2361" s="18">
        <f>grand[[#This Row],[av. Transportation loss]]/grand[[#This Row],[av.total weight]]</f>
        <v>0</v>
      </c>
      <c r="AA2361" s="12">
        <f>AVERAGE((grand[[#This Row],[am]]/25),(grand[[#This Row],[pm]]/50))</f>
        <v>0.98083333333333322</v>
      </c>
      <c r="AB2361" s="3">
        <f>grand[[#This Row],[ carcass weight]]/grand[[#This Row],[total weight]]</f>
        <v>0.63243293591654248</v>
      </c>
      <c r="AC2361" s="18">
        <f>SUM(grand[[#This Row],[am]:[meat transportation]])/100</f>
        <v>0.91583333333333328</v>
      </c>
      <c r="AJ2361" s="1">
        <v>7</v>
      </c>
      <c r="AK2361" s="1"/>
      <c r="AL2361" s="1"/>
    </row>
    <row r="2362" spans="1:38" hidden="1" x14ac:dyDescent="0.2">
      <c r="A2362" s="11">
        <v>45412</v>
      </c>
      <c r="B2362" s="53" t="s">
        <v>2889</v>
      </c>
      <c r="C2362" s="52" t="str">
        <f>IF(MID(B2362,4,2)="09","Ramadan",IF(AND(MID(B2362,4,2)="12",VALUE(LEFT(B2362,2))&lt;=9),"Adha Season","Normal"))</f>
        <v>Normal</v>
      </c>
      <c r="D2362" s="1" t="s">
        <v>45</v>
      </c>
      <c r="E2362" s="1" t="s">
        <v>483</v>
      </c>
      <c r="F2362" s="4" t="s">
        <v>280</v>
      </c>
      <c r="G2362" s="1">
        <v>50</v>
      </c>
      <c r="H2362" s="1">
        <v>48</v>
      </c>
      <c r="I2362" s="1">
        <f>grand[[#This Row],[number]]-grand[[#This Row],[received]]</f>
        <v>2</v>
      </c>
      <c r="J2362" s="30" t="s">
        <v>631</v>
      </c>
      <c r="K2362" s="2">
        <v>22726</v>
      </c>
      <c r="L2362" s="2">
        <v>22400</v>
      </c>
      <c r="M2362" s="2">
        <f>K2362-L2362</f>
        <v>326</v>
      </c>
      <c r="N2362" s="2">
        <v>13636.5</v>
      </c>
      <c r="O2362" s="2">
        <v>435</v>
      </c>
      <c r="P2362" s="7">
        <f>grand[[#This Row],[total weight]]/grand[[#This Row],[received]]</f>
        <v>473.45833333333331</v>
      </c>
      <c r="Q2362" s="7">
        <f>grand[[#This Row],[receiving weight]]/grand[[#This Row],[received]]</f>
        <v>466.66666666666669</v>
      </c>
      <c r="R2362" s="7">
        <f>grand[[#This Row],[transportation loss ]]/grand[[#This Row],[received]]</f>
        <v>6.791666666666667</v>
      </c>
      <c r="S2362" s="7">
        <f>grand[[#This Row],[ carcass weight]]/grand[[#This Row],[received]]</f>
        <v>284.09375</v>
      </c>
      <c r="T2362" s="7">
        <f>grand[[#This Row],[ kidneys fat quantity]]/grand[[#This Row],[received]]</f>
        <v>9.0625</v>
      </c>
      <c r="U2362" s="1">
        <v>24.479166666666668</v>
      </c>
      <c r="V2362" s="1">
        <v>0</v>
      </c>
      <c r="W2362" s="1">
        <v>45.406250000000007</v>
      </c>
      <c r="X2362" s="1">
        <v>10</v>
      </c>
      <c r="Y2362" s="1">
        <v>8.5</v>
      </c>
      <c r="Z2362" s="18">
        <f>grand[[#This Row],[av. Transportation loss]]/grand[[#This Row],[av.total weight]]</f>
        <v>1.4344803308985304E-2</v>
      </c>
      <c r="AA2362" s="12">
        <f>AVERAGE((grand[[#This Row],[am]]/25),(grand[[#This Row],[pm]]/50))</f>
        <v>0.94364583333333352</v>
      </c>
      <c r="AB2362" s="3">
        <f>grand[[#This Row],[ carcass weight]]/grand[[#This Row],[total weight]]</f>
        <v>0.60003960221772423</v>
      </c>
      <c r="AC2362" s="18">
        <f>SUM(grand[[#This Row],[am]:[meat transportation]])/100</f>
        <v>0.88385416666666672</v>
      </c>
      <c r="AJ2362" s="1">
        <v>21</v>
      </c>
      <c r="AK2362" s="1"/>
      <c r="AL2362" s="1"/>
    </row>
    <row r="2363" spans="1:38" hidden="1" x14ac:dyDescent="0.2">
      <c r="A2363" s="11">
        <v>45438</v>
      </c>
      <c r="B2363" s="53" t="s">
        <v>1978</v>
      </c>
      <c r="C2363" s="52" t="str">
        <f>IF(MID(B2363,4,2)="09","Ramadan",IF(AND(MID(B2363,4,2)="12",VALUE(LEFT(B2363,2))&lt;=9),"Adha Season","Normal"))</f>
        <v>Normal</v>
      </c>
      <c r="D2363" s="1" t="s">
        <v>45</v>
      </c>
      <c r="E2363" s="1" t="s">
        <v>483</v>
      </c>
      <c r="F2363" s="4" t="s">
        <v>39</v>
      </c>
      <c r="G2363" s="1">
        <v>40</v>
      </c>
      <c r="H2363" s="1">
        <v>38</v>
      </c>
      <c r="I2363" s="1">
        <f>grand[[#This Row],[number]]-grand[[#This Row],[received]]</f>
        <v>2</v>
      </c>
      <c r="J2363" s="30" t="s">
        <v>636</v>
      </c>
      <c r="K2363" s="2">
        <v>16990</v>
      </c>
      <c r="L2363" s="2">
        <v>16203</v>
      </c>
      <c r="M2363" s="2">
        <f>K2363-L2363</f>
        <v>787</v>
      </c>
      <c r="N2363" s="2">
        <v>10460.4</v>
      </c>
      <c r="O2363" s="2">
        <v>403</v>
      </c>
      <c r="P2363" s="7">
        <f>grand[[#This Row],[total weight]]/grand[[#This Row],[received]]</f>
        <v>447.10526315789474</v>
      </c>
      <c r="Q2363" s="7">
        <f>grand[[#This Row],[receiving weight]]/grand[[#This Row],[received]]</f>
        <v>426.39473684210526</v>
      </c>
      <c r="R2363" s="7">
        <f>grand[[#This Row],[transportation loss ]]/grand[[#This Row],[received]]</f>
        <v>20.710526315789473</v>
      </c>
      <c r="S2363" s="7">
        <f>grand[[#This Row],[ carcass weight]]/grand[[#This Row],[received]]</f>
        <v>275.27368421052631</v>
      </c>
      <c r="T2363" s="7">
        <f>grand[[#This Row],[ kidneys fat quantity]]/grand[[#This Row],[received]]</f>
        <v>10.605263157894736</v>
      </c>
      <c r="U2363" s="1">
        <v>25</v>
      </c>
      <c r="V2363" s="1">
        <v>0</v>
      </c>
      <c r="W2363" s="1">
        <v>48.73684210526315</v>
      </c>
      <c r="X2363" s="1">
        <v>10</v>
      </c>
      <c r="Y2363" s="1">
        <v>8.5</v>
      </c>
      <c r="Z2363" s="18">
        <f>grand[[#This Row],[av. Transportation loss]]/grand[[#This Row],[av.total weight]]</f>
        <v>4.6321365509123011E-2</v>
      </c>
      <c r="AA2363" s="12">
        <f>AVERAGE((grand[[#This Row],[am]]/25),(grand[[#This Row],[pm]]/50))</f>
        <v>0.98736842105263145</v>
      </c>
      <c r="AB2363" s="3">
        <f>grand[[#This Row],[ carcass weight]]/grand[[#This Row],[total weight]]</f>
        <v>0.61567981165391406</v>
      </c>
      <c r="AC2363" s="18">
        <f>SUM(grand[[#This Row],[am]:[meat transportation]])/100</f>
        <v>0.9223684210526315</v>
      </c>
      <c r="AJ2363" s="1">
        <v>6</v>
      </c>
      <c r="AK2363" s="1"/>
      <c r="AL2363" s="1"/>
    </row>
    <row r="2364" spans="1:38" hidden="1" x14ac:dyDescent="0.2">
      <c r="A2364" s="11">
        <v>45474</v>
      </c>
      <c r="B2364" s="53" t="s">
        <v>1997</v>
      </c>
      <c r="C2364" s="52" t="str">
        <f>IF(MID(B2364,4,2)="09","Ramadan",IF(AND(MID(B2364,4,2)="12",VALUE(LEFT(B2364,2))&lt;=9),"Adha Season","Normal"))</f>
        <v>Normal</v>
      </c>
      <c r="D2364" s="1" t="s">
        <v>45</v>
      </c>
      <c r="E2364" s="1" t="s">
        <v>528</v>
      </c>
      <c r="F2364" s="4" t="s">
        <v>462</v>
      </c>
      <c r="G2364" s="1">
        <v>62</v>
      </c>
      <c r="H2364" s="1">
        <v>60</v>
      </c>
      <c r="I2364" s="1">
        <f>grand[[#This Row],[number]]-grand[[#This Row],[received]]</f>
        <v>2</v>
      </c>
      <c r="J2364" s="30" t="s">
        <v>638</v>
      </c>
      <c r="K2364" s="2">
        <v>27929.430379746838</v>
      </c>
      <c r="L2364" s="2">
        <v>27929.430379746838</v>
      </c>
      <c r="M2364" s="2">
        <f>K2364-L2364</f>
        <v>0</v>
      </c>
      <c r="N2364" s="2">
        <v>17651.400000000001</v>
      </c>
      <c r="O2364" s="2">
        <v>0</v>
      </c>
      <c r="P2364" s="7">
        <f>grand[[#This Row],[total weight]]/grand[[#This Row],[received]]</f>
        <v>465.490506329114</v>
      </c>
      <c r="Q2364" s="7">
        <f>grand[[#This Row],[receiving weight]]/grand[[#This Row],[received]]</f>
        <v>465.490506329114</v>
      </c>
      <c r="R2364" s="7">
        <f>grand[[#This Row],[transportation loss ]]/grand[[#This Row],[received]]</f>
        <v>0</v>
      </c>
      <c r="S2364" s="7">
        <f>grand[[#This Row],[ carcass weight]]/grand[[#This Row],[received]]</f>
        <v>294.19</v>
      </c>
      <c r="T2364" s="7">
        <f>grand[[#This Row],[ kidneys fat quantity]]/grand[[#This Row],[received]]</f>
        <v>0</v>
      </c>
      <c r="U2364" s="1">
        <v>25</v>
      </c>
      <c r="V2364" s="1">
        <v>4</v>
      </c>
      <c r="W2364" s="1">
        <v>50</v>
      </c>
      <c r="X2364" s="1">
        <v>10</v>
      </c>
      <c r="Y2364" s="1">
        <v>8.5</v>
      </c>
      <c r="Z2364" s="18">
        <f>grand[[#This Row],[av. Transportation loss]]/grand[[#This Row],[av.total weight]]</f>
        <v>0</v>
      </c>
      <c r="AA2364" s="12">
        <f>AVERAGE((grand[[#This Row],[am]]/25),(grand[[#This Row],[pm]]/50))</f>
        <v>1</v>
      </c>
      <c r="AB2364" s="3">
        <f>grand[[#This Row],[ carcass weight]]/grand[[#This Row],[total weight]]</f>
        <v>0.63200000000000001</v>
      </c>
      <c r="AC2364" s="18">
        <f>SUM(grand[[#This Row],[am]:[meat transportation]])/100</f>
        <v>0.97499999999999998</v>
      </c>
      <c r="AK2364" s="1"/>
      <c r="AL2364" s="1"/>
    </row>
    <row r="2365" spans="1:38" hidden="1" x14ac:dyDescent="0.2">
      <c r="A2365" s="11">
        <v>45505</v>
      </c>
      <c r="B2365" s="53" t="s">
        <v>2015</v>
      </c>
      <c r="C2365" s="52" t="str">
        <f>IF(MID(B2365,4,2)="09","Ramadan",IF(AND(MID(B2365,4,2)="12",VALUE(LEFT(B2365,2))&lt;=9),"Adha Season","Normal"))</f>
        <v>Normal</v>
      </c>
      <c r="D2365" s="1" t="s">
        <v>45</v>
      </c>
      <c r="E2365" s="1" t="s">
        <v>483</v>
      </c>
      <c r="F2365" s="4" t="s">
        <v>640</v>
      </c>
      <c r="G2365" s="1">
        <v>8</v>
      </c>
      <c r="H2365" s="1">
        <v>6</v>
      </c>
      <c r="I2365" s="1">
        <f>grand[[#This Row],[number]]-grand[[#This Row],[received]]</f>
        <v>2</v>
      </c>
      <c r="J2365" s="30" t="s">
        <v>641</v>
      </c>
      <c r="K2365" s="2">
        <v>2679</v>
      </c>
      <c r="L2365" s="2">
        <v>2679</v>
      </c>
      <c r="M2365" s="2">
        <f>K2365-L2365</f>
        <v>0</v>
      </c>
      <c r="N2365" s="2">
        <v>1635.5</v>
      </c>
      <c r="O2365" s="2">
        <v>39</v>
      </c>
      <c r="P2365" s="7">
        <f>grand[[#This Row],[total weight]]/grand[[#This Row],[received]]</f>
        <v>446.5</v>
      </c>
      <c r="Q2365" s="7">
        <f>grand[[#This Row],[receiving weight]]/grand[[#This Row],[received]]</f>
        <v>446.5</v>
      </c>
      <c r="R2365" s="7">
        <f>grand[[#This Row],[transportation loss ]]/grand[[#This Row],[received]]</f>
        <v>0</v>
      </c>
      <c r="S2365" s="7">
        <f>grand[[#This Row],[ carcass weight]]/grand[[#This Row],[received]]</f>
        <v>272.58333333333331</v>
      </c>
      <c r="T2365" s="7">
        <f>grand[[#This Row],[ kidneys fat quantity]]/grand[[#This Row],[received]]</f>
        <v>6.5</v>
      </c>
      <c r="U2365" s="1">
        <v>25</v>
      </c>
      <c r="V2365" s="1">
        <v>0</v>
      </c>
      <c r="W2365" s="1">
        <v>49.166666666666671</v>
      </c>
      <c r="X2365" s="1">
        <v>10</v>
      </c>
      <c r="Y2365" s="1">
        <v>8.5</v>
      </c>
      <c r="Z2365" s="18">
        <f>grand[[#This Row],[av. Transportation loss]]/grand[[#This Row],[av.total weight]]</f>
        <v>0</v>
      </c>
      <c r="AA2365" s="12">
        <f>AVERAGE((grand[[#This Row],[am]]/25),(grand[[#This Row],[pm]]/50))</f>
        <v>0.9916666666666667</v>
      </c>
      <c r="AB2365" s="3">
        <f>grand[[#This Row],[ carcass weight]]/grand[[#This Row],[total weight]]</f>
        <v>0.61048898842851806</v>
      </c>
      <c r="AC2365" s="18">
        <f>SUM(grand[[#This Row],[am]:[meat transportation]])/100</f>
        <v>0.92666666666666675</v>
      </c>
      <c r="AK2365" s="1"/>
      <c r="AL2365" s="1"/>
    </row>
    <row r="2366" spans="1:38" hidden="1" x14ac:dyDescent="0.2">
      <c r="A2366" s="11">
        <v>45510</v>
      </c>
      <c r="B2366" s="53" t="s">
        <v>2017</v>
      </c>
      <c r="C2366" s="52" t="str">
        <f>IF(MID(B2366,4,2)="09","Ramadan",IF(AND(MID(B2366,4,2)="12",VALUE(LEFT(B2366,2))&lt;=9),"Adha Season","Normal"))</f>
        <v>Normal</v>
      </c>
      <c r="D2366" s="1" t="s">
        <v>45</v>
      </c>
      <c r="E2366" s="1" t="s">
        <v>483</v>
      </c>
      <c r="F2366" s="4" t="s">
        <v>43</v>
      </c>
      <c r="G2366" s="1">
        <v>60</v>
      </c>
      <c r="H2366" s="1">
        <v>58</v>
      </c>
      <c r="I2366" s="1">
        <f>grand[[#This Row],[number]]-grand[[#This Row],[received]]</f>
        <v>2</v>
      </c>
      <c r="J2366" s="30" t="s">
        <v>642</v>
      </c>
      <c r="K2366" s="2">
        <v>24576</v>
      </c>
      <c r="L2366" s="2">
        <v>24576</v>
      </c>
      <c r="M2366" s="2">
        <f>K2366-L2366</f>
        <v>0</v>
      </c>
      <c r="N2366" s="2">
        <v>14746.5</v>
      </c>
      <c r="O2366" s="2">
        <v>0</v>
      </c>
      <c r="P2366" s="7">
        <f>grand[[#This Row],[total weight]]/grand[[#This Row],[received]]</f>
        <v>423.72413793103448</v>
      </c>
      <c r="Q2366" s="7">
        <f>grand[[#This Row],[receiving weight]]/grand[[#This Row],[received]]</f>
        <v>423.72413793103448</v>
      </c>
      <c r="R2366" s="7">
        <f>grand[[#This Row],[transportation loss ]]/grand[[#This Row],[received]]</f>
        <v>0</v>
      </c>
      <c r="S2366" s="7">
        <f>grand[[#This Row],[ carcass weight]]/grand[[#This Row],[received]]</f>
        <v>254.25</v>
      </c>
      <c r="T2366" s="7">
        <f>grand[[#This Row],[ kidneys fat quantity]]/grand[[#This Row],[received]]</f>
        <v>0</v>
      </c>
      <c r="U2366" s="1">
        <v>24.655172413793103</v>
      </c>
      <c r="V2366" s="1">
        <v>0</v>
      </c>
      <c r="W2366" s="1">
        <v>49.086206896551715</v>
      </c>
      <c r="X2366" s="1">
        <v>10</v>
      </c>
      <c r="Y2366" s="1">
        <v>8.5</v>
      </c>
      <c r="Z2366" s="18">
        <f>grand[[#This Row],[av. Transportation loss]]/grand[[#This Row],[av.total weight]]</f>
        <v>0</v>
      </c>
      <c r="AA2366" s="12">
        <f>AVERAGE((grand[[#This Row],[am]]/25),(grand[[#This Row],[pm]]/50))</f>
        <v>0.98396551724137926</v>
      </c>
      <c r="AB2366" s="3">
        <f>grand[[#This Row],[ carcass weight]]/grand[[#This Row],[total weight]]</f>
        <v>0.60003662109375</v>
      </c>
      <c r="AC2366" s="18">
        <f>SUM(grand[[#This Row],[am]:[meat transportation]])/100</f>
        <v>0.92241379310344829</v>
      </c>
      <c r="AJ2366" s="1">
        <v>25</v>
      </c>
      <c r="AK2366" s="1"/>
      <c r="AL2366" s="1"/>
    </row>
    <row r="2367" spans="1:38" hidden="1" x14ac:dyDescent="0.2">
      <c r="A2367" s="11">
        <v>45542</v>
      </c>
      <c r="B2367" s="53" t="s">
        <v>2035</v>
      </c>
      <c r="C2367" s="52" t="str">
        <f>IF(MID(B2367,4,2)="09","Ramadan",IF(AND(MID(B2367,4,2)="12",VALUE(LEFT(B2367,2))&lt;=9),"Adha Season","Normal"))</f>
        <v>Normal</v>
      </c>
      <c r="D2367" s="1" t="s">
        <v>45</v>
      </c>
      <c r="E2367" s="1" t="s">
        <v>483</v>
      </c>
      <c r="F2367" s="4" t="s">
        <v>43</v>
      </c>
      <c r="G2367" s="1">
        <v>27</v>
      </c>
      <c r="H2367" s="1">
        <v>25</v>
      </c>
      <c r="I2367" s="1">
        <f>grand[[#This Row],[number]]-grand[[#This Row],[received]]</f>
        <v>2</v>
      </c>
      <c r="J2367" s="30" t="s">
        <v>645</v>
      </c>
      <c r="K2367" s="2">
        <v>11812</v>
      </c>
      <c r="L2367" s="2">
        <v>11812</v>
      </c>
      <c r="M2367" s="2">
        <f>K2367-L2367</f>
        <v>0</v>
      </c>
      <c r="N2367" s="2">
        <v>7087.7</v>
      </c>
      <c r="O2367" s="2">
        <v>272</v>
      </c>
      <c r="P2367" s="7">
        <f>grand[[#This Row],[total weight]]/grand[[#This Row],[received]]</f>
        <v>472.48</v>
      </c>
      <c r="Q2367" s="7">
        <f>grand[[#This Row],[receiving weight]]/grand[[#This Row],[received]]</f>
        <v>472.48</v>
      </c>
      <c r="R2367" s="7">
        <f>grand[[#This Row],[transportation loss ]]/grand[[#This Row],[received]]</f>
        <v>0</v>
      </c>
      <c r="S2367" s="7">
        <f>grand[[#This Row],[ carcass weight]]/grand[[#This Row],[received]]</f>
        <v>283.50799999999998</v>
      </c>
      <c r="T2367" s="7">
        <f>grand[[#This Row],[ kidneys fat quantity]]/grand[[#This Row],[received]]</f>
        <v>10.88</v>
      </c>
      <c r="U2367" s="1">
        <v>25</v>
      </c>
      <c r="V2367" s="1">
        <v>0</v>
      </c>
      <c r="W2367" s="1">
        <v>47.4</v>
      </c>
      <c r="X2367" s="1">
        <v>10</v>
      </c>
      <c r="Y2367" s="1">
        <v>8.5</v>
      </c>
      <c r="Z2367" s="18">
        <f>grand[[#This Row],[av. Transportation loss]]/grand[[#This Row],[av.total weight]]</f>
        <v>0</v>
      </c>
      <c r="AA2367" s="12">
        <f>AVERAGE((grand[[#This Row],[am]]/25),(grand[[#This Row],[pm]]/50))</f>
        <v>0.97399999999999998</v>
      </c>
      <c r="AB2367" s="3">
        <f>grand[[#This Row],[ carcass weight]]/grand[[#This Row],[total weight]]</f>
        <v>0.60004232983406702</v>
      </c>
      <c r="AC2367" s="18">
        <f>SUM(grand[[#This Row],[am]:[meat transportation]])/100</f>
        <v>0.90900000000000003</v>
      </c>
      <c r="AJ2367" s="1">
        <v>15</v>
      </c>
      <c r="AK2367" s="1"/>
      <c r="AL2367" s="1"/>
    </row>
    <row r="2368" spans="1:38" hidden="1" x14ac:dyDescent="0.2">
      <c r="A2368" s="11">
        <v>45543</v>
      </c>
      <c r="B2368" s="53" t="s">
        <v>2036</v>
      </c>
      <c r="C2368" s="52" t="str">
        <f>IF(MID(B2368,4,2)="09","Ramadan",IF(AND(MID(B2368,4,2)="12",VALUE(LEFT(B2368,2))&lt;=9),"Adha Season","Normal"))</f>
        <v>Normal</v>
      </c>
      <c r="D2368" s="1" t="s">
        <v>45</v>
      </c>
      <c r="E2368" s="1" t="s">
        <v>528</v>
      </c>
      <c r="F2368" s="4" t="s">
        <v>280</v>
      </c>
      <c r="G2368" s="1">
        <v>49</v>
      </c>
      <c r="H2368" s="1">
        <v>47</v>
      </c>
      <c r="I2368" s="1">
        <f>grand[[#This Row],[number]]-grand[[#This Row],[received]]</f>
        <v>2</v>
      </c>
      <c r="J2368" s="30" t="s">
        <v>646</v>
      </c>
      <c r="K2368" s="2">
        <v>26567</v>
      </c>
      <c r="L2368" s="2">
        <v>26440</v>
      </c>
      <c r="M2368" s="2">
        <f>K2368-L2368</f>
        <v>127</v>
      </c>
      <c r="N2368" s="2">
        <v>16718.5</v>
      </c>
      <c r="O2368" s="2">
        <v>319</v>
      </c>
      <c r="P2368" s="7">
        <f>grand[[#This Row],[total weight]]/grand[[#This Row],[received]]</f>
        <v>565.25531914893622</v>
      </c>
      <c r="Q2368" s="7">
        <f>grand[[#This Row],[receiving weight]]/grand[[#This Row],[received]]</f>
        <v>562.55319148936167</v>
      </c>
      <c r="R2368" s="7">
        <f>grand[[#This Row],[transportation loss ]]/grand[[#This Row],[received]]</f>
        <v>2.7021276595744679</v>
      </c>
      <c r="S2368" s="7">
        <f>grand[[#This Row],[ carcass weight]]/grand[[#This Row],[received]]</f>
        <v>355.71276595744683</v>
      </c>
      <c r="T2368" s="7">
        <f>grand[[#This Row],[ kidneys fat quantity]]/grand[[#This Row],[received]]</f>
        <v>6.7872340425531918</v>
      </c>
      <c r="U2368" s="1">
        <v>24.893617021276597</v>
      </c>
      <c r="V2368" s="1">
        <v>0</v>
      </c>
      <c r="W2368" s="1">
        <v>48.361702127659576</v>
      </c>
      <c r="X2368" s="1">
        <v>10</v>
      </c>
      <c r="Y2368" s="1">
        <v>8.5</v>
      </c>
      <c r="Z2368" s="18">
        <f>grand[[#This Row],[av. Transportation loss]]/grand[[#This Row],[av.total weight]]</f>
        <v>4.7803666202431584E-3</v>
      </c>
      <c r="AA2368" s="12">
        <f>AVERAGE((grand[[#This Row],[am]]/25),(grand[[#This Row],[pm]]/50))</f>
        <v>0.98148936170212775</v>
      </c>
      <c r="AB2368" s="3">
        <f>grand[[#This Row],[ carcass weight]]/grand[[#This Row],[total weight]]</f>
        <v>0.62929574283886025</v>
      </c>
      <c r="AC2368" s="18">
        <f>SUM(grand[[#This Row],[am]:[meat transportation]])/100</f>
        <v>0.91755319148936165</v>
      </c>
      <c r="AJ2368" s="1">
        <v>20</v>
      </c>
      <c r="AK2368" s="1"/>
      <c r="AL2368" s="1"/>
    </row>
    <row r="2369" spans="1:38" hidden="1" x14ac:dyDescent="0.2">
      <c r="A2369" s="11">
        <v>45561</v>
      </c>
      <c r="B2369" s="53" t="s">
        <v>2050</v>
      </c>
      <c r="C2369" s="52" t="str">
        <f>IF(MID(B2369,4,2)="09","Ramadan",IF(AND(MID(B2369,4,2)="12",VALUE(LEFT(B2369,2))&lt;=9),"Adha Season","Normal"))</f>
        <v>Normal</v>
      </c>
      <c r="D2369" s="1" t="s">
        <v>45</v>
      </c>
      <c r="E2369" s="1" t="s">
        <v>528</v>
      </c>
      <c r="F2369" s="4" t="s">
        <v>576</v>
      </c>
      <c r="G2369" s="1">
        <v>60</v>
      </c>
      <c r="H2369" s="1">
        <v>58</v>
      </c>
      <c r="I2369" s="1">
        <f>grand[[#This Row],[number]]-grand[[#This Row],[received]]</f>
        <v>2</v>
      </c>
      <c r="J2369" s="30" t="s">
        <v>455</v>
      </c>
      <c r="K2369" s="60">
        <v>29400</v>
      </c>
      <c r="L2369" s="62">
        <v>28942</v>
      </c>
      <c r="M2369" s="2">
        <f>K2369-L2369</f>
        <v>458</v>
      </c>
      <c r="N2369" s="2">
        <v>17806.3</v>
      </c>
      <c r="O2369" s="2">
        <v>495</v>
      </c>
      <c r="P2369" s="7">
        <f>grand[[#This Row],[total weight]]/grand[[#This Row],[received]]</f>
        <v>506.89655172413791</v>
      </c>
      <c r="Q2369" s="7">
        <f>grand[[#This Row],[receiving weight]]/grand[[#This Row],[received]]</f>
        <v>499</v>
      </c>
      <c r="R2369" s="7">
        <f>grand[[#This Row],[transportation loss ]]/grand[[#This Row],[received]]</f>
        <v>7.8965517241379306</v>
      </c>
      <c r="S2369" s="7">
        <f>grand[[#This Row],[ carcass weight]]/grand[[#This Row],[received]]</f>
        <v>307.0051724137931</v>
      </c>
      <c r="T2369" s="7">
        <f>grand[[#This Row],[ kidneys fat quantity]]/grand[[#This Row],[received]]</f>
        <v>8.5344827586206904</v>
      </c>
      <c r="U2369" s="1">
        <v>25</v>
      </c>
      <c r="V2369" s="1">
        <v>0</v>
      </c>
      <c r="W2369" s="1">
        <v>47.172413793103445</v>
      </c>
      <c r="X2369" s="1">
        <v>9.9137931034482758</v>
      </c>
      <c r="Y2369" s="1">
        <v>8.5</v>
      </c>
      <c r="Z2369" s="18">
        <f>grand[[#This Row],[av. Transportation loss]]/grand[[#This Row],[av.total weight]]</f>
        <v>1.5578231292517007E-2</v>
      </c>
      <c r="AA2369" s="12">
        <f>AVERAGE((grand[[#This Row],[am]]/25),(grand[[#This Row],[pm]]/50))</f>
        <v>0.9717241379310344</v>
      </c>
      <c r="AB2369" s="3">
        <f>grand[[#This Row],[ carcass weight]]/grand[[#This Row],[total weight]]</f>
        <v>0.60565646258503403</v>
      </c>
      <c r="AC2369" s="18">
        <f>SUM(grand[[#This Row],[am]:[meat transportation]])/100</f>
        <v>0.90586206896551713</v>
      </c>
      <c r="AJ2369" s="1">
        <v>32</v>
      </c>
      <c r="AK2369" s="1"/>
      <c r="AL2369" s="1"/>
    </row>
    <row r="2370" spans="1:38" hidden="1" x14ac:dyDescent="0.2">
      <c r="A2370" s="11">
        <v>45563</v>
      </c>
      <c r="B2370" s="53" t="s">
        <v>2051</v>
      </c>
      <c r="C2370" s="52" t="str">
        <f>IF(MID(B2370,4,2)="09","Ramadan",IF(AND(MID(B2370,4,2)="12",VALUE(LEFT(B2370,2))&lt;=9),"Adha Season","Normal"))</f>
        <v>Normal</v>
      </c>
      <c r="D2370" s="1" t="s">
        <v>45</v>
      </c>
      <c r="E2370" s="1" t="s">
        <v>483</v>
      </c>
      <c r="F2370" s="4" t="s">
        <v>640</v>
      </c>
      <c r="G2370" s="1">
        <v>26</v>
      </c>
      <c r="H2370" s="1">
        <v>24</v>
      </c>
      <c r="I2370" s="1">
        <f>grand[[#This Row],[number]]-grand[[#This Row],[received]]</f>
        <v>2</v>
      </c>
      <c r="J2370" s="30" t="s">
        <v>647</v>
      </c>
      <c r="K2370" s="2">
        <v>10509</v>
      </c>
      <c r="L2370" s="2">
        <v>10509</v>
      </c>
      <c r="M2370" s="2">
        <f>K2370-L2370</f>
        <v>0</v>
      </c>
      <c r="N2370" s="2">
        <v>6408.4</v>
      </c>
      <c r="O2370" s="2">
        <v>145</v>
      </c>
      <c r="P2370" s="7">
        <f>grand[[#This Row],[total weight]]/grand[[#This Row],[received]]</f>
        <v>437.875</v>
      </c>
      <c r="Q2370" s="7">
        <f>grand[[#This Row],[receiving weight]]/grand[[#This Row],[received]]</f>
        <v>437.875</v>
      </c>
      <c r="R2370" s="7">
        <f>grand[[#This Row],[transportation loss ]]/grand[[#This Row],[received]]</f>
        <v>0</v>
      </c>
      <c r="S2370" s="7">
        <f>grand[[#This Row],[ carcass weight]]/grand[[#This Row],[received]]</f>
        <v>267.01666666666665</v>
      </c>
      <c r="T2370" s="7">
        <f>grand[[#This Row],[ kidneys fat quantity]]/grand[[#This Row],[received]]</f>
        <v>6.041666666666667</v>
      </c>
      <c r="U2370" s="1">
        <v>25</v>
      </c>
      <c r="V2370" s="1">
        <v>0</v>
      </c>
      <c r="W2370" s="1">
        <v>49.291666666666664</v>
      </c>
      <c r="X2370" s="1">
        <v>10</v>
      </c>
      <c r="Y2370" s="1">
        <v>8.5</v>
      </c>
      <c r="Z2370" s="18">
        <f>grand[[#This Row],[av. Transportation loss]]/grand[[#This Row],[av.total weight]]</f>
        <v>0</v>
      </c>
      <c r="AA2370" s="12">
        <f>AVERAGE((grand[[#This Row],[am]]/25),(grand[[#This Row],[pm]]/50))</f>
        <v>0.99291666666666667</v>
      </c>
      <c r="AB2370" s="3">
        <f>grand[[#This Row],[ carcass weight]]/grand[[#This Row],[total weight]]</f>
        <v>0.60980112284708343</v>
      </c>
      <c r="AC2370" s="18">
        <f>SUM(grand[[#This Row],[am]:[meat transportation]])/100</f>
        <v>0.92791666666666661</v>
      </c>
      <c r="AJ2370" s="1">
        <v>5</v>
      </c>
      <c r="AK2370" s="1"/>
      <c r="AL2370" s="1"/>
    </row>
    <row r="2371" spans="1:38" hidden="1" x14ac:dyDescent="0.2">
      <c r="A2371" s="11">
        <v>45588</v>
      </c>
      <c r="B2371" s="53" t="s">
        <v>2068</v>
      </c>
      <c r="C2371" s="52" t="str">
        <f>IF(MID(B2371,4,2)="09","Ramadan",IF(AND(MID(B2371,4,2)="12",VALUE(LEFT(B2371,2))&lt;=9),"Adha Season","Normal"))</f>
        <v>Normal</v>
      </c>
      <c r="D2371" s="1" t="s">
        <v>45</v>
      </c>
      <c r="E2371" s="1" t="s">
        <v>483</v>
      </c>
      <c r="F2371" s="4" t="s">
        <v>43</v>
      </c>
      <c r="G2371" s="1">
        <v>26</v>
      </c>
      <c r="H2371" s="1">
        <v>24</v>
      </c>
      <c r="I2371" s="1">
        <f>grand[[#This Row],[number]]-grand[[#This Row],[received]]</f>
        <v>2</v>
      </c>
      <c r="J2371" s="30" t="s">
        <v>1142</v>
      </c>
      <c r="K2371" s="2">
        <v>11299</v>
      </c>
      <c r="L2371" s="2">
        <v>11005</v>
      </c>
      <c r="M2371" s="2">
        <f>K2371-L2371</f>
        <v>294</v>
      </c>
      <c r="N2371" s="2">
        <v>6779</v>
      </c>
      <c r="O2371" s="2">
        <v>222</v>
      </c>
      <c r="P2371" s="7">
        <f>grand[[#This Row],[total weight]]/grand[[#This Row],[received]]</f>
        <v>470.79166666666669</v>
      </c>
      <c r="Q2371" s="7">
        <f>grand[[#This Row],[receiving weight]]/grand[[#This Row],[received]]</f>
        <v>458.54166666666669</v>
      </c>
      <c r="R2371" s="7">
        <f>grand[[#This Row],[transportation loss ]]/grand[[#This Row],[received]]</f>
        <v>12.25</v>
      </c>
      <c r="S2371" s="7">
        <f>grand[[#This Row],[ carcass weight]]/grand[[#This Row],[received]]</f>
        <v>282.45833333333331</v>
      </c>
      <c r="T2371" s="7">
        <f>grand[[#This Row],[ kidneys fat quantity]]/grand[[#This Row],[received]]</f>
        <v>9.25</v>
      </c>
      <c r="U2371" s="1">
        <v>25</v>
      </c>
      <c r="V2371" s="1">
        <v>0</v>
      </c>
      <c r="W2371" s="1">
        <v>48.041666666666664</v>
      </c>
      <c r="X2371" s="1">
        <v>10</v>
      </c>
      <c r="Y2371" s="1">
        <v>8.5</v>
      </c>
      <c r="Z2371" s="18">
        <f>grand[[#This Row],[av. Transportation loss]]/grand[[#This Row],[av.total weight]]</f>
        <v>2.6020001770068146E-2</v>
      </c>
      <c r="AA2371" s="12">
        <f>AVERAGE((grand[[#This Row],[am]]/25),(grand[[#This Row],[pm]]/50))</f>
        <v>0.98041666666666671</v>
      </c>
      <c r="AB2371" s="3">
        <f>grand[[#This Row],[ carcass weight]]/grand[[#This Row],[total weight]]</f>
        <v>0.59996459863704754</v>
      </c>
      <c r="AC2371" s="18">
        <f>SUM(grand[[#This Row],[am]:[meat transportation]])/100</f>
        <v>0.91541666666666655</v>
      </c>
      <c r="AJ2371" s="1">
        <v>14</v>
      </c>
      <c r="AK2371" s="1"/>
      <c r="AL2371" s="1"/>
    </row>
    <row r="2372" spans="1:38" hidden="1" x14ac:dyDescent="0.2">
      <c r="A2372" s="11">
        <v>45621</v>
      </c>
      <c r="B2372" s="53" t="s">
        <v>2091</v>
      </c>
      <c r="C2372" s="52" t="str">
        <f>IF(MID(B2372,4,2)="09","Ramadan",IF(AND(MID(B2372,4,2)="12",VALUE(LEFT(B2372,2))&lt;=9),"Adha Season","Normal"))</f>
        <v>Normal</v>
      </c>
      <c r="D2372" s="1" t="s">
        <v>45</v>
      </c>
      <c r="E2372" s="1" t="s">
        <v>483</v>
      </c>
      <c r="F2372" s="4" t="s">
        <v>39</v>
      </c>
      <c r="G2372" s="1">
        <v>37</v>
      </c>
      <c r="H2372" s="1">
        <v>35</v>
      </c>
      <c r="I2372" s="1">
        <f>grand[[#This Row],[number]]-grand[[#This Row],[received]]</f>
        <v>2</v>
      </c>
      <c r="J2372" s="30" t="s">
        <v>654</v>
      </c>
      <c r="K2372" s="2">
        <v>14608.860759493668</v>
      </c>
      <c r="L2372" s="2">
        <v>14608.860759493668</v>
      </c>
      <c r="M2372" s="2">
        <f>K2372-L2372</f>
        <v>0</v>
      </c>
      <c r="N2372" s="2">
        <v>9232.7999999999993</v>
      </c>
      <c r="O2372" s="2">
        <v>0</v>
      </c>
      <c r="P2372" s="7">
        <f>grand[[#This Row],[total weight]]/grand[[#This Row],[received]]</f>
        <v>417.39602169981907</v>
      </c>
      <c r="Q2372" s="7">
        <f>grand[[#This Row],[receiving weight]]/grand[[#This Row],[received]]</f>
        <v>417.39602169981907</v>
      </c>
      <c r="R2372" s="7">
        <f>grand[[#This Row],[transportation loss ]]/grand[[#This Row],[received]]</f>
        <v>0</v>
      </c>
      <c r="S2372" s="7">
        <f>grand[[#This Row],[ carcass weight]]/grand[[#This Row],[received]]</f>
        <v>263.79428571428571</v>
      </c>
      <c r="T2372" s="7">
        <f>grand[[#This Row],[ kidneys fat quantity]]/grand[[#This Row],[received]]</f>
        <v>0</v>
      </c>
      <c r="U2372" s="1">
        <v>25</v>
      </c>
      <c r="V2372" s="1">
        <v>5</v>
      </c>
      <c r="W2372" s="1">
        <v>49.142857142857139</v>
      </c>
      <c r="X2372" s="1">
        <v>10</v>
      </c>
      <c r="Y2372" s="1">
        <v>8.5</v>
      </c>
      <c r="Z2372" s="18">
        <f>grand[[#This Row],[av. Transportation loss]]/grand[[#This Row],[av.total weight]]</f>
        <v>0</v>
      </c>
      <c r="AA2372" s="12">
        <f>AVERAGE((grand[[#This Row],[am]]/25),(grand[[#This Row],[pm]]/50))</f>
        <v>0.99142857142857133</v>
      </c>
      <c r="AB2372" s="3">
        <f>grand[[#This Row],[ carcass weight]]/grand[[#This Row],[total weight]]</f>
        <v>0.63200000000000012</v>
      </c>
      <c r="AC2372" s="18">
        <f>SUM(grand[[#This Row],[am]:[meat transportation]])/100</f>
        <v>0.97642857142857142</v>
      </c>
      <c r="AK2372" s="1"/>
      <c r="AL2372" s="1"/>
    </row>
    <row r="2373" spans="1:38" hidden="1" x14ac:dyDescent="0.2">
      <c r="A2373" s="11">
        <v>45624</v>
      </c>
      <c r="B2373" s="53" t="s">
        <v>2093</v>
      </c>
      <c r="C2373" s="52" t="str">
        <f>IF(MID(B2373,4,2)="09","Ramadan",IF(AND(MID(B2373,4,2)="12",VALUE(LEFT(B2373,2))&lt;=9),"Adha Season","Normal"))</f>
        <v>Normal</v>
      </c>
      <c r="D2373" s="1" t="s">
        <v>45</v>
      </c>
      <c r="E2373" s="1" t="s">
        <v>483</v>
      </c>
      <c r="F2373" s="4" t="s">
        <v>43</v>
      </c>
      <c r="G2373" s="1">
        <v>72</v>
      </c>
      <c r="H2373" s="1">
        <v>70</v>
      </c>
      <c r="I2373" s="1">
        <f>grand[[#This Row],[number]]-grand[[#This Row],[received]]</f>
        <v>2</v>
      </c>
      <c r="J2373" s="30" t="s">
        <v>655</v>
      </c>
      <c r="K2373" s="2">
        <v>33451</v>
      </c>
      <c r="L2373" s="2">
        <v>32146</v>
      </c>
      <c r="M2373" s="2">
        <f>K2373-L2373</f>
        <v>1305</v>
      </c>
      <c r="N2373" s="2">
        <v>20070.5</v>
      </c>
      <c r="O2373" s="2">
        <v>696</v>
      </c>
      <c r="P2373" s="7">
        <f>grand[[#This Row],[total weight]]/grand[[#This Row],[received]]</f>
        <v>477.87142857142857</v>
      </c>
      <c r="Q2373" s="7">
        <f>grand[[#This Row],[receiving weight]]/grand[[#This Row],[received]]</f>
        <v>459.22857142857146</v>
      </c>
      <c r="R2373" s="7">
        <f>grand[[#This Row],[transportation loss ]]/grand[[#This Row],[received]]</f>
        <v>18.642857142857142</v>
      </c>
      <c r="S2373" s="7">
        <f>grand[[#This Row],[ carcass weight]]/grand[[#This Row],[received]]</f>
        <v>286.72142857142859</v>
      </c>
      <c r="T2373" s="7">
        <f>grand[[#This Row],[ kidneys fat quantity]]/grand[[#This Row],[received]]</f>
        <v>9.9428571428571431</v>
      </c>
      <c r="U2373" s="1">
        <v>25</v>
      </c>
      <c r="V2373" s="1">
        <v>0</v>
      </c>
      <c r="W2373" s="1">
        <v>48.728571428571428</v>
      </c>
      <c r="X2373" s="1">
        <v>10</v>
      </c>
      <c r="Y2373" s="1">
        <v>8.5</v>
      </c>
      <c r="Z2373" s="18">
        <f>grand[[#This Row],[av. Transportation loss]]/grand[[#This Row],[av.total weight]]</f>
        <v>3.9012286628202442E-2</v>
      </c>
      <c r="AA2373" s="12">
        <f>AVERAGE((grand[[#This Row],[am]]/25),(grand[[#This Row],[pm]]/50))</f>
        <v>0.98728571428571432</v>
      </c>
      <c r="AB2373" s="3">
        <f>grand[[#This Row],[ carcass weight]]/grand[[#This Row],[total weight]]</f>
        <v>0.59999701055274879</v>
      </c>
      <c r="AC2373" s="18">
        <f>SUM(grand[[#This Row],[am]:[meat transportation]])/100</f>
        <v>0.92228571428571426</v>
      </c>
      <c r="AJ2373" s="1">
        <v>26</v>
      </c>
      <c r="AK2373" s="1"/>
      <c r="AL2373" s="1"/>
    </row>
    <row r="2374" spans="1:38" hidden="1" x14ac:dyDescent="0.2">
      <c r="A2374" s="11">
        <v>45631</v>
      </c>
      <c r="B2374" s="53" t="s">
        <v>2098</v>
      </c>
      <c r="C2374" s="52" t="str">
        <f>IF(MID(B2374,4,2)="09","Ramadan",IF(AND(MID(B2374,4,2)="12",VALUE(LEFT(B2374,2))&lt;=9),"Adha Season","Normal"))</f>
        <v>Normal</v>
      </c>
      <c r="D2374" s="1" t="s">
        <v>45</v>
      </c>
      <c r="E2374" s="1" t="s">
        <v>483</v>
      </c>
      <c r="F2374" s="4" t="s">
        <v>576</v>
      </c>
      <c r="G2374" s="1">
        <v>32</v>
      </c>
      <c r="H2374" s="1">
        <v>30</v>
      </c>
      <c r="I2374" s="1">
        <f>grand[[#This Row],[number]]-grand[[#This Row],[received]]</f>
        <v>2</v>
      </c>
      <c r="J2374" s="30" t="s">
        <v>658</v>
      </c>
      <c r="K2374" s="2">
        <v>15836</v>
      </c>
      <c r="L2374" s="2">
        <v>15836</v>
      </c>
      <c r="M2374" s="2">
        <f>K2374-L2374</f>
        <v>0</v>
      </c>
      <c r="N2374" s="2">
        <v>9908</v>
      </c>
      <c r="O2374" s="2">
        <v>327</v>
      </c>
      <c r="P2374" s="7">
        <f>grand[[#This Row],[total weight]]/grand[[#This Row],[received]]</f>
        <v>527.86666666666667</v>
      </c>
      <c r="Q2374" s="7">
        <f>grand[[#This Row],[receiving weight]]/grand[[#This Row],[received]]</f>
        <v>527.86666666666667</v>
      </c>
      <c r="R2374" s="7">
        <f>grand[[#This Row],[transportation loss ]]/grand[[#This Row],[received]]</f>
        <v>0</v>
      </c>
      <c r="S2374" s="7">
        <f>grand[[#This Row],[ carcass weight]]/grand[[#This Row],[received]]</f>
        <v>330.26666666666665</v>
      </c>
      <c r="T2374" s="7">
        <f>grand[[#This Row],[ kidneys fat quantity]]/grand[[#This Row],[received]]</f>
        <v>10.9</v>
      </c>
      <c r="U2374" s="1">
        <v>25</v>
      </c>
      <c r="V2374" s="1">
        <v>0</v>
      </c>
      <c r="W2374" s="1">
        <v>45.566666666666663</v>
      </c>
      <c r="X2374" s="1">
        <v>10</v>
      </c>
      <c r="Y2374" s="1">
        <v>8.5</v>
      </c>
      <c r="Z2374" s="18">
        <f>grand[[#This Row],[av. Transportation loss]]/grand[[#This Row],[av.total weight]]</f>
        <v>0</v>
      </c>
      <c r="AA2374" s="12">
        <f>AVERAGE((grand[[#This Row],[am]]/25),(grand[[#This Row],[pm]]/50))</f>
        <v>0.95566666666666666</v>
      </c>
      <c r="AB2374" s="3">
        <f>grand[[#This Row],[ carcass weight]]/grand[[#This Row],[total weight]]</f>
        <v>0.62566304622379387</v>
      </c>
      <c r="AC2374" s="18">
        <f>SUM(grand[[#This Row],[am]:[meat transportation]])/100</f>
        <v>0.89066666666666661</v>
      </c>
      <c r="AJ2374" s="1">
        <v>13</v>
      </c>
      <c r="AK2374" s="1"/>
      <c r="AL2374" s="1"/>
    </row>
    <row r="2375" spans="1:38" hidden="1" x14ac:dyDescent="0.2">
      <c r="A2375" s="11">
        <v>45635</v>
      </c>
      <c r="B2375" s="53" t="s">
        <v>2101</v>
      </c>
      <c r="C2375" s="52" t="str">
        <f>IF(MID(B2375,4,2)="09","Ramadan",IF(AND(MID(B2375,4,2)="12",VALUE(LEFT(B2375,2))&lt;=9),"Adha Season","Normal"))</f>
        <v>Normal</v>
      </c>
      <c r="D2375" s="1" t="s">
        <v>45</v>
      </c>
      <c r="E2375" s="1" t="s">
        <v>483</v>
      </c>
      <c r="F2375" s="4" t="s">
        <v>39</v>
      </c>
      <c r="G2375" s="1">
        <v>32</v>
      </c>
      <c r="H2375" s="1">
        <v>30</v>
      </c>
      <c r="I2375" s="1">
        <f>grand[[#This Row],[number]]-grand[[#This Row],[received]]</f>
        <v>2</v>
      </c>
      <c r="J2375" s="30" t="s">
        <v>660</v>
      </c>
      <c r="K2375" s="2">
        <v>12224.050632911392</v>
      </c>
      <c r="L2375" s="2">
        <v>12224.050632911392</v>
      </c>
      <c r="M2375" s="2">
        <f>K2375-L2375</f>
        <v>0</v>
      </c>
      <c r="N2375" s="2">
        <v>7725.6</v>
      </c>
      <c r="O2375" s="2">
        <v>0</v>
      </c>
      <c r="P2375" s="7">
        <f>grand[[#This Row],[total weight]]/grand[[#This Row],[received]]</f>
        <v>407.46835443037975</v>
      </c>
      <c r="Q2375" s="7">
        <f>grand[[#This Row],[receiving weight]]/grand[[#This Row],[received]]</f>
        <v>407.46835443037975</v>
      </c>
      <c r="R2375" s="7">
        <f>grand[[#This Row],[transportation loss ]]/grand[[#This Row],[received]]</f>
        <v>0</v>
      </c>
      <c r="S2375" s="7">
        <f>grand[[#This Row],[ carcass weight]]/grand[[#This Row],[received]]</f>
        <v>257.52000000000004</v>
      </c>
      <c r="T2375" s="7">
        <f>grand[[#This Row],[ kidneys fat quantity]]/grand[[#This Row],[received]]</f>
        <v>0</v>
      </c>
      <c r="U2375" s="1">
        <v>25</v>
      </c>
      <c r="V2375" s="1">
        <v>5</v>
      </c>
      <c r="W2375" s="1">
        <v>50</v>
      </c>
      <c r="X2375" s="1">
        <v>10</v>
      </c>
      <c r="Y2375" s="1">
        <v>8.5</v>
      </c>
      <c r="Z2375" s="18">
        <f>grand[[#This Row],[av. Transportation loss]]/grand[[#This Row],[av.total weight]]</f>
        <v>0</v>
      </c>
      <c r="AA2375" s="12">
        <f>AVERAGE((grand[[#This Row],[am]]/25),(grand[[#This Row],[pm]]/50))</f>
        <v>1</v>
      </c>
      <c r="AB2375" s="3">
        <f>grand[[#This Row],[ carcass weight]]/grand[[#This Row],[total weight]]</f>
        <v>0.63200000000000001</v>
      </c>
      <c r="AC2375" s="18">
        <f>SUM(grand[[#This Row],[am]:[meat transportation]])/100</f>
        <v>0.98499999999999999</v>
      </c>
      <c r="AK2375" s="1"/>
      <c r="AL2375" s="1"/>
    </row>
    <row r="2376" spans="1:38" hidden="1" x14ac:dyDescent="0.2">
      <c r="A2376" s="11">
        <v>45648</v>
      </c>
      <c r="B2376" s="53" t="s">
        <v>2110</v>
      </c>
      <c r="C2376" s="52" t="str">
        <f>IF(MID(B2376,4,2)="09","Ramadan",IF(AND(MID(B2376,4,2)="12",VALUE(LEFT(B2376,2))&lt;=9),"Adha Season","Normal"))</f>
        <v>Normal</v>
      </c>
      <c r="D2376" s="1" t="s">
        <v>45</v>
      </c>
      <c r="E2376" s="1" t="s">
        <v>483</v>
      </c>
      <c r="F2376" s="4" t="s">
        <v>43</v>
      </c>
      <c r="G2376" s="1">
        <v>56</v>
      </c>
      <c r="H2376" s="1">
        <v>54</v>
      </c>
      <c r="I2376" s="1">
        <f>grand[[#This Row],[number]]-grand[[#This Row],[received]]</f>
        <v>2</v>
      </c>
      <c r="J2376" s="30" t="s">
        <v>1143</v>
      </c>
      <c r="K2376" s="2">
        <v>25542</v>
      </c>
      <c r="L2376" s="2">
        <v>25542</v>
      </c>
      <c r="M2376" s="2">
        <f>K2376-L2376</f>
        <v>0</v>
      </c>
      <c r="N2376" s="2">
        <v>15337.3</v>
      </c>
      <c r="O2376" s="2">
        <v>480</v>
      </c>
      <c r="P2376" s="7">
        <f>grand[[#This Row],[total weight]]/grand[[#This Row],[received]]</f>
        <v>473</v>
      </c>
      <c r="Q2376" s="7">
        <f>grand[[#This Row],[receiving weight]]/grand[[#This Row],[received]]</f>
        <v>473</v>
      </c>
      <c r="R2376" s="7">
        <f>grand[[#This Row],[transportation loss ]]/grand[[#This Row],[received]]</f>
        <v>0</v>
      </c>
      <c r="S2376" s="7">
        <f>grand[[#This Row],[ carcass weight]]/grand[[#This Row],[received]]</f>
        <v>284.02407407407406</v>
      </c>
      <c r="T2376" s="7">
        <f>grand[[#This Row],[ kidneys fat quantity]]/grand[[#This Row],[received]]</f>
        <v>8.8888888888888893</v>
      </c>
      <c r="U2376" s="1">
        <v>25</v>
      </c>
      <c r="V2376" s="1">
        <v>0</v>
      </c>
      <c r="W2376" s="1">
        <v>48.203703703703695</v>
      </c>
      <c r="X2376" s="1">
        <v>10</v>
      </c>
      <c r="Y2376" s="1">
        <v>8.5</v>
      </c>
      <c r="Z2376" s="18">
        <f>grand[[#This Row],[av. Transportation loss]]/grand[[#This Row],[av.total weight]]</f>
        <v>0</v>
      </c>
      <c r="AA2376" s="12">
        <f>AVERAGE((grand[[#This Row],[am]]/25),(grand[[#This Row],[pm]]/50))</f>
        <v>0.98203703703703693</v>
      </c>
      <c r="AB2376" s="3">
        <f>grand[[#This Row],[ carcass weight]]/grand[[#This Row],[total weight]]</f>
        <v>0.60047372954349698</v>
      </c>
      <c r="AC2376" s="18">
        <f>SUM(grand[[#This Row],[am]:[meat transportation]])/100</f>
        <v>0.91703703703703698</v>
      </c>
      <c r="AJ2376" s="1">
        <v>21</v>
      </c>
      <c r="AK2376" s="1"/>
      <c r="AL2376" s="1"/>
    </row>
    <row r="2377" spans="1:38" hidden="1" x14ac:dyDescent="0.2">
      <c r="A2377" s="11">
        <v>45651</v>
      </c>
      <c r="B2377" s="53" t="s">
        <v>2112</v>
      </c>
      <c r="C2377" s="52" t="str">
        <f>IF(MID(B2377,4,2)="09","Ramadan",IF(AND(MID(B2377,4,2)="12",VALUE(LEFT(B2377,2))&lt;=9),"Adha Season","Normal"))</f>
        <v>Normal</v>
      </c>
      <c r="D2377" s="1" t="s">
        <v>45</v>
      </c>
      <c r="E2377" s="1" t="s">
        <v>483</v>
      </c>
      <c r="F2377" s="4" t="s">
        <v>640</v>
      </c>
      <c r="G2377" s="1">
        <v>8</v>
      </c>
      <c r="H2377" s="1">
        <v>6</v>
      </c>
      <c r="I2377" s="1">
        <f>grand[[#This Row],[number]]-grand[[#This Row],[received]]</f>
        <v>2</v>
      </c>
      <c r="J2377" s="30" t="s">
        <v>663</v>
      </c>
      <c r="K2377" s="2">
        <v>2794</v>
      </c>
      <c r="L2377" s="2">
        <v>2687</v>
      </c>
      <c r="M2377" s="2">
        <f>K2377-L2377</f>
        <v>107</v>
      </c>
      <c r="N2377" s="2">
        <v>1719</v>
      </c>
      <c r="O2377" s="2">
        <v>42</v>
      </c>
      <c r="P2377" s="7">
        <f>grand[[#This Row],[total weight]]/grand[[#This Row],[received]]</f>
        <v>465.66666666666669</v>
      </c>
      <c r="Q2377" s="7">
        <f>grand[[#This Row],[receiving weight]]/grand[[#This Row],[received]]</f>
        <v>447.83333333333331</v>
      </c>
      <c r="R2377" s="7">
        <f>grand[[#This Row],[transportation loss ]]/grand[[#This Row],[received]]</f>
        <v>17.833333333333332</v>
      </c>
      <c r="S2377" s="7">
        <f>grand[[#This Row],[ carcass weight]]/grand[[#This Row],[received]]</f>
        <v>286.5</v>
      </c>
      <c r="T2377" s="7">
        <f>grand[[#This Row],[ kidneys fat quantity]]/grand[[#This Row],[received]]</f>
        <v>7</v>
      </c>
      <c r="U2377" s="1">
        <v>25</v>
      </c>
      <c r="V2377" s="1">
        <v>0</v>
      </c>
      <c r="W2377" s="1">
        <v>50</v>
      </c>
      <c r="X2377" s="1">
        <v>10</v>
      </c>
      <c r="Y2377" s="1">
        <v>8.5</v>
      </c>
      <c r="Z2377" s="18">
        <f>grand[[#This Row],[av. Transportation loss]]/grand[[#This Row],[av.total weight]]</f>
        <v>3.8296349319971362E-2</v>
      </c>
      <c r="AA2377" s="12">
        <f>AVERAGE((grand[[#This Row],[am]]/25),(grand[[#This Row],[pm]]/50))</f>
        <v>1</v>
      </c>
      <c r="AB2377" s="3">
        <f>grand[[#This Row],[ carcass weight]]/grand[[#This Row],[total weight]]</f>
        <v>0.61524695776664284</v>
      </c>
      <c r="AC2377" s="18">
        <f>SUM(grand[[#This Row],[am]:[meat transportation]])/100</f>
        <v>0.93500000000000005</v>
      </c>
      <c r="AK2377" s="1"/>
      <c r="AL2377" s="1"/>
    </row>
    <row r="2378" spans="1:38" hidden="1" x14ac:dyDescent="0.2">
      <c r="A2378" s="11">
        <v>45656</v>
      </c>
      <c r="B2378" s="53" t="s">
        <v>2116</v>
      </c>
      <c r="C2378" s="52" t="str">
        <f>IF(MID(B2378,4,2)="09","Ramadan",IF(AND(MID(B2378,4,2)="12",VALUE(LEFT(B2378,2))&lt;=9),"Adha Season","Normal"))</f>
        <v>Normal</v>
      </c>
      <c r="D2378" s="1" t="s">
        <v>45</v>
      </c>
      <c r="E2378" s="1" t="s">
        <v>483</v>
      </c>
      <c r="F2378" s="4" t="s">
        <v>43</v>
      </c>
      <c r="G2378" s="1">
        <v>32</v>
      </c>
      <c r="H2378" s="1">
        <v>30</v>
      </c>
      <c r="I2378" s="1">
        <f>grand[[#This Row],[number]]-grand[[#This Row],[received]]</f>
        <v>2</v>
      </c>
      <c r="J2378" s="30" t="s">
        <v>665</v>
      </c>
      <c r="K2378" s="2">
        <v>15014</v>
      </c>
      <c r="L2378" s="2">
        <v>14618</v>
      </c>
      <c r="M2378" s="2">
        <f>K2378-L2378</f>
        <v>396</v>
      </c>
      <c r="N2378" s="2">
        <v>9008.7000000000007</v>
      </c>
      <c r="O2378" s="2">
        <v>332</v>
      </c>
      <c r="P2378" s="7">
        <f>grand[[#This Row],[total weight]]/grand[[#This Row],[received]]</f>
        <v>500.46666666666664</v>
      </c>
      <c r="Q2378" s="7">
        <f>grand[[#This Row],[receiving weight]]/grand[[#This Row],[received]]</f>
        <v>487.26666666666665</v>
      </c>
      <c r="R2378" s="7">
        <f>grand[[#This Row],[transportation loss ]]/grand[[#This Row],[received]]</f>
        <v>13.2</v>
      </c>
      <c r="S2378" s="7">
        <f>grand[[#This Row],[ carcass weight]]/grand[[#This Row],[received]]</f>
        <v>300.29000000000002</v>
      </c>
      <c r="T2378" s="7">
        <f>grand[[#This Row],[ kidneys fat quantity]]/grand[[#This Row],[received]]</f>
        <v>11.066666666666666</v>
      </c>
      <c r="U2378" s="1">
        <v>25</v>
      </c>
      <c r="V2378" s="1">
        <v>0</v>
      </c>
      <c r="W2378" s="1">
        <v>47.233333333333327</v>
      </c>
      <c r="X2378" s="1">
        <v>10</v>
      </c>
      <c r="Y2378" s="1">
        <v>8.5</v>
      </c>
      <c r="Z2378" s="18">
        <f>grand[[#This Row],[av. Transportation loss]]/grand[[#This Row],[av.total weight]]</f>
        <v>2.6375382975889171E-2</v>
      </c>
      <c r="AA2378" s="12">
        <f>AVERAGE((grand[[#This Row],[am]]/25),(grand[[#This Row],[pm]]/50))</f>
        <v>0.97233333333333327</v>
      </c>
      <c r="AB2378" s="3">
        <f>grand[[#This Row],[ carcass weight]]/grand[[#This Row],[total weight]]</f>
        <v>0.60001998135073931</v>
      </c>
      <c r="AC2378" s="18">
        <f>SUM(grand[[#This Row],[am]:[meat transportation]])/100</f>
        <v>0.90733333333333321</v>
      </c>
      <c r="AJ2378" s="1">
        <v>16</v>
      </c>
      <c r="AK2378" s="1"/>
      <c r="AL2378" s="1"/>
    </row>
    <row r="2379" spans="1:38" hidden="1" x14ac:dyDescent="0.2">
      <c r="A2379" s="11">
        <v>46202</v>
      </c>
      <c r="B2379" s="53" t="str">
        <f>TEXT(grand[[#This Row],[date]],"[$-ar-SA,6]dd/mm/yyyy")</f>
        <v>14/01/1448</v>
      </c>
      <c r="C2379" s="52" t="str">
        <f>IF(MID(B2379,4,2)="09","Ramadan",IF(AND(MID(B2379,4,2)="12",VALUE(LEFT(B2379,2))&lt;=9),"Adha Season","Normal"))</f>
        <v>Normal</v>
      </c>
      <c r="D2379" s="1" t="s">
        <v>1079</v>
      </c>
      <c r="F2379" s="4" t="s">
        <v>165</v>
      </c>
      <c r="G2379" s="1">
        <v>48</v>
      </c>
      <c r="H2379" s="1">
        <v>48</v>
      </c>
      <c r="I2379">
        <f>grand[[#This Row],[number]]-grand[[#This Row],[received]]</f>
        <v>0</v>
      </c>
      <c r="J2379" s="2"/>
      <c r="K2379" s="2">
        <v>2595</v>
      </c>
      <c r="L2379" s="2">
        <v>2595</v>
      </c>
      <c r="M2379" s="2">
        <f>K2379-L2379</f>
        <v>0</v>
      </c>
      <c r="N2379" s="2">
        <v>1481.3</v>
      </c>
      <c r="O2379" s="2">
        <v>0</v>
      </c>
      <c r="P2379" s="7">
        <f>grand[[#This Row],[total weight]]/grand[[#This Row],[received]]</f>
        <v>54.0625</v>
      </c>
      <c r="Q2379" s="7">
        <f>grand[[#This Row],[receiving weight]]/grand[[#This Row],[received]]</f>
        <v>54.0625</v>
      </c>
      <c r="R2379" s="7">
        <f>grand[[#This Row],[transportation loss ]]/grand[[#This Row],[received]]</f>
        <v>0</v>
      </c>
      <c r="S2379" s="7">
        <f>grand[[#This Row],[ carcass weight]]/grand[[#This Row],[received]]</f>
        <v>30.860416666666666</v>
      </c>
      <c r="T2379" s="7">
        <f>grand[[#This Row],[ kidneys fat quantity]]/grand[[#This Row],[received]]</f>
        <v>0</v>
      </c>
      <c r="U2379" s="1">
        <v>25</v>
      </c>
      <c r="V2379" s="1">
        <v>0</v>
      </c>
      <c r="W2379" s="1">
        <v>49.125</v>
      </c>
      <c r="X2379" s="1">
        <v>10</v>
      </c>
      <c r="Y2379">
        <v>8.5</v>
      </c>
      <c r="Z2379" s="18">
        <f>grand[[#This Row],[av. Transportation loss]]/grand[[#This Row],[av.total weight]]</f>
        <v>0</v>
      </c>
      <c r="AA2379" s="18">
        <f>AVERAGE((grand[[#This Row],[am]]/25),(grand[[#This Row],[pm]]/50))</f>
        <v>0.99124999999999996</v>
      </c>
      <c r="AB2379" s="3">
        <f>grand[[#This Row],[ carcass weight]]/grand[[#This Row],[total weight]]</f>
        <v>0.57082851637764931</v>
      </c>
      <c r="AC2379" s="18">
        <f>SUM(grand[[#This Row],[am]:[meat transportation]])/100</f>
        <v>0.92625000000000002</v>
      </c>
      <c r="AD2379" s="1" t="s">
        <v>987</v>
      </c>
      <c r="AJ2379" s="1">
        <v>0</v>
      </c>
    </row>
    <row r="2380" spans="1:38" hidden="1" x14ac:dyDescent="0.2">
      <c r="A2380" s="11">
        <v>46204</v>
      </c>
      <c r="B2380" s="53" t="str">
        <f>TEXT(grand[[#This Row],[date]],"[$-ar-SA,6]dd/mm/yyyy")</f>
        <v>16/01/1448</v>
      </c>
      <c r="C2380" s="52" t="str">
        <f>IF(MID(B2380,4,2)="09","Ramadan",IF(AND(MID(B2380,4,2)="12",VALUE(LEFT(B2380,2))&lt;=9),"Adha Season","Normal"))</f>
        <v>Normal</v>
      </c>
      <c r="D2380" s="1" t="s">
        <v>1079</v>
      </c>
      <c r="F2380" s="4" t="s">
        <v>165</v>
      </c>
      <c r="G2380" s="1">
        <v>56</v>
      </c>
      <c r="H2380" s="1">
        <v>56</v>
      </c>
      <c r="I2380" s="1">
        <f>grand[[#This Row],[number]]-grand[[#This Row],[received]]</f>
        <v>0</v>
      </c>
      <c r="J2380" s="2"/>
      <c r="K2380" s="2">
        <v>2885</v>
      </c>
      <c r="L2380" s="2">
        <v>2885</v>
      </c>
      <c r="M2380" s="2">
        <f>K2380-L2380</f>
        <v>0</v>
      </c>
      <c r="N2380" s="2">
        <v>1544</v>
      </c>
      <c r="O2380" s="2">
        <v>0</v>
      </c>
      <c r="P2380" s="7">
        <f>grand[[#This Row],[total weight]]/grand[[#This Row],[received]]</f>
        <v>51.517857142857146</v>
      </c>
      <c r="Q2380" s="7">
        <f>grand[[#This Row],[receiving weight]]/grand[[#This Row],[received]]</f>
        <v>51.517857142857146</v>
      </c>
      <c r="R2380" s="7">
        <f>grand[[#This Row],[transportation loss ]]/grand[[#This Row],[received]]</f>
        <v>0</v>
      </c>
      <c r="S2380" s="7">
        <f>grand[[#This Row],[ carcass weight]]/grand[[#This Row],[received]]</f>
        <v>27.571428571428573</v>
      </c>
      <c r="T2380" s="7">
        <f>grand[[#This Row],[ kidneys fat quantity]]/grand[[#This Row],[received]]</f>
        <v>0</v>
      </c>
      <c r="U2380" s="1">
        <v>25</v>
      </c>
      <c r="V2380" s="1">
        <v>0</v>
      </c>
      <c r="W2380" s="1">
        <v>45.232142857142854</v>
      </c>
      <c r="X2380" s="1">
        <v>10</v>
      </c>
      <c r="Y2380" s="1">
        <v>8.5</v>
      </c>
      <c r="Z2380" s="18">
        <f>grand[[#This Row],[av. Transportation loss]]/grand[[#This Row],[av.total weight]]</f>
        <v>0</v>
      </c>
      <c r="AA2380" s="18">
        <f>AVERAGE((grand[[#This Row],[am]]/25),(grand[[#This Row],[pm]]/50))</f>
        <v>0.95232142857142854</v>
      </c>
      <c r="AB2380" s="3">
        <f>grand[[#This Row],[ carcass weight]]/grand[[#This Row],[total weight]]</f>
        <v>0.53518197573656845</v>
      </c>
      <c r="AC2380" s="18">
        <f>SUM(grand[[#This Row],[am]:[meat transportation]])/100</f>
        <v>0.88732142857142859</v>
      </c>
      <c r="AD2380" s="1" t="s">
        <v>1095</v>
      </c>
      <c r="AJ2380" s="1">
        <v>0</v>
      </c>
    </row>
    <row r="2381" spans="1:38" hidden="1" x14ac:dyDescent="0.2">
      <c r="A2381" s="11">
        <v>46204</v>
      </c>
      <c r="B2381" s="53" t="str">
        <f>TEXT(grand[[#This Row],[date]],"[$-ar-SA,6]dd/mm/yyyy")</f>
        <v>16/01/1448</v>
      </c>
      <c r="C2381" s="52" t="str">
        <f>IF(MID(B2381,4,2)="09","Ramadan",IF(AND(MID(B2381,4,2)="12",VALUE(LEFT(B2381,2))&lt;=9),"Adha Season","Normal"))</f>
        <v>Normal</v>
      </c>
      <c r="D2381" s="1" t="s">
        <v>45</v>
      </c>
      <c r="F2381" s="4" t="s">
        <v>746</v>
      </c>
      <c r="G2381" s="1">
        <v>64</v>
      </c>
      <c r="H2381" s="1">
        <v>64</v>
      </c>
      <c r="I2381" s="1">
        <f>grand[[#This Row],[number]]-grand[[#This Row],[received]]</f>
        <v>0</v>
      </c>
      <c r="J2381" s="2"/>
      <c r="K2381" s="2">
        <v>34302</v>
      </c>
      <c r="L2381" s="2">
        <v>34302</v>
      </c>
      <c r="M2381" s="2">
        <f>K2381-L2381</f>
        <v>0</v>
      </c>
      <c r="N2381" s="2">
        <v>20579.7</v>
      </c>
      <c r="O2381" s="2">
        <v>678</v>
      </c>
      <c r="P2381" s="7">
        <f>grand[[#This Row],[total weight]]/grand[[#This Row],[received]]</f>
        <v>535.96875</v>
      </c>
      <c r="Q2381" s="7">
        <f>grand[[#This Row],[receiving weight]]/grand[[#This Row],[received]]</f>
        <v>535.96875</v>
      </c>
      <c r="R2381" s="7">
        <f>grand[[#This Row],[transportation loss ]]/grand[[#This Row],[received]]</f>
        <v>0</v>
      </c>
      <c r="S2381" s="7">
        <f>grand[[#This Row],[ carcass weight]]/grand[[#This Row],[received]]</f>
        <v>321.55781250000001</v>
      </c>
      <c r="T2381" s="7">
        <f>grand[[#This Row],[ kidneys fat quantity]]/grand[[#This Row],[received]]</f>
        <v>10.59375</v>
      </c>
      <c r="U2381" s="1">
        <v>23.75</v>
      </c>
      <c r="V2381" s="1">
        <v>0</v>
      </c>
      <c r="W2381" s="1">
        <v>46.71875</v>
      </c>
      <c r="X2381" s="1">
        <v>10</v>
      </c>
      <c r="Y2381" s="1">
        <v>8.5</v>
      </c>
      <c r="Z2381" s="18">
        <f>grand[[#This Row],[av. Transportation loss]]/grand[[#This Row],[av.total weight]]</f>
        <v>0</v>
      </c>
      <c r="AA2381" s="18">
        <f>AVERAGE((grand[[#This Row],[am]]/25),(grand[[#This Row],[pm]]/50))</f>
        <v>0.94218749999999996</v>
      </c>
      <c r="AB2381" s="3">
        <f>grand[[#This Row],[ carcass weight]]/grand[[#This Row],[total weight]]</f>
        <v>0.59995627077138358</v>
      </c>
      <c r="AC2381" s="18">
        <f>SUM(grand[[#This Row],[am]:[meat transportation]])/100</f>
        <v>0.88968749999999996</v>
      </c>
      <c r="AD2381" s="1" t="s">
        <v>1095</v>
      </c>
      <c r="AJ2381" s="1">
        <v>38</v>
      </c>
    </row>
    <row r="2382" spans="1:38" hidden="1" x14ac:dyDescent="0.2">
      <c r="A2382" s="11">
        <v>46205</v>
      </c>
      <c r="B2382" s="53" t="str">
        <f>TEXT(grand[[#This Row],[date]],"[$-ar-SA,6]dd/mm/yyyy")</f>
        <v>17/01/1448</v>
      </c>
      <c r="C2382" s="52" t="str">
        <f>IF(MID(B2382,4,2)="09","Ramadan",IF(AND(MID(B2382,4,2)="12",VALUE(LEFT(B2382,2))&lt;=9),"Adha Season","Normal"))</f>
        <v>Normal</v>
      </c>
      <c r="D2382" s="1" t="s">
        <v>1079</v>
      </c>
      <c r="F2382" s="4" t="s">
        <v>46</v>
      </c>
      <c r="G2382" s="1">
        <v>60</v>
      </c>
      <c r="H2382" s="1">
        <v>60</v>
      </c>
      <c r="I2382" s="1">
        <f>grand[[#This Row],[number]]-grand[[#This Row],[received]]</f>
        <v>0</v>
      </c>
      <c r="J2382" s="2"/>
      <c r="K2382" s="2">
        <v>2950</v>
      </c>
      <c r="L2382" s="2">
        <v>2950</v>
      </c>
      <c r="M2382" s="2">
        <f>K2382-L2382</f>
        <v>0</v>
      </c>
      <c r="N2382" s="2">
        <v>1595</v>
      </c>
      <c r="O2382" s="2">
        <v>0</v>
      </c>
      <c r="P2382" s="7">
        <f>grand[[#This Row],[total weight]]/grand[[#This Row],[received]]</f>
        <v>49.166666666666664</v>
      </c>
      <c r="Q2382" s="7">
        <f>grand[[#This Row],[receiving weight]]/grand[[#This Row],[received]]</f>
        <v>49.166666666666664</v>
      </c>
      <c r="R2382" s="7">
        <f>grand[[#This Row],[transportation loss ]]/grand[[#This Row],[received]]</f>
        <v>0</v>
      </c>
      <c r="S2382" s="7">
        <f>grand[[#This Row],[ carcass weight]]/grand[[#This Row],[received]]</f>
        <v>26.583333333333332</v>
      </c>
      <c r="T2382" s="7">
        <f>grand[[#This Row],[ kidneys fat quantity]]/grand[[#This Row],[received]]</f>
        <v>0</v>
      </c>
      <c r="U2382" s="1">
        <v>25</v>
      </c>
      <c r="V2382" s="1">
        <v>0</v>
      </c>
      <c r="W2382" s="1">
        <v>47.3</v>
      </c>
      <c r="X2382" s="1">
        <v>10</v>
      </c>
      <c r="Y2382" s="1">
        <v>8.5</v>
      </c>
      <c r="Z2382" s="18">
        <f>grand[[#This Row],[av. Transportation loss]]/grand[[#This Row],[av.total weight]]</f>
        <v>0</v>
      </c>
      <c r="AA2382" s="18">
        <f>AVERAGE((grand[[#This Row],[am]]/25),(grand[[#This Row],[pm]]/50))</f>
        <v>0.97299999999999998</v>
      </c>
      <c r="AB2382" s="3">
        <f>grand[[#This Row],[ carcass weight]]/grand[[#This Row],[total weight]]</f>
        <v>0.54067796610169494</v>
      </c>
      <c r="AC2382" s="18">
        <f>SUM(grand[[#This Row],[am]:[meat transportation]])/100</f>
        <v>0.90799999999999992</v>
      </c>
      <c r="AD2382" s="1" t="s">
        <v>1003</v>
      </c>
      <c r="AJ2382" s="1">
        <v>0</v>
      </c>
    </row>
    <row r="2383" spans="1:38" hidden="1" x14ac:dyDescent="0.2">
      <c r="A2383" s="11">
        <v>46205</v>
      </c>
      <c r="B2383" s="53" t="str">
        <f>TEXT(grand[[#This Row],[date]],"[$-ar-SA,6]dd/mm/yyyy")</f>
        <v>17/01/1448</v>
      </c>
      <c r="C2383" s="52" t="str">
        <f>IF(MID(B2383,4,2)="09","Ramadan",IF(AND(MID(B2383,4,2)="12",VALUE(LEFT(B2383,2))&lt;=9),"Adha Season","Normal"))</f>
        <v>Normal</v>
      </c>
      <c r="D2383" s="1" t="s">
        <v>45</v>
      </c>
      <c r="F2383" s="4" t="s">
        <v>46</v>
      </c>
      <c r="G2383" s="1">
        <v>47</v>
      </c>
      <c r="H2383" s="1">
        <v>47</v>
      </c>
      <c r="I2383" s="1">
        <f>grand[[#This Row],[number]]-grand[[#This Row],[received]]</f>
        <v>0</v>
      </c>
      <c r="J2383" s="2"/>
      <c r="K2383" s="2">
        <v>21610</v>
      </c>
      <c r="L2383" s="2">
        <v>21610</v>
      </c>
      <c r="M2383" s="2">
        <f>K2383-L2383</f>
        <v>0</v>
      </c>
      <c r="N2383" s="2">
        <v>12966</v>
      </c>
      <c r="O2383" s="2">
        <v>403</v>
      </c>
      <c r="P2383" s="7">
        <f>grand[[#This Row],[total weight]]/grand[[#This Row],[received]]</f>
        <v>459.78723404255317</v>
      </c>
      <c r="Q2383" s="7">
        <f>grand[[#This Row],[receiving weight]]/grand[[#This Row],[received]]</f>
        <v>459.78723404255317</v>
      </c>
      <c r="R2383" s="7">
        <f>grand[[#This Row],[transportation loss ]]/grand[[#This Row],[received]]</f>
        <v>0</v>
      </c>
      <c r="S2383" s="7">
        <f>grand[[#This Row],[ carcass weight]]/grand[[#This Row],[received]]</f>
        <v>275.87234042553189</v>
      </c>
      <c r="T2383" s="7">
        <f>grand[[#This Row],[ kidneys fat quantity]]/grand[[#This Row],[received]]</f>
        <v>8.5744680851063837</v>
      </c>
      <c r="U2383" s="1">
        <v>25</v>
      </c>
      <c r="V2383" s="1">
        <v>0</v>
      </c>
      <c r="W2383" s="1">
        <v>49.276595744680854</v>
      </c>
      <c r="X2383" s="1">
        <v>10</v>
      </c>
      <c r="Y2383" s="1">
        <v>8.5</v>
      </c>
      <c r="Z2383" s="18">
        <f>grand[[#This Row],[av. Transportation loss]]/grand[[#This Row],[av.total weight]]</f>
        <v>0</v>
      </c>
      <c r="AA2383" s="18">
        <f>AVERAGE((grand[[#This Row],[am]]/25),(grand[[#This Row],[pm]]/50))</f>
        <v>0.99276595744680862</v>
      </c>
      <c r="AB2383" s="3">
        <f>grand[[#This Row],[ carcass weight]]/grand[[#This Row],[total weight]]</f>
        <v>0.6</v>
      </c>
      <c r="AC2383" s="18">
        <f>SUM(grand[[#This Row],[am]:[meat transportation]])/100</f>
        <v>0.92776595744680856</v>
      </c>
      <c r="AD2383" s="1" t="s">
        <v>3039</v>
      </c>
      <c r="AJ2383" s="1">
        <v>6</v>
      </c>
    </row>
    <row r="2384" spans="1:38" x14ac:dyDescent="0.2">
      <c r="A2384" s="11">
        <v>46205</v>
      </c>
      <c r="B2384" s="53" t="str">
        <f>TEXT(grand[[#This Row],[date]],"[$-ar-SA,6]dd/mm/yyyy")</f>
        <v>17/01/1448</v>
      </c>
      <c r="C2384" s="52" t="str">
        <f>IF(MID(B2384,4,2)="09","Ramadan",IF(AND(MID(B2384,4,2)="12",VALUE(LEFT(B2384,2))&lt;=9),"Adha Season","Normal"))</f>
        <v>Normal</v>
      </c>
      <c r="D2384" s="1" t="s">
        <v>45</v>
      </c>
      <c r="F2384" s="4" t="s">
        <v>954</v>
      </c>
      <c r="G2384" s="1">
        <v>52</v>
      </c>
      <c r="H2384" s="1">
        <v>51</v>
      </c>
      <c r="I2384" s="1">
        <f>grand[[#This Row],[number]]-grand[[#This Row],[received]]</f>
        <v>1</v>
      </c>
      <c r="J2384" s="9" t="s">
        <v>3171</v>
      </c>
      <c r="K2384" s="2">
        <v>22718</v>
      </c>
      <c r="L2384" s="2">
        <v>22718</v>
      </c>
      <c r="M2384" s="2">
        <f>K2384-L2384</f>
        <v>0</v>
      </c>
      <c r="N2384" s="2">
        <v>13787</v>
      </c>
      <c r="O2384" s="2">
        <v>401</v>
      </c>
      <c r="P2384" s="7">
        <f>grand[[#This Row],[total weight]]/grand[[#This Row],[received]]</f>
        <v>445.45098039215685</v>
      </c>
      <c r="Q2384" s="7">
        <f>grand[[#This Row],[receiving weight]]/grand[[#This Row],[received]]</f>
        <v>445.45098039215685</v>
      </c>
      <c r="R2384" s="7">
        <f>grand[[#This Row],[transportation loss ]]/grand[[#This Row],[received]]</f>
        <v>0</v>
      </c>
      <c r="S2384" s="7">
        <f>grand[[#This Row],[ carcass weight]]/grand[[#This Row],[received]]</f>
        <v>270.33333333333331</v>
      </c>
      <c r="T2384" s="7">
        <f>grand[[#This Row],[ kidneys fat quantity]]/grand[[#This Row],[received]]</f>
        <v>7.8627450980392153</v>
      </c>
      <c r="U2384" s="1">
        <v>25</v>
      </c>
      <c r="V2384" s="1">
        <v>0</v>
      </c>
      <c r="W2384" s="1">
        <v>49.588235294117645</v>
      </c>
      <c r="X2384" s="1">
        <v>10</v>
      </c>
      <c r="Y2384" s="1">
        <v>8.5</v>
      </c>
      <c r="Z2384" s="18">
        <f>grand[[#This Row],[av. Transportation loss]]/grand[[#This Row],[av.total weight]]</f>
        <v>0</v>
      </c>
      <c r="AA2384" s="18">
        <f>AVERAGE((grand[[#This Row],[am]]/25),(grand[[#This Row],[pm]]/50))</f>
        <v>0.99588235294117644</v>
      </c>
      <c r="AB2384" s="3">
        <f>grand[[#This Row],[ carcass weight]]/grand[[#This Row],[total weight]]</f>
        <v>0.60687560524694073</v>
      </c>
      <c r="AC2384" s="18">
        <f>SUM(grand[[#This Row],[am]:[meat transportation]])/100</f>
        <v>0.93088235294117649</v>
      </c>
      <c r="AD2384" s="1" t="s">
        <v>1107</v>
      </c>
      <c r="AJ2384" s="1">
        <v>0</v>
      </c>
    </row>
    <row r="2385" spans="1:36" hidden="1" x14ac:dyDescent="0.2">
      <c r="A2385" s="11">
        <v>46207</v>
      </c>
      <c r="B2385" s="53" t="str">
        <f>TEXT(grand[[#This Row],[date]],"[$-ar-SA,6]dd/mm/yyyy")</f>
        <v>19/01/1448</v>
      </c>
      <c r="C2385" s="52" t="str">
        <f>IF(MID(B2385,4,2)="09","Ramadan",IF(AND(MID(B2385,4,2)="12",VALUE(LEFT(B2385,2))&lt;=9),"Adha Season","Normal"))</f>
        <v>Normal</v>
      </c>
      <c r="D2385" s="1" t="s">
        <v>1079</v>
      </c>
      <c r="F2385" s="4" t="s">
        <v>165</v>
      </c>
      <c r="G2385" s="1">
        <v>40</v>
      </c>
      <c r="H2385" s="1">
        <v>40</v>
      </c>
      <c r="I2385" s="1">
        <f>grand[[#This Row],[number]]-grand[[#This Row],[received]]</f>
        <v>0</v>
      </c>
      <c r="J2385" s="2"/>
      <c r="K2385" s="2">
        <v>1995</v>
      </c>
      <c r="L2385" s="2">
        <v>1995</v>
      </c>
      <c r="M2385" s="2">
        <f>K2385-L2385</f>
        <v>0</v>
      </c>
      <c r="N2385" s="2">
        <v>1028</v>
      </c>
      <c r="O2385" s="2">
        <v>0</v>
      </c>
      <c r="P2385" s="7">
        <f>grand[[#This Row],[total weight]]/grand[[#This Row],[received]]</f>
        <v>49.875</v>
      </c>
      <c r="Q2385" s="7">
        <f>grand[[#This Row],[receiving weight]]/grand[[#This Row],[received]]</f>
        <v>49.875</v>
      </c>
      <c r="R2385" s="7">
        <f>grand[[#This Row],[transportation loss ]]/grand[[#This Row],[received]]</f>
        <v>0</v>
      </c>
      <c r="S2385" s="7">
        <f>grand[[#This Row],[ carcass weight]]/grand[[#This Row],[received]]</f>
        <v>25.7</v>
      </c>
      <c r="T2385" s="7">
        <f>grand[[#This Row],[ kidneys fat quantity]]/grand[[#This Row],[received]]</f>
        <v>0</v>
      </c>
      <c r="U2385" s="1">
        <v>25</v>
      </c>
      <c r="V2385" s="1">
        <v>0</v>
      </c>
      <c r="W2385" s="1">
        <v>47.2</v>
      </c>
      <c r="X2385" s="1">
        <v>10</v>
      </c>
      <c r="Y2385" s="1">
        <v>8.5</v>
      </c>
      <c r="Z2385" s="18">
        <f>grand[[#This Row],[av. Transportation loss]]/grand[[#This Row],[av.total weight]]</f>
        <v>0</v>
      </c>
      <c r="AA2385" s="18">
        <f>AVERAGE((grand[[#This Row],[am]]/25),(grand[[#This Row],[pm]]/50))</f>
        <v>0.97199999999999998</v>
      </c>
      <c r="AB2385" s="3">
        <f>grand[[#This Row],[ carcass weight]]/grand[[#This Row],[total weight]]</f>
        <v>0.51528822055137846</v>
      </c>
      <c r="AC2385" s="18">
        <f>SUM(grand[[#This Row],[am]:[meat transportation]])/100</f>
        <v>0.90700000000000003</v>
      </c>
      <c r="AD2385" s="1" t="s">
        <v>987</v>
      </c>
      <c r="AJ2385" s="1">
        <v>0</v>
      </c>
    </row>
    <row r="2386" spans="1:36" hidden="1" x14ac:dyDescent="0.2">
      <c r="A2386" s="11">
        <v>46207</v>
      </c>
      <c r="B2386" s="53" t="str">
        <f>TEXT(grand[[#This Row],[date]],"[$-ar-SA,6]dd/mm/yyyy")</f>
        <v>19/01/1448</v>
      </c>
      <c r="C2386" s="52" t="str">
        <f>IF(MID(B2386,4,2)="09","Ramadan",IF(AND(MID(B2386,4,2)="12",VALUE(LEFT(B2386,2))&lt;=9),"Adha Season","Normal"))</f>
        <v>Normal</v>
      </c>
      <c r="D2386" s="2" t="s">
        <v>350</v>
      </c>
      <c r="F2386" s="4" t="s">
        <v>1161</v>
      </c>
      <c r="G2386" s="1">
        <v>27</v>
      </c>
      <c r="H2386" s="1">
        <v>27</v>
      </c>
      <c r="I2386" s="1">
        <f>grand[[#This Row],[number]]-grand[[#This Row],[received]]</f>
        <v>0</v>
      </c>
      <c r="J2386" s="2"/>
      <c r="K2386" s="2">
        <v>650</v>
      </c>
      <c r="L2386" s="2">
        <v>650</v>
      </c>
      <c r="M2386" s="2">
        <f>K2386-L2386</f>
        <v>0</v>
      </c>
      <c r="N2386" s="2">
        <v>360</v>
      </c>
      <c r="O2386" s="2">
        <v>0</v>
      </c>
      <c r="P2386" s="7">
        <f>grand[[#This Row],[total weight]]/grand[[#This Row],[received]]</f>
        <v>24.074074074074073</v>
      </c>
      <c r="Q2386" s="7">
        <f>grand[[#This Row],[receiving weight]]/grand[[#This Row],[received]]</f>
        <v>24.074074074074073</v>
      </c>
      <c r="R2386" s="7">
        <f>grand[[#This Row],[transportation loss ]]/grand[[#This Row],[received]]</f>
        <v>0</v>
      </c>
      <c r="S2386" s="7">
        <f>grand[[#This Row],[ carcass weight]]/grand[[#This Row],[received]]</f>
        <v>13.333333333333334</v>
      </c>
      <c r="T2386" s="7">
        <f>grand[[#This Row],[ kidneys fat quantity]]/grand[[#This Row],[received]]</f>
        <v>0</v>
      </c>
      <c r="U2386" s="1">
        <v>25</v>
      </c>
      <c r="V2386" s="1">
        <v>0</v>
      </c>
      <c r="W2386" s="1">
        <v>48.518518518518519</v>
      </c>
      <c r="X2386" s="1">
        <v>10</v>
      </c>
      <c r="Y2386" s="1">
        <v>8.5</v>
      </c>
      <c r="Z2386" s="18">
        <f>grand[[#This Row],[av. Transportation loss]]/grand[[#This Row],[av.total weight]]</f>
        <v>0</v>
      </c>
      <c r="AA2386" s="18">
        <f>AVERAGE((grand[[#This Row],[am]]/25),(grand[[#This Row],[pm]]/50))</f>
        <v>0.98518518518518516</v>
      </c>
      <c r="AB2386" s="3">
        <f>grand[[#This Row],[ carcass weight]]/grand[[#This Row],[total weight]]</f>
        <v>0.55384615384615388</v>
      </c>
      <c r="AC2386" s="18">
        <f>SUM(grand[[#This Row],[am]:[meat transportation]])/100</f>
        <v>0.92018518518518522</v>
      </c>
      <c r="AD2386" s="1" t="s">
        <v>769</v>
      </c>
      <c r="AJ2386" s="1">
        <v>0</v>
      </c>
    </row>
    <row r="2387" spans="1:36" x14ac:dyDescent="0.2">
      <c r="A2387" s="11">
        <v>46207</v>
      </c>
      <c r="B2387" s="53" t="str">
        <f>TEXT(grand[[#This Row],[date]],"[$-ar-SA,6]dd/mm/yyyy")</f>
        <v>19/01/1448</v>
      </c>
      <c r="C2387" s="52" t="str">
        <f>IF(MID(B2387,4,2)="09","Ramadan",IF(AND(MID(B2387,4,2)="12",VALUE(LEFT(B2387,2))&lt;=9),"Adha Season","Normal"))</f>
        <v>Normal</v>
      </c>
      <c r="D2387" s="1" t="s">
        <v>45</v>
      </c>
      <c r="F2387" s="4" t="s">
        <v>165</v>
      </c>
      <c r="G2387" s="1">
        <v>60</v>
      </c>
      <c r="H2387" s="1">
        <v>59</v>
      </c>
      <c r="I2387" s="1">
        <f>grand[[#This Row],[number]]-grand[[#This Row],[received]]</f>
        <v>1</v>
      </c>
      <c r="J2387" s="9" t="s">
        <v>2961</v>
      </c>
      <c r="K2387" s="2">
        <v>24572</v>
      </c>
      <c r="L2387" s="2">
        <v>24572</v>
      </c>
      <c r="M2387" s="2">
        <f>K2387-L2387</f>
        <v>0</v>
      </c>
      <c r="N2387" s="2">
        <v>14965</v>
      </c>
      <c r="O2387" s="2">
        <v>304</v>
      </c>
      <c r="P2387" s="7">
        <f>grand[[#This Row],[total weight]]/grand[[#This Row],[received]]</f>
        <v>416.47457627118644</v>
      </c>
      <c r="Q2387" s="7">
        <f>grand[[#This Row],[receiving weight]]/grand[[#This Row],[received]]</f>
        <v>416.47457627118644</v>
      </c>
      <c r="R2387" s="7">
        <f>grand[[#This Row],[transportation loss ]]/grand[[#This Row],[received]]</f>
        <v>0</v>
      </c>
      <c r="S2387" s="7">
        <f>grand[[#This Row],[ carcass weight]]/grand[[#This Row],[received]]</f>
        <v>253.64406779661016</v>
      </c>
      <c r="T2387" s="7">
        <f>grand[[#This Row],[ kidneys fat quantity]]/grand[[#This Row],[received]]</f>
        <v>5.1525423728813555</v>
      </c>
      <c r="U2387" s="1">
        <v>24.915254237288135</v>
      </c>
      <c r="V2387" s="1">
        <v>0</v>
      </c>
      <c r="W2387" s="1">
        <v>47.983050847457626</v>
      </c>
      <c r="X2387" s="1">
        <v>10</v>
      </c>
      <c r="Y2387" s="1">
        <v>8.5</v>
      </c>
      <c r="Z2387" s="18">
        <f>grand[[#This Row],[av. Transportation loss]]/grand[[#This Row],[av.total weight]]</f>
        <v>0</v>
      </c>
      <c r="AA2387" s="18">
        <f>AVERAGE((grand[[#This Row],[am]]/25),(grand[[#This Row],[pm]]/50))</f>
        <v>0.97813559322033894</v>
      </c>
      <c r="AB2387" s="3">
        <f>grand[[#This Row],[ carcass weight]]/grand[[#This Row],[total weight]]</f>
        <v>0.60902653426664499</v>
      </c>
      <c r="AC2387" s="18">
        <f>SUM(grand[[#This Row],[am]:[meat transportation]])/100</f>
        <v>0.91398305084745757</v>
      </c>
      <c r="AD2387" s="1" t="s">
        <v>3084</v>
      </c>
      <c r="AJ2387" s="1">
        <v>10</v>
      </c>
    </row>
    <row r="2388" spans="1:36" x14ac:dyDescent="0.2">
      <c r="A2388" s="11">
        <v>46208</v>
      </c>
      <c r="B2388" s="53" t="str">
        <f>TEXT(grand[[#This Row],[date]],"[$-ar-SA,6]dd/mm/yyyy")</f>
        <v>20/01/1448</v>
      </c>
      <c r="C2388" s="52" t="str">
        <f>IF(MID(B2388,4,2)="09","Ramadan",IF(AND(MID(B2388,4,2)="12",VALUE(LEFT(B2388,2))&lt;=9),"Adha Season","Normal"))</f>
        <v>Normal</v>
      </c>
      <c r="D2388" s="1" t="s">
        <v>45</v>
      </c>
      <c r="E2388" s="1" t="s">
        <v>483</v>
      </c>
      <c r="F2388" s="4" t="s">
        <v>815</v>
      </c>
      <c r="G2388" s="1">
        <v>65</v>
      </c>
      <c r="H2388" s="1">
        <v>64</v>
      </c>
      <c r="I2388" s="1">
        <f>grand[[#This Row],[number]]-grand[[#This Row],[received]]</f>
        <v>1</v>
      </c>
      <c r="J2388" s="9" t="s">
        <v>1189</v>
      </c>
      <c r="K2388" s="2">
        <v>32555</v>
      </c>
      <c r="L2388" s="2">
        <v>32555</v>
      </c>
      <c r="M2388" s="2">
        <f>K2388-L2388</f>
        <v>0</v>
      </c>
      <c r="N2388" s="2">
        <v>20319</v>
      </c>
      <c r="O2388" s="2">
        <v>329</v>
      </c>
      <c r="P2388" s="7">
        <f>grand[[#This Row],[total weight]]/grand[[#This Row],[received]]</f>
        <v>508.671875</v>
      </c>
      <c r="Q2388" s="7">
        <f>grand[[#This Row],[receiving weight]]/grand[[#This Row],[received]]</f>
        <v>508.671875</v>
      </c>
      <c r="R2388" s="7">
        <f>grand[[#This Row],[transportation loss ]]/grand[[#This Row],[received]]</f>
        <v>0</v>
      </c>
      <c r="S2388" s="7">
        <f>grand[[#This Row],[ carcass weight]]/grand[[#This Row],[received]]</f>
        <v>317.484375</v>
      </c>
      <c r="T2388" s="7">
        <f>grand[[#This Row],[ kidneys fat quantity]]/grand[[#This Row],[received]]</f>
        <v>5.140625</v>
      </c>
      <c r="U2388" s="1">
        <v>22.5</v>
      </c>
      <c r="V2388" s="1">
        <v>0</v>
      </c>
      <c r="W2388" s="1">
        <v>46.1484375</v>
      </c>
      <c r="X2388" s="1">
        <v>10</v>
      </c>
      <c r="Y2388" s="1">
        <v>8.5</v>
      </c>
      <c r="Z2388" s="18">
        <f>grand[[#This Row],[av. Transportation loss]]/grand[[#This Row],[av.total weight]]</f>
        <v>0</v>
      </c>
      <c r="AA2388" s="18">
        <f>AVERAGE((grand[[#This Row],[am]]/25),(grand[[#This Row],[pm]]/50))</f>
        <v>0.91148437500000001</v>
      </c>
      <c r="AB2388" s="3">
        <f>grand[[#This Row],[ carcass weight]]/grand[[#This Row],[total weight]]</f>
        <v>0.62414375671939792</v>
      </c>
      <c r="AC2388" s="18">
        <f>SUM(grand[[#This Row],[am]:[meat transportation]])/100</f>
        <v>0.87148437499999998</v>
      </c>
      <c r="AD2388" s="1" t="s">
        <v>3088</v>
      </c>
      <c r="AJ2388" s="1">
        <v>46</v>
      </c>
    </row>
    <row r="2389" spans="1:36" hidden="1" x14ac:dyDescent="0.2">
      <c r="A2389" s="11">
        <v>46209</v>
      </c>
      <c r="B2389" s="53" t="str">
        <f>TEXT(grand[[#This Row],[date]],"[$-ar-SA,6]dd/mm/yyyy")</f>
        <v>21/01/1448</v>
      </c>
      <c r="C2389" s="52" t="str">
        <f>IF(MID(B2389,4,2)="09","Ramadan",IF(AND(MID(B2389,4,2)="12",VALUE(LEFT(B2389,2))&lt;=9),"Adha Season","Normal"))</f>
        <v>Normal</v>
      </c>
      <c r="D2389" s="1" t="s">
        <v>45</v>
      </c>
      <c r="F2389" s="4" t="s">
        <v>954</v>
      </c>
      <c r="G2389" s="1">
        <v>60</v>
      </c>
      <c r="H2389" s="1">
        <v>60</v>
      </c>
      <c r="I2389" s="1">
        <f>grand[[#This Row],[number]]-grand[[#This Row],[received]]</f>
        <v>0</v>
      </c>
      <c r="J2389" s="2"/>
      <c r="K2389" s="2">
        <v>26439</v>
      </c>
      <c r="L2389" s="2">
        <v>26439</v>
      </c>
      <c r="M2389" s="2">
        <f>K2389-L2389</f>
        <v>0</v>
      </c>
      <c r="N2389" s="2">
        <v>15906</v>
      </c>
      <c r="O2389" s="2">
        <v>501</v>
      </c>
      <c r="P2389" s="7">
        <f>grand[[#This Row],[total weight]]/grand[[#This Row],[received]]</f>
        <v>440.65</v>
      </c>
      <c r="Q2389" s="7">
        <f>grand[[#This Row],[receiving weight]]/grand[[#This Row],[received]]</f>
        <v>440.65</v>
      </c>
      <c r="R2389" s="7">
        <f>grand[[#This Row],[transportation loss ]]/grand[[#This Row],[received]]</f>
        <v>0</v>
      </c>
      <c r="S2389" s="7">
        <f>grand[[#This Row],[ carcass weight]]/grand[[#This Row],[received]]</f>
        <v>265.10000000000002</v>
      </c>
      <c r="T2389" s="7">
        <f>grand[[#This Row],[ kidneys fat quantity]]/grand[[#This Row],[received]]</f>
        <v>8.35</v>
      </c>
      <c r="U2389" s="1">
        <v>25</v>
      </c>
      <c r="V2389" s="1">
        <v>0</v>
      </c>
      <c r="W2389" s="1">
        <v>48.5</v>
      </c>
      <c r="X2389" s="1">
        <v>10</v>
      </c>
      <c r="Y2389" s="1">
        <v>8.5</v>
      </c>
      <c r="Z2389" s="18">
        <f>grand[[#This Row],[av. Transportation loss]]/grand[[#This Row],[av.total weight]]</f>
        <v>0</v>
      </c>
      <c r="AA2389" s="18">
        <f>AVERAGE((grand[[#This Row],[am]]/25),(grand[[#This Row],[pm]]/50))</f>
        <v>0.98499999999999999</v>
      </c>
      <c r="AB2389" s="3">
        <f>grand[[#This Row],[ carcass weight]]/grand[[#This Row],[total weight]]</f>
        <v>0.60161125609894472</v>
      </c>
      <c r="AC2389" s="18">
        <f>SUM(grand[[#This Row],[am]:[meat transportation]])/100</f>
        <v>0.92</v>
      </c>
      <c r="AD2389" s="1" t="s">
        <v>3093</v>
      </c>
      <c r="AJ2389" s="1">
        <v>0</v>
      </c>
    </row>
    <row r="2390" spans="1:36" x14ac:dyDescent="0.2">
      <c r="A2390" s="11">
        <v>46209</v>
      </c>
      <c r="B2390" s="53" t="str">
        <f>TEXT(grand[[#This Row],[date]],"[$-ar-SA,6]dd/mm/yyyy")</f>
        <v>21/01/1448</v>
      </c>
      <c r="C2390" s="52" t="str">
        <f>IF(MID(B2390,4,2)="09","Ramadan",IF(AND(MID(B2390,4,2)="12",VALUE(LEFT(B2390,2))&lt;=9),"Adha Season","Normal"))</f>
        <v>Normal</v>
      </c>
      <c r="D2390" s="1" t="s">
        <v>45</v>
      </c>
      <c r="F2390" s="4" t="s">
        <v>1023</v>
      </c>
      <c r="G2390" s="1">
        <v>62</v>
      </c>
      <c r="H2390" s="1">
        <v>61</v>
      </c>
      <c r="I2390" s="1">
        <f>grand[[#This Row],[number]]-grand[[#This Row],[received]]</f>
        <v>1</v>
      </c>
      <c r="J2390" s="9" t="s">
        <v>3172</v>
      </c>
      <c r="K2390" s="2">
        <v>24002</v>
      </c>
      <c r="L2390" s="2">
        <v>24002</v>
      </c>
      <c r="M2390" s="2">
        <f>K2390-L2390</f>
        <v>0</v>
      </c>
      <c r="N2390" s="2">
        <v>13943</v>
      </c>
      <c r="O2390" s="2">
        <v>0</v>
      </c>
      <c r="P2390" s="7">
        <f>grand[[#This Row],[total weight]]/grand[[#This Row],[received]]</f>
        <v>393.47540983606558</v>
      </c>
      <c r="Q2390" s="7">
        <f>grand[[#This Row],[receiving weight]]/grand[[#This Row],[received]]</f>
        <v>393.47540983606558</v>
      </c>
      <c r="R2390" s="7">
        <f>grand[[#This Row],[transportation loss ]]/grand[[#This Row],[received]]</f>
        <v>0</v>
      </c>
      <c r="S2390" s="7">
        <f>grand[[#This Row],[ carcass weight]]/grand[[#This Row],[received]]</f>
        <v>228.57377049180329</v>
      </c>
      <c r="T2390" s="7">
        <f>grand[[#This Row],[ kidneys fat quantity]]/grand[[#This Row],[received]]</f>
        <v>0</v>
      </c>
      <c r="U2390" s="1">
        <v>25</v>
      </c>
      <c r="V2390" s="1">
        <v>0</v>
      </c>
      <c r="W2390" s="1">
        <v>44.737704918032783</v>
      </c>
      <c r="X2390" s="1">
        <v>10</v>
      </c>
      <c r="Y2390" s="1">
        <v>8.5</v>
      </c>
      <c r="Z2390" s="18">
        <f>grand[[#This Row],[av. Transportation loss]]/grand[[#This Row],[av.total weight]]</f>
        <v>0</v>
      </c>
      <c r="AA2390" s="18">
        <f>AVERAGE((grand[[#This Row],[am]]/25),(grand[[#This Row],[pm]]/50))</f>
        <v>0.94737704918032783</v>
      </c>
      <c r="AB2390" s="3">
        <f>grand[[#This Row],[ carcass weight]]/grand[[#This Row],[total weight]]</f>
        <v>0.58090992417298559</v>
      </c>
      <c r="AC2390" s="18">
        <f>SUM(grand[[#This Row],[am]:[meat transportation]])/100</f>
        <v>0.88237704918032789</v>
      </c>
      <c r="AD2390" s="1" t="s">
        <v>3090</v>
      </c>
      <c r="AJ2390" s="1">
        <v>6</v>
      </c>
    </row>
    <row r="2391" spans="1:36" hidden="1" x14ac:dyDescent="0.2">
      <c r="A2391" s="11">
        <v>46209</v>
      </c>
      <c r="B2391" s="53" t="str">
        <f>TEXT(grand[[#This Row],[date]],"[$-ar-SA,6]dd/mm/yyyy")</f>
        <v>21/01/1448</v>
      </c>
      <c r="C2391" s="52" t="str">
        <f>IF(MID(B2391,4,2)="09","Ramadan",IF(AND(MID(B2391,4,2)="12",VALUE(LEFT(B2391,2))&lt;=9),"Adha Season","Normal"))</f>
        <v>Normal</v>
      </c>
      <c r="D2391" s="1" t="s">
        <v>1079</v>
      </c>
      <c r="F2391" s="4" t="s">
        <v>772</v>
      </c>
      <c r="G2391" s="1">
        <v>35</v>
      </c>
      <c r="H2391" s="1">
        <v>33</v>
      </c>
      <c r="I2391" s="1">
        <f>grand[[#This Row],[number]]-grand[[#This Row],[received]]</f>
        <v>2</v>
      </c>
      <c r="J2391" s="9" t="s">
        <v>3185</v>
      </c>
      <c r="K2391" s="2">
        <v>1555</v>
      </c>
      <c r="L2391" s="2">
        <v>1555</v>
      </c>
      <c r="M2391" s="2">
        <f>K2391-L2391</f>
        <v>0</v>
      </c>
      <c r="N2391" s="2">
        <v>848</v>
      </c>
      <c r="O2391" s="2">
        <v>0</v>
      </c>
      <c r="P2391" s="7">
        <f>grand[[#This Row],[total weight]]/grand[[#This Row],[received]]</f>
        <v>47.121212121212125</v>
      </c>
      <c r="Q2391" s="7">
        <f>grand[[#This Row],[receiving weight]]/grand[[#This Row],[received]]</f>
        <v>47.121212121212125</v>
      </c>
      <c r="R2391" s="7">
        <f>grand[[#This Row],[transportation loss ]]/grand[[#This Row],[received]]</f>
        <v>0</v>
      </c>
      <c r="S2391" s="7">
        <f>grand[[#This Row],[ carcass weight]]/grand[[#This Row],[received]]</f>
        <v>25.696969696969695</v>
      </c>
      <c r="T2391" s="7">
        <f>grand[[#This Row],[ kidneys fat quantity]]/grand[[#This Row],[received]]</f>
        <v>0</v>
      </c>
      <c r="U2391" s="1">
        <v>25</v>
      </c>
      <c r="V2391" s="1">
        <v>0</v>
      </c>
      <c r="W2391" s="1">
        <v>47.121212121212118</v>
      </c>
      <c r="X2391" s="1">
        <v>10</v>
      </c>
      <c r="Y2391" s="1">
        <v>8.5</v>
      </c>
      <c r="Z2391" s="18">
        <f>grand[[#This Row],[av. Transportation loss]]/grand[[#This Row],[av.total weight]]</f>
        <v>0</v>
      </c>
      <c r="AA2391" s="18">
        <f>AVERAGE((grand[[#This Row],[am]]/25),(grand[[#This Row],[pm]]/50))</f>
        <v>0.97121212121212119</v>
      </c>
      <c r="AB2391" s="3">
        <f>grand[[#This Row],[ carcass weight]]/grand[[#This Row],[total weight]]</f>
        <v>0.5453376205787781</v>
      </c>
      <c r="AC2391" s="18">
        <f>SUM(grand[[#This Row],[am]:[meat transportation]])/100</f>
        <v>0.90621212121212125</v>
      </c>
      <c r="AD2391" s="1" t="s">
        <v>789</v>
      </c>
      <c r="AJ2391" s="1">
        <v>0</v>
      </c>
    </row>
    <row r="2392" spans="1:36" hidden="1" x14ac:dyDescent="0.2">
      <c r="A2392" s="11">
        <v>46211</v>
      </c>
      <c r="B2392" s="53" t="str">
        <f>TEXT(grand[[#This Row],[date]],"[$-ar-SA,6]dd/mm/yyyy")</f>
        <v>23/01/1448</v>
      </c>
      <c r="C2392" s="52" t="str">
        <f>IF(MID(B2392,4,2)="09","Ramadan",IF(AND(MID(B2392,4,2)="12",VALUE(LEFT(B2392,2))&lt;=9),"Adha Season","Normal"))</f>
        <v>Normal</v>
      </c>
      <c r="D2392" s="1" t="s">
        <v>45</v>
      </c>
      <c r="F2392" s="4" t="s">
        <v>954</v>
      </c>
      <c r="G2392" s="1">
        <v>65</v>
      </c>
      <c r="H2392" s="1">
        <v>65</v>
      </c>
      <c r="I2392" s="1">
        <f>grand[[#This Row],[number]]-grand[[#This Row],[received]]</f>
        <v>0</v>
      </c>
      <c r="J2392" s="2"/>
      <c r="K2392" s="61">
        <v>28167</v>
      </c>
      <c r="L2392" s="61">
        <v>28167</v>
      </c>
      <c r="M2392" s="2">
        <f>K2392-L2392</f>
        <v>0</v>
      </c>
      <c r="N2392" s="2">
        <v>17380</v>
      </c>
      <c r="O2392" s="2">
        <v>516</v>
      </c>
      <c r="P2392" s="7">
        <f>grand[[#This Row],[total weight]]/grand[[#This Row],[received]]</f>
        <v>433.33846153846156</v>
      </c>
      <c r="Q2392" s="7">
        <f>grand[[#This Row],[receiving weight]]/grand[[#This Row],[received]]</f>
        <v>433.33846153846156</v>
      </c>
      <c r="R2392" s="7">
        <f>grand[[#This Row],[transportation loss ]]/grand[[#This Row],[received]]</f>
        <v>0</v>
      </c>
      <c r="S2392" s="7">
        <f>grand[[#This Row],[ carcass weight]]/grand[[#This Row],[received]]</f>
        <v>267.38461538461536</v>
      </c>
      <c r="T2392" s="7">
        <f>grand[[#This Row],[ kidneys fat quantity]]/grand[[#This Row],[received]]</f>
        <v>7.9384615384615387</v>
      </c>
      <c r="U2392" s="1">
        <v>25</v>
      </c>
      <c r="V2392" s="1">
        <v>0</v>
      </c>
      <c r="W2392" s="1">
        <v>48.292307692307695</v>
      </c>
      <c r="X2392" s="1">
        <v>10</v>
      </c>
      <c r="Y2392" s="1">
        <v>8.5</v>
      </c>
      <c r="Z2392" s="18">
        <f>grand[[#This Row],[av. Transportation loss]]/grand[[#This Row],[av.total weight]]</f>
        <v>0</v>
      </c>
      <c r="AA2392" s="18">
        <f>AVERAGE((grand[[#This Row],[am]]/25),(grand[[#This Row],[pm]]/50))</f>
        <v>0.98292307692307701</v>
      </c>
      <c r="AB2392" s="3">
        <f>grand[[#This Row],[ carcass weight]]/grand[[#This Row],[total weight]]</f>
        <v>0.61703411793943264</v>
      </c>
      <c r="AC2392" s="18">
        <f>SUM(grand[[#This Row],[am]:[meat transportation]])/100</f>
        <v>0.91792307692307706</v>
      </c>
      <c r="AD2392" s="1" t="s">
        <v>3095</v>
      </c>
      <c r="AJ2392" s="1">
        <v>0</v>
      </c>
    </row>
    <row r="2393" spans="1:36" hidden="1" x14ac:dyDescent="0.2">
      <c r="A2393" s="11">
        <v>46211</v>
      </c>
      <c r="B2393" s="53" t="str">
        <f>TEXT(grand[[#This Row],[date]],"[$-ar-SA,6]dd/mm/yyyy")</f>
        <v>23/01/1448</v>
      </c>
      <c r="C2393" s="52" t="str">
        <f>IF(MID(B2393,4,2)="09","Ramadan",IF(AND(MID(B2393,4,2)="12",VALUE(LEFT(B2393,2))&lt;=9),"Adha Season","Normal"))</f>
        <v>Normal</v>
      </c>
      <c r="D2393" s="1" t="s">
        <v>1079</v>
      </c>
      <c r="F2393" s="4" t="s">
        <v>46</v>
      </c>
      <c r="G2393" s="1">
        <v>37</v>
      </c>
      <c r="H2393" s="1">
        <v>37</v>
      </c>
      <c r="I2393" s="1">
        <f>grand[[#This Row],[number]]-grand[[#This Row],[received]]</f>
        <v>0</v>
      </c>
      <c r="J2393" s="2"/>
      <c r="K2393" s="2">
        <v>2016</v>
      </c>
      <c r="L2393" s="2">
        <v>2016</v>
      </c>
      <c r="M2393" s="2">
        <f>K2393-L2393</f>
        <v>0</v>
      </c>
      <c r="N2393" s="2">
        <v>1148</v>
      </c>
      <c r="O2393" s="2">
        <v>0</v>
      </c>
      <c r="P2393" s="7">
        <f>grand[[#This Row],[total weight]]/grand[[#This Row],[received]]</f>
        <v>54.486486486486484</v>
      </c>
      <c r="Q2393" s="7">
        <f>grand[[#This Row],[receiving weight]]/grand[[#This Row],[received]]</f>
        <v>54.486486486486484</v>
      </c>
      <c r="R2393" s="7">
        <f>grand[[#This Row],[transportation loss ]]/grand[[#This Row],[received]]</f>
        <v>0</v>
      </c>
      <c r="S2393" s="7">
        <f>grand[[#This Row],[ carcass weight]]/grand[[#This Row],[received]]</f>
        <v>31.027027027027028</v>
      </c>
      <c r="T2393" s="7">
        <f>grand[[#This Row],[ kidneys fat quantity]]/grand[[#This Row],[received]]</f>
        <v>0</v>
      </c>
      <c r="U2393" s="1">
        <v>25</v>
      </c>
      <c r="V2393" s="1">
        <v>0</v>
      </c>
      <c r="W2393" s="1">
        <v>49.054054054054056</v>
      </c>
      <c r="X2393" s="1">
        <v>10</v>
      </c>
      <c r="Y2393" s="1">
        <v>8.5</v>
      </c>
      <c r="Z2393" s="18">
        <f>grand[[#This Row],[av. Transportation loss]]/grand[[#This Row],[av.total weight]]</f>
        <v>0</v>
      </c>
      <c r="AA2393" s="18">
        <f>AVERAGE((grand[[#This Row],[am]]/25),(grand[[#This Row],[pm]]/50))</f>
        <v>0.99054054054054053</v>
      </c>
      <c r="AB2393" s="3">
        <f>grand[[#This Row],[ carcass weight]]/grand[[#This Row],[total weight]]</f>
        <v>0.56944444444444442</v>
      </c>
      <c r="AC2393" s="18">
        <f>SUM(grand[[#This Row],[am]:[meat transportation]])/100</f>
        <v>0.92554054054054058</v>
      </c>
      <c r="AD2393" s="1" t="s">
        <v>81</v>
      </c>
      <c r="AJ2393" s="1">
        <v>0</v>
      </c>
    </row>
    <row r="2394" spans="1:36" hidden="1" x14ac:dyDescent="0.2">
      <c r="A2394" s="11">
        <v>46212</v>
      </c>
      <c r="B2394" s="53" t="str">
        <f>TEXT(grand[[#This Row],[date]],"[$-ar-SA,6]dd/mm/yyyy")</f>
        <v>24/01/1448</v>
      </c>
      <c r="C2394" s="52" t="str">
        <f>IF(MID(B2394,4,2)="09","Ramadan",IF(AND(MID(B2394,4,2)="12",VALUE(LEFT(B2394,2))&lt;=9),"Adha Season","Normal"))</f>
        <v>Normal</v>
      </c>
      <c r="D2394" s="1" t="s">
        <v>1079</v>
      </c>
      <c r="F2394" s="4" t="s">
        <v>46</v>
      </c>
      <c r="G2394" s="1">
        <v>70</v>
      </c>
      <c r="H2394" s="1">
        <v>70</v>
      </c>
      <c r="I2394" s="1">
        <f>grand[[#This Row],[number]]-grand[[#This Row],[received]]</f>
        <v>0</v>
      </c>
      <c r="J2394" s="2"/>
      <c r="K2394" s="2">
        <v>3200</v>
      </c>
      <c r="L2394" s="2">
        <v>3200</v>
      </c>
      <c r="M2394" s="2">
        <f>K2394-L2394</f>
        <v>0</v>
      </c>
      <c r="N2394" s="2">
        <v>1652</v>
      </c>
      <c r="O2394" s="2">
        <v>0</v>
      </c>
      <c r="P2394" s="7">
        <f>grand[[#This Row],[total weight]]/grand[[#This Row],[received]]</f>
        <v>45.714285714285715</v>
      </c>
      <c r="Q2394" s="7">
        <f>grand[[#This Row],[receiving weight]]/grand[[#This Row],[received]]</f>
        <v>45.714285714285715</v>
      </c>
      <c r="R2394" s="7">
        <f>grand[[#This Row],[transportation loss ]]/grand[[#This Row],[received]]</f>
        <v>0</v>
      </c>
      <c r="S2394" s="7">
        <f>grand[[#This Row],[ carcass weight]]/grand[[#This Row],[received]]</f>
        <v>23.6</v>
      </c>
      <c r="T2394" s="7">
        <f>grand[[#This Row],[ kidneys fat quantity]]/grand[[#This Row],[received]]</f>
        <v>0</v>
      </c>
      <c r="U2394" s="1">
        <v>25</v>
      </c>
      <c r="V2394" s="1">
        <v>0</v>
      </c>
      <c r="W2394" s="1">
        <v>48.285714285714285</v>
      </c>
      <c r="X2394" s="1">
        <v>10</v>
      </c>
      <c r="Y2394" s="1">
        <v>8.5</v>
      </c>
      <c r="Z2394" s="18">
        <f>grand[[#This Row],[av. Transportation loss]]/grand[[#This Row],[av.total weight]]</f>
        <v>0</v>
      </c>
      <c r="AA2394" s="18">
        <f>AVERAGE((grand[[#This Row],[am]]/25),(grand[[#This Row],[pm]]/50))</f>
        <v>0.98285714285714287</v>
      </c>
      <c r="AB2394" s="3">
        <f>grand[[#This Row],[ carcass weight]]/grand[[#This Row],[total weight]]</f>
        <v>0.51624999999999999</v>
      </c>
      <c r="AC2394" s="18">
        <f>SUM(grand[[#This Row],[am]:[meat transportation]])/100</f>
        <v>0.91785714285714282</v>
      </c>
      <c r="AD2394" s="1" t="s">
        <v>3100</v>
      </c>
      <c r="AJ2394" s="1">
        <v>0</v>
      </c>
    </row>
    <row r="2395" spans="1:36" x14ac:dyDescent="0.2">
      <c r="A2395" s="11">
        <v>46212</v>
      </c>
      <c r="B2395" s="53" t="str">
        <f>TEXT(grand[[#This Row],[date]],"[$-ar-SA,6]dd/mm/yyyy")</f>
        <v>24/01/1448</v>
      </c>
      <c r="C2395" s="52" t="str">
        <f>IF(MID(B2395,4,2)="09","Ramadan",IF(AND(MID(B2395,4,2)="12",VALUE(LEFT(B2395,2))&lt;=9),"Adha Season","Normal"))</f>
        <v>Normal</v>
      </c>
      <c r="D2395" s="1" t="s">
        <v>45</v>
      </c>
      <c r="F2395" s="4" t="s">
        <v>576</v>
      </c>
      <c r="G2395" s="1">
        <v>105</v>
      </c>
      <c r="H2395" s="1">
        <v>104</v>
      </c>
      <c r="I2395" s="1">
        <f>grand[[#This Row],[number]]-grand[[#This Row],[received]]</f>
        <v>1</v>
      </c>
      <c r="J2395" s="9" t="s">
        <v>3173</v>
      </c>
      <c r="K2395" s="2">
        <v>53263</v>
      </c>
      <c r="L2395" s="2">
        <v>53263</v>
      </c>
      <c r="M2395" s="2">
        <f>K2395-L2395</f>
        <v>0</v>
      </c>
      <c r="N2395" s="2">
        <v>33162</v>
      </c>
      <c r="O2395" s="2">
        <v>786</v>
      </c>
      <c r="P2395" s="7">
        <f>grand[[#This Row],[total weight]]/grand[[#This Row],[received]]</f>
        <v>512.14423076923072</v>
      </c>
      <c r="Q2395" s="7">
        <f>grand[[#This Row],[receiving weight]]/grand[[#This Row],[received]]</f>
        <v>512.14423076923072</v>
      </c>
      <c r="R2395" s="7">
        <f>grand[[#This Row],[transportation loss ]]/grand[[#This Row],[received]]</f>
        <v>0</v>
      </c>
      <c r="S2395" s="7">
        <f>grand[[#This Row],[ carcass weight]]/grand[[#This Row],[received]]</f>
        <v>318.86538461538464</v>
      </c>
      <c r="T2395" s="7">
        <f>grand[[#This Row],[ kidneys fat quantity]]/grand[[#This Row],[received]]</f>
        <v>7.5576923076923075</v>
      </c>
      <c r="U2395" s="1">
        <v>23.557692307692307</v>
      </c>
      <c r="V2395" s="1">
        <v>0</v>
      </c>
      <c r="W2395" s="1">
        <v>48.201923076923073</v>
      </c>
      <c r="X2395" s="1">
        <v>10</v>
      </c>
      <c r="Y2395" s="1">
        <v>8.5</v>
      </c>
      <c r="Z2395" s="18">
        <f>grand[[#This Row],[av. Transportation loss]]/grand[[#This Row],[av.total weight]]</f>
        <v>0</v>
      </c>
      <c r="AA2395" s="18">
        <f>AVERAGE((grand[[#This Row],[am]]/25),(grand[[#This Row],[pm]]/50))</f>
        <v>0.95317307692307685</v>
      </c>
      <c r="AB2395" s="3">
        <f>grand[[#This Row],[ carcass weight]]/grand[[#This Row],[total weight]]</f>
        <v>0.62260856504515327</v>
      </c>
      <c r="AC2395" s="18">
        <f>SUM(grand[[#This Row],[am]:[meat transportation]])/100</f>
        <v>0.90259615384615388</v>
      </c>
      <c r="AD2395" s="1" t="s">
        <v>3098</v>
      </c>
      <c r="AJ2395" s="1">
        <v>58</v>
      </c>
    </row>
    <row r="2396" spans="1:36" hidden="1" x14ac:dyDescent="0.2">
      <c r="A2396" s="11">
        <v>46212</v>
      </c>
      <c r="B2396" s="53" t="str">
        <f>TEXT(grand[[#This Row],[date]],"[$-ar-SA,6]dd/mm/yyyy")</f>
        <v>24/01/1448</v>
      </c>
      <c r="C2396" s="52" t="str">
        <f>IF(MID(B2396,4,2)="09","Ramadan",IF(AND(MID(B2396,4,2)="12",VALUE(LEFT(B2396,2))&lt;=9),"Adha Season","Normal"))</f>
        <v>Normal</v>
      </c>
      <c r="D2396" s="2" t="s">
        <v>350</v>
      </c>
      <c r="F2396" s="4" t="s">
        <v>1161</v>
      </c>
      <c r="G2396" s="1">
        <v>30</v>
      </c>
      <c r="H2396" s="1">
        <v>27</v>
      </c>
      <c r="I2396" s="1">
        <f>grand[[#This Row],[number]]-grand[[#This Row],[received]]</f>
        <v>3</v>
      </c>
      <c r="J2396" s="9" t="s">
        <v>3200</v>
      </c>
      <c r="K2396" s="2">
        <v>551</v>
      </c>
      <c r="L2396" s="2">
        <v>551</v>
      </c>
      <c r="M2396" s="2">
        <f>K2396-L2396</f>
        <v>0</v>
      </c>
      <c r="N2396" s="2">
        <v>293</v>
      </c>
      <c r="O2396" s="2">
        <v>0</v>
      </c>
      <c r="P2396" s="7">
        <f>grand[[#This Row],[total weight]]/grand[[#This Row],[received]]</f>
        <v>20.407407407407408</v>
      </c>
      <c r="Q2396" s="7">
        <f>grand[[#This Row],[receiving weight]]/grand[[#This Row],[received]]</f>
        <v>20.407407407407408</v>
      </c>
      <c r="R2396" s="7">
        <f>grand[[#This Row],[transportation loss ]]/grand[[#This Row],[received]]</f>
        <v>0</v>
      </c>
      <c r="S2396" s="7">
        <f>grand[[#This Row],[ carcass weight]]/grand[[#This Row],[received]]</f>
        <v>10.851851851851851</v>
      </c>
      <c r="T2396" s="7">
        <f>grand[[#This Row],[ kidneys fat quantity]]/grand[[#This Row],[received]]</f>
        <v>0</v>
      </c>
      <c r="U2396" s="1">
        <v>25</v>
      </c>
      <c r="V2396" s="1">
        <v>0</v>
      </c>
      <c r="W2396" s="1">
        <v>48.666666666666671</v>
      </c>
      <c r="X2396" s="1">
        <v>10</v>
      </c>
      <c r="Y2396" s="1">
        <v>8.5</v>
      </c>
      <c r="Z2396" s="18">
        <f>grand[[#This Row],[av. Transportation loss]]/grand[[#This Row],[av.total weight]]</f>
        <v>0</v>
      </c>
      <c r="AA2396" s="18">
        <f>AVERAGE((grand[[#This Row],[am]]/25),(grand[[#This Row],[pm]]/50))</f>
        <v>0.98666666666666669</v>
      </c>
      <c r="AB2396" s="3">
        <f>grand[[#This Row],[ carcass weight]]/grand[[#This Row],[total weight]]</f>
        <v>0.53176043557168784</v>
      </c>
      <c r="AC2396" s="18">
        <f>SUM(grand[[#This Row],[am]:[meat transportation]])/100</f>
        <v>0.92166666666666675</v>
      </c>
      <c r="AD2396" s="1" t="s">
        <v>71</v>
      </c>
      <c r="AJ2396" s="1">
        <v>0</v>
      </c>
    </row>
    <row r="2397" spans="1:36" hidden="1" x14ac:dyDescent="0.2">
      <c r="A2397" s="11">
        <v>46214</v>
      </c>
      <c r="B2397" s="53" t="str">
        <f>TEXT(grand[[#This Row],[date]],"[$-ar-SA,6]dd/mm/yyyy")</f>
        <v>26/01/1448</v>
      </c>
      <c r="C2397" s="52" t="str">
        <f>IF(MID(B2397,4,2)="09","Ramadan",IF(AND(MID(B2397,4,2)="12",VALUE(LEFT(B2397,2))&lt;=9),"Adha Season","Normal"))</f>
        <v>Normal</v>
      </c>
      <c r="D2397" s="1" t="s">
        <v>45</v>
      </c>
      <c r="F2397" s="4" t="s">
        <v>165</v>
      </c>
      <c r="G2397" s="1">
        <v>48</v>
      </c>
      <c r="H2397" s="1">
        <v>48</v>
      </c>
      <c r="I2397" s="1">
        <f>grand[[#This Row],[number]]-grand[[#This Row],[received]]</f>
        <v>0</v>
      </c>
      <c r="J2397" s="2"/>
      <c r="K2397" s="2">
        <v>19810</v>
      </c>
      <c r="L2397" s="2">
        <v>19810</v>
      </c>
      <c r="M2397" s="2">
        <f>K2397-L2397</f>
        <v>0</v>
      </c>
      <c r="N2397" s="2">
        <v>11886</v>
      </c>
      <c r="O2397" s="2">
        <v>246</v>
      </c>
      <c r="P2397" s="7">
        <f>grand[[#This Row],[total weight]]/grand[[#This Row],[received]]</f>
        <v>412.70833333333331</v>
      </c>
      <c r="Q2397" s="7">
        <f>grand[[#This Row],[receiving weight]]/grand[[#This Row],[received]]</f>
        <v>412.70833333333331</v>
      </c>
      <c r="R2397" s="7">
        <f>grand[[#This Row],[transportation loss ]]/grand[[#This Row],[received]]</f>
        <v>0</v>
      </c>
      <c r="S2397" s="7">
        <f>grand[[#This Row],[ carcass weight]]/grand[[#This Row],[received]]</f>
        <v>247.625</v>
      </c>
      <c r="T2397" s="7">
        <f>grand[[#This Row],[ kidneys fat quantity]]/grand[[#This Row],[received]]</f>
        <v>5.125</v>
      </c>
      <c r="U2397" s="1">
        <v>25</v>
      </c>
      <c r="V2397" s="1">
        <v>0</v>
      </c>
      <c r="W2397" s="1">
        <v>47.500000000000007</v>
      </c>
      <c r="X2397" s="1">
        <v>10</v>
      </c>
      <c r="Y2397" s="1">
        <v>8.5</v>
      </c>
      <c r="Z2397" s="18">
        <f>grand[[#This Row],[av. Transportation loss]]/grand[[#This Row],[av.total weight]]</f>
        <v>0</v>
      </c>
      <c r="AA2397" s="18">
        <f>AVERAGE((grand[[#This Row],[am]]/25),(grand[[#This Row],[pm]]/50))</f>
        <v>0.97500000000000009</v>
      </c>
      <c r="AB2397" s="3">
        <f>grand[[#This Row],[ carcass weight]]/grand[[#This Row],[total weight]]</f>
        <v>0.6</v>
      </c>
      <c r="AC2397" s="18">
        <f>SUM(grand[[#This Row],[am]:[meat transportation]])/100</f>
        <v>0.91</v>
      </c>
      <c r="AD2397" s="1" t="s">
        <v>3008</v>
      </c>
      <c r="AJ2397" s="1">
        <v>10</v>
      </c>
    </row>
    <row r="2398" spans="1:36" hidden="1" x14ac:dyDescent="0.2">
      <c r="A2398" s="11">
        <v>46214</v>
      </c>
      <c r="B2398" s="53" t="str">
        <f>TEXT(grand[[#This Row],[date]],"[$-ar-SA,6]dd/mm/yyyy")</f>
        <v>26/01/1448</v>
      </c>
      <c r="C2398" s="52" t="str">
        <f>IF(MID(B2398,4,2)="09","Ramadan",IF(AND(MID(B2398,4,2)="12",VALUE(LEFT(B2398,2))&lt;=9),"Adha Season","Normal"))</f>
        <v>Normal</v>
      </c>
      <c r="D2398" s="1" t="s">
        <v>1079</v>
      </c>
      <c r="F2398" s="4" t="s">
        <v>165</v>
      </c>
      <c r="G2398" s="1">
        <v>36</v>
      </c>
      <c r="H2398" s="1">
        <v>36</v>
      </c>
      <c r="I2398" s="1">
        <f>grand[[#This Row],[number]]-grand[[#This Row],[received]]</f>
        <v>0</v>
      </c>
      <c r="J2398" s="2"/>
      <c r="K2398" s="2">
        <v>1939</v>
      </c>
      <c r="L2398" s="2">
        <v>1939</v>
      </c>
      <c r="M2398" s="2">
        <f>K2398-L2398</f>
        <v>0</v>
      </c>
      <c r="N2398" s="2">
        <v>1128</v>
      </c>
      <c r="O2398" s="2">
        <v>0</v>
      </c>
      <c r="P2398" s="7">
        <f>grand[[#This Row],[total weight]]/grand[[#This Row],[received]]</f>
        <v>53.861111111111114</v>
      </c>
      <c r="Q2398" s="7">
        <f>grand[[#This Row],[receiving weight]]/grand[[#This Row],[received]]</f>
        <v>53.861111111111114</v>
      </c>
      <c r="R2398" s="7">
        <f>grand[[#This Row],[transportation loss ]]/grand[[#This Row],[received]]</f>
        <v>0</v>
      </c>
      <c r="S2398" s="7">
        <f>grand[[#This Row],[ carcass weight]]/grand[[#This Row],[received]]</f>
        <v>31.333333333333332</v>
      </c>
      <c r="T2398" s="7">
        <f>grand[[#This Row],[ kidneys fat quantity]]/grand[[#This Row],[received]]</f>
        <v>0</v>
      </c>
      <c r="U2398" s="1">
        <v>25</v>
      </c>
      <c r="V2398" s="1">
        <v>0</v>
      </c>
      <c r="W2398" s="1">
        <v>47.791666666666671</v>
      </c>
      <c r="X2398" s="1">
        <v>10</v>
      </c>
      <c r="Y2398" s="1">
        <v>8.5</v>
      </c>
      <c r="Z2398" s="18">
        <f>grand[[#This Row],[av. Transportation loss]]/grand[[#This Row],[av.total weight]]</f>
        <v>0</v>
      </c>
      <c r="AA2398" s="18">
        <f>AVERAGE((grand[[#This Row],[am]]/25),(grand[[#This Row],[pm]]/50))</f>
        <v>0.97791666666666677</v>
      </c>
      <c r="AB2398" s="3">
        <f>grand[[#This Row],[ carcass weight]]/grand[[#This Row],[total weight]]</f>
        <v>0.58174316658071168</v>
      </c>
      <c r="AC2398" s="18">
        <f>SUM(grand[[#This Row],[am]:[meat transportation]])/100</f>
        <v>0.91291666666666671</v>
      </c>
      <c r="AD2398" s="1" t="s">
        <v>3010</v>
      </c>
      <c r="AJ2398" s="1">
        <v>0</v>
      </c>
    </row>
    <row r="2399" spans="1:36" hidden="1" x14ac:dyDescent="0.2">
      <c r="A2399" s="11">
        <v>46215</v>
      </c>
      <c r="B2399" s="53" t="str">
        <f>TEXT(grand[[#This Row],[date]],"[$-ar-SA,6]dd/mm/yyyy")</f>
        <v>27/01/1448</v>
      </c>
      <c r="C2399" s="52" t="str">
        <f>IF(MID(B2399,4,2)="09","Ramadan",IF(AND(MID(B2399,4,2)="12",VALUE(LEFT(B2399,2))&lt;=9),"Adha Season","Normal"))</f>
        <v>Normal</v>
      </c>
      <c r="D2399" s="1" t="s">
        <v>45</v>
      </c>
      <c r="E2399" s="1" t="s">
        <v>483</v>
      </c>
      <c r="F2399" s="4" t="s">
        <v>815</v>
      </c>
      <c r="G2399" s="1">
        <v>65</v>
      </c>
      <c r="H2399" s="1">
        <v>65</v>
      </c>
      <c r="I2399" s="1">
        <f>grand[[#This Row],[number]]-grand[[#This Row],[received]]</f>
        <v>0</v>
      </c>
      <c r="J2399" s="2"/>
      <c r="K2399" s="2">
        <v>34384</v>
      </c>
      <c r="L2399" s="2">
        <v>34384</v>
      </c>
      <c r="M2399" s="2">
        <f>K2399-L2399</f>
        <v>0</v>
      </c>
      <c r="N2399" s="2">
        <v>21450</v>
      </c>
      <c r="O2399" s="2">
        <v>381</v>
      </c>
      <c r="P2399" s="7">
        <f>grand[[#This Row],[total weight]]/grand[[#This Row],[received]]</f>
        <v>528.98461538461538</v>
      </c>
      <c r="Q2399" s="7">
        <f>grand[[#This Row],[receiving weight]]/grand[[#This Row],[received]]</f>
        <v>528.98461538461538</v>
      </c>
      <c r="R2399" s="7">
        <f>grand[[#This Row],[transportation loss ]]/grand[[#This Row],[received]]</f>
        <v>0</v>
      </c>
      <c r="S2399" s="7">
        <f>grand[[#This Row],[ carcass weight]]/grand[[#This Row],[received]]</f>
        <v>330</v>
      </c>
      <c r="T2399" s="7">
        <f>grand[[#This Row],[ kidneys fat quantity]]/grand[[#This Row],[received]]</f>
        <v>5.8615384615384611</v>
      </c>
      <c r="U2399" s="1">
        <v>20</v>
      </c>
      <c r="V2399" s="1">
        <v>0</v>
      </c>
      <c r="W2399" s="1">
        <v>47.830769230769235</v>
      </c>
      <c r="X2399" s="1">
        <v>10</v>
      </c>
      <c r="Y2399" s="1">
        <v>8.5</v>
      </c>
      <c r="Z2399" s="18">
        <f>grand[[#This Row],[av. Transportation loss]]/grand[[#This Row],[av.total weight]]</f>
        <v>0</v>
      </c>
      <c r="AA2399" s="18">
        <f>AVERAGE((grand[[#This Row],[am]]/25),(grand[[#This Row],[pm]]/50))</f>
        <v>0.87830769230769234</v>
      </c>
      <c r="AB2399" s="3">
        <f>grand[[#This Row],[ carcass weight]]/grand[[#This Row],[total weight]]</f>
        <v>0.62383666821777572</v>
      </c>
      <c r="AC2399" s="18">
        <f>SUM(grand[[#This Row],[am]:[meat transportation]])/100</f>
        <v>0.86330769230769233</v>
      </c>
      <c r="AD2399" s="1" t="s">
        <v>3014</v>
      </c>
      <c r="AJ2399" s="1">
        <v>65</v>
      </c>
    </row>
    <row r="2400" spans="1:36" hidden="1" x14ac:dyDescent="0.2">
      <c r="A2400" s="11">
        <v>46216</v>
      </c>
      <c r="B2400" s="53" t="str">
        <f>TEXT(grand[[#This Row],[date]],"[$-ar-SA,6]dd/mm/yyyy")</f>
        <v>28/01/1448</v>
      </c>
      <c r="C2400" s="52" t="str">
        <f>IF(MID(B2400,4,2)="09","Ramadan",IF(AND(MID(B2400,4,2)="12",VALUE(LEFT(B2400,2))&lt;=9),"Adha Season","Normal"))</f>
        <v>Normal</v>
      </c>
      <c r="D2400" s="1" t="s">
        <v>45</v>
      </c>
      <c r="F2400" s="4" t="s">
        <v>954</v>
      </c>
      <c r="G2400" s="1">
        <v>64</v>
      </c>
      <c r="H2400" s="1">
        <v>64</v>
      </c>
      <c r="I2400" s="1">
        <f>grand[[#This Row],[number]]-grand[[#This Row],[received]]</f>
        <v>0</v>
      </c>
      <c r="J2400" s="2"/>
      <c r="K2400" s="2">
        <v>27707</v>
      </c>
      <c r="L2400" s="2">
        <v>27707</v>
      </c>
      <c r="M2400" s="2">
        <f>K2400-L2400</f>
        <v>0</v>
      </c>
      <c r="N2400" s="2">
        <v>16960</v>
      </c>
      <c r="O2400" s="2">
        <v>467</v>
      </c>
      <c r="P2400" s="7">
        <f>grand[[#This Row],[total weight]]/grand[[#This Row],[received]]</f>
        <v>432.921875</v>
      </c>
      <c r="Q2400" s="7">
        <f>grand[[#This Row],[receiving weight]]/grand[[#This Row],[received]]</f>
        <v>432.921875</v>
      </c>
      <c r="R2400" s="7">
        <f>grand[[#This Row],[transportation loss ]]/grand[[#This Row],[received]]</f>
        <v>0</v>
      </c>
      <c r="S2400" s="7">
        <f>grand[[#This Row],[ carcass weight]]/grand[[#This Row],[received]]</f>
        <v>265</v>
      </c>
      <c r="T2400" s="7">
        <f>grand[[#This Row],[ kidneys fat quantity]]/grand[[#This Row],[received]]</f>
        <v>7.296875</v>
      </c>
      <c r="U2400" s="1">
        <v>25</v>
      </c>
      <c r="V2400" s="1">
        <v>0</v>
      </c>
      <c r="W2400" s="1">
        <v>47.828125</v>
      </c>
      <c r="X2400" s="1">
        <v>10</v>
      </c>
      <c r="Y2400" s="1">
        <v>8.5</v>
      </c>
      <c r="Z2400" s="18">
        <f>grand[[#This Row],[av. Transportation loss]]/grand[[#This Row],[av.total weight]]</f>
        <v>0</v>
      </c>
      <c r="AA2400" s="18">
        <f>AVERAGE((grand[[#This Row],[am]]/25),(grand[[#This Row],[pm]]/50))</f>
        <v>0.97828124999999999</v>
      </c>
      <c r="AB2400" s="3">
        <f>grand[[#This Row],[ carcass weight]]/grand[[#This Row],[total weight]]</f>
        <v>0.61211968094705305</v>
      </c>
      <c r="AC2400" s="18">
        <f>SUM(grand[[#This Row],[am]:[meat transportation]])/100</f>
        <v>0.91328125000000004</v>
      </c>
      <c r="AD2400" s="1" t="s">
        <v>3017</v>
      </c>
      <c r="AJ2400" s="1">
        <v>0</v>
      </c>
    </row>
    <row r="2401" spans="1:38" hidden="1" x14ac:dyDescent="0.2">
      <c r="A2401" s="11">
        <v>45903</v>
      </c>
      <c r="B2401" s="53" t="s">
        <v>2301</v>
      </c>
      <c r="C2401" s="52" t="str">
        <f>IF(MID(B2401,4,2)="09","Ramadan",IF(AND(MID(B2401,4,2)="12",VALUE(LEFT(B2401,2))&lt;=9),"Adha Season","Normal"))</f>
        <v>Normal</v>
      </c>
      <c r="D2401" s="1" t="s">
        <v>45</v>
      </c>
      <c r="E2401" s="1" t="s">
        <v>483</v>
      </c>
      <c r="F2401" s="4" t="s">
        <v>757</v>
      </c>
      <c r="G2401" s="1">
        <v>50</v>
      </c>
      <c r="H2401" s="1">
        <v>48</v>
      </c>
      <c r="I2401" s="1">
        <f>grand[[#This Row],[number]]-grand[[#This Row],[received]]</f>
        <v>2</v>
      </c>
      <c r="J2401" s="30"/>
      <c r="K2401" s="2">
        <v>23590</v>
      </c>
      <c r="L2401" s="2">
        <v>23590</v>
      </c>
      <c r="M2401" s="2">
        <f>K2401-L2401</f>
        <v>0</v>
      </c>
      <c r="N2401" s="2">
        <v>13995.099999999999</v>
      </c>
      <c r="O2401" s="2">
        <v>476</v>
      </c>
      <c r="P2401" s="7">
        <f>grand[[#This Row],[total weight]]/grand[[#This Row],[received]]</f>
        <v>491.45833333333331</v>
      </c>
      <c r="Q2401" s="7">
        <f>grand[[#This Row],[receiving weight]]/grand[[#This Row],[received]]</f>
        <v>491.45833333333331</v>
      </c>
      <c r="R2401" s="7">
        <f>grand[[#This Row],[transportation loss ]]/grand[[#This Row],[received]]</f>
        <v>0</v>
      </c>
      <c r="S2401" s="7">
        <f>grand[[#This Row],[ carcass weight]]/grand[[#This Row],[received]]</f>
        <v>291.5645833333333</v>
      </c>
      <c r="T2401" s="7">
        <f>grand[[#This Row],[ kidneys fat quantity]]/grand[[#This Row],[received]]</f>
        <v>9.9166666666666661</v>
      </c>
      <c r="U2401">
        <v>24.423076923076923</v>
      </c>
      <c r="V2401">
        <v>0</v>
      </c>
      <c r="W2401">
        <v>45.884615384615387</v>
      </c>
      <c r="X2401">
        <v>10</v>
      </c>
      <c r="Y2401" s="8">
        <v>10</v>
      </c>
      <c r="Z2401" s="18">
        <f>grand[[#This Row],[av. Transportation loss]]/grand[[#This Row],[av.total weight]]</f>
        <v>0</v>
      </c>
      <c r="AA2401" s="18">
        <f>AVERAGE((grand[[#This Row],[am]]/25),(grand[[#This Row],[pm]]/50))</f>
        <v>0.9473076923076923</v>
      </c>
      <c r="AB2401" s="3">
        <f>grand[[#This Row],[ carcass weight]]/grand[[#This Row],[total weight]]</f>
        <v>0.5932640949554896</v>
      </c>
      <c r="AC2401" s="18">
        <f>SUM(grand[[#This Row],[am]:[meat transportation]])/100</f>
        <v>0.90307692307692311</v>
      </c>
      <c r="AK2401" s="1"/>
      <c r="AL2401" s="1"/>
    </row>
    <row r="2402" spans="1:38" hidden="1" x14ac:dyDescent="0.2">
      <c r="A2402" s="11">
        <v>45910</v>
      </c>
      <c r="B2402" s="53" t="s">
        <v>2307</v>
      </c>
      <c r="C2402" s="52" t="str">
        <f>IF(MID(B2402,4,2)="09","Ramadan",IF(AND(MID(B2402,4,2)="12",VALUE(LEFT(B2402,2))&lt;=9),"Adha Season","Normal"))</f>
        <v>Normal</v>
      </c>
      <c r="D2402" s="1" t="s">
        <v>45</v>
      </c>
      <c r="E2402" s="1" t="s">
        <v>483</v>
      </c>
      <c r="F2402" s="4" t="s">
        <v>43</v>
      </c>
      <c r="G2402" s="1">
        <v>37</v>
      </c>
      <c r="H2402" s="1">
        <v>35</v>
      </c>
      <c r="I2402" s="1">
        <f>grand[[#This Row],[number]]-grand[[#This Row],[received]]</f>
        <v>2</v>
      </c>
      <c r="J2402" s="30"/>
      <c r="K2402" s="2">
        <v>17103</v>
      </c>
      <c r="L2402" s="2">
        <v>16299</v>
      </c>
      <c r="M2402" s="2">
        <f>K2402-L2402</f>
        <v>804</v>
      </c>
      <c r="N2402" s="2">
        <v>10278.200000000001</v>
      </c>
      <c r="O2402" s="2">
        <v>295</v>
      </c>
      <c r="P2402" s="7">
        <f>grand[[#This Row],[total weight]]/grand[[#This Row],[received]]</f>
        <v>488.65714285714284</v>
      </c>
      <c r="Q2402" s="7">
        <f>grand[[#This Row],[receiving weight]]/grand[[#This Row],[received]]</f>
        <v>465.68571428571431</v>
      </c>
      <c r="R2402" s="7">
        <f>grand[[#This Row],[transportation loss ]]/grand[[#This Row],[received]]</f>
        <v>22.971428571428572</v>
      </c>
      <c r="S2402" s="7">
        <f>grand[[#This Row],[ carcass weight]]/grand[[#This Row],[received]]</f>
        <v>293.66285714285715</v>
      </c>
      <c r="T2402" s="7">
        <f>grand[[#This Row],[ kidneys fat quantity]]/grand[[#This Row],[received]]</f>
        <v>8.4285714285714288</v>
      </c>
      <c r="U2402">
        <v>24.423076923076923</v>
      </c>
      <c r="V2402">
        <v>0</v>
      </c>
      <c r="W2402">
        <v>45.884615384615387</v>
      </c>
      <c r="X2402">
        <v>10</v>
      </c>
      <c r="Y2402">
        <v>8.5</v>
      </c>
      <c r="Z2402" s="18">
        <f>grand[[#This Row],[av. Transportation loss]]/grand[[#This Row],[av.total weight]]</f>
        <v>4.7009296614629013E-2</v>
      </c>
      <c r="AA2402" s="18">
        <f>AVERAGE((grand[[#This Row],[am]]/25),(grand[[#This Row],[pm]]/50))</f>
        <v>0.9473076923076923</v>
      </c>
      <c r="AB2402" s="3">
        <f>grand[[#This Row],[ carcass weight]]/grand[[#This Row],[total weight]]</f>
        <v>0.60095889610009945</v>
      </c>
      <c r="AC2402" s="18">
        <f>SUM(grand[[#This Row],[am]:[meat transportation]])/100</f>
        <v>0.8880769230769231</v>
      </c>
      <c r="AJ2402" s="1">
        <v>18</v>
      </c>
      <c r="AK2402" s="1"/>
      <c r="AL2402" s="1"/>
    </row>
    <row r="2403" spans="1:38" hidden="1" x14ac:dyDescent="0.2">
      <c r="A2403" s="11">
        <v>45914</v>
      </c>
      <c r="B2403" s="53" t="s">
        <v>2310</v>
      </c>
      <c r="C2403" s="52" t="str">
        <f>IF(MID(B2403,4,2)="09","Ramadan",IF(AND(MID(B2403,4,2)="12",VALUE(LEFT(B2403,2))&lt;=9),"Adha Season","Normal"))</f>
        <v>Normal</v>
      </c>
      <c r="D2403" s="1" t="s">
        <v>45</v>
      </c>
      <c r="E2403" s="1" t="s">
        <v>483</v>
      </c>
      <c r="F2403" s="4" t="s">
        <v>43</v>
      </c>
      <c r="G2403" s="1">
        <v>25</v>
      </c>
      <c r="H2403" s="1">
        <v>23</v>
      </c>
      <c r="I2403" s="1">
        <f>grand[[#This Row],[number]]-grand[[#This Row],[received]]</f>
        <v>2</v>
      </c>
      <c r="J2403" s="30"/>
      <c r="K2403" s="2">
        <v>10865</v>
      </c>
      <c r="L2403" s="2">
        <v>10917</v>
      </c>
      <c r="M2403" s="2">
        <f>K2403-L2403</f>
        <v>-52</v>
      </c>
      <c r="N2403" s="2">
        <v>6518.7000000000007</v>
      </c>
      <c r="O2403" s="2">
        <v>224</v>
      </c>
      <c r="P2403" s="7">
        <f>grand[[#This Row],[total weight]]/grand[[#This Row],[received]]</f>
        <v>472.39130434782606</v>
      </c>
      <c r="Q2403" s="7">
        <f>grand[[#This Row],[receiving weight]]/grand[[#This Row],[received]]</f>
        <v>474.6521739130435</v>
      </c>
      <c r="R2403" s="7">
        <f>grand[[#This Row],[transportation loss ]]/grand[[#This Row],[received]]</f>
        <v>-2.2608695652173911</v>
      </c>
      <c r="S2403" s="7">
        <f>grand[[#This Row],[ carcass weight]]/grand[[#This Row],[received]]</f>
        <v>283.42173913043479</v>
      </c>
      <c r="T2403" s="7">
        <f>grand[[#This Row],[ kidneys fat quantity]]/grand[[#This Row],[received]]</f>
        <v>9.7391304347826093</v>
      </c>
      <c r="U2403">
        <v>24.423076923076923</v>
      </c>
      <c r="V2403">
        <v>0</v>
      </c>
      <c r="W2403">
        <v>45.884615384615387</v>
      </c>
      <c r="X2403">
        <v>10</v>
      </c>
      <c r="Y2403">
        <v>8.5</v>
      </c>
      <c r="Z2403" s="18">
        <f>grand[[#This Row],[av. Transportation loss]]/grand[[#This Row],[av.total weight]]</f>
        <v>-4.7860101242521861E-3</v>
      </c>
      <c r="AA2403" s="18">
        <f>AVERAGE((grand[[#This Row],[am]]/25),(grand[[#This Row],[pm]]/50))</f>
        <v>0.9473076923076923</v>
      </c>
      <c r="AB2403" s="3">
        <f>grand[[#This Row],[ carcass weight]]/grand[[#This Row],[total weight]]</f>
        <v>0.59997238840312939</v>
      </c>
      <c r="AC2403" s="18">
        <f>SUM(grand[[#This Row],[am]:[meat transportation]])/100</f>
        <v>0.8880769230769231</v>
      </c>
      <c r="AJ2403" s="1">
        <v>10</v>
      </c>
      <c r="AK2403" s="1"/>
      <c r="AL2403" s="1"/>
    </row>
    <row r="2404" spans="1:38" hidden="1" x14ac:dyDescent="0.2">
      <c r="A2404" s="11">
        <v>45917</v>
      </c>
      <c r="B2404" s="53" t="s">
        <v>2313</v>
      </c>
      <c r="C2404" s="52" t="str">
        <f>IF(MID(B2404,4,2)="09","Ramadan",IF(AND(MID(B2404,4,2)="12",VALUE(LEFT(B2404,2))&lt;=9),"Adha Season","Normal"))</f>
        <v>Normal</v>
      </c>
      <c r="D2404" s="1" t="s">
        <v>45</v>
      </c>
      <c r="E2404" s="1" t="s">
        <v>528</v>
      </c>
      <c r="F2404" s="4" t="s">
        <v>462</v>
      </c>
      <c r="G2404" s="1">
        <v>50</v>
      </c>
      <c r="H2404" s="1">
        <v>48</v>
      </c>
      <c r="I2404" s="1">
        <f>grand[[#This Row],[number]]-grand[[#This Row],[received]]</f>
        <v>2</v>
      </c>
      <c r="J2404" s="30"/>
      <c r="K2404" s="2">
        <v>22740.506329113923</v>
      </c>
      <c r="L2404" s="2">
        <v>22740.506329113923</v>
      </c>
      <c r="M2404" s="2">
        <f>K2404-L2404</f>
        <v>0</v>
      </c>
      <c r="N2404" s="2">
        <v>14372</v>
      </c>
      <c r="O2404" s="2"/>
      <c r="P2404" s="7">
        <f>grand[[#This Row],[total weight]]/grand[[#This Row],[received]]</f>
        <v>473.76054852320675</v>
      </c>
      <c r="Q2404" s="7">
        <f>grand[[#This Row],[receiving weight]]/grand[[#This Row],[received]]</f>
        <v>473.76054852320675</v>
      </c>
      <c r="R2404" s="7">
        <f>grand[[#This Row],[transportation loss ]]/grand[[#This Row],[received]]</f>
        <v>0</v>
      </c>
      <c r="S2404" s="7">
        <f>grand[[#This Row],[ carcass weight]]/grand[[#This Row],[received]]</f>
        <v>299.41666666666669</v>
      </c>
      <c r="T2404" s="7">
        <f>grand[[#This Row],[ kidneys fat quantity]]/grand[[#This Row],[received]]</f>
        <v>0</v>
      </c>
      <c r="U2404">
        <v>23.846153846153847</v>
      </c>
      <c r="V2404">
        <v>0</v>
      </c>
      <c r="W2404">
        <v>49.615384615384613</v>
      </c>
      <c r="X2404">
        <v>9.8076923076923066</v>
      </c>
      <c r="Y2404">
        <v>8.5</v>
      </c>
      <c r="Z2404" s="18">
        <f>grand[[#This Row],[av. Transportation loss]]/grand[[#This Row],[av.total weight]]</f>
        <v>0</v>
      </c>
      <c r="AA2404" s="18">
        <f>AVERAGE((grand[[#This Row],[am]]/25),(grand[[#This Row],[pm]]/50))</f>
        <v>0.97307692307692306</v>
      </c>
      <c r="AB2404" s="3">
        <f>grand[[#This Row],[ carcass weight]]/grand[[#This Row],[total weight]]</f>
        <v>0.63200000000000001</v>
      </c>
      <c r="AC2404" s="18">
        <f>SUM(grand[[#This Row],[am]:[meat transportation]])/100</f>
        <v>0.91769230769230759</v>
      </c>
      <c r="AK2404" s="1"/>
      <c r="AL2404" s="1"/>
    </row>
    <row r="2405" spans="1:38" hidden="1" x14ac:dyDescent="0.2">
      <c r="A2405" s="11">
        <v>45927</v>
      </c>
      <c r="B2405" s="53" t="s">
        <v>2321</v>
      </c>
      <c r="C2405" s="52" t="str">
        <f>IF(MID(B2405,4,2)="09","Ramadan",IF(AND(MID(B2405,4,2)="12",VALUE(LEFT(B2405,2))&lt;=9),"Adha Season","Normal"))</f>
        <v>Normal</v>
      </c>
      <c r="D2405" s="1" t="s">
        <v>45</v>
      </c>
      <c r="F2405" s="4" t="s">
        <v>462</v>
      </c>
      <c r="G2405" s="1">
        <v>37</v>
      </c>
      <c r="H2405" s="1">
        <v>35</v>
      </c>
      <c r="I2405" s="1">
        <f>grand[[#This Row],[number]]-grand[[#This Row],[received]]</f>
        <v>2</v>
      </c>
      <c r="J2405" s="30"/>
      <c r="K2405" s="2">
        <v>17297.784810126581</v>
      </c>
      <c r="L2405" s="2">
        <v>17297.784810126581</v>
      </c>
      <c r="M2405" s="2">
        <f>K2405-L2405</f>
        <v>0</v>
      </c>
      <c r="N2405" s="2">
        <v>10932.199999999999</v>
      </c>
      <c r="O2405" s="2"/>
      <c r="P2405" s="7">
        <f>grand[[#This Row],[total weight]]/grand[[#This Row],[received]]</f>
        <v>494.22242314647372</v>
      </c>
      <c r="Q2405" s="7">
        <f>grand[[#This Row],[receiving weight]]/grand[[#This Row],[received]]</f>
        <v>494.22242314647372</v>
      </c>
      <c r="R2405" s="7">
        <f>grand[[#This Row],[transportation loss ]]/grand[[#This Row],[received]]</f>
        <v>0</v>
      </c>
      <c r="S2405" s="7">
        <f>grand[[#This Row],[ carcass weight]]/grand[[#This Row],[received]]</f>
        <v>312.3485714285714</v>
      </c>
      <c r="T2405" s="7">
        <f>grand[[#This Row],[ kidneys fat quantity]]/grand[[#This Row],[received]]</f>
        <v>0</v>
      </c>
      <c r="U2405">
        <v>23.846153846153847</v>
      </c>
      <c r="V2405">
        <v>0</v>
      </c>
      <c r="W2405">
        <v>49.615384615384613</v>
      </c>
      <c r="X2405">
        <v>9.8076923076923066</v>
      </c>
      <c r="Y2405">
        <v>8.5</v>
      </c>
      <c r="Z2405" s="18">
        <f>grand[[#This Row],[av. Transportation loss]]/grand[[#This Row],[av.total weight]]</f>
        <v>0</v>
      </c>
      <c r="AA2405" s="18">
        <f>AVERAGE((grand[[#This Row],[am]]/25),(grand[[#This Row],[pm]]/50))</f>
        <v>0.97307692307692306</v>
      </c>
      <c r="AB2405" s="3">
        <f>grand[[#This Row],[ carcass weight]]/grand[[#This Row],[total weight]]</f>
        <v>0.63200000000000001</v>
      </c>
      <c r="AC2405" s="18">
        <f>SUM(grand[[#This Row],[am]:[meat transportation]])/100</f>
        <v>0.91769230769230759</v>
      </c>
      <c r="AJ2405" s="1">
        <v>7</v>
      </c>
      <c r="AK2405" s="1"/>
      <c r="AL2405" s="1"/>
    </row>
    <row r="2406" spans="1:38" hidden="1" x14ac:dyDescent="0.2">
      <c r="A2406" s="11">
        <v>45945</v>
      </c>
      <c r="B2406" s="53" t="s">
        <v>2337</v>
      </c>
      <c r="C2406" s="52" t="str">
        <f>IF(MID(B2406,4,2)="09","Ramadan",IF(AND(MID(B2406,4,2)="12",VALUE(LEFT(B2406,2))&lt;=9),"Adha Season","Normal"))</f>
        <v>Normal</v>
      </c>
      <c r="D2406" s="1" t="s">
        <v>45</v>
      </c>
      <c r="E2406" s="1" t="s">
        <v>528</v>
      </c>
      <c r="F2406" s="4" t="s">
        <v>770</v>
      </c>
      <c r="G2406" s="1">
        <v>35</v>
      </c>
      <c r="H2406" s="1">
        <v>33</v>
      </c>
      <c r="I2406" s="1">
        <f>grand[[#This Row],[number]]-grand[[#This Row],[received]]</f>
        <v>2</v>
      </c>
      <c r="J2406" s="30"/>
      <c r="K2406" s="2">
        <f>grand[[#This Row],[ carcass weight]]*100/63.2</f>
        <v>16165.822784810123</v>
      </c>
      <c r="L2406" s="2">
        <f>grand[[#This Row],[total weight]]</f>
        <v>16165.822784810123</v>
      </c>
      <c r="M2406" s="2">
        <f>K2406-L2406</f>
        <v>0</v>
      </c>
      <c r="N2406" s="2">
        <v>10216.799999999999</v>
      </c>
      <c r="O2406" s="2">
        <v>0</v>
      </c>
      <c r="P2406" s="7">
        <f>grand[[#This Row],[total weight]]/grand[[#This Row],[received]]</f>
        <v>489.87341772151888</v>
      </c>
      <c r="Q2406" s="7">
        <f>grand[[#This Row],[receiving weight]]/grand[[#This Row],[received]]</f>
        <v>489.87341772151888</v>
      </c>
      <c r="R2406" s="7">
        <f>grand[[#This Row],[transportation loss ]]/grand[[#This Row],[received]]</f>
        <v>0</v>
      </c>
      <c r="S2406" s="7">
        <f>grand[[#This Row],[ carcass weight]]/grand[[#This Row],[received]]</f>
        <v>309.59999999999997</v>
      </c>
      <c r="T2406" s="7">
        <f>grand[[#This Row],[ kidneys fat quantity]]/grand[[#This Row],[received]]</f>
        <v>0</v>
      </c>
      <c r="U2406" s="1">
        <v>25</v>
      </c>
      <c r="V2406" s="1">
        <v>0</v>
      </c>
      <c r="W2406" s="1">
        <v>43.727272727272734</v>
      </c>
      <c r="X2406" s="1">
        <v>10</v>
      </c>
      <c r="Y2406" s="1">
        <v>8.5</v>
      </c>
      <c r="Z2406" s="18">
        <f>grand[[#This Row],[av. Transportation loss]]/grand[[#This Row],[av.total weight]]</f>
        <v>0</v>
      </c>
      <c r="AA2406" s="18">
        <f>AVERAGE((grand[[#This Row],[am]]/25),(grand[[#This Row],[pm]]/50))</f>
        <v>0.93727272727272726</v>
      </c>
      <c r="AB2406" s="3">
        <f>grand[[#This Row],[ carcass weight]]/grand[[#This Row],[total weight]]</f>
        <v>0.63200000000000012</v>
      </c>
      <c r="AC2406" s="18">
        <f>SUM(grand[[#This Row],[am]:[meat transportation]])/100</f>
        <v>0.87227272727272731</v>
      </c>
      <c r="AD2406" s="1" t="s">
        <v>785</v>
      </c>
      <c r="AK2406" s="1"/>
      <c r="AL2406" s="1"/>
    </row>
    <row r="2407" spans="1:38" hidden="1" x14ac:dyDescent="0.2">
      <c r="A2407" s="11">
        <v>45951</v>
      </c>
      <c r="B2407" s="53" t="s">
        <v>2342</v>
      </c>
      <c r="C2407" s="52" t="str">
        <f>IF(MID(B2407,4,2)="09","Ramadan",IF(AND(MID(B2407,4,2)="12",VALUE(LEFT(B2407,2))&lt;=9),"Adha Season","Normal"))</f>
        <v>Normal</v>
      </c>
      <c r="D2407" s="1" t="s">
        <v>45</v>
      </c>
      <c r="E2407" s="1" t="s">
        <v>809</v>
      </c>
      <c r="F2407" s="4" t="s">
        <v>795</v>
      </c>
      <c r="G2407" s="1">
        <v>44</v>
      </c>
      <c r="H2407" s="1">
        <v>42</v>
      </c>
      <c r="I2407" s="1">
        <f>grand[[#This Row],[number]]-grand[[#This Row],[received]]</f>
        <v>2</v>
      </c>
      <c r="J2407" s="30"/>
      <c r="K2407" s="2">
        <v>20430</v>
      </c>
      <c r="L2407" s="2">
        <v>19945</v>
      </c>
      <c r="M2407" s="2">
        <f>K2407-L2407</f>
        <v>485</v>
      </c>
      <c r="N2407" s="2">
        <v>12266.7</v>
      </c>
      <c r="O2407" s="2">
        <v>386</v>
      </c>
      <c r="P2407" s="7">
        <f>grand[[#This Row],[total weight]]/grand[[#This Row],[received]]</f>
        <v>486.42857142857144</v>
      </c>
      <c r="Q2407" s="7">
        <f>grand[[#This Row],[receiving weight]]/grand[[#This Row],[received]]</f>
        <v>474.88095238095241</v>
      </c>
      <c r="R2407" s="7">
        <f>grand[[#This Row],[transportation loss ]]/grand[[#This Row],[received]]</f>
        <v>11.547619047619047</v>
      </c>
      <c r="S2407" s="7">
        <f>grand[[#This Row],[ carcass weight]]/grand[[#This Row],[received]]</f>
        <v>292.06428571428575</v>
      </c>
      <c r="T2407" s="7">
        <f>grand[[#This Row],[ kidneys fat quantity]]/grand[[#This Row],[received]]</f>
        <v>9.1904761904761898</v>
      </c>
      <c r="U2407" s="1">
        <v>24.761904761904763</v>
      </c>
      <c r="V2407" s="1">
        <v>0</v>
      </c>
      <c r="W2407" s="1">
        <v>46.785714285714285</v>
      </c>
      <c r="X2407" s="1">
        <v>10</v>
      </c>
      <c r="Y2407" s="1">
        <v>8.5</v>
      </c>
      <c r="Z2407" s="18">
        <f>grand[[#This Row],[av. Transportation loss]]/grand[[#This Row],[av.total weight]]</f>
        <v>2.3739598629466469E-2</v>
      </c>
      <c r="AA2407" s="18">
        <f>AVERAGE((grand[[#This Row],[am]]/25),(grand[[#This Row],[pm]]/50))</f>
        <v>0.96309523809523812</v>
      </c>
      <c r="AB2407" s="3">
        <f>grand[[#This Row],[ carcass weight]]/grand[[#This Row],[total weight]]</f>
        <v>0.60042584434654922</v>
      </c>
      <c r="AC2407" s="18">
        <f>SUM(grand[[#This Row],[am]:[meat transportation]])/100</f>
        <v>0.90047619047619054</v>
      </c>
      <c r="AD2407" s="1" t="s">
        <v>796</v>
      </c>
      <c r="AJ2407" s="1">
        <v>14</v>
      </c>
      <c r="AK2407" s="1"/>
      <c r="AL2407" s="1"/>
    </row>
    <row r="2408" spans="1:38" hidden="1" x14ac:dyDescent="0.2">
      <c r="A2408" s="11">
        <v>45960</v>
      </c>
      <c r="B2408" s="53" t="s">
        <v>2350</v>
      </c>
      <c r="C2408" s="52" t="str">
        <f>IF(MID(B2408,4,2)="09","Ramadan",IF(AND(MID(B2408,4,2)="12",VALUE(LEFT(B2408,2))&lt;=9),"Adha Season","Normal"))</f>
        <v>Normal</v>
      </c>
      <c r="D2408" s="1" t="s">
        <v>45</v>
      </c>
      <c r="E2408" s="1" t="s">
        <v>809</v>
      </c>
      <c r="F2408" s="4" t="s">
        <v>757</v>
      </c>
      <c r="G2408" s="1">
        <v>65</v>
      </c>
      <c r="H2408" s="1">
        <v>63</v>
      </c>
      <c r="I2408" s="1">
        <f>grand[[#This Row],[number]]-grand[[#This Row],[received]]</f>
        <v>2</v>
      </c>
      <c r="J2408" s="30"/>
      <c r="K2408" s="2">
        <v>29860</v>
      </c>
      <c r="L2408" s="2">
        <v>29860</v>
      </c>
      <c r="M2408" s="2">
        <f>K2408-L2408</f>
        <v>0</v>
      </c>
      <c r="N2408" s="2">
        <v>17977</v>
      </c>
      <c r="O2408" s="2">
        <v>662</v>
      </c>
      <c r="P2408" s="7">
        <f>grand[[#This Row],[total weight]]/grand[[#This Row],[received]]</f>
        <v>473.96825396825398</v>
      </c>
      <c r="Q2408" s="7">
        <f>grand[[#This Row],[receiving weight]]/grand[[#This Row],[received]]</f>
        <v>473.96825396825398</v>
      </c>
      <c r="R2408" s="7">
        <f>grand[[#This Row],[transportation loss ]]/grand[[#This Row],[received]]</f>
        <v>0</v>
      </c>
      <c r="S2408" s="7">
        <f>grand[[#This Row],[ carcass weight]]/grand[[#This Row],[received]]</f>
        <v>285.34920634920633</v>
      </c>
      <c r="T2408" s="7">
        <f>grand[[#This Row],[ kidneys fat quantity]]/grand[[#This Row],[received]]</f>
        <v>10.507936507936508</v>
      </c>
      <c r="U2408" s="1">
        <v>24.365079365079367</v>
      </c>
      <c r="V2408" s="1">
        <v>0</v>
      </c>
      <c r="W2408" s="1">
        <v>48.714285714285715</v>
      </c>
      <c r="X2408" s="1">
        <v>10</v>
      </c>
      <c r="Y2408" s="1">
        <v>8.5</v>
      </c>
      <c r="Z2408" s="18">
        <f>grand[[#This Row],[av. Transportation loss]]/grand[[#This Row],[av.total weight]]</f>
        <v>0</v>
      </c>
      <c r="AA2408" s="18">
        <f>AVERAGE((grand[[#This Row],[am]]/25),(grand[[#This Row],[pm]]/50))</f>
        <v>0.97444444444444445</v>
      </c>
      <c r="AB2408" s="3">
        <f>grand[[#This Row],[ carcass weight]]/grand[[#This Row],[total weight]]</f>
        <v>0.60204286671131946</v>
      </c>
      <c r="AC2408" s="18">
        <f>SUM(grand[[#This Row],[am]:[meat transportation]])/100</f>
        <v>0.91579365079365094</v>
      </c>
      <c r="AD2408" s="1" t="s">
        <v>170</v>
      </c>
      <c r="AJ2408" s="1">
        <v>25</v>
      </c>
      <c r="AK2408" s="1"/>
      <c r="AL2408" s="1"/>
    </row>
    <row r="2409" spans="1:38" hidden="1" x14ac:dyDescent="0.2">
      <c r="A2409" s="11">
        <v>45966</v>
      </c>
      <c r="B2409" s="53" t="s">
        <v>2354</v>
      </c>
      <c r="C2409" s="52" t="str">
        <f>IF(MID(B2409,4,2)="09","Ramadan",IF(AND(MID(B2409,4,2)="12",VALUE(LEFT(B2409,2))&lt;=9),"Adha Season","Normal"))</f>
        <v>Normal</v>
      </c>
      <c r="D2409" s="1" t="s">
        <v>45</v>
      </c>
      <c r="E2409" s="1" t="s">
        <v>528</v>
      </c>
      <c r="F2409" s="4" t="s">
        <v>772</v>
      </c>
      <c r="G2409" s="1">
        <v>8</v>
      </c>
      <c r="H2409">
        <v>6</v>
      </c>
      <c r="I2409">
        <f>grand[[#This Row],[number]]-grand[[#This Row],[received]]</f>
        <v>2</v>
      </c>
      <c r="J2409" s="30"/>
      <c r="K2409" s="2">
        <v>2598</v>
      </c>
      <c r="L2409" s="2">
        <v>2598</v>
      </c>
      <c r="M2409" s="2">
        <f>K2409-L2409</f>
        <v>0</v>
      </c>
      <c r="N2409" s="2">
        <v>1573</v>
      </c>
      <c r="O2409" s="2">
        <v>53</v>
      </c>
      <c r="P2409" s="7">
        <f>grand[[#This Row],[total weight]]/grand[[#This Row],[received]]</f>
        <v>433</v>
      </c>
      <c r="Q2409" s="7">
        <f>grand[[#This Row],[receiving weight]]/grand[[#This Row],[received]]</f>
        <v>433</v>
      </c>
      <c r="R2409" s="7">
        <f>grand[[#This Row],[transportation loss ]]/grand[[#This Row],[received]]</f>
        <v>0</v>
      </c>
      <c r="S2409" s="7">
        <f>grand[[#This Row],[ carcass weight]]/grand[[#This Row],[received]]</f>
        <v>262.16666666666669</v>
      </c>
      <c r="T2409" s="7">
        <f>grand[[#This Row],[ kidneys fat quantity]]/grand[[#This Row],[received]]</f>
        <v>8.8333333333333339</v>
      </c>
      <c r="U2409">
        <v>25</v>
      </c>
      <c r="V2409">
        <v>0</v>
      </c>
      <c r="W2409">
        <v>50</v>
      </c>
      <c r="X2409">
        <v>10</v>
      </c>
      <c r="Y2409" s="1">
        <v>8.5</v>
      </c>
      <c r="Z2409" s="18">
        <f>grand[[#This Row],[av. Transportation loss]]/grand[[#This Row],[av.total weight]]</f>
        <v>0</v>
      </c>
      <c r="AA2409" s="18">
        <f>AVERAGE((grand[[#This Row],[am]]/25),(grand[[#This Row],[pm]]/50))</f>
        <v>1</v>
      </c>
      <c r="AB2409" s="3">
        <f>grand[[#This Row],[ carcass weight]]/grand[[#This Row],[total weight]]</f>
        <v>0.60546574287913779</v>
      </c>
      <c r="AC2409" s="18">
        <f>SUM(grand[[#This Row],[am]:[meat transportation]])/100</f>
        <v>0.93500000000000005</v>
      </c>
      <c r="AD2409" s="2" t="s">
        <v>819</v>
      </c>
      <c r="AE2409" s="2"/>
      <c r="AF2409" s="2"/>
      <c r="AG2409" s="2"/>
      <c r="AH2409" s="2"/>
      <c r="AI2409" s="2"/>
      <c r="AJ2409" s="2">
        <v>0</v>
      </c>
      <c r="AK2409" s="1"/>
      <c r="AL2409" s="1"/>
    </row>
    <row r="2410" spans="1:38" hidden="1" x14ac:dyDescent="0.2">
      <c r="A2410" s="11">
        <v>45978</v>
      </c>
      <c r="B2410" s="53" t="s">
        <v>2364</v>
      </c>
      <c r="C2410" s="52" t="str">
        <f>IF(MID(B2410,4,2)="09","Ramadan",IF(AND(MID(B2410,4,2)="12",VALUE(LEFT(B2410,2))&lt;=9),"Adha Season","Normal"))</f>
        <v>Normal</v>
      </c>
      <c r="D2410" s="1" t="s">
        <v>45</v>
      </c>
      <c r="E2410" s="1" t="s">
        <v>528</v>
      </c>
      <c r="F2410" s="4" t="s">
        <v>770</v>
      </c>
      <c r="G2410" s="1">
        <v>47</v>
      </c>
      <c r="H2410">
        <v>45</v>
      </c>
      <c r="I2410">
        <f>grand[[#This Row],[number]]-grand[[#This Row],[received]]</f>
        <v>2</v>
      </c>
      <c r="J2410" s="30"/>
      <c r="K2410" s="2">
        <v>22172.468354430377</v>
      </c>
      <c r="L2410" s="2">
        <v>22172.468354430377</v>
      </c>
      <c r="M2410" s="2">
        <f>K2410-L2410</f>
        <v>0</v>
      </c>
      <c r="N2410" s="2">
        <v>14013</v>
      </c>
      <c r="O2410" s="2">
        <v>0</v>
      </c>
      <c r="P2410" s="7">
        <f>grand[[#This Row],[total weight]]/grand[[#This Row],[received]]</f>
        <v>492.72151898734171</v>
      </c>
      <c r="Q2410" s="7">
        <f>grand[[#This Row],[receiving weight]]/grand[[#This Row],[received]]</f>
        <v>492.72151898734171</v>
      </c>
      <c r="R2410" s="7">
        <f>grand[[#This Row],[transportation loss ]]/grand[[#This Row],[received]]</f>
        <v>0</v>
      </c>
      <c r="S2410" s="7">
        <f>grand[[#This Row],[ carcass weight]]/grand[[#This Row],[received]]</f>
        <v>311.39999999999998</v>
      </c>
      <c r="T2410" s="7">
        <f>grand[[#This Row],[ kidneys fat quantity]]/grand[[#This Row],[received]]</f>
        <v>0</v>
      </c>
      <c r="U2410">
        <v>25</v>
      </c>
      <c r="V2410">
        <v>4</v>
      </c>
      <c r="W2410">
        <v>45</v>
      </c>
      <c r="X2410">
        <v>10</v>
      </c>
      <c r="Y2410">
        <v>8.5</v>
      </c>
      <c r="Z2410" s="18">
        <f>grand[[#This Row],[av. Transportation loss]]/grand[[#This Row],[av.total weight]]</f>
        <v>0</v>
      </c>
      <c r="AA2410" s="18">
        <f>AVERAGE((grand[[#This Row],[am]]/25),(grand[[#This Row],[pm]]/50))</f>
        <v>0.95</v>
      </c>
      <c r="AB2410" s="3">
        <f>grand[[#This Row],[ carcass weight]]/grand[[#This Row],[total weight]]</f>
        <v>0.63200000000000012</v>
      </c>
      <c r="AC2410" s="18">
        <f>SUM(grand[[#This Row],[am]:[meat transportation]])/100</f>
        <v>0.92500000000000004</v>
      </c>
      <c r="AD2410" s="2"/>
      <c r="AE2410" s="2"/>
      <c r="AF2410" s="2"/>
      <c r="AG2410" s="2"/>
      <c r="AH2410" s="2"/>
      <c r="AI2410" s="2"/>
      <c r="AJ2410" s="2">
        <v>0</v>
      </c>
      <c r="AK2410" s="1"/>
      <c r="AL2410" s="1"/>
    </row>
    <row r="2411" spans="1:38" hidden="1" x14ac:dyDescent="0.2">
      <c r="A2411" s="11">
        <v>45980</v>
      </c>
      <c r="B2411" s="53" t="s">
        <v>2365</v>
      </c>
      <c r="C2411" s="52" t="str">
        <f>IF(MID(B2411,4,2)="09","Ramadan",IF(AND(MID(B2411,4,2)="12",VALUE(LEFT(B2411,2))&lt;=9),"Adha Season","Normal"))</f>
        <v>Normal</v>
      </c>
      <c r="D2411" s="1" t="s">
        <v>45</v>
      </c>
      <c r="E2411" s="1" t="s">
        <v>528</v>
      </c>
      <c r="F2411" s="4" t="s">
        <v>770</v>
      </c>
      <c r="G2411" s="1">
        <v>65</v>
      </c>
      <c r="H2411">
        <v>63</v>
      </c>
      <c r="I2411">
        <f>grand[[#This Row],[number]]-grand[[#This Row],[received]]</f>
        <v>2</v>
      </c>
      <c r="J2411" s="30"/>
      <c r="K2411" s="2">
        <v>31533.544303797466</v>
      </c>
      <c r="L2411" s="2">
        <v>31533.544303797466</v>
      </c>
      <c r="M2411" s="2">
        <f>K2411-L2411</f>
        <v>0</v>
      </c>
      <c r="N2411" s="2">
        <v>19929.2</v>
      </c>
      <c r="O2411" s="2">
        <v>0</v>
      </c>
      <c r="P2411" s="7">
        <f>grand[[#This Row],[total weight]]/grand[[#This Row],[received]]</f>
        <v>500.53244926662643</v>
      </c>
      <c r="Q2411" s="7">
        <f>grand[[#This Row],[receiving weight]]/grand[[#This Row],[received]]</f>
        <v>500.53244926662643</v>
      </c>
      <c r="R2411" s="7">
        <f>grand[[#This Row],[transportation loss ]]/grand[[#This Row],[received]]</f>
        <v>0</v>
      </c>
      <c r="S2411" s="7">
        <f>grand[[#This Row],[ carcass weight]]/grand[[#This Row],[received]]</f>
        <v>316.33650793650793</v>
      </c>
      <c r="T2411" s="7">
        <f>grand[[#This Row],[ kidneys fat quantity]]/grand[[#This Row],[received]]</f>
        <v>0</v>
      </c>
      <c r="U2411">
        <v>25</v>
      </c>
      <c r="V2411">
        <v>4</v>
      </c>
      <c r="W2411">
        <v>47.61904761904762</v>
      </c>
      <c r="X2411">
        <v>10</v>
      </c>
      <c r="Y2411">
        <v>8.5</v>
      </c>
      <c r="Z2411" s="18">
        <f>grand[[#This Row],[av. Transportation loss]]/grand[[#This Row],[av.total weight]]</f>
        <v>0</v>
      </c>
      <c r="AA2411" s="18">
        <f>AVERAGE((grand[[#This Row],[am]]/25),(grand[[#This Row],[pm]]/50))</f>
        <v>0.97619047619047628</v>
      </c>
      <c r="AB2411" s="3">
        <f>grand[[#This Row],[ carcass weight]]/grand[[#This Row],[total weight]]</f>
        <v>0.63200000000000012</v>
      </c>
      <c r="AC2411" s="18">
        <f>SUM(grand[[#This Row],[am]:[meat transportation]])/100</f>
        <v>0.95119047619047625</v>
      </c>
      <c r="AD2411" s="2" t="s">
        <v>819</v>
      </c>
      <c r="AE2411" s="2"/>
      <c r="AF2411" s="2"/>
      <c r="AG2411" s="2"/>
      <c r="AH2411" s="2"/>
      <c r="AI2411" s="2"/>
      <c r="AJ2411" s="2">
        <v>0</v>
      </c>
      <c r="AK2411" s="1"/>
      <c r="AL2411" s="1"/>
    </row>
    <row r="2412" spans="1:38" hidden="1" x14ac:dyDescent="0.2">
      <c r="A2412" s="11">
        <v>45998</v>
      </c>
      <c r="B2412" s="53" t="s">
        <v>2380</v>
      </c>
      <c r="C2412" s="52" t="str">
        <f>IF(MID(B2412,4,2)="09","Ramadan",IF(AND(MID(B2412,4,2)="12",VALUE(LEFT(B2412,2))&lt;=9),"Adha Season","Normal"))</f>
        <v>Normal</v>
      </c>
      <c r="D2412" s="1" t="s">
        <v>45</v>
      </c>
      <c r="E2412" s="1" t="s">
        <v>483</v>
      </c>
      <c r="F2412" s="4" t="s">
        <v>746</v>
      </c>
      <c r="G2412" s="1">
        <v>40</v>
      </c>
      <c r="H2412">
        <v>38</v>
      </c>
      <c r="I2412">
        <f>grand[[#This Row],[number]]-grand[[#This Row],[received]]</f>
        <v>2</v>
      </c>
      <c r="J2412" s="30"/>
      <c r="K2412" s="2">
        <v>20414</v>
      </c>
      <c r="L2412" s="2">
        <v>20414</v>
      </c>
      <c r="M2412" s="2">
        <f>K2412-L2412</f>
        <v>0</v>
      </c>
      <c r="N2412" s="2">
        <v>12249.4</v>
      </c>
      <c r="O2412" s="2">
        <v>402</v>
      </c>
      <c r="P2412" s="7">
        <f>grand[[#This Row],[total weight]]/grand[[#This Row],[received]]</f>
        <v>537.21052631578948</v>
      </c>
      <c r="Q2412" s="7">
        <f>grand[[#This Row],[receiving weight]]/grand[[#This Row],[received]]</f>
        <v>537.21052631578948</v>
      </c>
      <c r="R2412" s="7">
        <f>grand[[#This Row],[transportation loss ]]/grand[[#This Row],[received]]</f>
        <v>0</v>
      </c>
      <c r="S2412" s="7">
        <f>grand[[#This Row],[ carcass weight]]/grand[[#This Row],[received]]</f>
        <v>322.35263157894735</v>
      </c>
      <c r="T2412" s="7">
        <f>grand[[#This Row],[ kidneys fat quantity]]/grand[[#This Row],[received]]</f>
        <v>10.578947368421053</v>
      </c>
      <c r="U2412">
        <v>24.868421052631579</v>
      </c>
      <c r="V2412">
        <v>0</v>
      </c>
      <c r="W2412">
        <v>45.868421052631582</v>
      </c>
      <c r="X2412">
        <v>10</v>
      </c>
      <c r="Y2412">
        <v>8.5</v>
      </c>
      <c r="Z2412" s="18">
        <f>grand[[#This Row],[av. Transportation loss]]/grand[[#This Row],[av.total weight]]</f>
        <v>0</v>
      </c>
      <c r="AA2412" s="18">
        <f>AVERAGE((grand[[#This Row],[am]]/25),(grand[[#This Row],[pm]]/50))</f>
        <v>0.95605263157894738</v>
      </c>
      <c r="AB2412" s="3">
        <f>grand[[#This Row],[ carcass weight]]/grand[[#This Row],[total weight]]</f>
        <v>0.60004898599000689</v>
      </c>
      <c r="AC2412" s="18">
        <f>SUM(grand[[#This Row],[am]:[meat transportation]])/100</f>
        <v>0.8923684210526317</v>
      </c>
      <c r="AD2412" s="2" t="s">
        <v>877</v>
      </c>
      <c r="AE2412" s="2"/>
      <c r="AF2412" s="2"/>
      <c r="AG2412" s="2"/>
      <c r="AH2412" s="2"/>
      <c r="AI2412" s="2"/>
      <c r="AJ2412" s="2">
        <v>38</v>
      </c>
      <c r="AK2412" s="1"/>
      <c r="AL2412" s="1"/>
    </row>
    <row r="2413" spans="1:38" hidden="1" x14ac:dyDescent="0.2">
      <c r="A2413" s="11">
        <v>46002</v>
      </c>
      <c r="B2413" s="53" t="s">
        <v>2384</v>
      </c>
      <c r="C2413" s="52" t="str">
        <f>IF(MID(B2413,4,2)="09","Ramadan",IF(AND(MID(B2413,4,2)="12",VALUE(LEFT(B2413,2))&lt;=9),"Adha Season","Normal"))</f>
        <v>Normal</v>
      </c>
      <c r="D2413" s="2" t="s">
        <v>294</v>
      </c>
      <c r="F2413" s="4" t="s">
        <v>656</v>
      </c>
      <c r="G2413" s="1">
        <v>40</v>
      </c>
      <c r="H2413">
        <v>38</v>
      </c>
      <c r="I2413">
        <f>grand[[#This Row],[number]]-grand[[#This Row],[received]]</f>
        <v>2</v>
      </c>
      <c r="J2413" s="30"/>
      <c r="K2413" s="2">
        <v>2012</v>
      </c>
      <c r="L2413" s="2">
        <v>2012</v>
      </c>
      <c r="M2413" s="2">
        <f>K2413-L2413</f>
        <v>0</v>
      </c>
      <c r="N2413" s="2">
        <v>1158</v>
      </c>
      <c r="O2413" s="2">
        <v>0</v>
      </c>
      <c r="P2413" s="7">
        <f>grand[[#This Row],[total weight]]/grand[[#This Row],[received]]</f>
        <v>52.94736842105263</v>
      </c>
      <c r="Q2413" s="7">
        <f>grand[[#This Row],[receiving weight]]/grand[[#This Row],[received]]</f>
        <v>52.94736842105263</v>
      </c>
      <c r="R2413" s="7">
        <f>grand[[#This Row],[transportation loss ]]/grand[[#This Row],[received]]</f>
        <v>0</v>
      </c>
      <c r="S2413" s="7">
        <f>grand[[#This Row],[ carcass weight]]/grand[[#This Row],[received]]</f>
        <v>30.473684210526315</v>
      </c>
      <c r="T2413" s="7">
        <f>grand[[#This Row],[ kidneys fat quantity]]/grand[[#This Row],[received]]</f>
        <v>0</v>
      </c>
      <c r="U2413">
        <v>25</v>
      </c>
      <c r="V2413">
        <v>0</v>
      </c>
      <c r="W2413">
        <v>46.631578947368425</v>
      </c>
      <c r="X2413">
        <v>10</v>
      </c>
      <c r="Y2413">
        <v>8.5</v>
      </c>
      <c r="Z2413" s="18">
        <f>grand[[#This Row],[av. Transportation loss]]/grand[[#This Row],[av.total weight]]</f>
        <v>0</v>
      </c>
      <c r="AA2413" s="18">
        <f>AVERAGE((grand[[#This Row],[am]]/25),(grand[[#This Row],[pm]]/50))</f>
        <v>0.96631578947368424</v>
      </c>
      <c r="AB2413" s="3">
        <f>grand[[#This Row],[ carcass weight]]/grand[[#This Row],[total weight]]</f>
        <v>0.57554671968190851</v>
      </c>
      <c r="AC2413" s="18">
        <f>SUM(grand[[#This Row],[am]:[meat transportation]])/100</f>
        <v>0.90131578947368429</v>
      </c>
      <c r="AD2413" s="2" t="s">
        <v>796</v>
      </c>
      <c r="AE2413" s="2"/>
      <c r="AF2413" s="2"/>
      <c r="AG2413" s="2"/>
      <c r="AH2413" s="2"/>
      <c r="AI2413" s="2"/>
      <c r="AJ2413" s="2">
        <v>0</v>
      </c>
      <c r="AK2413" s="1"/>
      <c r="AL2413" s="1"/>
    </row>
    <row r="2414" spans="1:38" hidden="1" x14ac:dyDescent="0.2">
      <c r="A2414" s="11">
        <v>46012</v>
      </c>
      <c r="B2414" s="53" t="s">
        <v>2392</v>
      </c>
      <c r="C2414" s="52" t="str">
        <f>IF(MID(B2414,4,2)="09","Ramadan",IF(AND(MID(B2414,4,2)="12",VALUE(LEFT(B2414,2))&lt;=9),"Adha Season","Normal"))</f>
        <v>Normal</v>
      </c>
      <c r="D2414" s="1" t="s">
        <v>45</v>
      </c>
      <c r="E2414" s="1" t="s">
        <v>528</v>
      </c>
      <c r="F2414" s="4" t="s">
        <v>770</v>
      </c>
      <c r="G2414" s="1">
        <v>27</v>
      </c>
      <c r="H2414">
        <v>25</v>
      </c>
      <c r="I2414">
        <f>grand[[#This Row],[number]]-grand[[#This Row],[received]]</f>
        <v>2</v>
      </c>
      <c r="J2414" s="30"/>
      <c r="K2414" s="2">
        <v>12745.569620253164</v>
      </c>
      <c r="L2414" s="2">
        <v>12745.569620253164</v>
      </c>
      <c r="M2414" s="2">
        <f>K2414-L2414</f>
        <v>0</v>
      </c>
      <c r="N2414" s="2">
        <v>8055.2</v>
      </c>
      <c r="O2414" s="2">
        <v>0</v>
      </c>
      <c r="P2414" s="7">
        <f>grand[[#This Row],[total weight]]/grand[[#This Row],[received]]</f>
        <v>509.82278481012656</v>
      </c>
      <c r="Q2414" s="7">
        <f>grand[[#This Row],[receiving weight]]/grand[[#This Row],[received]]</f>
        <v>509.82278481012656</v>
      </c>
      <c r="R2414" s="7">
        <f>grand[[#This Row],[transportation loss ]]/grand[[#This Row],[received]]</f>
        <v>0</v>
      </c>
      <c r="S2414" s="7">
        <f>grand[[#This Row],[ carcass weight]]/grand[[#This Row],[received]]</f>
        <v>322.20799999999997</v>
      </c>
      <c r="T2414" s="7">
        <f>grand[[#This Row],[ kidneys fat quantity]]/grand[[#This Row],[received]]</f>
        <v>0</v>
      </c>
      <c r="U2414">
        <v>25</v>
      </c>
      <c r="V2414">
        <v>4</v>
      </c>
      <c r="W2414">
        <v>47.44</v>
      </c>
      <c r="X2414">
        <v>10</v>
      </c>
      <c r="Y2414">
        <v>8.5</v>
      </c>
      <c r="Z2414" s="18">
        <f>grand[[#This Row],[av. Transportation loss]]/grand[[#This Row],[av.total weight]]</f>
        <v>0</v>
      </c>
      <c r="AA2414" s="18">
        <f>AVERAGE((grand[[#This Row],[am]]/25),(grand[[#This Row],[pm]]/50))</f>
        <v>0.97439999999999993</v>
      </c>
      <c r="AB2414" s="3">
        <f>grand[[#This Row],[ carcass weight]]/grand[[#This Row],[total weight]]</f>
        <v>0.63200000000000001</v>
      </c>
      <c r="AC2414" s="18">
        <f>SUM(grand[[#This Row],[am]:[meat transportation]])/100</f>
        <v>0.94940000000000002</v>
      </c>
      <c r="AD2414" s="2" t="s">
        <v>819</v>
      </c>
      <c r="AE2414" s="2"/>
      <c r="AF2414" s="2"/>
      <c r="AG2414" s="2"/>
      <c r="AH2414" s="2"/>
      <c r="AI2414" s="2"/>
      <c r="AJ2414" s="2">
        <v>10</v>
      </c>
      <c r="AK2414" s="1"/>
      <c r="AL2414" s="1"/>
    </row>
    <row r="2415" spans="1:38" hidden="1" x14ac:dyDescent="0.2">
      <c r="A2415" s="11">
        <v>46015</v>
      </c>
      <c r="B2415" s="53" t="s">
        <v>2395</v>
      </c>
      <c r="C2415" s="52" t="str">
        <f>IF(MID(B2415,4,2)="09","Ramadan",IF(AND(MID(B2415,4,2)="12",VALUE(LEFT(B2415,2))&lt;=9),"Adha Season","Normal"))</f>
        <v>Normal</v>
      </c>
      <c r="D2415" s="2" t="s">
        <v>294</v>
      </c>
      <c r="F2415" s="4" t="s">
        <v>656</v>
      </c>
      <c r="G2415" s="1">
        <v>35</v>
      </c>
      <c r="H2415">
        <v>33</v>
      </c>
      <c r="I2415">
        <f>grand[[#This Row],[number]]-grand[[#This Row],[received]]</f>
        <v>2</v>
      </c>
      <c r="J2415" s="30"/>
      <c r="K2415" s="2">
        <v>1766</v>
      </c>
      <c r="L2415" s="2">
        <v>1766</v>
      </c>
      <c r="M2415" s="2">
        <f>K2415-L2415</f>
        <v>0</v>
      </c>
      <c r="N2415" s="2">
        <v>1014.8</v>
      </c>
      <c r="O2415" s="2">
        <v>0</v>
      </c>
      <c r="P2415" s="7">
        <f>grand[[#This Row],[total weight]]/grand[[#This Row],[received]]</f>
        <v>53.515151515151516</v>
      </c>
      <c r="Q2415" s="7">
        <f>grand[[#This Row],[receiving weight]]/grand[[#This Row],[received]]</f>
        <v>53.515151515151516</v>
      </c>
      <c r="R2415" s="7">
        <f>grand[[#This Row],[transportation loss ]]/grand[[#This Row],[received]]</f>
        <v>0</v>
      </c>
      <c r="S2415" s="7">
        <f>grand[[#This Row],[ carcass weight]]/grand[[#This Row],[received]]</f>
        <v>30.75151515151515</v>
      </c>
      <c r="T2415" s="7">
        <f>grand[[#This Row],[ kidneys fat quantity]]/grand[[#This Row],[received]]</f>
        <v>0</v>
      </c>
      <c r="U2415">
        <v>25</v>
      </c>
      <c r="V2415">
        <v>0</v>
      </c>
      <c r="W2415">
        <v>45.999999999999993</v>
      </c>
      <c r="X2415">
        <v>10</v>
      </c>
      <c r="Y2415">
        <v>8.5</v>
      </c>
      <c r="Z2415" s="18">
        <f>grand[[#This Row],[av. Transportation loss]]/grand[[#This Row],[av.total weight]]</f>
        <v>0</v>
      </c>
      <c r="AA2415" s="18">
        <f>AVERAGE((grand[[#This Row],[am]]/25),(grand[[#This Row],[pm]]/50))</f>
        <v>0.96</v>
      </c>
      <c r="AB2415" s="3">
        <f>grand[[#This Row],[ carcass weight]]/grand[[#This Row],[total weight]]</f>
        <v>0.57463193657984146</v>
      </c>
      <c r="AC2415" s="18">
        <f>SUM(grand[[#This Row],[am]:[meat transportation]])/100</f>
        <v>0.89500000000000002</v>
      </c>
      <c r="AD2415" s="2" t="s">
        <v>848</v>
      </c>
      <c r="AE2415" s="2"/>
      <c r="AF2415" s="2"/>
      <c r="AG2415" s="2"/>
      <c r="AH2415" s="2"/>
      <c r="AI2415" s="2"/>
      <c r="AJ2415" s="2">
        <v>0</v>
      </c>
      <c r="AK2415" s="1"/>
      <c r="AL2415" s="1"/>
    </row>
    <row r="2416" spans="1:38" hidden="1" x14ac:dyDescent="0.2">
      <c r="A2416" s="11">
        <v>46216</v>
      </c>
      <c r="B2416" s="53" t="str">
        <f>TEXT(grand[[#This Row],[date]],"[$-ar-SA,6]dd/mm/yyyy")</f>
        <v>28/01/1448</v>
      </c>
      <c r="C2416" s="52" t="str">
        <f>IF(MID(B2416,4,2)="09","Ramadan",IF(AND(MID(B2416,4,2)="12",VALUE(LEFT(B2416,2))&lt;=9),"Adha Season","Normal"))</f>
        <v>Normal</v>
      </c>
      <c r="D2416" s="1" t="s">
        <v>1079</v>
      </c>
      <c r="F2416" s="4" t="s">
        <v>165</v>
      </c>
      <c r="G2416" s="1">
        <v>60</v>
      </c>
      <c r="H2416" s="1">
        <v>60</v>
      </c>
      <c r="I2416" s="1">
        <f>grand[[#This Row],[number]]-grand[[#This Row],[received]]</f>
        <v>0</v>
      </c>
      <c r="J2416" s="2"/>
      <c r="K2416" s="2">
        <v>3090</v>
      </c>
      <c r="L2416" s="2">
        <v>3090</v>
      </c>
      <c r="M2416" s="2">
        <f>K2416-L2416</f>
        <v>0</v>
      </c>
      <c r="N2416" s="2">
        <v>1673</v>
      </c>
      <c r="O2416" s="2">
        <v>0</v>
      </c>
      <c r="P2416" s="7">
        <f>grand[[#This Row],[total weight]]/grand[[#This Row],[received]]</f>
        <v>51.5</v>
      </c>
      <c r="Q2416" s="7">
        <f>grand[[#This Row],[receiving weight]]/grand[[#This Row],[received]]</f>
        <v>51.5</v>
      </c>
      <c r="R2416" s="7">
        <f>grand[[#This Row],[transportation loss ]]/grand[[#This Row],[received]]</f>
        <v>0</v>
      </c>
      <c r="S2416" s="7">
        <f>grand[[#This Row],[ carcass weight]]/grand[[#This Row],[received]]</f>
        <v>27.883333333333333</v>
      </c>
      <c r="T2416" s="7">
        <f>grand[[#This Row],[ kidneys fat quantity]]/grand[[#This Row],[received]]</f>
        <v>0</v>
      </c>
      <c r="U2416" s="1">
        <v>25</v>
      </c>
      <c r="V2416" s="1">
        <v>0</v>
      </c>
      <c r="W2416" s="1">
        <v>47.85</v>
      </c>
      <c r="X2416" s="1">
        <v>10</v>
      </c>
      <c r="Y2416" s="1">
        <v>8.5</v>
      </c>
      <c r="Z2416" s="18">
        <f>grand[[#This Row],[av. Transportation loss]]/grand[[#This Row],[av.total weight]]</f>
        <v>0</v>
      </c>
      <c r="AA2416" s="18">
        <f>AVERAGE((grand[[#This Row],[am]]/25),(grand[[#This Row],[pm]]/50))</f>
        <v>0.97850000000000004</v>
      </c>
      <c r="AB2416" s="3">
        <f>grand[[#This Row],[ carcass weight]]/grand[[#This Row],[total weight]]</f>
        <v>0.54142394822006468</v>
      </c>
      <c r="AC2416" s="18">
        <f>SUM(grand[[#This Row],[am]:[meat transportation]])/100</f>
        <v>0.91349999999999998</v>
      </c>
      <c r="AD2416" s="1" t="s">
        <v>3019</v>
      </c>
      <c r="AJ2416" s="1">
        <v>0</v>
      </c>
    </row>
    <row r="2417" spans="1:36" hidden="1" x14ac:dyDescent="0.2">
      <c r="A2417" s="11">
        <v>46217</v>
      </c>
      <c r="B2417" s="53" t="str">
        <f>TEXT(grand[[#This Row],[date]],"[$-ar-SA,6]dd/mm/yyyy")</f>
        <v>29/01/1448</v>
      </c>
      <c r="C2417" s="52" t="str">
        <f>IF(MID(B2417,4,2)="09","Ramadan",IF(AND(MID(B2417,4,2)="12",VALUE(LEFT(B2417,2))&lt;=9),"Adha Season","Normal"))</f>
        <v>Normal</v>
      </c>
      <c r="D2417" s="1" t="s">
        <v>45</v>
      </c>
      <c r="F2417" s="4" t="s">
        <v>165</v>
      </c>
      <c r="G2417" s="1">
        <v>55</v>
      </c>
      <c r="H2417" s="1">
        <v>55</v>
      </c>
      <c r="I2417" s="1">
        <f>grand[[#This Row],[number]]-grand[[#This Row],[received]]</f>
        <v>0</v>
      </c>
      <c r="J2417" s="2"/>
      <c r="K2417" s="2">
        <v>23847</v>
      </c>
      <c r="L2417" s="2">
        <v>23847</v>
      </c>
      <c r="M2417" s="2">
        <f>K2417-L2417</f>
        <v>0</v>
      </c>
      <c r="N2417" s="2">
        <v>14308</v>
      </c>
      <c r="O2417" s="2">
        <v>319</v>
      </c>
      <c r="P2417" s="7">
        <f>grand[[#This Row],[total weight]]/grand[[#This Row],[received]]</f>
        <v>433.58181818181816</v>
      </c>
      <c r="Q2417" s="7">
        <f>grand[[#This Row],[receiving weight]]/grand[[#This Row],[received]]</f>
        <v>433.58181818181816</v>
      </c>
      <c r="R2417" s="7">
        <f>grand[[#This Row],[transportation loss ]]/grand[[#This Row],[received]]</f>
        <v>0</v>
      </c>
      <c r="S2417" s="7">
        <f>grand[[#This Row],[ carcass weight]]/grand[[#This Row],[received]]</f>
        <v>260.14545454545453</v>
      </c>
      <c r="T2417" s="7">
        <f>grand[[#This Row],[ kidneys fat quantity]]/grand[[#This Row],[received]]</f>
        <v>5.8</v>
      </c>
      <c r="U2417" s="1">
        <v>24.81818181818182</v>
      </c>
      <c r="V2417" s="1">
        <v>0</v>
      </c>
      <c r="W2417" s="1">
        <v>48.709090909090911</v>
      </c>
      <c r="X2417" s="1">
        <v>10</v>
      </c>
      <c r="Y2417" s="1">
        <v>8.5</v>
      </c>
      <c r="Z2417" s="18">
        <f>grand[[#This Row],[av. Transportation loss]]/grand[[#This Row],[av.total weight]]</f>
        <v>0</v>
      </c>
      <c r="AA2417" s="18">
        <f>AVERAGE((grand[[#This Row],[am]]/25),(grand[[#This Row],[pm]]/50))</f>
        <v>0.98345454545454558</v>
      </c>
      <c r="AB2417" s="3">
        <f>grand[[#This Row],[ carcass weight]]/grand[[#This Row],[total weight]]</f>
        <v>0.59999161320082195</v>
      </c>
      <c r="AC2417" s="18">
        <f>SUM(grand[[#This Row],[am]:[meat transportation]])/100</f>
        <v>0.92027272727272735</v>
      </c>
      <c r="AD2417" s="1" t="s">
        <v>3021</v>
      </c>
      <c r="AJ2417" s="1">
        <v>10</v>
      </c>
    </row>
    <row r="2418" spans="1:36" hidden="1" x14ac:dyDescent="0.2">
      <c r="A2418" s="11">
        <v>46218</v>
      </c>
      <c r="B2418" s="53" t="str">
        <f>TEXT(grand[[#This Row],[date]],"[$-ar-SA,6]dd/mm/yyyy")</f>
        <v>30/01/1448</v>
      </c>
      <c r="C2418" s="52" t="str">
        <f>IF(MID(B2418,4,2)="09","Ramadan",IF(AND(MID(B2418,4,2)="12",VALUE(LEFT(B2418,2))&lt;=9),"Adha Season","Normal"))</f>
        <v>Normal</v>
      </c>
      <c r="D2418" s="1" t="s">
        <v>1079</v>
      </c>
      <c r="F2418" s="4" t="s">
        <v>165</v>
      </c>
      <c r="G2418" s="1">
        <v>56</v>
      </c>
      <c r="H2418" s="1">
        <v>56</v>
      </c>
      <c r="I2418" s="1">
        <f>grand[[#This Row],[number]]-grand[[#This Row],[received]]</f>
        <v>0</v>
      </c>
      <c r="J2418" s="2"/>
      <c r="K2418" s="2">
        <v>2876</v>
      </c>
      <c r="L2418" s="2">
        <v>2876</v>
      </c>
      <c r="M2418" s="2">
        <f>K2418-L2418</f>
        <v>0</v>
      </c>
      <c r="N2418" s="2">
        <v>1568</v>
      </c>
      <c r="O2418" s="2">
        <v>0</v>
      </c>
      <c r="P2418" s="7">
        <f>grand[[#This Row],[total weight]]/grand[[#This Row],[received]]</f>
        <v>51.357142857142854</v>
      </c>
      <c r="Q2418" s="7">
        <f>grand[[#This Row],[receiving weight]]/grand[[#This Row],[received]]</f>
        <v>51.357142857142854</v>
      </c>
      <c r="R2418" s="7">
        <f>grand[[#This Row],[transportation loss ]]/grand[[#This Row],[received]]</f>
        <v>0</v>
      </c>
      <c r="S2418" s="7">
        <f>grand[[#This Row],[ carcass weight]]/grand[[#This Row],[received]]</f>
        <v>28</v>
      </c>
      <c r="T2418" s="7">
        <f>grand[[#This Row],[ kidneys fat quantity]]/grand[[#This Row],[received]]</f>
        <v>0</v>
      </c>
      <c r="U2418" s="1">
        <v>25</v>
      </c>
      <c r="V2418" s="1">
        <v>0</v>
      </c>
      <c r="W2418" s="1">
        <v>46.375</v>
      </c>
      <c r="X2418" s="1">
        <v>10</v>
      </c>
      <c r="Y2418" s="1">
        <v>8.5</v>
      </c>
      <c r="Z2418" s="18">
        <f>grand[[#This Row],[av. Transportation loss]]/grand[[#This Row],[av.total weight]]</f>
        <v>0</v>
      </c>
      <c r="AA2418" s="18">
        <f>AVERAGE((grand[[#This Row],[am]]/25),(grand[[#This Row],[pm]]/50))</f>
        <v>0.96375</v>
      </c>
      <c r="AB2418" s="3">
        <f>grand[[#This Row],[ carcass weight]]/grand[[#This Row],[total weight]]</f>
        <v>0.54520166898470102</v>
      </c>
      <c r="AC2418" s="18">
        <f>SUM(grand[[#This Row],[am]:[meat transportation]])/100</f>
        <v>0.89875000000000005</v>
      </c>
      <c r="AD2418" s="1" t="s">
        <v>3023</v>
      </c>
      <c r="AJ2418" s="1">
        <v>0</v>
      </c>
    </row>
    <row r="2419" spans="1:36" hidden="1" x14ac:dyDescent="0.2">
      <c r="A2419" s="11">
        <v>46218</v>
      </c>
      <c r="B2419" s="53" t="str">
        <f>TEXT(grand[[#This Row],[date]],"[$-ar-SA,6]dd/mm/yyyy")</f>
        <v>30/01/1448</v>
      </c>
      <c r="C2419" s="52" t="str">
        <f>IF(MID(B2419,4,2)="09","Ramadan",IF(AND(MID(B2419,4,2)="12",VALUE(LEFT(B2419,2))&lt;=9),"Adha Season","Normal"))</f>
        <v>Normal</v>
      </c>
      <c r="D2419" s="1" t="s">
        <v>45</v>
      </c>
      <c r="F2419" s="4" t="s">
        <v>954</v>
      </c>
      <c r="G2419" s="1">
        <v>60</v>
      </c>
      <c r="H2419" s="1">
        <v>60</v>
      </c>
      <c r="I2419" s="1">
        <f>grand[[#This Row],[number]]-grand[[#This Row],[received]]</f>
        <v>0</v>
      </c>
      <c r="J2419" s="2"/>
      <c r="K2419" s="2">
        <v>26208</v>
      </c>
      <c r="L2419" s="2">
        <v>26208</v>
      </c>
      <c r="M2419" s="2">
        <f>K2419-L2419</f>
        <v>0</v>
      </c>
      <c r="N2419" s="2">
        <v>15914</v>
      </c>
      <c r="O2419" s="2">
        <v>490</v>
      </c>
      <c r="P2419" s="7">
        <f>grand[[#This Row],[total weight]]/grand[[#This Row],[received]]</f>
        <v>436.8</v>
      </c>
      <c r="Q2419" s="7">
        <f>grand[[#This Row],[receiving weight]]/grand[[#This Row],[received]]</f>
        <v>436.8</v>
      </c>
      <c r="R2419" s="7">
        <f>grand[[#This Row],[transportation loss ]]/grand[[#This Row],[received]]</f>
        <v>0</v>
      </c>
      <c r="S2419" s="7">
        <f>grand[[#This Row],[ carcass weight]]/grand[[#This Row],[received]]</f>
        <v>265.23333333333335</v>
      </c>
      <c r="T2419" s="7">
        <f>grand[[#This Row],[ kidneys fat quantity]]/grand[[#This Row],[received]]</f>
        <v>8.1666666666666661</v>
      </c>
      <c r="U2419" s="1">
        <v>25</v>
      </c>
      <c r="V2419" s="1">
        <v>0</v>
      </c>
      <c r="W2419" s="1">
        <v>48.816666666666663</v>
      </c>
      <c r="X2419" s="1">
        <v>10</v>
      </c>
      <c r="Y2419" s="1">
        <v>8.5</v>
      </c>
      <c r="Z2419" s="18">
        <f>grand[[#This Row],[av. Transportation loss]]/grand[[#This Row],[av.total weight]]</f>
        <v>0</v>
      </c>
      <c r="AA2419" s="18">
        <f>AVERAGE((grand[[#This Row],[am]]/25),(grand[[#This Row],[pm]]/50))</f>
        <v>0.98816666666666664</v>
      </c>
      <c r="AB2419" s="3">
        <f>grand[[#This Row],[ carcass weight]]/grand[[#This Row],[total weight]]</f>
        <v>0.60721916971916967</v>
      </c>
      <c r="AC2419" s="18">
        <f>SUM(grand[[#This Row],[am]:[meat transportation]])/100</f>
        <v>0.92316666666666658</v>
      </c>
      <c r="AD2419" s="1" t="s">
        <v>3025</v>
      </c>
      <c r="AJ2419" s="1">
        <v>0</v>
      </c>
    </row>
    <row r="2420" spans="1:36" hidden="1" x14ac:dyDescent="0.2">
      <c r="A2420" s="11">
        <v>46219</v>
      </c>
      <c r="B2420" s="53" t="str">
        <f>TEXT(grand[[#This Row],[date]],"[$-ar-SA,6]dd/mm/yyyy")</f>
        <v>01/02/1448</v>
      </c>
      <c r="C2420" s="52" t="str">
        <f>IF(MID(B2420,4,2)="09","Ramadan",IF(AND(MID(B2420,4,2)="12",VALUE(LEFT(B2420,2))&lt;=9),"Adha Season","Normal"))</f>
        <v>Normal</v>
      </c>
      <c r="D2420" s="1" t="s">
        <v>1079</v>
      </c>
      <c r="F2420" s="4" t="s">
        <v>165</v>
      </c>
      <c r="G2420" s="1">
        <v>56</v>
      </c>
      <c r="H2420" s="1">
        <v>56</v>
      </c>
      <c r="I2420" s="1">
        <f>grand[[#This Row],[number]]-grand[[#This Row],[received]]</f>
        <v>0</v>
      </c>
      <c r="J2420" s="2"/>
      <c r="K2420" s="2">
        <v>3044</v>
      </c>
      <c r="L2420" s="2">
        <v>3044</v>
      </c>
      <c r="M2420" s="2">
        <f>K2420-L2420</f>
        <v>0</v>
      </c>
      <c r="N2420" s="2">
        <v>1675</v>
      </c>
      <c r="O2420" s="2">
        <v>0</v>
      </c>
      <c r="P2420" s="7">
        <f>grand[[#This Row],[total weight]]/grand[[#This Row],[received]]</f>
        <v>54.357142857142854</v>
      </c>
      <c r="Q2420" s="7">
        <f>grand[[#This Row],[receiving weight]]/grand[[#This Row],[received]]</f>
        <v>54.357142857142854</v>
      </c>
      <c r="R2420" s="7">
        <f>grand[[#This Row],[transportation loss ]]/grand[[#This Row],[received]]</f>
        <v>0</v>
      </c>
      <c r="S2420" s="7">
        <f>grand[[#This Row],[ carcass weight]]/grand[[#This Row],[received]]</f>
        <v>29.910714285714285</v>
      </c>
      <c r="T2420" s="7">
        <f>grand[[#This Row],[ kidneys fat quantity]]/grand[[#This Row],[received]]</f>
        <v>0</v>
      </c>
      <c r="U2420" s="1">
        <v>25</v>
      </c>
      <c r="V2420" s="1">
        <v>0</v>
      </c>
      <c r="W2420" s="1">
        <v>45.294642857142854</v>
      </c>
      <c r="X2420" s="1">
        <v>10</v>
      </c>
      <c r="Y2420" s="1">
        <v>8.5</v>
      </c>
      <c r="Z2420" s="18">
        <f>grand[[#This Row],[av. Transportation loss]]/grand[[#This Row],[av.total weight]]</f>
        <v>0</v>
      </c>
      <c r="AA2420" s="18">
        <f>AVERAGE((grand[[#This Row],[am]]/25),(grand[[#This Row],[pm]]/50))</f>
        <v>0.95294642857142853</v>
      </c>
      <c r="AB2420" s="3">
        <f>grand[[#This Row],[ carcass weight]]/grand[[#This Row],[total weight]]</f>
        <v>0.55026281208935612</v>
      </c>
      <c r="AC2420" s="18">
        <f>SUM(grand[[#This Row],[am]:[meat transportation]])/100</f>
        <v>0.88794642857142858</v>
      </c>
      <c r="AD2420" s="1" t="s">
        <v>3027</v>
      </c>
      <c r="AJ2420" s="1">
        <v>0</v>
      </c>
    </row>
    <row r="2421" spans="1:36" hidden="1" x14ac:dyDescent="0.2">
      <c r="A2421" s="11">
        <v>46219</v>
      </c>
      <c r="B2421" s="53" t="str">
        <f>TEXT(grand[[#This Row],[date]],"[$-ar-SA,6]dd/mm/yyyy")</f>
        <v>01/02/1448</v>
      </c>
      <c r="C2421" s="52" t="str">
        <f>IF(MID(B2421,4,2)="09","Ramadan",IF(AND(MID(B2421,4,2)="12",VALUE(LEFT(B2421,2))&lt;=9),"Adha Season","Normal"))</f>
        <v>Normal</v>
      </c>
      <c r="D2421" s="1" t="s">
        <v>45</v>
      </c>
      <c r="F2421" s="4" t="s">
        <v>959</v>
      </c>
      <c r="G2421" s="1">
        <v>96</v>
      </c>
      <c r="H2421" s="1">
        <v>96</v>
      </c>
      <c r="I2421" s="1">
        <f>grand[[#This Row],[number]]-grand[[#This Row],[received]]</f>
        <v>0</v>
      </c>
      <c r="J2421" s="2"/>
      <c r="K2421" s="2">
        <v>40590</v>
      </c>
      <c r="L2421" s="2">
        <v>40590</v>
      </c>
      <c r="M2421" s="2">
        <f>K2421-L2421</f>
        <v>0</v>
      </c>
      <c r="N2421" s="2">
        <v>24699</v>
      </c>
      <c r="O2421" s="2">
        <v>668</v>
      </c>
      <c r="P2421" s="7">
        <f>grand[[#This Row],[total weight]]/grand[[#This Row],[received]]</f>
        <v>422.8125</v>
      </c>
      <c r="Q2421" s="7">
        <f>grand[[#This Row],[receiving weight]]/grand[[#This Row],[received]]</f>
        <v>422.8125</v>
      </c>
      <c r="R2421" s="7">
        <f>grand[[#This Row],[transportation loss ]]/grand[[#This Row],[received]]</f>
        <v>0</v>
      </c>
      <c r="S2421" s="7">
        <f>grand[[#This Row],[ carcass weight]]/grand[[#This Row],[received]]</f>
        <v>257.28125</v>
      </c>
      <c r="T2421" s="7">
        <f>grand[[#This Row],[ kidneys fat quantity]]/grand[[#This Row],[received]]</f>
        <v>6.958333333333333</v>
      </c>
      <c r="U2421" s="1">
        <v>25</v>
      </c>
      <c r="V2421" s="1">
        <v>0</v>
      </c>
      <c r="W2421" s="1">
        <v>49.166666666666664</v>
      </c>
      <c r="X2421" s="1">
        <v>10</v>
      </c>
      <c r="Y2421" s="1">
        <v>8.5</v>
      </c>
      <c r="Z2421" s="18">
        <f>grand[[#This Row],[av. Transportation loss]]/grand[[#This Row],[av.total weight]]</f>
        <v>0</v>
      </c>
      <c r="AA2421" s="18">
        <f>AVERAGE((grand[[#This Row],[am]]/25),(grand[[#This Row],[pm]]/50))</f>
        <v>0.9916666666666667</v>
      </c>
      <c r="AB2421" s="3">
        <f>grand[[#This Row],[ carcass weight]]/grand[[#This Row],[total weight]]</f>
        <v>0.60849963045084998</v>
      </c>
      <c r="AC2421" s="18">
        <f>SUM(grand[[#This Row],[am]:[meat transportation]])/100</f>
        <v>0.92666666666666653</v>
      </c>
      <c r="AD2421" s="1" t="s">
        <v>3029</v>
      </c>
      <c r="AJ2421" s="1">
        <v>0</v>
      </c>
    </row>
    <row r="2422" spans="1:36" hidden="1" x14ac:dyDescent="0.2">
      <c r="A2422" s="11">
        <v>46219</v>
      </c>
      <c r="B2422" s="53" t="str">
        <f>TEXT(grand[[#This Row],[date]],"[$-ar-SA,6]dd/mm/yyyy")</f>
        <v>01/02/1448</v>
      </c>
      <c r="C2422" s="52" t="str">
        <f>IF(MID(B2422,4,2)="09","Ramadan",IF(AND(MID(B2422,4,2)="12",VALUE(LEFT(B2422,2))&lt;=9),"Adha Season","Normal"))</f>
        <v>Normal</v>
      </c>
      <c r="D2422" s="2" t="s">
        <v>350</v>
      </c>
      <c r="F2422" s="4" t="s">
        <v>1161</v>
      </c>
      <c r="G2422" s="1">
        <v>46</v>
      </c>
      <c r="H2422" s="1">
        <v>46</v>
      </c>
      <c r="I2422" s="1">
        <f>grand[[#This Row],[number]]-grand[[#This Row],[received]]</f>
        <v>0</v>
      </c>
      <c r="J2422" s="2"/>
      <c r="K2422" s="2">
        <v>1125</v>
      </c>
      <c r="L2422" s="2">
        <v>1125</v>
      </c>
      <c r="M2422" s="2">
        <f>K2422-L2422</f>
        <v>0</v>
      </c>
      <c r="N2422" s="2">
        <v>605</v>
      </c>
      <c r="O2422" s="2">
        <v>0</v>
      </c>
      <c r="P2422" s="7">
        <f>grand[[#This Row],[total weight]]/grand[[#This Row],[received]]</f>
        <v>24.456521739130434</v>
      </c>
      <c r="Q2422" s="7">
        <f>grand[[#This Row],[receiving weight]]/grand[[#This Row],[received]]</f>
        <v>24.456521739130434</v>
      </c>
      <c r="R2422" s="7">
        <f>grand[[#This Row],[transportation loss ]]/grand[[#This Row],[received]]</f>
        <v>0</v>
      </c>
      <c r="S2422" s="7">
        <f>grand[[#This Row],[ carcass weight]]/grand[[#This Row],[received]]</f>
        <v>13.152173913043478</v>
      </c>
      <c r="T2422" s="7">
        <f>grand[[#This Row],[ kidneys fat quantity]]/grand[[#This Row],[received]]</f>
        <v>0</v>
      </c>
      <c r="U2422" s="1">
        <v>25</v>
      </c>
      <c r="V2422" s="1">
        <v>0</v>
      </c>
      <c r="W2422" s="1">
        <v>49.717391304347821</v>
      </c>
      <c r="X2422" s="1">
        <v>10</v>
      </c>
      <c r="Y2422" s="1">
        <v>8.5</v>
      </c>
      <c r="Z2422" s="18">
        <f>grand[[#This Row],[av. Transportation loss]]/grand[[#This Row],[av.total weight]]</f>
        <v>0</v>
      </c>
      <c r="AA2422" s="18">
        <f>AVERAGE((grand[[#This Row],[am]]/25),(grand[[#This Row],[pm]]/50))</f>
        <v>0.99717391304347824</v>
      </c>
      <c r="AB2422" s="3">
        <f>grand[[#This Row],[ carcass weight]]/grand[[#This Row],[total weight]]</f>
        <v>0.5377777777777778</v>
      </c>
      <c r="AC2422" s="18">
        <f>SUM(grand[[#This Row],[am]:[meat transportation]])/100</f>
        <v>0.93217391304347819</v>
      </c>
      <c r="AD2422" s="1" t="s">
        <v>987</v>
      </c>
      <c r="AJ2422" s="1">
        <v>0</v>
      </c>
    </row>
    <row r="2423" spans="1:36" hidden="1" x14ac:dyDescent="0.2">
      <c r="A2423" s="11">
        <v>46221</v>
      </c>
      <c r="B2423" s="53" t="str">
        <f>TEXT(grand[[#This Row],[date]],"[$-ar-SA,6]dd/mm/yyyy")</f>
        <v>03/02/1448</v>
      </c>
      <c r="C2423" s="52" t="str">
        <f>IF(MID(B2423,4,2)="09","Ramadan",IF(AND(MID(B2423,4,2)="12",VALUE(LEFT(B2423,2))&lt;=9),"Adha Season","Normal"))</f>
        <v>Normal</v>
      </c>
      <c r="D2423" s="1" t="s">
        <v>1079</v>
      </c>
      <c r="F2423" s="4" t="s">
        <v>165</v>
      </c>
      <c r="G2423" s="1">
        <v>35</v>
      </c>
      <c r="H2423" s="1">
        <v>35</v>
      </c>
      <c r="I2423" s="1">
        <f>grand[[#This Row],[number]]-grand[[#This Row],[received]]</f>
        <v>0</v>
      </c>
      <c r="J2423" s="2"/>
      <c r="K2423" s="2">
        <v>1968</v>
      </c>
      <c r="L2423" s="2">
        <v>1968</v>
      </c>
      <c r="M2423" s="2">
        <f>K2423-L2423</f>
        <v>0</v>
      </c>
      <c r="N2423" s="2">
        <v>1083.4000000000001</v>
      </c>
      <c r="O2423" s="2">
        <v>0</v>
      </c>
      <c r="P2423" s="7">
        <f>grand[[#This Row],[total weight]]/grand[[#This Row],[received]]</f>
        <v>56.228571428571428</v>
      </c>
      <c r="Q2423" s="7">
        <f>grand[[#This Row],[receiving weight]]/grand[[#This Row],[received]]</f>
        <v>56.228571428571428</v>
      </c>
      <c r="R2423" s="7">
        <f>grand[[#This Row],[transportation loss ]]/grand[[#This Row],[received]]</f>
        <v>0</v>
      </c>
      <c r="S2423" s="7">
        <f>grand[[#This Row],[ carcass weight]]/grand[[#This Row],[received]]</f>
        <v>30.954285714285717</v>
      </c>
      <c r="T2423" s="7">
        <f>grand[[#This Row],[ kidneys fat quantity]]/grand[[#This Row],[received]]</f>
        <v>0</v>
      </c>
      <c r="U2423" s="1">
        <v>25</v>
      </c>
      <c r="V2423" s="1">
        <v>0</v>
      </c>
      <c r="W2423" s="1">
        <v>45.228571428571421</v>
      </c>
      <c r="X2423" s="1">
        <v>10</v>
      </c>
      <c r="Y2423" s="1">
        <v>8.5</v>
      </c>
      <c r="Z2423" s="18">
        <f>grand[[#This Row],[av. Transportation loss]]/grand[[#This Row],[av.total weight]]</f>
        <v>0</v>
      </c>
      <c r="AA2423" s="18">
        <f>AVERAGE((grand[[#This Row],[am]]/25),(grand[[#This Row],[pm]]/50))</f>
        <v>0.95228571428571418</v>
      </c>
      <c r="AB2423" s="3">
        <f>grand[[#This Row],[ carcass weight]]/grand[[#This Row],[total weight]]</f>
        <v>0.55050813008130084</v>
      </c>
      <c r="AC2423" s="18">
        <f>SUM(grand[[#This Row],[am]:[meat transportation]])/100</f>
        <v>0.88728571428571423</v>
      </c>
      <c r="AD2423" s="1" t="s">
        <v>97</v>
      </c>
      <c r="AJ2423" s="1">
        <v>0</v>
      </c>
    </row>
    <row r="2424" spans="1:36" x14ac:dyDescent="0.2">
      <c r="A2424" s="11">
        <v>46221</v>
      </c>
      <c r="B2424" s="53" t="str">
        <f>TEXT(grand[[#This Row],[date]],"[$-ar-SA,6]dd/mm/yyyy")</f>
        <v>03/02/1448</v>
      </c>
      <c r="C2424" s="52" t="str">
        <f>IF(MID(B2424,4,2)="09","Ramadan",IF(AND(MID(B2424,4,2)="12",VALUE(LEFT(B2424,2))&lt;=9),"Adha Season","Normal"))</f>
        <v>Normal</v>
      </c>
      <c r="D2424" s="1" t="s">
        <v>45</v>
      </c>
      <c r="F2424" s="4" t="s">
        <v>165</v>
      </c>
      <c r="G2424" s="1">
        <v>58</v>
      </c>
      <c r="H2424" s="1">
        <v>57</v>
      </c>
      <c r="I2424" s="1">
        <f>grand[[#This Row],[number]]-grand[[#This Row],[received]]</f>
        <v>1</v>
      </c>
      <c r="J2424" s="9" t="s">
        <v>2961</v>
      </c>
      <c r="K2424" s="2">
        <v>25004</v>
      </c>
      <c r="L2424" s="2">
        <v>25004</v>
      </c>
      <c r="M2424" s="2">
        <f>K2424-L2424</f>
        <v>0</v>
      </c>
      <c r="N2424" s="2">
        <v>15003</v>
      </c>
      <c r="O2424" s="2">
        <v>378</v>
      </c>
      <c r="P2424" s="7">
        <f>grand[[#This Row],[total weight]]/grand[[#This Row],[received]]</f>
        <v>438.66666666666669</v>
      </c>
      <c r="Q2424" s="7">
        <f>grand[[#This Row],[receiving weight]]/grand[[#This Row],[received]]</f>
        <v>438.66666666666669</v>
      </c>
      <c r="R2424" s="7">
        <f>grand[[#This Row],[transportation loss ]]/grand[[#This Row],[received]]</f>
        <v>0</v>
      </c>
      <c r="S2424" s="7">
        <f>grand[[#This Row],[ carcass weight]]/grand[[#This Row],[received]]</f>
        <v>263.21052631578948</v>
      </c>
      <c r="T2424" s="7">
        <f>grand[[#This Row],[ kidneys fat quantity]]/grand[[#This Row],[received]]</f>
        <v>6.6315789473684212</v>
      </c>
      <c r="U2424" s="1">
        <v>24.912280701754383</v>
      </c>
      <c r="V2424" s="1">
        <v>0</v>
      </c>
      <c r="W2424" s="1">
        <v>49.070175438596486</v>
      </c>
      <c r="X2424" s="1">
        <v>10</v>
      </c>
      <c r="Y2424" s="1">
        <v>8.5</v>
      </c>
      <c r="Z2424" s="18">
        <f>grand[[#This Row],[av. Transportation loss]]/grand[[#This Row],[av.total weight]]</f>
        <v>0</v>
      </c>
      <c r="AA2424" s="18">
        <f>AVERAGE((grand[[#This Row],[am]]/25),(grand[[#This Row],[pm]]/50))</f>
        <v>0.98894736842105258</v>
      </c>
      <c r="AB2424" s="3">
        <f>grand[[#This Row],[ carcass weight]]/grand[[#This Row],[total weight]]</f>
        <v>0.6000239961606143</v>
      </c>
      <c r="AC2424" s="18">
        <f>SUM(grand[[#This Row],[am]:[meat transportation]])/100</f>
        <v>0.92482456140350877</v>
      </c>
      <c r="AD2424" s="1" t="s">
        <v>3034</v>
      </c>
      <c r="AJ2424" s="1">
        <v>8</v>
      </c>
    </row>
    <row r="2425" spans="1:36" hidden="1" x14ac:dyDescent="0.2">
      <c r="A2425" s="11">
        <v>46222</v>
      </c>
      <c r="B2425" s="53" t="str">
        <f>TEXT(grand[[#This Row],[date]],"[$-ar-SA,6]dd/mm/yyyy")</f>
        <v>04/02/1448</v>
      </c>
      <c r="C2425" s="52" t="str">
        <f>IF(MID(B2425,4,2)="09","Ramadan",IF(AND(MID(B2425,4,2)="12",VALUE(LEFT(B2425,2))&lt;=9),"Adha Season","Normal"))</f>
        <v>Normal</v>
      </c>
      <c r="D2425" s="1" t="s">
        <v>45</v>
      </c>
      <c r="F2425" s="4" t="s">
        <v>954</v>
      </c>
      <c r="G2425" s="1">
        <v>68</v>
      </c>
      <c r="H2425" s="1">
        <v>68</v>
      </c>
      <c r="I2425" s="1">
        <f>grand[[#This Row],[number]]-grand[[#This Row],[received]]</f>
        <v>0</v>
      </c>
      <c r="J2425" s="2"/>
      <c r="K2425" s="2">
        <v>28865</v>
      </c>
      <c r="L2425" s="2">
        <v>28865</v>
      </c>
      <c r="M2425" s="2">
        <f>K2425-L2425</f>
        <v>0</v>
      </c>
      <c r="N2425" s="2">
        <v>17397</v>
      </c>
      <c r="O2425" s="2">
        <v>505</v>
      </c>
      <c r="P2425" s="7">
        <f>grand[[#This Row],[total weight]]/grand[[#This Row],[received]]</f>
        <v>424.48529411764707</v>
      </c>
      <c r="Q2425" s="7">
        <f>grand[[#This Row],[receiving weight]]/grand[[#This Row],[received]]</f>
        <v>424.48529411764707</v>
      </c>
      <c r="R2425" s="7">
        <f>grand[[#This Row],[transportation loss ]]/grand[[#This Row],[received]]</f>
        <v>0</v>
      </c>
      <c r="S2425" s="7">
        <f>grand[[#This Row],[ carcass weight]]/grand[[#This Row],[received]]</f>
        <v>255.83823529411765</v>
      </c>
      <c r="T2425" s="7">
        <f>grand[[#This Row],[ kidneys fat quantity]]/grand[[#This Row],[received]]</f>
        <v>7.4264705882352944</v>
      </c>
      <c r="U2425" s="1">
        <v>25</v>
      </c>
      <c r="V2425" s="1">
        <v>0</v>
      </c>
      <c r="W2425" s="1">
        <v>48.433823529411768</v>
      </c>
      <c r="X2425" s="1">
        <v>10</v>
      </c>
      <c r="Y2425" s="1">
        <v>8.5</v>
      </c>
      <c r="Z2425" s="18">
        <f>grand[[#This Row],[av. Transportation loss]]/grand[[#This Row],[av.total weight]]</f>
        <v>0</v>
      </c>
      <c r="AA2425" s="18">
        <f>AVERAGE((grand[[#This Row],[am]]/25),(grand[[#This Row],[pm]]/50))</f>
        <v>0.98433823529411768</v>
      </c>
      <c r="AB2425" s="3">
        <f>grand[[#This Row],[ carcass weight]]/grand[[#This Row],[total weight]]</f>
        <v>0.60270223454010052</v>
      </c>
      <c r="AC2425" s="18">
        <f>SUM(grand[[#This Row],[am]:[meat transportation]])/100</f>
        <v>0.91933823529411773</v>
      </c>
      <c r="AD2425" s="1" t="s">
        <v>3036</v>
      </c>
      <c r="AJ2425" s="1">
        <v>0</v>
      </c>
    </row>
    <row r="2426" spans="1:36" hidden="1" x14ac:dyDescent="0.2">
      <c r="A2426" s="11">
        <v>46223</v>
      </c>
      <c r="B2426" s="53" t="str">
        <f>TEXT(grand[[#This Row],[date]],"[$-ar-SA,6]dd/mm/yyyy")</f>
        <v>05/02/1448</v>
      </c>
      <c r="C2426" s="52" t="str">
        <f>IF(MID(B2426,4,2)="09","Ramadan",IF(AND(MID(B2426,4,2)="12",VALUE(LEFT(B2426,2))&lt;=9),"Adha Season","Normal"))</f>
        <v>Normal</v>
      </c>
      <c r="D2426" s="1" t="s">
        <v>45</v>
      </c>
      <c r="F2426" s="4" t="s">
        <v>986</v>
      </c>
      <c r="G2426" s="1">
        <v>70</v>
      </c>
      <c r="H2426" s="1">
        <v>70</v>
      </c>
      <c r="I2426" s="1">
        <f>grand[[#This Row],[number]]-grand[[#This Row],[received]]</f>
        <v>0</v>
      </c>
      <c r="J2426" s="2"/>
      <c r="K2426" s="2">
        <v>33131</v>
      </c>
      <c r="L2426" s="2">
        <v>33131</v>
      </c>
      <c r="M2426" s="2">
        <f>K2426-L2426</f>
        <v>0</v>
      </c>
      <c r="N2426" s="2">
        <v>19879</v>
      </c>
      <c r="O2426" s="2">
        <v>569</v>
      </c>
      <c r="P2426" s="7">
        <f>grand[[#This Row],[total weight]]/grand[[#This Row],[received]]</f>
        <v>473.3</v>
      </c>
      <c r="Q2426" s="7">
        <f>grand[[#This Row],[receiving weight]]/grand[[#This Row],[received]]</f>
        <v>473.3</v>
      </c>
      <c r="R2426" s="7">
        <f>grand[[#This Row],[transportation loss ]]/grand[[#This Row],[received]]</f>
        <v>0</v>
      </c>
      <c r="S2426" s="7">
        <f>grand[[#This Row],[ carcass weight]]/grand[[#This Row],[received]]</f>
        <v>283.98571428571427</v>
      </c>
      <c r="T2426" s="7">
        <f>grand[[#This Row],[ kidneys fat quantity]]/grand[[#This Row],[received]]</f>
        <v>8.1285714285714281</v>
      </c>
      <c r="U2426" s="1">
        <v>25</v>
      </c>
      <c r="V2426" s="1">
        <v>0</v>
      </c>
      <c r="W2426" s="1">
        <v>45.8</v>
      </c>
      <c r="X2426" s="1">
        <v>10</v>
      </c>
      <c r="Y2426" s="1">
        <v>8.5</v>
      </c>
      <c r="Z2426" s="18">
        <f>grand[[#This Row],[av. Transportation loss]]/grand[[#This Row],[av.total weight]]</f>
        <v>0</v>
      </c>
      <c r="AA2426" s="18">
        <f>AVERAGE((grand[[#This Row],[am]]/25),(grand[[#This Row],[pm]]/50))</f>
        <v>0.95799999999999996</v>
      </c>
      <c r="AB2426" s="3">
        <f>grand[[#This Row],[ carcass weight]]/grand[[#This Row],[total weight]]</f>
        <v>0.60001207328483896</v>
      </c>
      <c r="AC2426" s="18">
        <f>SUM(grand[[#This Row],[am]:[meat transportation]])/100</f>
        <v>0.89300000000000002</v>
      </c>
      <c r="AD2426" s="1" t="s">
        <v>3042</v>
      </c>
      <c r="AJ2426" s="1">
        <v>9</v>
      </c>
    </row>
    <row r="2427" spans="1:36" hidden="1" x14ac:dyDescent="0.2">
      <c r="A2427" s="11">
        <v>46223</v>
      </c>
      <c r="B2427" s="53" t="str">
        <f>TEXT(grand[[#This Row],[date]],"[$-ar-SA,6]dd/mm/yyyy")</f>
        <v>05/02/1448</v>
      </c>
      <c r="C2427" s="52" t="str">
        <f>IF(MID(B2427,4,2)="09","Ramadan",IF(AND(MID(B2427,4,2)="12",VALUE(LEFT(B2427,2))&lt;=9),"Adha Season","Normal"))</f>
        <v>Normal</v>
      </c>
      <c r="D2427" s="1" t="s">
        <v>1079</v>
      </c>
      <c r="F2427" s="4" t="s">
        <v>165</v>
      </c>
      <c r="G2427" s="1">
        <v>70</v>
      </c>
      <c r="H2427" s="1">
        <v>70</v>
      </c>
      <c r="I2427" s="1">
        <f>grand[[#This Row],[number]]-grand[[#This Row],[received]]</f>
        <v>0</v>
      </c>
      <c r="J2427" s="2"/>
      <c r="K2427" s="2">
        <v>3767</v>
      </c>
      <c r="L2427" s="2">
        <v>3767</v>
      </c>
      <c r="M2427" s="2">
        <f>K2427-L2427</f>
        <v>0</v>
      </c>
      <c r="N2427" s="2">
        <v>2096</v>
      </c>
      <c r="O2427" s="2">
        <v>0</v>
      </c>
      <c r="P2427" s="7">
        <f>grand[[#This Row],[total weight]]/grand[[#This Row],[received]]</f>
        <v>53.814285714285717</v>
      </c>
      <c r="Q2427" s="7">
        <f>grand[[#This Row],[receiving weight]]/grand[[#This Row],[received]]</f>
        <v>53.814285714285717</v>
      </c>
      <c r="R2427" s="7">
        <f>grand[[#This Row],[transportation loss ]]/grand[[#This Row],[received]]</f>
        <v>0</v>
      </c>
      <c r="S2427" s="7">
        <f>grand[[#This Row],[ carcass weight]]/grand[[#This Row],[received]]</f>
        <v>29.942857142857143</v>
      </c>
      <c r="T2427" s="7">
        <f>grand[[#This Row],[ kidneys fat quantity]]/grand[[#This Row],[received]]</f>
        <v>0</v>
      </c>
      <c r="U2427" s="1">
        <v>25</v>
      </c>
      <c r="V2427" s="1">
        <v>0</v>
      </c>
      <c r="W2427" s="1">
        <v>46.192857142857143</v>
      </c>
      <c r="X2427" s="1">
        <v>10</v>
      </c>
      <c r="Y2427" s="1">
        <v>8.5</v>
      </c>
      <c r="Z2427" s="18">
        <f>grand[[#This Row],[av. Transportation loss]]/grand[[#This Row],[av.total weight]]</f>
        <v>0</v>
      </c>
      <c r="AA2427" s="18">
        <f>AVERAGE((grand[[#This Row],[am]]/25),(grand[[#This Row],[pm]]/50))</f>
        <v>0.96192857142857147</v>
      </c>
      <c r="AB2427" s="3">
        <f>grand[[#This Row],[ carcass weight]]/grand[[#This Row],[total weight]]</f>
        <v>0.55641093708521372</v>
      </c>
      <c r="AC2427" s="18">
        <f>SUM(grand[[#This Row],[am]:[meat transportation]])/100</f>
        <v>0.89692857142857152</v>
      </c>
      <c r="AD2427" s="1" t="s">
        <v>3044</v>
      </c>
      <c r="AJ2427" s="1">
        <v>0</v>
      </c>
    </row>
    <row r="2428" spans="1:36" hidden="1" x14ac:dyDescent="0.2">
      <c r="A2428" s="11">
        <v>46224</v>
      </c>
      <c r="B2428" s="53" t="str">
        <f>TEXT(grand[[#This Row],[date]],"[$-ar-SA,6]dd/mm/yyyy")</f>
        <v>06/02/1448</v>
      </c>
      <c r="C2428" s="52" t="str">
        <f>IF(MID(B2428,4,2)="09","Ramadan",IF(AND(MID(B2428,4,2)="12",VALUE(LEFT(B2428,2))&lt;=9),"Adha Season","Normal"))</f>
        <v>Normal</v>
      </c>
      <c r="D2428" s="1" t="s">
        <v>45</v>
      </c>
      <c r="E2428" s="1" t="s">
        <v>483</v>
      </c>
      <c r="F2428" s="4" t="s">
        <v>815</v>
      </c>
      <c r="G2428" s="1">
        <v>50</v>
      </c>
      <c r="H2428" s="1">
        <v>50</v>
      </c>
      <c r="I2428" s="1">
        <f>grand[[#This Row],[number]]-grand[[#This Row],[received]]</f>
        <v>0</v>
      </c>
      <c r="J2428" s="2"/>
      <c r="K2428" s="2">
        <v>26522</v>
      </c>
      <c r="L2428" s="2">
        <v>26522</v>
      </c>
      <c r="M2428" s="2">
        <f>K2428-L2428</f>
        <v>0</v>
      </c>
      <c r="N2428" s="2">
        <v>16138</v>
      </c>
      <c r="O2428" s="2">
        <v>330</v>
      </c>
      <c r="P2428" s="7">
        <f>grand[[#This Row],[total weight]]/grand[[#This Row],[received]]</f>
        <v>530.44000000000005</v>
      </c>
      <c r="Q2428" s="7">
        <f>grand[[#This Row],[receiving weight]]/grand[[#This Row],[received]]</f>
        <v>530.44000000000005</v>
      </c>
      <c r="R2428" s="7">
        <f>grand[[#This Row],[transportation loss ]]/grand[[#This Row],[received]]</f>
        <v>0</v>
      </c>
      <c r="S2428" s="7">
        <f>grand[[#This Row],[ carcass weight]]/grand[[#This Row],[received]]</f>
        <v>322.76</v>
      </c>
      <c r="T2428" s="7">
        <f>grand[[#This Row],[ kidneys fat quantity]]/grand[[#This Row],[received]]</f>
        <v>6.6</v>
      </c>
      <c r="U2428" s="1">
        <v>25</v>
      </c>
      <c r="V2428" s="1">
        <v>0</v>
      </c>
      <c r="W2428" s="1">
        <v>43.960000000000008</v>
      </c>
      <c r="X2428" s="1">
        <v>10</v>
      </c>
      <c r="Y2428" s="1">
        <v>8.5</v>
      </c>
      <c r="Z2428" s="18">
        <f>grand[[#This Row],[av. Transportation loss]]/grand[[#This Row],[av.total weight]]</f>
        <v>0</v>
      </c>
      <c r="AA2428" s="18">
        <f>AVERAGE((grand[[#This Row],[am]]/25),(grand[[#This Row],[pm]]/50))</f>
        <v>0.9396000000000001</v>
      </c>
      <c r="AB2428" s="3">
        <f>grand[[#This Row],[ carcass weight]]/grand[[#This Row],[total weight]]</f>
        <v>0.60847598220345378</v>
      </c>
      <c r="AC2428" s="18">
        <f>SUM(grand[[#This Row],[am]:[meat transportation]])/100</f>
        <v>0.87460000000000004</v>
      </c>
      <c r="AD2428" s="1" t="s">
        <v>3047</v>
      </c>
      <c r="AJ2428" s="1">
        <v>0</v>
      </c>
    </row>
    <row r="2429" spans="1:36" hidden="1" x14ac:dyDescent="0.2">
      <c r="A2429" s="11">
        <v>46224</v>
      </c>
      <c r="B2429" s="53" t="str">
        <f>TEXT(grand[[#This Row],[date]],"[$-ar-SA,6]dd/mm/yyyy")</f>
        <v>06/02/1448</v>
      </c>
      <c r="C2429" s="52" t="str">
        <f>IF(MID(B2429,4,2)="09","Ramadan",IF(AND(MID(B2429,4,2)="12",VALUE(LEFT(B2429,2))&lt;=9),"Adha Season","Normal"))</f>
        <v>Normal</v>
      </c>
      <c r="D2429" s="1" t="s">
        <v>45</v>
      </c>
      <c r="F2429" s="4" t="s">
        <v>3049</v>
      </c>
      <c r="G2429" s="1">
        <v>70</v>
      </c>
      <c r="H2429" s="1">
        <v>70</v>
      </c>
      <c r="I2429" s="1">
        <f>grand[[#This Row],[number]]-grand[[#This Row],[received]]</f>
        <v>0</v>
      </c>
      <c r="J2429" s="2"/>
      <c r="K2429" s="2">
        <v>29315</v>
      </c>
      <c r="L2429" s="2">
        <v>29315</v>
      </c>
      <c r="M2429" s="2">
        <f>K2429-L2429</f>
        <v>0</v>
      </c>
      <c r="N2429" s="2">
        <v>17619</v>
      </c>
      <c r="O2429" s="2">
        <v>523</v>
      </c>
      <c r="P2429" s="7">
        <f>grand[[#This Row],[total weight]]/grand[[#This Row],[received]]</f>
        <v>418.78571428571428</v>
      </c>
      <c r="Q2429" s="7">
        <f>grand[[#This Row],[receiving weight]]/grand[[#This Row],[received]]</f>
        <v>418.78571428571428</v>
      </c>
      <c r="R2429" s="7">
        <f>grand[[#This Row],[transportation loss ]]/grand[[#This Row],[received]]</f>
        <v>0</v>
      </c>
      <c r="S2429" s="7">
        <f>grand[[#This Row],[ carcass weight]]/grand[[#This Row],[received]]</f>
        <v>251.7</v>
      </c>
      <c r="T2429" s="7">
        <f>grand[[#This Row],[ kidneys fat quantity]]/grand[[#This Row],[received]]</f>
        <v>7.4714285714285715</v>
      </c>
      <c r="U2429" s="1">
        <v>25</v>
      </c>
      <c r="V2429" s="1">
        <v>0</v>
      </c>
      <c r="W2429" s="1">
        <v>48.557142857142864</v>
      </c>
      <c r="X2429" s="1">
        <v>10</v>
      </c>
      <c r="Y2429" s="1">
        <v>8.5</v>
      </c>
      <c r="Z2429" s="18">
        <f>grand[[#This Row],[av. Transportation loss]]/grand[[#This Row],[av.total weight]]</f>
        <v>0</v>
      </c>
      <c r="AA2429" s="18">
        <f>AVERAGE((grand[[#This Row],[am]]/25),(grand[[#This Row],[pm]]/50))</f>
        <v>0.98557142857142865</v>
      </c>
      <c r="AB2429" s="3">
        <f>grand[[#This Row],[ carcass weight]]/grand[[#This Row],[total weight]]</f>
        <v>0.6010233668770254</v>
      </c>
      <c r="AC2429" s="18">
        <f>SUM(grand[[#This Row],[am]:[meat transportation]])/100</f>
        <v>0.9205714285714286</v>
      </c>
      <c r="AD2429" s="1" t="s">
        <v>3050</v>
      </c>
      <c r="AJ2429" s="1">
        <v>0</v>
      </c>
    </row>
    <row r="2430" spans="1:36" hidden="1" x14ac:dyDescent="0.2">
      <c r="A2430" s="11">
        <v>46226</v>
      </c>
      <c r="B2430" s="53" t="str">
        <f>TEXT(grand[[#This Row],[date]],"[$-ar-SA,6]dd/mm/yyyy")</f>
        <v>08/02/1448</v>
      </c>
      <c r="C2430" s="52" t="str">
        <f>IF(MID(B2430,4,2)="09","Ramadan",IF(AND(MID(B2430,4,2)="12",VALUE(LEFT(B2430,2))&lt;=9),"Adha Season","Normal"))</f>
        <v>Normal</v>
      </c>
      <c r="D2430" s="1" t="s">
        <v>45</v>
      </c>
      <c r="F2430" s="4" t="s">
        <v>165</v>
      </c>
      <c r="G2430" s="1">
        <v>56</v>
      </c>
      <c r="H2430" s="1">
        <v>56</v>
      </c>
      <c r="I2430" s="1">
        <f>grand[[#This Row],[number]]-grand[[#This Row],[received]]</f>
        <v>0</v>
      </c>
      <c r="J2430" s="2"/>
      <c r="K2430" s="2">
        <v>22646</v>
      </c>
      <c r="L2430" s="2">
        <v>22646</v>
      </c>
      <c r="M2430" s="2">
        <f>K2430-L2430</f>
        <v>0</v>
      </c>
      <c r="N2430" s="2">
        <v>13588</v>
      </c>
      <c r="O2430" s="2">
        <v>337</v>
      </c>
      <c r="P2430" s="7">
        <f>grand[[#This Row],[total weight]]/grand[[#This Row],[received]]</f>
        <v>404.39285714285717</v>
      </c>
      <c r="Q2430" s="7">
        <f>grand[[#This Row],[receiving weight]]/grand[[#This Row],[received]]</f>
        <v>404.39285714285717</v>
      </c>
      <c r="R2430" s="7">
        <f>grand[[#This Row],[transportation loss ]]/grand[[#This Row],[received]]</f>
        <v>0</v>
      </c>
      <c r="S2430" s="7">
        <f>grand[[#This Row],[ carcass weight]]/grand[[#This Row],[received]]</f>
        <v>242.64285714285714</v>
      </c>
      <c r="T2430" s="7">
        <f>grand[[#This Row],[ kidneys fat quantity]]/grand[[#This Row],[received]]</f>
        <v>6.0178571428571432</v>
      </c>
      <c r="U2430" s="1">
        <v>25</v>
      </c>
      <c r="V2430" s="1">
        <v>0</v>
      </c>
      <c r="W2430" s="1">
        <v>45.803571428571431</v>
      </c>
      <c r="X2430" s="1">
        <v>10</v>
      </c>
      <c r="Y2430" s="1">
        <v>8.5</v>
      </c>
      <c r="Z2430" s="18">
        <f>grand[[#This Row],[av. Transportation loss]]/grand[[#This Row],[av.total weight]]</f>
        <v>0</v>
      </c>
      <c r="AA2430" s="18">
        <f>AVERAGE((grand[[#This Row],[am]]/25),(grand[[#This Row],[pm]]/50))</f>
        <v>0.95803571428571432</v>
      </c>
      <c r="AB2430" s="3">
        <f>grand[[#This Row],[ carcass weight]]/grand[[#This Row],[total weight]]</f>
        <v>0.6000176631634726</v>
      </c>
      <c r="AC2430" s="18">
        <f>SUM(grand[[#This Row],[am]:[meat transportation]])/100</f>
        <v>0.89303571428571427</v>
      </c>
      <c r="AD2430" s="1" t="s">
        <v>3052</v>
      </c>
      <c r="AJ2430" s="1">
        <v>4</v>
      </c>
    </row>
    <row r="2431" spans="1:36" hidden="1" x14ac:dyDescent="0.2">
      <c r="A2431" s="11">
        <v>46226</v>
      </c>
      <c r="B2431" s="53" t="str">
        <f>TEXT(grand[[#This Row],[date]],"[$-ar-SA,6]dd/mm/yyyy")</f>
        <v>08/02/1448</v>
      </c>
      <c r="C2431" s="52" t="str">
        <f>IF(MID(B2431,4,2)="09","Ramadan",IF(AND(MID(B2431,4,2)="12",VALUE(LEFT(B2431,2))&lt;=9),"Adha Season","Normal"))</f>
        <v>Normal</v>
      </c>
      <c r="D2431" s="1" t="s">
        <v>1079</v>
      </c>
      <c r="F2431" s="4" t="s">
        <v>165</v>
      </c>
      <c r="G2431" s="1">
        <v>84</v>
      </c>
      <c r="H2431" s="1">
        <v>84</v>
      </c>
      <c r="I2431" s="1">
        <f>grand[[#This Row],[number]]-grand[[#This Row],[received]]</f>
        <v>0</v>
      </c>
      <c r="J2431" s="2"/>
      <c r="K2431" s="2">
        <v>4222</v>
      </c>
      <c r="L2431" s="2">
        <v>4222</v>
      </c>
      <c r="M2431" s="2">
        <f>K2431-L2431</f>
        <v>0</v>
      </c>
      <c r="N2431" s="2">
        <v>2320</v>
      </c>
      <c r="O2431" s="2">
        <v>0</v>
      </c>
      <c r="P2431" s="7">
        <f>grand[[#This Row],[total weight]]/grand[[#This Row],[received]]</f>
        <v>50.261904761904759</v>
      </c>
      <c r="Q2431" s="7">
        <f>grand[[#This Row],[receiving weight]]/grand[[#This Row],[received]]</f>
        <v>50.261904761904759</v>
      </c>
      <c r="R2431" s="7">
        <f>grand[[#This Row],[transportation loss ]]/grand[[#This Row],[received]]</f>
        <v>0</v>
      </c>
      <c r="S2431" s="7">
        <f>grand[[#This Row],[ carcass weight]]/grand[[#This Row],[received]]</f>
        <v>27.61904761904762</v>
      </c>
      <c r="T2431" s="7">
        <f>grand[[#This Row],[ kidneys fat quantity]]/grand[[#This Row],[received]]</f>
        <v>0</v>
      </c>
      <c r="U2431" s="1">
        <v>25</v>
      </c>
      <c r="V2431" s="1">
        <v>0</v>
      </c>
      <c r="W2431" s="1">
        <v>46.988095238095241</v>
      </c>
      <c r="X2431" s="1">
        <v>10</v>
      </c>
      <c r="Y2431" s="1">
        <v>8.5</v>
      </c>
      <c r="Z2431" s="18">
        <f>grand[[#This Row],[av. Transportation loss]]/grand[[#This Row],[av.total weight]]</f>
        <v>0</v>
      </c>
      <c r="AA2431" s="18">
        <f>AVERAGE((grand[[#This Row],[am]]/25),(grand[[#This Row],[pm]]/50))</f>
        <v>0.9698809523809524</v>
      </c>
      <c r="AB2431" s="3">
        <f>grand[[#This Row],[ carcass weight]]/grand[[#This Row],[total weight]]</f>
        <v>0.54950260540028417</v>
      </c>
      <c r="AC2431" s="18">
        <f>SUM(grand[[#This Row],[am]:[meat transportation]])/100</f>
        <v>0.90488095238095245</v>
      </c>
      <c r="AD2431" s="1" t="s">
        <v>1095</v>
      </c>
      <c r="AJ2431" s="1">
        <v>0</v>
      </c>
    </row>
    <row r="2432" spans="1:36" hidden="1" x14ac:dyDescent="0.2">
      <c r="A2432" s="11">
        <v>46226</v>
      </c>
      <c r="B2432" s="53" t="str">
        <f>TEXT(grand[[#This Row],[date]],"[$-ar-SA,6]dd/mm/yyyy")</f>
        <v>08/02/1448</v>
      </c>
      <c r="C2432" s="52" t="str">
        <f>IF(MID(B2432,4,2)="09","Ramadan",IF(AND(MID(B2432,4,2)="12",VALUE(LEFT(B2432,2))&lt;=9),"Adha Season","Normal"))</f>
        <v>Normal</v>
      </c>
      <c r="D2432" s="1" t="s">
        <v>45</v>
      </c>
      <c r="F2432" s="4" t="s">
        <v>746</v>
      </c>
      <c r="G2432" s="1">
        <v>46</v>
      </c>
      <c r="H2432" s="1">
        <v>46</v>
      </c>
      <c r="I2432" s="1">
        <f>grand[[#This Row],[number]]-grand[[#This Row],[received]]</f>
        <v>0</v>
      </c>
      <c r="J2432" s="2"/>
      <c r="K2432" s="2">
        <v>20540</v>
      </c>
      <c r="L2432" s="2">
        <v>20540</v>
      </c>
      <c r="M2432" s="2">
        <f>K2432-L2432</f>
        <v>0</v>
      </c>
      <c r="N2432" s="2">
        <v>12325</v>
      </c>
      <c r="O2432" s="2">
        <v>426</v>
      </c>
      <c r="P2432" s="7">
        <f>grand[[#This Row],[total weight]]/grand[[#This Row],[received]]</f>
        <v>446.52173913043481</v>
      </c>
      <c r="Q2432" s="7">
        <f>grand[[#This Row],[receiving weight]]/grand[[#This Row],[received]]</f>
        <v>446.52173913043481</v>
      </c>
      <c r="R2432" s="7">
        <f>grand[[#This Row],[transportation loss ]]/grand[[#This Row],[received]]</f>
        <v>0</v>
      </c>
      <c r="S2432" s="7">
        <f>grand[[#This Row],[ carcass weight]]/grand[[#This Row],[received]]</f>
        <v>267.93478260869563</v>
      </c>
      <c r="T2432" s="7">
        <f>grand[[#This Row],[ kidneys fat quantity]]/grand[[#This Row],[received]]</f>
        <v>9.2608695652173907</v>
      </c>
      <c r="U2432" s="1">
        <v>25</v>
      </c>
      <c r="V2432" s="1">
        <v>0</v>
      </c>
      <c r="W2432" s="1">
        <v>47.130434782608688</v>
      </c>
      <c r="X2432" s="1">
        <v>10</v>
      </c>
      <c r="Y2432" s="1">
        <v>8.5</v>
      </c>
      <c r="Z2432" s="18">
        <f>grand[[#This Row],[av. Transportation loss]]/grand[[#This Row],[av.total weight]]</f>
        <v>0</v>
      </c>
      <c r="AA2432" s="18">
        <f>AVERAGE((grand[[#This Row],[am]]/25),(grand[[#This Row],[pm]]/50))</f>
        <v>0.97130434782608688</v>
      </c>
      <c r="AB2432" s="3">
        <f>grand[[#This Row],[ carcass weight]]/grand[[#This Row],[total weight]]</f>
        <v>0.60004868549172352</v>
      </c>
      <c r="AC2432" s="18">
        <f>SUM(grand[[#This Row],[am]:[meat transportation]])/100</f>
        <v>0.90630434782608693</v>
      </c>
      <c r="AD2432" s="1" t="s">
        <v>3055</v>
      </c>
      <c r="AJ2432" s="1">
        <v>7</v>
      </c>
    </row>
    <row r="2433" spans="1:38" hidden="1" x14ac:dyDescent="0.2">
      <c r="A2433" s="11">
        <v>46226</v>
      </c>
      <c r="B2433" s="53" t="str">
        <f>TEXT(grand[[#This Row],[date]],"[$-ar-SA,6]dd/mm/yyyy")</f>
        <v>08/02/1448</v>
      </c>
      <c r="C2433" s="52" t="str">
        <f>IF(MID(B2433,4,2)="09","Ramadan",IF(AND(MID(B2433,4,2)="12",VALUE(LEFT(B2433,2))&lt;=9),"Adha Season","Normal"))</f>
        <v>Normal</v>
      </c>
      <c r="D2433" s="2" t="s">
        <v>350</v>
      </c>
      <c r="F2433" s="4" t="s">
        <v>1161</v>
      </c>
      <c r="G2433" s="1">
        <v>37</v>
      </c>
      <c r="H2433" s="1">
        <v>37</v>
      </c>
      <c r="I2433" s="1">
        <f>grand[[#This Row],[number]]-grand[[#This Row],[received]]</f>
        <v>0</v>
      </c>
      <c r="J2433" s="2"/>
      <c r="K2433" s="2">
        <v>885</v>
      </c>
      <c r="L2433" s="2">
        <v>885</v>
      </c>
      <c r="M2433" s="2">
        <f>K2433-L2433</f>
        <v>0</v>
      </c>
      <c r="N2433" s="2">
        <v>450</v>
      </c>
      <c r="O2433" s="2">
        <v>0</v>
      </c>
      <c r="P2433" s="7">
        <f>grand[[#This Row],[total weight]]/grand[[#This Row],[received]]</f>
        <v>23.918918918918919</v>
      </c>
      <c r="Q2433" s="7">
        <f>grand[[#This Row],[receiving weight]]/grand[[#This Row],[received]]</f>
        <v>23.918918918918919</v>
      </c>
      <c r="R2433" s="7">
        <f>grand[[#This Row],[transportation loss ]]/grand[[#This Row],[received]]</f>
        <v>0</v>
      </c>
      <c r="S2433" s="7">
        <f>grand[[#This Row],[ carcass weight]]/grand[[#This Row],[received]]</f>
        <v>12.162162162162161</v>
      </c>
      <c r="T2433" s="7">
        <f>grand[[#This Row],[ kidneys fat quantity]]/grand[[#This Row],[received]]</f>
        <v>0</v>
      </c>
      <c r="U2433" s="1">
        <v>25</v>
      </c>
      <c r="V2433" s="1">
        <v>0</v>
      </c>
      <c r="W2433" s="1">
        <v>48.945945945945944</v>
      </c>
      <c r="X2433" s="1">
        <v>10</v>
      </c>
      <c r="Y2433" s="1">
        <v>8.5</v>
      </c>
      <c r="Z2433" s="18">
        <f>grand[[#This Row],[av. Transportation loss]]/grand[[#This Row],[av.total weight]]</f>
        <v>0</v>
      </c>
      <c r="AA2433" s="18">
        <f>AVERAGE((grand[[#This Row],[am]]/25),(grand[[#This Row],[pm]]/50))</f>
        <v>0.98945945945945946</v>
      </c>
      <c r="AB2433" s="3">
        <f>grand[[#This Row],[ carcass weight]]/grand[[#This Row],[total weight]]</f>
        <v>0.50847457627118642</v>
      </c>
      <c r="AC2433" s="18">
        <f>SUM(grand[[#This Row],[am]:[meat transportation]])/100</f>
        <v>0.9244594594594594</v>
      </c>
      <c r="AD2433" s="1" t="s">
        <v>2920</v>
      </c>
      <c r="AJ2433" s="1">
        <v>0</v>
      </c>
    </row>
    <row r="2434" spans="1:38" hidden="1" x14ac:dyDescent="0.2">
      <c r="A2434" s="11">
        <v>46228</v>
      </c>
      <c r="B2434" s="53" t="str">
        <f>TEXT(grand[[#This Row],[date]],"[$-ar-SA,6]dd/mm/yyyy")</f>
        <v>10/02/1448</v>
      </c>
      <c r="C2434" s="52" t="str">
        <f>IF(MID(B2434,4,2)="09","Ramadan",IF(AND(MID(B2434,4,2)="12",VALUE(LEFT(B2434,2))&lt;=9),"Adha Season","Normal"))</f>
        <v>Normal</v>
      </c>
      <c r="D2434" s="1" t="s">
        <v>1079</v>
      </c>
      <c r="F2434" s="4" t="s">
        <v>165</v>
      </c>
      <c r="G2434" s="1">
        <v>54</v>
      </c>
      <c r="H2434" s="1">
        <v>54</v>
      </c>
      <c r="I2434" s="1">
        <f>grand[[#This Row],[number]]-grand[[#This Row],[received]]</f>
        <v>0</v>
      </c>
      <c r="J2434" s="2"/>
      <c r="K2434" s="2">
        <v>2560</v>
      </c>
      <c r="L2434" s="2">
        <v>2560</v>
      </c>
      <c r="M2434" s="2">
        <f>K2434-L2434</f>
        <v>0</v>
      </c>
      <c r="N2434" s="2">
        <v>1351</v>
      </c>
      <c r="O2434" s="2">
        <v>0</v>
      </c>
      <c r="P2434" s="7">
        <f>grand[[#This Row],[total weight]]/grand[[#This Row],[received]]</f>
        <v>47.407407407407405</v>
      </c>
      <c r="Q2434" s="7">
        <f>grand[[#This Row],[receiving weight]]/grand[[#This Row],[received]]</f>
        <v>47.407407407407405</v>
      </c>
      <c r="R2434" s="7">
        <f>grand[[#This Row],[transportation loss ]]/grand[[#This Row],[received]]</f>
        <v>0</v>
      </c>
      <c r="S2434" s="7">
        <f>grand[[#This Row],[ carcass weight]]/grand[[#This Row],[received]]</f>
        <v>25.018518518518519</v>
      </c>
      <c r="T2434" s="7">
        <f>grand[[#This Row],[ kidneys fat quantity]]/grand[[#This Row],[received]]</f>
        <v>0</v>
      </c>
      <c r="U2434" s="1">
        <v>25</v>
      </c>
      <c r="V2434" s="1">
        <v>0</v>
      </c>
      <c r="W2434" s="1">
        <v>46.50925925925926</v>
      </c>
      <c r="X2434" s="1">
        <v>10</v>
      </c>
      <c r="Y2434" s="1">
        <v>8.5</v>
      </c>
      <c r="Z2434" s="18">
        <f>grand[[#This Row],[av. Transportation loss]]/grand[[#This Row],[av.total weight]]</f>
        <v>0</v>
      </c>
      <c r="AA2434" s="18">
        <f>AVERAGE((grand[[#This Row],[am]]/25),(grand[[#This Row],[pm]]/50))</f>
        <v>0.96509259259259261</v>
      </c>
      <c r="AB2434" s="3">
        <f>grand[[#This Row],[ carcass weight]]/grand[[#This Row],[total weight]]</f>
        <v>0.52773437499999998</v>
      </c>
      <c r="AC2434" s="18">
        <f>SUM(grand[[#This Row],[am]:[meat transportation]])/100</f>
        <v>0.90009259259259267</v>
      </c>
      <c r="AD2434" s="1" t="s">
        <v>3058</v>
      </c>
      <c r="AJ2434" s="1">
        <v>0</v>
      </c>
    </row>
    <row r="2435" spans="1:38" hidden="1" x14ac:dyDescent="0.2">
      <c r="A2435" s="11">
        <v>46228</v>
      </c>
      <c r="B2435" s="53" t="str">
        <f>TEXT(grand[[#This Row],[date]],"[$-ar-SA,6]dd/mm/yyyy")</f>
        <v>10/02/1448</v>
      </c>
      <c r="C2435" s="52" t="str">
        <f>IF(MID(B2435,4,2)="09","Ramadan",IF(AND(MID(B2435,4,2)="12",VALUE(LEFT(B2435,2))&lt;=9),"Adha Season","Normal"))</f>
        <v>Normal</v>
      </c>
      <c r="D2435" s="1" t="s">
        <v>45</v>
      </c>
      <c r="F2435" s="4" t="s">
        <v>165</v>
      </c>
      <c r="G2435" s="1">
        <v>62</v>
      </c>
      <c r="H2435" s="1">
        <v>62</v>
      </c>
      <c r="I2435" s="1">
        <f>grand[[#This Row],[number]]-grand[[#This Row],[received]]</f>
        <v>0</v>
      </c>
      <c r="J2435" s="2"/>
      <c r="K2435" s="2">
        <v>27138</v>
      </c>
      <c r="L2435" s="2">
        <v>27138</v>
      </c>
      <c r="M2435" s="2">
        <f>K2435-L2435</f>
        <v>0</v>
      </c>
      <c r="N2435" s="2">
        <v>16283</v>
      </c>
      <c r="O2435" s="2">
        <v>382</v>
      </c>
      <c r="P2435" s="7">
        <f>grand[[#This Row],[total weight]]/grand[[#This Row],[received]]</f>
        <v>437.70967741935482</v>
      </c>
      <c r="Q2435" s="7">
        <f>grand[[#This Row],[receiving weight]]/grand[[#This Row],[received]]</f>
        <v>437.70967741935482</v>
      </c>
      <c r="R2435" s="7">
        <f>grand[[#This Row],[transportation loss ]]/grand[[#This Row],[received]]</f>
        <v>0</v>
      </c>
      <c r="S2435" s="7">
        <f>grand[[#This Row],[ carcass weight]]/grand[[#This Row],[received]]</f>
        <v>262.62903225806451</v>
      </c>
      <c r="T2435" s="7">
        <f>grand[[#This Row],[ kidneys fat quantity]]/grand[[#This Row],[received]]</f>
        <v>6.161290322580645</v>
      </c>
      <c r="U2435" s="1">
        <v>25</v>
      </c>
      <c r="V2435" s="1">
        <v>0</v>
      </c>
      <c r="W2435" s="1">
        <v>48.088709677419352</v>
      </c>
      <c r="X2435" s="1">
        <v>10</v>
      </c>
      <c r="Y2435" s="1">
        <v>8.5</v>
      </c>
      <c r="Z2435" s="18">
        <f>grand[[#This Row],[av. Transportation loss]]/grand[[#This Row],[av.total weight]]</f>
        <v>0</v>
      </c>
      <c r="AA2435" s="18">
        <f>AVERAGE((grand[[#This Row],[am]]/25),(grand[[#This Row],[pm]]/50))</f>
        <v>0.9808870967741935</v>
      </c>
      <c r="AB2435" s="3">
        <f>grand[[#This Row],[ carcass weight]]/grand[[#This Row],[total weight]]</f>
        <v>0.60000736973984814</v>
      </c>
      <c r="AC2435" s="18">
        <f>SUM(grand[[#This Row],[am]:[meat transportation]])/100</f>
        <v>0.91588709677419355</v>
      </c>
      <c r="AD2435" s="1" t="s">
        <v>3060</v>
      </c>
      <c r="AJ2435" s="1">
        <v>7</v>
      </c>
    </row>
    <row r="2436" spans="1:38" hidden="1" x14ac:dyDescent="0.2">
      <c r="A2436" s="11">
        <v>46229</v>
      </c>
      <c r="B2436" s="53" t="str">
        <f>TEXT(grand[[#This Row],[date]],"[$-ar-SA,6]dd/mm/yyyy")</f>
        <v>11/02/1448</v>
      </c>
      <c r="C2436" s="52" t="str">
        <f>IF(MID(B2436,4,2)="09","Ramadan",IF(AND(MID(B2436,4,2)="12",VALUE(LEFT(B2436,2))&lt;=9),"Adha Season","Normal"))</f>
        <v>Normal</v>
      </c>
      <c r="D2436" s="1" t="s">
        <v>45</v>
      </c>
      <c r="E2436" s="1" t="s">
        <v>483</v>
      </c>
      <c r="F2436" s="4" t="s">
        <v>815</v>
      </c>
      <c r="G2436" s="1">
        <v>70</v>
      </c>
      <c r="H2436" s="1">
        <v>70</v>
      </c>
      <c r="I2436" s="1">
        <f>grand[[#This Row],[number]]-grand[[#This Row],[received]]</f>
        <v>0</v>
      </c>
      <c r="J2436" s="2"/>
      <c r="K2436" s="2">
        <v>37688</v>
      </c>
      <c r="L2436" s="2">
        <v>37688</v>
      </c>
      <c r="M2436" s="2">
        <f>K2436-L2436</f>
        <v>0</v>
      </c>
      <c r="N2436" s="2">
        <v>23410</v>
      </c>
      <c r="O2436" s="2">
        <v>433</v>
      </c>
      <c r="P2436" s="7">
        <f>grand[[#This Row],[total weight]]/grand[[#This Row],[received]]</f>
        <v>538.4</v>
      </c>
      <c r="Q2436" s="7">
        <f>grand[[#This Row],[receiving weight]]/grand[[#This Row],[received]]</f>
        <v>538.4</v>
      </c>
      <c r="R2436" s="7">
        <f>grand[[#This Row],[transportation loss ]]/grand[[#This Row],[received]]</f>
        <v>0</v>
      </c>
      <c r="S2436" s="7">
        <f>grand[[#This Row],[ carcass weight]]/grand[[#This Row],[received]]</f>
        <v>334.42857142857144</v>
      </c>
      <c r="T2436" s="7">
        <f>grand[[#This Row],[ kidneys fat quantity]]/grand[[#This Row],[received]]</f>
        <v>6.1857142857142859</v>
      </c>
      <c r="U2436" s="1">
        <v>24.928571428571431</v>
      </c>
      <c r="V2436" s="1">
        <v>0</v>
      </c>
      <c r="W2436" s="1">
        <v>44.957142857142863</v>
      </c>
      <c r="X2436" s="1">
        <v>10</v>
      </c>
      <c r="Y2436" s="1">
        <v>8.5</v>
      </c>
      <c r="Z2436" s="18">
        <f>grand[[#This Row],[av. Transportation loss]]/grand[[#This Row],[av.total weight]]</f>
        <v>0</v>
      </c>
      <c r="AA2436" s="18">
        <f>AVERAGE((grand[[#This Row],[am]]/25),(grand[[#This Row],[pm]]/50))</f>
        <v>0.94814285714285718</v>
      </c>
      <c r="AB2436" s="3">
        <f>grand[[#This Row],[ carcass weight]]/grand[[#This Row],[total weight]]</f>
        <v>0.62115262152409256</v>
      </c>
      <c r="AC2436" s="18">
        <f>SUM(grand[[#This Row],[am]:[meat transportation]])/100</f>
        <v>0.88385714285714301</v>
      </c>
      <c r="AD2436" s="1" t="s">
        <v>3063</v>
      </c>
      <c r="AJ2436" s="1">
        <v>15</v>
      </c>
    </row>
    <row r="2437" spans="1:38" hidden="1" x14ac:dyDescent="0.2">
      <c r="A2437" s="11">
        <v>43839</v>
      </c>
      <c r="B2437" s="53" t="s">
        <v>1403</v>
      </c>
      <c r="C2437" s="52" t="str">
        <f>IF(MID(B2437,4,2)="09","Ramadan",IF(AND(MID(B2437,4,2)="12",VALUE(LEFT(B2437,2))&lt;=9),"Adha Season","Normal"))</f>
        <v>Normal</v>
      </c>
      <c r="D2437" s="1" t="s">
        <v>45</v>
      </c>
      <c r="F2437" s="4" t="s">
        <v>47</v>
      </c>
      <c r="G2437" s="4">
        <v>37</v>
      </c>
      <c r="H2437" s="4">
        <v>34</v>
      </c>
      <c r="I2437" s="2">
        <f>grand[[#This Row],[number]]-grand[[#This Row],[received]]</f>
        <v>3</v>
      </c>
      <c r="J2437" s="30" t="s">
        <v>51</v>
      </c>
      <c r="K2437" s="4">
        <v>16205</v>
      </c>
      <c r="L2437" s="4">
        <v>16205</v>
      </c>
      <c r="M2437" s="2">
        <f>K2437-L2437</f>
        <v>0</v>
      </c>
      <c r="N2437" s="4">
        <v>9723.2999999999993</v>
      </c>
      <c r="O2437" s="4"/>
      <c r="P2437" s="7">
        <f>grand[[#This Row],[total weight]]/grand[[#This Row],[received]]</f>
        <v>476.61764705882354</v>
      </c>
      <c r="Q2437" s="7">
        <f>grand[[#This Row],[receiving weight]]/grand[[#This Row],[received]]</f>
        <v>476.61764705882354</v>
      </c>
      <c r="R2437" s="7">
        <f>grand[[#This Row],[transportation loss ]]/grand[[#This Row],[received]]</f>
        <v>0</v>
      </c>
      <c r="S2437" s="7">
        <f>grand[[#This Row],[ carcass weight]]/grand[[#This Row],[received]]</f>
        <v>285.97941176470584</v>
      </c>
      <c r="T2437" s="7">
        <f>grand[[#This Row],[ kidneys fat quantity]]/grand[[#This Row],[received]]</f>
        <v>0</v>
      </c>
      <c r="U2437" s="4">
        <v>24</v>
      </c>
      <c r="V2437" s="4">
        <v>0</v>
      </c>
      <c r="W2437" s="4">
        <v>48.9</v>
      </c>
      <c r="X2437" s="4">
        <v>10</v>
      </c>
      <c r="Y2437" s="8">
        <v>8.5</v>
      </c>
      <c r="Z2437" s="3">
        <f>grand[[#This Row],[av. Transportation loss]]/grand[[#This Row],[av.total weight]]</f>
        <v>0</v>
      </c>
      <c r="AA2437" s="12">
        <f>AVERAGE((grand[[#This Row],[am]]/25),(grand[[#This Row],[pm]]/50))</f>
        <v>0.96899999999999997</v>
      </c>
      <c r="AB2437" s="3">
        <f>grand[[#This Row],[ carcass weight]]/grand[[#This Row],[total weight]]</f>
        <v>0.60001851280468987</v>
      </c>
      <c r="AC2437" s="6">
        <f>SUM(grand[[#This Row],[am]:[meat transportation]])/100</f>
        <v>0.91400000000000003</v>
      </c>
      <c r="AD2437" s="4"/>
      <c r="AE2437" s="4"/>
      <c r="AF2437" s="4" t="s">
        <v>52</v>
      </c>
      <c r="AG2437" s="4">
        <v>17</v>
      </c>
      <c r="AH2437" s="4"/>
      <c r="AI2437" s="4"/>
      <c r="AJ2437" s="2"/>
      <c r="AK2437" s="4"/>
    </row>
    <row r="2438" spans="1:38" hidden="1" x14ac:dyDescent="0.2">
      <c r="A2438" s="11">
        <v>43898</v>
      </c>
      <c r="B2438" s="53" t="s">
        <v>1428</v>
      </c>
      <c r="C2438" s="52" t="str">
        <f>IF(MID(B2438,4,2)="09","Ramadan",IF(AND(MID(B2438,4,2)="12",VALUE(LEFT(B2438,2))&lt;=9),"Adha Season","Normal"))</f>
        <v>Normal</v>
      </c>
      <c r="D2438" s="1" t="s">
        <v>45</v>
      </c>
      <c r="F2438" s="4" t="s">
        <v>46</v>
      </c>
      <c r="G2438" s="4">
        <v>39</v>
      </c>
      <c r="H2438" s="4">
        <v>36</v>
      </c>
      <c r="I2438" s="2">
        <f>grand[[#This Row],[number]]-grand[[#This Row],[received]]</f>
        <v>3</v>
      </c>
      <c r="J2438" s="30" t="s">
        <v>76</v>
      </c>
      <c r="K2438" s="4">
        <v>17005</v>
      </c>
      <c r="L2438" s="4">
        <v>16530</v>
      </c>
      <c r="M2438" s="2">
        <f>K2438-L2438</f>
        <v>475</v>
      </c>
      <c r="N2438" s="4">
        <v>10230</v>
      </c>
      <c r="O2438" s="4"/>
      <c r="P2438" s="7">
        <f>grand[[#This Row],[total weight]]/grand[[#This Row],[received]]</f>
        <v>472.36111111111109</v>
      </c>
      <c r="Q2438" s="7">
        <f>grand[[#This Row],[receiving weight]]/grand[[#This Row],[received]]</f>
        <v>459.16666666666669</v>
      </c>
      <c r="R2438" s="7">
        <f>grand[[#This Row],[transportation loss ]]/grand[[#This Row],[received]]</f>
        <v>13.194444444444445</v>
      </c>
      <c r="S2438" s="7">
        <f>grand[[#This Row],[ carcass weight]]/grand[[#This Row],[received]]</f>
        <v>284.16666666666669</v>
      </c>
      <c r="T2438" s="7">
        <f>grand[[#This Row],[ kidneys fat quantity]]/grand[[#This Row],[received]]</f>
        <v>0</v>
      </c>
      <c r="U2438" s="4">
        <v>24.9</v>
      </c>
      <c r="V2438" s="4">
        <v>0</v>
      </c>
      <c r="W2438" s="4">
        <v>48.8</v>
      </c>
      <c r="X2438" s="4">
        <v>10</v>
      </c>
      <c r="Y2438" s="8">
        <v>8.5</v>
      </c>
      <c r="Z2438" s="3">
        <f>grand[[#This Row],[av. Transportation loss]]/grand[[#This Row],[av.total weight]]</f>
        <v>2.793296089385475E-2</v>
      </c>
      <c r="AA2438" s="12">
        <f>AVERAGE((grand[[#This Row],[am]]/25),(grand[[#This Row],[pm]]/50))</f>
        <v>0.98599999999999999</v>
      </c>
      <c r="AB2438" s="3">
        <f>grand[[#This Row],[ carcass weight]]/grand[[#This Row],[total weight]]</f>
        <v>0.60158776830344018</v>
      </c>
      <c r="AC2438" s="6">
        <f>SUM(grand[[#This Row],[am]:[meat transportation]])/100</f>
        <v>0.92199999999999993</v>
      </c>
      <c r="AD2438" s="4" t="s">
        <v>77</v>
      </c>
      <c r="AE2438" s="4"/>
      <c r="AF2438" s="4" t="s">
        <v>78</v>
      </c>
      <c r="AG2438" s="4"/>
      <c r="AH2438" s="4"/>
      <c r="AI2438" s="4"/>
      <c r="AJ2438" s="2"/>
      <c r="AK2438" s="4"/>
    </row>
    <row r="2439" spans="1:38" hidden="1" x14ac:dyDescent="0.2">
      <c r="A2439" s="11">
        <v>43900</v>
      </c>
      <c r="B2439" s="53" t="s">
        <v>1429</v>
      </c>
      <c r="C2439" s="52" t="str">
        <f>IF(MID(B2439,4,2)="09","Ramadan",IF(AND(MID(B2439,4,2)="12",VALUE(LEFT(B2439,2))&lt;=9),"Adha Season","Normal"))</f>
        <v>Normal</v>
      </c>
      <c r="D2439" s="1" t="s">
        <v>45</v>
      </c>
      <c r="F2439" s="4" t="s">
        <v>50</v>
      </c>
      <c r="G2439" s="4">
        <v>38</v>
      </c>
      <c r="H2439" s="4">
        <v>35</v>
      </c>
      <c r="I2439" s="2">
        <f>grand[[#This Row],[number]]-grand[[#This Row],[received]]</f>
        <v>3</v>
      </c>
      <c r="J2439" s="30" t="s">
        <v>64</v>
      </c>
      <c r="K2439" s="4">
        <v>14507</v>
      </c>
      <c r="L2439" s="4">
        <v>13840</v>
      </c>
      <c r="M2439" s="2">
        <f>K2439-L2439</f>
        <v>667</v>
      </c>
      <c r="N2439" s="4">
        <v>9052</v>
      </c>
      <c r="O2439" s="4"/>
      <c r="P2439" s="7">
        <f>grand[[#This Row],[total weight]]/grand[[#This Row],[received]]</f>
        <v>414.48571428571427</v>
      </c>
      <c r="Q2439" s="7">
        <f>grand[[#This Row],[receiving weight]]/grand[[#This Row],[received]]</f>
        <v>395.42857142857144</v>
      </c>
      <c r="R2439" s="7">
        <f>grand[[#This Row],[transportation loss ]]/grand[[#This Row],[received]]</f>
        <v>19.057142857142857</v>
      </c>
      <c r="S2439" s="7">
        <f>grand[[#This Row],[ carcass weight]]/grand[[#This Row],[received]]</f>
        <v>258.62857142857143</v>
      </c>
      <c r="T2439" s="7">
        <f>grand[[#This Row],[ kidneys fat quantity]]/grand[[#This Row],[received]]</f>
        <v>0</v>
      </c>
      <c r="U2439" s="4">
        <v>25</v>
      </c>
      <c r="V2439" s="4">
        <v>0</v>
      </c>
      <c r="W2439" s="4">
        <v>49.9</v>
      </c>
      <c r="X2439" s="4">
        <v>9</v>
      </c>
      <c r="Y2439" s="8">
        <v>8.5</v>
      </c>
      <c r="Z2439" s="3">
        <f>grand[[#This Row],[av. Transportation loss]]/grand[[#This Row],[av.total weight]]</f>
        <v>4.5977803818846079E-2</v>
      </c>
      <c r="AA2439" s="12">
        <f>AVERAGE((grand[[#This Row],[am]]/25),(grand[[#This Row],[pm]]/50))</f>
        <v>0.999</v>
      </c>
      <c r="AB2439" s="3">
        <f>grand[[#This Row],[ carcass weight]]/grand[[#This Row],[total weight]]</f>
        <v>0.62397463293582411</v>
      </c>
      <c r="AC2439" s="6">
        <f>SUM(grand[[#This Row],[am]:[meat transportation]])/100</f>
        <v>0.92400000000000004</v>
      </c>
      <c r="AD2439" s="4"/>
      <c r="AE2439" s="4">
        <v>1</v>
      </c>
      <c r="AF2439" s="4" t="s">
        <v>79</v>
      </c>
      <c r="AG2439" s="4"/>
      <c r="AH2439" s="4"/>
      <c r="AI2439" s="4"/>
      <c r="AJ2439" s="2"/>
      <c r="AK2439" s="4"/>
    </row>
    <row r="2440" spans="1:38" hidden="1" x14ac:dyDescent="0.2">
      <c r="A2440" s="11">
        <v>43936</v>
      </c>
      <c r="B2440" s="53" t="s">
        <v>1458</v>
      </c>
      <c r="C2440" s="52" t="str">
        <f>IF(MID(B2440,4,2)="09","Ramadan",IF(AND(MID(B2440,4,2)="12",VALUE(LEFT(B2440,2))&lt;=9),"Adha Season","Normal"))</f>
        <v>Normal</v>
      </c>
      <c r="D2440" s="1" t="s">
        <v>45</v>
      </c>
      <c r="F2440" s="4" t="s">
        <v>50</v>
      </c>
      <c r="G2440" s="4">
        <v>41</v>
      </c>
      <c r="H2440" s="4">
        <v>38</v>
      </c>
      <c r="I2440" s="2">
        <f>grand[[#This Row],[number]]-grand[[#This Row],[received]]</f>
        <v>3</v>
      </c>
      <c r="J2440" s="30" t="s">
        <v>107</v>
      </c>
      <c r="K2440" s="4">
        <v>15988</v>
      </c>
      <c r="L2440" s="4">
        <v>15053</v>
      </c>
      <c r="M2440" s="2">
        <f>K2440-L2440</f>
        <v>935</v>
      </c>
      <c r="N2440" s="4">
        <v>9878.4</v>
      </c>
      <c r="O2440" s="4"/>
      <c r="P2440" s="7">
        <f>grand[[#This Row],[total weight]]/grand[[#This Row],[received]]</f>
        <v>420.73684210526318</v>
      </c>
      <c r="Q2440" s="7">
        <f>grand[[#This Row],[receiving weight]]/grand[[#This Row],[received]]</f>
        <v>396.13157894736844</v>
      </c>
      <c r="R2440" s="7">
        <f>grand[[#This Row],[transportation loss ]]/grand[[#This Row],[received]]</f>
        <v>24.605263157894736</v>
      </c>
      <c r="S2440" s="7">
        <f>grand[[#This Row],[ carcass weight]]/grand[[#This Row],[received]]</f>
        <v>259.95789473684209</v>
      </c>
      <c r="T2440" s="7">
        <f>grand[[#This Row],[ kidneys fat quantity]]/grand[[#This Row],[received]]</f>
        <v>0</v>
      </c>
      <c r="U2440" s="4">
        <v>25</v>
      </c>
      <c r="V2440" s="4">
        <v>0</v>
      </c>
      <c r="W2440" s="4">
        <v>48.2</v>
      </c>
      <c r="X2440" s="4">
        <v>10</v>
      </c>
      <c r="Y2440" s="8">
        <v>8.5</v>
      </c>
      <c r="Z2440" s="3">
        <f>grand[[#This Row],[av. Transportation loss]]/grand[[#This Row],[av.total weight]]</f>
        <v>5.8481361020765572E-2</v>
      </c>
      <c r="AA2440" s="12">
        <f>AVERAGE((grand[[#This Row],[am]]/25),(grand[[#This Row],[pm]]/50))</f>
        <v>0.98199999999999998</v>
      </c>
      <c r="AB2440" s="3">
        <f>grand[[#This Row],[ carcass weight]]/grand[[#This Row],[total weight]]</f>
        <v>0.61786339754816111</v>
      </c>
      <c r="AC2440" s="6">
        <f>SUM(grand[[#This Row],[am]:[meat transportation]])/100</f>
        <v>0.91700000000000004</v>
      </c>
      <c r="AD2440" s="4"/>
      <c r="AE2440" s="4">
        <v>2</v>
      </c>
      <c r="AF2440" s="4"/>
      <c r="AG2440" s="4"/>
      <c r="AH2440" s="4"/>
      <c r="AI2440" s="4">
        <v>1</v>
      </c>
      <c r="AJ2440" s="2"/>
      <c r="AK2440" s="4"/>
    </row>
    <row r="2441" spans="1:38" hidden="1" x14ac:dyDescent="0.2">
      <c r="A2441" s="11">
        <v>43944</v>
      </c>
      <c r="B2441" s="53" t="s">
        <v>1463</v>
      </c>
      <c r="C2441" s="52" t="str">
        <f>IF(MID(B2441,4,2)="09","Ramadan",IF(AND(MID(B2441,4,2)="12",VALUE(LEFT(B2441,2))&lt;=9),"Adha Season","Normal"))</f>
        <v>Normal</v>
      </c>
      <c r="D2441" s="1" t="s">
        <v>45</v>
      </c>
      <c r="F2441" s="4" t="s">
        <v>50</v>
      </c>
      <c r="G2441" s="4">
        <v>47</v>
      </c>
      <c r="H2441" s="4">
        <v>44</v>
      </c>
      <c r="I2441" s="2">
        <f>grand[[#This Row],[number]]-grand[[#This Row],[received]]</f>
        <v>3</v>
      </c>
      <c r="J2441" s="30" t="s">
        <v>107</v>
      </c>
      <c r="K2441" s="4">
        <v>18537</v>
      </c>
      <c r="L2441" s="4">
        <v>17415</v>
      </c>
      <c r="M2441" s="2">
        <f>K2441-L2441</f>
        <v>1122</v>
      </c>
      <c r="N2441" s="4">
        <v>11436.7</v>
      </c>
      <c r="O2441" s="4"/>
      <c r="P2441" s="7">
        <f>grand[[#This Row],[total weight]]/grand[[#This Row],[received]]</f>
        <v>421.29545454545456</v>
      </c>
      <c r="Q2441" s="7">
        <f>grand[[#This Row],[receiving weight]]/grand[[#This Row],[received]]</f>
        <v>395.79545454545456</v>
      </c>
      <c r="R2441" s="7">
        <f>grand[[#This Row],[transportation loss ]]/grand[[#This Row],[received]]</f>
        <v>25.5</v>
      </c>
      <c r="S2441" s="7">
        <f>grand[[#This Row],[ carcass weight]]/grand[[#This Row],[received]]</f>
        <v>259.92500000000001</v>
      </c>
      <c r="T2441" s="7">
        <f>grand[[#This Row],[ kidneys fat quantity]]/grand[[#This Row],[received]]</f>
        <v>0</v>
      </c>
      <c r="U2441" s="4">
        <v>25</v>
      </c>
      <c r="V2441" s="4">
        <v>0</v>
      </c>
      <c r="W2441" s="4">
        <v>49.5</v>
      </c>
      <c r="X2441" s="4">
        <v>10</v>
      </c>
      <c r="Y2441" s="8">
        <v>8.5</v>
      </c>
      <c r="Z2441" s="3">
        <f>grand[[#This Row],[av. Transportation loss]]/grand[[#This Row],[av.total weight]]</f>
        <v>6.0527593461725197E-2</v>
      </c>
      <c r="AA2441" s="12">
        <f>AVERAGE((grand[[#This Row],[am]]/25),(grand[[#This Row],[pm]]/50))</f>
        <v>0.995</v>
      </c>
      <c r="AB2441" s="3">
        <f>grand[[#This Row],[ carcass weight]]/grand[[#This Row],[total weight]]</f>
        <v>0.61696606786427155</v>
      </c>
      <c r="AC2441" s="6">
        <f>SUM(grand[[#This Row],[am]:[meat transportation]])/100</f>
        <v>0.93</v>
      </c>
      <c r="AD2441" s="4"/>
      <c r="AE2441" s="4">
        <v>8</v>
      </c>
      <c r="AF2441" s="4"/>
      <c r="AG2441" s="4"/>
      <c r="AH2441" s="4"/>
      <c r="AI2441" s="4"/>
      <c r="AJ2441" s="2"/>
      <c r="AK2441" s="4"/>
    </row>
    <row r="2442" spans="1:38" hidden="1" x14ac:dyDescent="0.2">
      <c r="A2442" s="11">
        <v>43982</v>
      </c>
      <c r="B2442" s="53" t="s">
        <v>1478</v>
      </c>
      <c r="C2442" s="52" t="str">
        <f>IF(MID(B2442,4,2)="09","Ramadan",IF(AND(MID(B2442,4,2)="12",VALUE(LEFT(B2442,2))&lt;=9),"Adha Season","Normal"))</f>
        <v>Normal</v>
      </c>
      <c r="D2442" s="1" t="s">
        <v>45</v>
      </c>
      <c r="F2442" s="4" t="s">
        <v>47</v>
      </c>
      <c r="G2442" s="4">
        <v>27</v>
      </c>
      <c r="H2442" s="4">
        <v>24</v>
      </c>
      <c r="I2442" s="2">
        <f>grand[[#This Row],[number]]-grand[[#This Row],[received]]</f>
        <v>3</v>
      </c>
      <c r="J2442" s="30" t="s">
        <v>136</v>
      </c>
      <c r="K2442" s="4">
        <v>10915</v>
      </c>
      <c r="L2442" s="4">
        <v>10470</v>
      </c>
      <c r="M2442" s="2">
        <f>K2442-L2442</f>
        <v>445</v>
      </c>
      <c r="N2442" s="4">
        <v>6648.9</v>
      </c>
      <c r="O2442" s="4"/>
      <c r="P2442" s="7">
        <f>grand[[#This Row],[total weight]]/grand[[#This Row],[received]]</f>
        <v>454.79166666666669</v>
      </c>
      <c r="Q2442" s="7">
        <f>grand[[#This Row],[receiving weight]]/grand[[#This Row],[received]]</f>
        <v>436.25</v>
      </c>
      <c r="R2442" s="7">
        <f>grand[[#This Row],[transportation loss ]]/grand[[#This Row],[received]]</f>
        <v>18.541666666666668</v>
      </c>
      <c r="S2442" s="7">
        <f>grand[[#This Row],[ carcass weight]]/grand[[#This Row],[received]]</f>
        <v>277.03749999999997</v>
      </c>
      <c r="T2442" s="7">
        <f>grand[[#This Row],[ kidneys fat quantity]]/grand[[#This Row],[received]]</f>
        <v>0</v>
      </c>
      <c r="U2442" s="4">
        <v>25</v>
      </c>
      <c r="V2442" s="4">
        <v>0</v>
      </c>
      <c r="W2442" s="4">
        <v>49.7</v>
      </c>
      <c r="X2442" s="4">
        <v>10</v>
      </c>
      <c r="Y2442" s="8">
        <v>8.5</v>
      </c>
      <c r="Z2442" s="3">
        <f>grand[[#This Row],[av. Transportation loss]]/grand[[#This Row],[av.total weight]]</f>
        <v>4.0769583142464497E-2</v>
      </c>
      <c r="AA2442" s="12">
        <f>AVERAGE((grand[[#This Row],[am]]/25),(grand[[#This Row],[pm]]/50))</f>
        <v>0.99700000000000011</v>
      </c>
      <c r="AB2442" s="3">
        <f>grand[[#This Row],[ carcass weight]]/grand[[#This Row],[total weight]]</f>
        <v>0.6091525423728813</v>
      </c>
      <c r="AC2442" s="6">
        <f>SUM(grand[[#This Row],[am]:[meat transportation]])/100</f>
        <v>0.93200000000000005</v>
      </c>
      <c r="AD2442" s="4"/>
      <c r="AE2442" s="4"/>
      <c r="AF2442" s="4" t="s">
        <v>82</v>
      </c>
      <c r="AG2442" s="4"/>
      <c r="AH2442" s="4"/>
      <c r="AI2442" s="4" t="s">
        <v>137</v>
      </c>
      <c r="AJ2442" s="2"/>
      <c r="AK2442" s="4"/>
    </row>
    <row r="2443" spans="1:38" hidden="1" x14ac:dyDescent="0.2">
      <c r="A2443" s="11">
        <v>44103</v>
      </c>
      <c r="B2443" s="53" t="s">
        <v>2556</v>
      </c>
      <c r="C2443" s="52" t="str">
        <f>IF(MID(B2443,4,2)="09","Ramadan",IF(AND(MID(B2443,4,2)="12",VALUE(LEFT(B2443,2))&lt;=9),"Adha Season","Normal"))</f>
        <v>Normal</v>
      </c>
      <c r="D2443" s="1" t="s">
        <v>45</v>
      </c>
      <c r="F2443" s="4" t="s">
        <v>50</v>
      </c>
      <c r="G2443" s="4">
        <v>23</v>
      </c>
      <c r="H2443" s="4">
        <v>20</v>
      </c>
      <c r="I2443" s="2">
        <f>grand[[#This Row],[number]]-grand[[#This Row],[received]]</f>
        <v>3</v>
      </c>
      <c r="J2443" s="30" t="s">
        <v>208</v>
      </c>
      <c r="K2443" s="4">
        <v>8899</v>
      </c>
      <c r="L2443" s="4">
        <v>8356</v>
      </c>
      <c r="M2443" s="2">
        <f>K2443-L2443</f>
        <v>543</v>
      </c>
      <c r="N2443" s="4">
        <v>5504.5</v>
      </c>
      <c r="O2443" s="4"/>
      <c r="P2443" s="7">
        <f>grand[[#This Row],[total weight]]/grand[[#This Row],[received]]</f>
        <v>444.95</v>
      </c>
      <c r="Q2443" s="7">
        <f>grand[[#This Row],[receiving weight]]/grand[[#This Row],[received]]</f>
        <v>417.8</v>
      </c>
      <c r="R2443" s="7">
        <f>grand[[#This Row],[transportation loss ]]/grand[[#This Row],[received]]</f>
        <v>27.15</v>
      </c>
      <c r="S2443" s="7">
        <f>grand[[#This Row],[ carcass weight]]/grand[[#This Row],[received]]</f>
        <v>275.22500000000002</v>
      </c>
      <c r="T2443" s="7">
        <f>grand[[#This Row],[ kidneys fat quantity]]/grand[[#This Row],[received]]</f>
        <v>0</v>
      </c>
      <c r="U2443" s="4">
        <v>25</v>
      </c>
      <c r="V2443" s="4">
        <v>0</v>
      </c>
      <c r="W2443" s="4">
        <v>48.5</v>
      </c>
      <c r="X2443" s="4">
        <v>10</v>
      </c>
      <c r="Y2443" s="8">
        <v>8.5</v>
      </c>
      <c r="Z2443" s="3">
        <f>grand[[#This Row],[av. Transportation loss]]/grand[[#This Row],[av.total weight]]</f>
        <v>6.1018091920440498E-2</v>
      </c>
      <c r="AA2443" s="12">
        <f>AVERAGE((grand[[#This Row],[am]]/25),(grand[[#This Row],[pm]]/50))</f>
        <v>0.98499999999999999</v>
      </c>
      <c r="AB2443" s="3">
        <f>grand[[#This Row],[ carcass weight]]/grand[[#This Row],[total weight]]</f>
        <v>0.61855264636476004</v>
      </c>
      <c r="AC2443" s="6">
        <f>SUM(grand[[#This Row],[am]:[meat transportation]])/100</f>
        <v>0.92</v>
      </c>
      <c r="AD2443" s="9" t="s">
        <v>71</v>
      </c>
      <c r="AE2443" s="4">
        <v>3</v>
      </c>
      <c r="AF2443" s="4" t="s">
        <v>104</v>
      </c>
      <c r="AG2443" s="4"/>
      <c r="AH2443" s="4"/>
      <c r="AI2443" s="4"/>
      <c r="AJ2443" s="2"/>
      <c r="AK2443" s="4"/>
      <c r="AL2443" s="2">
        <f>1409+21</f>
        <v>1430</v>
      </c>
    </row>
    <row r="2444" spans="1:38" hidden="1" x14ac:dyDescent="0.2">
      <c r="A2444" s="11">
        <v>44107</v>
      </c>
      <c r="B2444" s="53" t="s">
        <v>2558</v>
      </c>
      <c r="C2444" s="52" t="str">
        <f>IF(MID(B2444,4,2)="09","Ramadan",IF(AND(MID(B2444,4,2)="12",VALUE(LEFT(B2444,2))&lt;=9),"Adha Season","Normal"))</f>
        <v>Normal</v>
      </c>
      <c r="D2444" s="1" t="s">
        <v>45</v>
      </c>
      <c r="F2444" s="4" t="s">
        <v>165</v>
      </c>
      <c r="G2444" s="4">
        <v>32</v>
      </c>
      <c r="H2444" s="4">
        <v>29</v>
      </c>
      <c r="I2444" s="2">
        <f>grand[[#This Row],[number]]-grand[[#This Row],[received]]</f>
        <v>3</v>
      </c>
      <c r="J2444" s="30" t="s">
        <v>210</v>
      </c>
      <c r="K2444" s="4">
        <v>13211</v>
      </c>
      <c r="L2444" s="4">
        <v>12603</v>
      </c>
      <c r="M2444" s="2">
        <f>K2444-L2444</f>
        <v>608</v>
      </c>
      <c r="N2444" s="4">
        <v>7940.8</v>
      </c>
      <c r="O2444" s="4"/>
      <c r="P2444" s="7">
        <f>grand[[#This Row],[total weight]]/grand[[#This Row],[received]]</f>
        <v>455.55172413793105</v>
      </c>
      <c r="Q2444" s="7">
        <f>grand[[#This Row],[receiving weight]]/grand[[#This Row],[received]]</f>
        <v>434.58620689655174</v>
      </c>
      <c r="R2444" s="7">
        <f>grand[[#This Row],[transportation loss ]]/grand[[#This Row],[received]]</f>
        <v>20.96551724137931</v>
      </c>
      <c r="S2444" s="7">
        <f>grand[[#This Row],[ carcass weight]]/grand[[#This Row],[received]]</f>
        <v>273.82068965517243</v>
      </c>
      <c r="T2444" s="7">
        <f>grand[[#This Row],[ kidneys fat quantity]]/grand[[#This Row],[received]]</f>
        <v>0</v>
      </c>
      <c r="U2444" s="4">
        <v>25</v>
      </c>
      <c r="V2444" s="4">
        <v>0</v>
      </c>
      <c r="W2444" s="4">
        <v>49.8</v>
      </c>
      <c r="X2444" s="4">
        <v>10</v>
      </c>
      <c r="Y2444" s="8">
        <v>8.5</v>
      </c>
      <c r="Z2444" s="3">
        <f>grand[[#This Row],[av. Transportation loss]]/grand[[#This Row],[av.total weight]]</f>
        <v>4.6022254182120956E-2</v>
      </c>
      <c r="AA2444" s="12">
        <f>AVERAGE((grand[[#This Row],[am]]/25),(grand[[#This Row],[pm]]/50))</f>
        <v>0.998</v>
      </c>
      <c r="AB2444" s="3">
        <f>grand[[#This Row],[ carcass weight]]/grand[[#This Row],[total weight]]</f>
        <v>0.601074861857543</v>
      </c>
      <c r="AC2444" s="6">
        <f>SUM(grand[[#This Row],[am]:[meat transportation]])/100</f>
        <v>0.93299999999999994</v>
      </c>
      <c r="AD2444" s="9" t="s">
        <v>81</v>
      </c>
      <c r="AE2444" s="4"/>
      <c r="AF2444" s="4"/>
      <c r="AG2444" s="4"/>
      <c r="AH2444" s="4"/>
      <c r="AI2444" s="4"/>
      <c r="AJ2444" s="2"/>
      <c r="AK2444" s="4"/>
      <c r="AL2444" s="2">
        <f>425+944+8</f>
        <v>1377</v>
      </c>
    </row>
    <row r="2445" spans="1:38" hidden="1" x14ac:dyDescent="0.2">
      <c r="A2445" s="11">
        <v>44110</v>
      </c>
      <c r="B2445" s="53" t="s">
        <v>2559</v>
      </c>
      <c r="C2445" s="52" t="str">
        <f>IF(MID(B2445,4,2)="09","Ramadan",IF(AND(MID(B2445,4,2)="12",VALUE(LEFT(B2445,2))&lt;=9),"Adha Season","Normal"))</f>
        <v>Normal</v>
      </c>
      <c r="D2445" s="1" t="s">
        <v>45</v>
      </c>
      <c r="F2445" s="4" t="s">
        <v>50</v>
      </c>
      <c r="G2445" s="4">
        <v>43</v>
      </c>
      <c r="H2445" s="4">
        <v>40</v>
      </c>
      <c r="I2445" s="2">
        <f>grand[[#This Row],[number]]-grand[[#This Row],[received]]</f>
        <v>3</v>
      </c>
      <c r="J2445" s="30" t="s">
        <v>212</v>
      </c>
      <c r="K2445" s="4">
        <f>17125</f>
        <v>17125</v>
      </c>
      <c r="L2445" s="4">
        <v>15830</v>
      </c>
      <c r="M2445" s="2">
        <f>K2445-L2445</f>
        <v>1295</v>
      </c>
      <c r="N2445" s="4">
        <v>10484</v>
      </c>
      <c r="O2445" s="4"/>
      <c r="P2445" s="7">
        <f>grand[[#This Row],[total weight]]/grand[[#This Row],[received]]</f>
        <v>428.125</v>
      </c>
      <c r="Q2445" s="7">
        <f>grand[[#This Row],[receiving weight]]/grand[[#This Row],[received]]</f>
        <v>395.75</v>
      </c>
      <c r="R2445" s="7">
        <f>grand[[#This Row],[transportation loss ]]/grand[[#This Row],[received]]</f>
        <v>32.375</v>
      </c>
      <c r="S2445" s="7">
        <f>grand[[#This Row],[ carcass weight]]/grand[[#This Row],[received]]</f>
        <v>262.10000000000002</v>
      </c>
      <c r="T2445" s="7">
        <f>grand[[#This Row],[ kidneys fat quantity]]/grand[[#This Row],[received]]</f>
        <v>0</v>
      </c>
      <c r="U2445" s="4">
        <v>25</v>
      </c>
      <c r="V2445" s="4">
        <v>0</v>
      </c>
      <c r="W2445" s="4">
        <v>49.2</v>
      </c>
      <c r="X2445" s="4">
        <v>10</v>
      </c>
      <c r="Y2445" s="8">
        <v>8.5</v>
      </c>
      <c r="Z2445" s="3">
        <f>grand[[#This Row],[av. Transportation loss]]/grand[[#This Row],[av.total weight]]</f>
        <v>7.5620437956204378E-2</v>
      </c>
      <c r="AA2445" s="12">
        <f>AVERAGE((grand[[#This Row],[am]]/25),(grand[[#This Row],[pm]]/50))</f>
        <v>0.99199999999999999</v>
      </c>
      <c r="AB2445" s="3">
        <f>grand[[#This Row],[ carcass weight]]/grand[[#This Row],[total weight]]</f>
        <v>0.61220437956204377</v>
      </c>
      <c r="AC2445" s="6">
        <f>SUM(grand[[#This Row],[am]:[meat transportation]])/100</f>
        <v>0.92700000000000005</v>
      </c>
      <c r="AD2445" s="9" t="s">
        <v>213</v>
      </c>
      <c r="AE2445" s="4"/>
      <c r="AF2445" s="4" t="s">
        <v>70</v>
      </c>
      <c r="AG2445" s="4"/>
      <c r="AH2445" s="4"/>
      <c r="AI2445" s="4"/>
      <c r="AJ2445" s="2"/>
      <c r="AK2445" s="4"/>
      <c r="AL2445" s="2">
        <f>941+34</f>
        <v>975</v>
      </c>
    </row>
    <row r="2446" spans="1:38" hidden="1" x14ac:dyDescent="0.2">
      <c r="A2446" s="11">
        <v>44129</v>
      </c>
      <c r="B2446" s="53" t="s">
        <v>1520</v>
      </c>
      <c r="C2446" s="52" t="str">
        <f>IF(MID(B2446,4,2)="09","Ramadan",IF(AND(MID(B2446,4,2)="12",VALUE(LEFT(B2446,2))&lt;=9),"Adha Season","Normal"))</f>
        <v>Normal</v>
      </c>
      <c r="D2446" s="1" t="s">
        <v>45</v>
      </c>
      <c r="F2446" s="4" t="s">
        <v>50</v>
      </c>
      <c r="G2446" s="4">
        <v>37</v>
      </c>
      <c r="H2446" s="4">
        <v>34</v>
      </c>
      <c r="I2446" s="2">
        <f>grand[[#This Row],[number]]-grand[[#This Row],[received]]</f>
        <v>3</v>
      </c>
      <c r="J2446" s="30" t="s">
        <v>224</v>
      </c>
      <c r="K2446" s="4">
        <v>15019</v>
      </c>
      <c r="L2446" s="4">
        <v>13824</v>
      </c>
      <c r="M2446" s="2">
        <f>K2446-L2446</f>
        <v>1195</v>
      </c>
      <c r="N2446" s="4">
        <v>9182.2999999999993</v>
      </c>
      <c r="O2446" s="4"/>
      <c r="P2446" s="7">
        <f>grand[[#This Row],[total weight]]/grand[[#This Row],[received]]</f>
        <v>441.73529411764707</v>
      </c>
      <c r="Q2446" s="7">
        <f>grand[[#This Row],[receiving weight]]/grand[[#This Row],[received]]</f>
        <v>406.58823529411762</v>
      </c>
      <c r="R2446" s="7">
        <f>grand[[#This Row],[transportation loss ]]/grand[[#This Row],[received]]</f>
        <v>35.147058823529413</v>
      </c>
      <c r="S2446" s="7">
        <f>grand[[#This Row],[ carcass weight]]/grand[[#This Row],[received]]</f>
        <v>270.06764705882352</v>
      </c>
      <c r="T2446" s="7">
        <f>grand[[#This Row],[ kidneys fat quantity]]/grand[[#This Row],[received]]</f>
        <v>0</v>
      </c>
      <c r="U2446" s="4">
        <v>25</v>
      </c>
      <c r="V2446" s="4">
        <v>0</v>
      </c>
      <c r="W2446" s="4">
        <v>49.6</v>
      </c>
      <c r="X2446" s="4">
        <v>10</v>
      </c>
      <c r="Y2446" s="8">
        <v>8.5</v>
      </c>
      <c r="Z2446" s="3">
        <f>grand[[#This Row],[av. Transportation loss]]/grand[[#This Row],[av.total weight]]</f>
        <v>7.9565883214594846E-2</v>
      </c>
      <c r="AA2446" s="12">
        <f>AVERAGE((grand[[#This Row],[am]]/25),(grand[[#This Row],[pm]]/50))</f>
        <v>0.996</v>
      </c>
      <c r="AB2446" s="3">
        <f>grand[[#This Row],[ carcass weight]]/grand[[#This Row],[total weight]]</f>
        <v>0.6113789200346228</v>
      </c>
      <c r="AC2446" s="6">
        <f>SUM(grand[[#This Row],[am]:[meat transportation]])/100</f>
        <v>0.93099999999999994</v>
      </c>
      <c r="AD2446" s="9" t="s">
        <v>225</v>
      </c>
      <c r="AE2446" s="4">
        <v>1</v>
      </c>
      <c r="AF2446" s="4" t="s">
        <v>55</v>
      </c>
      <c r="AG2446" s="4"/>
      <c r="AH2446" s="4"/>
      <c r="AI2446" s="4"/>
      <c r="AJ2446" s="2"/>
      <c r="AK2446" s="4"/>
      <c r="AL2446" s="2">
        <f>856+490+9</f>
        <v>1355</v>
      </c>
    </row>
    <row r="2447" spans="1:38" hidden="1" x14ac:dyDescent="0.2">
      <c r="A2447" s="11">
        <v>44154</v>
      </c>
      <c r="B2447" s="53" t="s">
        <v>2578</v>
      </c>
      <c r="C2447" s="52" t="str">
        <f>IF(MID(B2447,4,2)="09","Ramadan",IF(AND(MID(B2447,4,2)="12",VALUE(LEFT(B2447,2))&lt;=9),"Adha Season","Normal"))</f>
        <v>Normal</v>
      </c>
      <c r="D2447" s="1" t="s">
        <v>45</v>
      </c>
      <c r="F2447" s="4" t="s">
        <v>46</v>
      </c>
      <c r="G2447" s="4">
        <v>43</v>
      </c>
      <c r="H2447" s="4">
        <v>40</v>
      </c>
      <c r="I2447" s="2">
        <f>grand[[#This Row],[number]]-grand[[#This Row],[received]]</f>
        <v>3</v>
      </c>
      <c r="J2447" s="30" t="s">
        <v>231</v>
      </c>
      <c r="K2447" s="4">
        <v>18813</v>
      </c>
      <c r="L2447" s="4">
        <v>17767</v>
      </c>
      <c r="M2447" s="2">
        <f>K2447-L2447</f>
        <v>1046</v>
      </c>
      <c r="N2447" s="4">
        <v>11307.9</v>
      </c>
      <c r="O2447" s="4"/>
      <c r="P2447" s="7">
        <f>grand[[#This Row],[total weight]]/grand[[#This Row],[received]]</f>
        <v>470.32499999999999</v>
      </c>
      <c r="Q2447" s="7">
        <f>grand[[#This Row],[receiving weight]]/grand[[#This Row],[received]]</f>
        <v>444.17500000000001</v>
      </c>
      <c r="R2447" s="7">
        <f>grand[[#This Row],[transportation loss ]]/grand[[#This Row],[received]]</f>
        <v>26.15</v>
      </c>
      <c r="S2447" s="7">
        <f>grand[[#This Row],[ carcass weight]]/grand[[#This Row],[received]]</f>
        <v>282.69749999999999</v>
      </c>
      <c r="T2447" s="7">
        <f>grand[[#This Row],[ kidneys fat quantity]]/grand[[#This Row],[received]]</f>
        <v>0</v>
      </c>
      <c r="U2447" s="4">
        <v>25</v>
      </c>
      <c r="V2447" s="4">
        <v>0</v>
      </c>
      <c r="W2447" s="4">
        <v>49</v>
      </c>
      <c r="X2447" s="4">
        <v>10</v>
      </c>
      <c r="Y2447" s="8">
        <v>8.5</v>
      </c>
      <c r="Z2447" s="3">
        <f>grand[[#This Row],[av. Transportation loss]]/grand[[#This Row],[av.total weight]]</f>
        <v>5.55998511667464E-2</v>
      </c>
      <c r="AA2447" s="12">
        <f>AVERAGE((grand[[#This Row],[am]]/25),(grand[[#This Row],[pm]]/50))</f>
        <v>0.99</v>
      </c>
      <c r="AB2447" s="3">
        <f>grand[[#This Row],[ carcass weight]]/grand[[#This Row],[total weight]]</f>
        <v>0.60106841014192314</v>
      </c>
      <c r="AC2447" s="6">
        <f>SUM(grand[[#This Row],[am]:[meat transportation]])/100</f>
        <v>0.92500000000000004</v>
      </c>
      <c r="AD2447" s="9" t="s">
        <v>232</v>
      </c>
      <c r="AE2447" s="4">
        <v>3</v>
      </c>
      <c r="AF2447" s="4" t="s">
        <v>233</v>
      </c>
      <c r="AG2447" s="4"/>
      <c r="AH2447" s="4"/>
      <c r="AI2447" s="4"/>
      <c r="AJ2447" s="2"/>
      <c r="AK2447" s="4"/>
      <c r="AL2447" s="2">
        <f>1498+20</f>
        <v>1518</v>
      </c>
    </row>
    <row r="2448" spans="1:38" hidden="1" x14ac:dyDescent="0.2">
      <c r="A2448" s="11">
        <v>44206</v>
      </c>
      <c r="B2448" s="53" t="s">
        <v>1531</v>
      </c>
      <c r="C2448" s="52" t="str">
        <f>IF(MID(B2448,4,2)="09","Ramadan",IF(AND(MID(B2448,4,2)="12",VALUE(LEFT(B2448,2))&lt;=9),"Adha Season","Normal"))</f>
        <v>Normal</v>
      </c>
      <c r="D2448" s="1" t="s">
        <v>45</v>
      </c>
      <c r="F2448" s="4" t="s">
        <v>50</v>
      </c>
      <c r="G2448" s="4">
        <v>45</v>
      </c>
      <c r="H2448" s="4">
        <v>42</v>
      </c>
      <c r="I2448" s="2">
        <f>grand[[#This Row],[number]]-grand[[#This Row],[received]]</f>
        <v>3</v>
      </c>
      <c r="J2448" s="30" t="s">
        <v>107</v>
      </c>
      <c r="K2448" s="4">
        <v>18141</v>
      </c>
      <c r="L2448" s="4">
        <v>17136</v>
      </c>
      <c r="M2448" s="2">
        <f>K2448-L2448</f>
        <v>1005</v>
      </c>
      <c r="N2448" s="4">
        <v>11212.3</v>
      </c>
      <c r="O2448" s="4"/>
      <c r="P2448" s="7">
        <f>grand[[#This Row],[total weight]]/grand[[#This Row],[received]]</f>
        <v>431.92857142857144</v>
      </c>
      <c r="Q2448" s="7">
        <f>grand[[#This Row],[receiving weight]]/grand[[#This Row],[received]]</f>
        <v>408</v>
      </c>
      <c r="R2448" s="7">
        <f>grand[[#This Row],[transportation loss ]]/grand[[#This Row],[received]]</f>
        <v>23.928571428571427</v>
      </c>
      <c r="S2448" s="7">
        <f>grand[[#This Row],[ carcass weight]]/grand[[#This Row],[received]]</f>
        <v>266.95952380952377</v>
      </c>
      <c r="T2448" s="7">
        <f>grand[[#This Row],[ kidneys fat quantity]]/grand[[#This Row],[received]]</f>
        <v>0</v>
      </c>
      <c r="U2448" s="4">
        <v>25</v>
      </c>
      <c r="V2448" s="4">
        <v>0</v>
      </c>
      <c r="W2448" s="4">
        <v>49.74</v>
      </c>
      <c r="X2448" s="4">
        <v>10</v>
      </c>
      <c r="Y2448" s="8">
        <v>8.5</v>
      </c>
      <c r="Z2448" s="3">
        <f>grand[[#This Row],[av. Transportation loss]]/grand[[#This Row],[av.total weight]]</f>
        <v>5.5399371589217788E-2</v>
      </c>
      <c r="AA2448" s="12">
        <f>AVERAGE((grand[[#This Row],[am]]/25),(grand[[#This Row],[pm]]/50))</f>
        <v>0.99740000000000006</v>
      </c>
      <c r="AB2448" s="3">
        <f>grand[[#This Row],[ carcass weight]]/grand[[#This Row],[total weight]]</f>
        <v>0.61806405380078266</v>
      </c>
      <c r="AC2448" s="6">
        <f>SUM(grand[[#This Row],[am]:[meat transportation]])/100</f>
        <v>0.93240000000000012</v>
      </c>
      <c r="AD2448" s="9" t="s">
        <v>81</v>
      </c>
      <c r="AE2448" s="4"/>
      <c r="AF2448" s="4" t="s">
        <v>71</v>
      </c>
      <c r="AG2448" s="4"/>
      <c r="AH2448" s="4"/>
      <c r="AI2448" s="4"/>
      <c r="AJ2448" s="2">
        <v>8</v>
      </c>
      <c r="AK2448" s="12">
        <f>grand[[#This Row],[accepted as exception]]/grand[[#This Row],[number]]</f>
        <v>0.17777777777777778</v>
      </c>
      <c r="AL2448" s="2">
        <f>1229+14</f>
        <v>1243</v>
      </c>
    </row>
    <row r="2449" spans="1:38" hidden="1" x14ac:dyDescent="0.2">
      <c r="A2449" s="11">
        <v>44220</v>
      </c>
      <c r="B2449" s="53" t="s">
        <v>1533</v>
      </c>
      <c r="C2449" s="52" t="str">
        <f>IF(MID(B2449,4,2)="09","Ramadan",IF(AND(MID(B2449,4,2)="12",VALUE(LEFT(B2449,2))&lt;=9),"Adha Season","Normal"))</f>
        <v>Normal</v>
      </c>
      <c r="D2449" s="1" t="s">
        <v>45</v>
      </c>
      <c r="F2449" s="4" t="s">
        <v>165</v>
      </c>
      <c r="G2449" s="4">
        <v>42</v>
      </c>
      <c r="H2449" s="4">
        <v>39</v>
      </c>
      <c r="I2449" s="2">
        <f>grand[[#This Row],[number]]-grand[[#This Row],[received]]</f>
        <v>3</v>
      </c>
      <c r="J2449" s="30" t="s">
        <v>1120</v>
      </c>
      <c r="K2449" s="4">
        <v>17866</v>
      </c>
      <c r="L2449" s="4">
        <v>17263</v>
      </c>
      <c r="M2449" s="2">
        <f>K2449-L2449</f>
        <v>603</v>
      </c>
      <c r="N2449" s="4">
        <v>10735.3</v>
      </c>
      <c r="O2449" s="4"/>
      <c r="P2449" s="7">
        <f>grand[[#This Row],[total weight]]/grand[[#This Row],[received]]</f>
        <v>458.10256410256409</v>
      </c>
      <c r="Q2449" s="7">
        <f>grand[[#This Row],[receiving weight]]/grand[[#This Row],[received]]</f>
        <v>442.64102564102564</v>
      </c>
      <c r="R2449" s="7">
        <f>grand[[#This Row],[transportation loss ]]/grand[[#This Row],[received]]</f>
        <v>15.461538461538462</v>
      </c>
      <c r="S2449" s="7">
        <f>grand[[#This Row],[ carcass weight]]/grand[[#This Row],[received]]</f>
        <v>275.26410256410253</v>
      </c>
      <c r="T2449" s="7">
        <f>grand[[#This Row],[ kidneys fat quantity]]/grand[[#This Row],[received]]</f>
        <v>0</v>
      </c>
      <c r="U2449" s="4">
        <v>25</v>
      </c>
      <c r="V2449" s="4">
        <v>0</v>
      </c>
      <c r="W2449" s="4">
        <v>49.64</v>
      </c>
      <c r="X2449" s="4">
        <v>10</v>
      </c>
      <c r="Y2449" s="8">
        <v>8.5</v>
      </c>
      <c r="Z2449" s="3">
        <f>grand[[#This Row],[av. Transportation loss]]/grand[[#This Row],[av.total weight]]</f>
        <v>3.3751259375349826E-2</v>
      </c>
      <c r="AA2449" s="12">
        <f>AVERAGE((grand[[#This Row],[am]]/25),(grand[[#This Row],[pm]]/50))</f>
        <v>0.99639999999999995</v>
      </c>
      <c r="AB2449" s="3">
        <f>grand[[#This Row],[ carcass weight]]/grand[[#This Row],[total weight]]</f>
        <v>0.60087876413299002</v>
      </c>
      <c r="AC2449" s="6">
        <f>SUM(grand[[#This Row],[am]:[meat transportation]])/100</f>
        <v>0.93140000000000001</v>
      </c>
      <c r="AD2449" s="9"/>
      <c r="AE2449" s="4"/>
      <c r="AF2449" s="4"/>
      <c r="AG2449" s="4"/>
      <c r="AH2449" s="4"/>
      <c r="AI2449" s="4"/>
      <c r="AJ2449" s="2">
        <v>14</v>
      </c>
      <c r="AK2449" s="12">
        <f>grand[[#This Row],[accepted as exception]]/grand[[#This Row],[number]]</f>
        <v>0.33333333333333331</v>
      </c>
      <c r="AL2449" s="2">
        <f>940+482+11</f>
        <v>1433</v>
      </c>
    </row>
    <row r="2450" spans="1:38" hidden="1" x14ac:dyDescent="0.2">
      <c r="A2450" s="11">
        <v>44224</v>
      </c>
      <c r="B2450" s="53" t="s">
        <v>2608</v>
      </c>
      <c r="C2450" s="52" t="str">
        <f>IF(MID(B2450,4,2)="09","Ramadan",IF(AND(MID(B2450,4,2)="12",VALUE(LEFT(B2450,2))&lt;=9),"Adha Season","Normal"))</f>
        <v>Normal</v>
      </c>
      <c r="D2450" s="1" t="s">
        <v>45</v>
      </c>
      <c r="F2450" s="4" t="s">
        <v>46</v>
      </c>
      <c r="G2450" s="4">
        <v>44</v>
      </c>
      <c r="H2450" s="4">
        <v>41</v>
      </c>
      <c r="I2450" s="2">
        <f>grand[[#This Row],[number]]-grand[[#This Row],[received]]</f>
        <v>3</v>
      </c>
      <c r="J2450" s="30" t="s">
        <v>107</v>
      </c>
      <c r="K2450" s="4">
        <v>17796</v>
      </c>
      <c r="L2450" s="4">
        <v>17015</v>
      </c>
      <c r="M2450" s="2">
        <f>K2450-L2450</f>
        <v>781</v>
      </c>
      <c r="N2450" s="4">
        <v>10677.3</v>
      </c>
      <c r="O2450" s="4"/>
      <c r="P2450" s="7">
        <f>grand[[#This Row],[total weight]]/grand[[#This Row],[received]]</f>
        <v>434.04878048780489</v>
      </c>
      <c r="Q2450" s="7">
        <f>grand[[#This Row],[receiving weight]]/grand[[#This Row],[received]]</f>
        <v>415</v>
      </c>
      <c r="R2450" s="7">
        <f>grand[[#This Row],[transportation loss ]]/grand[[#This Row],[received]]</f>
        <v>19.048780487804876</v>
      </c>
      <c r="S2450" s="7">
        <f>grand[[#This Row],[ carcass weight]]/grand[[#This Row],[received]]</f>
        <v>260.42195121951215</v>
      </c>
      <c r="T2450" s="7">
        <f>grand[[#This Row],[ kidneys fat quantity]]/grand[[#This Row],[received]]</f>
        <v>0</v>
      </c>
      <c r="U2450" s="4">
        <v>25</v>
      </c>
      <c r="V2450" s="4">
        <v>0</v>
      </c>
      <c r="W2450" s="4">
        <v>49.71</v>
      </c>
      <c r="X2450" s="4">
        <v>10</v>
      </c>
      <c r="Y2450" s="8">
        <v>8.5</v>
      </c>
      <c r="Z2450" s="3">
        <f>grand[[#This Row],[av. Transportation loss]]/grand[[#This Row],[av.total weight]]</f>
        <v>4.3886266576758814E-2</v>
      </c>
      <c r="AA2450" s="12">
        <f>AVERAGE((grand[[#This Row],[am]]/25),(grand[[#This Row],[pm]]/50))</f>
        <v>0.99709999999999999</v>
      </c>
      <c r="AB2450" s="3">
        <f>grand[[#This Row],[ carcass weight]]/grand[[#This Row],[total weight]]</f>
        <v>0.59998314227916383</v>
      </c>
      <c r="AC2450" s="6">
        <f>SUM(grand[[#This Row],[am]:[meat transportation]])/100</f>
        <v>0.93210000000000004</v>
      </c>
      <c r="AD2450" s="9" t="s">
        <v>89</v>
      </c>
      <c r="AE2450" s="4"/>
      <c r="AF2450" s="4" t="s">
        <v>81</v>
      </c>
      <c r="AG2450" s="4"/>
      <c r="AH2450" s="4"/>
      <c r="AI2450" s="4"/>
      <c r="AJ2450" s="2">
        <v>10</v>
      </c>
      <c r="AK2450" s="12">
        <f>grand[[#This Row],[accepted as exception]]/grand[[#This Row],[number]]</f>
        <v>0.22727272727272727</v>
      </c>
      <c r="AL2450" s="2">
        <f>1280+11</f>
        <v>1291</v>
      </c>
    </row>
    <row r="2451" spans="1:38" hidden="1" x14ac:dyDescent="0.2">
      <c r="A2451" s="11">
        <v>44231</v>
      </c>
      <c r="B2451" s="53" t="s">
        <v>2611</v>
      </c>
      <c r="C2451" s="52" t="str">
        <f>IF(MID(B2451,4,2)="09","Ramadan",IF(AND(MID(B2451,4,2)="12",VALUE(LEFT(B2451,2))&lt;=9),"Adha Season","Normal"))</f>
        <v>Normal</v>
      </c>
      <c r="D2451" s="1" t="s">
        <v>45</v>
      </c>
      <c r="F2451" s="4" t="s">
        <v>46</v>
      </c>
      <c r="G2451" s="4">
        <v>50</v>
      </c>
      <c r="H2451" s="4">
        <v>47</v>
      </c>
      <c r="I2451" s="2">
        <f>grand[[#This Row],[number]]-grand[[#This Row],[received]]</f>
        <v>3</v>
      </c>
      <c r="J2451" s="30" t="s">
        <v>107</v>
      </c>
      <c r="K2451" s="9">
        <v>22722</v>
      </c>
      <c r="L2451" s="9">
        <v>21657</v>
      </c>
      <c r="M2451" s="2">
        <f>K2451-L2451</f>
        <v>1065</v>
      </c>
      <c r="N2451" s="9">
        <v>13633.3</v>
      </c>
      <c r="O2451" s="4"/>
      <c r="P2451" s="7">
        <f>grand[[#This Row],[total weight]]/grand[[#This Row],[received]]</f>
        <v>483.44680851063828</v>
      </c>
      <c r="Q2451" s="7">
        <f>grand[[#This Row],[receiving weight]]/grand[[#This Row],[received]]</f>
        <v>460.78723404255317</v>
      </c>
      <c r="R2451" s="7">
        <f>grand[[#This Row],[transportation loss ]]/grand[[#This Row],[received]]</f>
        <v>22.659574468085108</v>
      </c>
      <c r="S2451" s="7">
        <f>grand[[#This Row],[ carcass weight]]/grand[[#This Row],[received]]</f>
        <v>290.07021276595742</v>
      </c>
      <c r="T2451" s="7">
        <f>grand[[#This Row],[ kidneys fat quantity]]/grand[[#This Row],[received]]</f>
        <v>0</v>
      </c>
      <c r="U2451" s="4">
        <v>25</v>
      </c>
      <c r="V2451" s="4">
        <v>0</v>
      </c>
      <c r="W2451" s="4">
        <v>49.74</v>
      </c>
      <c r="X2451" s="4">
        <v>10</v>
      </c>
      <c r="Y2451" s="8">
        <v>8.5</v>
      </c>
      <c r="Z2451" s="3">
        <f>grand[[#This Row],[av. Transportation loss]]/grand[[#This Row],[av.total weight]]</f>
        <v>4.6870874042777927E-2</v>
      </c>
      <c r="AA2451" s="12">
        <f>AVERAGE((grand[[#This Row],[am]]/25),(grand[[#This Row],[pm]]/50))</f>
        <v>0.99740000000000006</v>
      </c>
      <c r="AB2451" s="3">
        <f>grand[[#This Row],[ carcass weight]]/grand[[#This Row],[total weight]]</f>
        <v>0.6000044010210368</v>
      </c>
      <c r="AC2451" s="6">
        <f>SUM(grand[[#This Row],[am]:[meat transportation]])/100</f>
        <v>0.93240000000000012</v>
      </c>
      <c r="AD2451" s="9" t="s">
        <v>81</v>
      </c>
      <c r="AE2451" s="4"/>
      <c r="AF2451" s="4" t="s">
        <v>103</v>
      </c>
      <c r="AG2451" s="4"/>
      <c r="AH2451" s="4"/>
      <c r="AI2451" s="4"/>
      <c r="AJ2451" s="2">
        <v>16</v>
      </c>
      <c r="AK2451" s="12">
        <f>grand[[#This Row],[accepted as exception]]/grand[[#This Row],[number]]</f>
        <v>0.32</v>
      </c>
      <c r="AL2451" s="2">
        <f>1453+8+5</f>
        <v>1466</v>
      </c>
    </row>
    <row r="2452" spans="1:38" hidden="1" x14ac:dyDescent="0.2">
      <c r="A2452" s="11">
        <v>44243</v>
      </c>
      <c r="B2452" s="53" t="s">
        <v>2616</v>
      </c>
      <c r="C2452" s="52" t="str">
        <f>IF(MID(B2452,4,2)="09","Ramadan",IF(AND(MID(B2452,4,2)="12",VALUE(LEFT(B2452,2))&lt;=9),"Adha Season","Normal"))</f>
        <v>Normal</v>
      </c>
      <c r="D2452" s="1" t="s">
        <v>45</v>
      </c>
      <c r="F2452" s="4" t="s">
        <v>50</v>
      </c>
      <c r="G2452" s="4">
        <v>33</v>
      </c>
      <c r="H2452" s="4">
        <v>30</v>
      </c>
      <c r="I2452" s="2">
        <f>grand[[#This Row],[number]]-grand[[#This Row],[received]]</f>
        <v>3</v>
      </c>
      <c r="J2452" s="30" t="s">
        <v>107</v>
      </c>
      <c r="K2452" s="9">
        <v>13072</v>
      </c>
      <c r="L2452" s="9">
        <v>12550</v>
      </c>
      <c r="M2452" s="2">
        <f>K2452-L2452</f>
        <v>522</v>
      </c>
      <c r="N2452" s="9">
        <v>8282.7999999999993</v>
      </c>
      <c r="O2452" s="4"/>
      <c r="P2452" s="7">
        <f>grand[[#This Row],[total weight]]/grand[[#This Row],[received]]</f>
        <v>435.73333333333335</v>
      </c>
      <c r="Q2452" s="7">
        <f>grand[[#This Row],[receiving weight]]/grand[[#This Row],[received]]</f>
        <v>418.33333333333331</v>
      </c>
      <c r="R2452" s="7">
        <f>grand[[#This Row],[transportation loss ]]/grand[[#This Row],[received]]</f>
        <v>17.399999999999999</v>
      </c>
      <c r="S2452" s="7">
        <f>grand[[#This Row],[ carcass weight]]/grand[[#This Row],[received]]</f>
        <v>276.09333333333331</v>
      </c>
      <c r="T2452" s="7">
        <f>grand[[#This Row],[ kidneys fat quantity]]/grand[[#This Row],[received]]</f>
        <v>0</v>
      </c>
      <c r="U2452" s="4">
        <v>25</v>
      </c>
      <c r="V2452" s="4">
        <v>0</v>
      </c>
      <c r="W2452" s="4">
        <v>49.82</v>
      </c>
      <c r="X2452" s="4">
        <v>10</v>
      </c>
      <c r="Y2452" s="8">
        <v>8.5</v>
      </c>
      <c r="Z2452" s="3">
        <f>grand[[#This Row],[av. Transportation loss]]/grand[[#This Row],[av.total weight]]</f>
        <v>3.9932680538555684E-2</v>
      </c>
      <c r="AA2452" s="12">
        <f>AVERAGE((grand[[#This Row],[am]]/25),(grand[[#This Row],[pm]]/50))</f>
        <v>0.99819999999999998</v>
      </c>
      <c r="AB2452" s="3">
        <f>grand[[#This Row],[ carcass weight]]/grand[[#This Row],[total weight]]</f>
        <v>0.63362913096695217</v>
      </c>
      <c r="AC2452" s="6">
        <f>SUM(grand[[#This Row],[am]:[meat transportation]])/100</f>
        <v>0.93319999999999992</v>
      </c>
      <c r="AD2452" s="9"/>
      <c r="AE2452" s="4"/>
      <c r="AF2452" s="4" t="s">
        <v>170</v>
      </c>
      <c r="AG2452" s="4"/>
      <c r="AH2452" s="4"/>
      <c r="AI2452" s="4"/>
      <c r="AJ2452" s="2">
        <v>5</v>
      </c>
      <c r="AK2452" s="12">
        <f>grand[[#This Row],[accepted as exception]]/grand[[#This Row],[number]]</f>
        <v>0.15151515151515152</v>
      </c>
      <c r="AL2452" s="2">
        <v>1353</v>
      </c>
    </row>
    <row r="2453" spans="1:38" hidden="1" x14ac:dyDescent="0.2">
      <c r="A2453" s="11">
        <v>44245</v>
      </c>
      <c r="B2453" s="53" t="s">
        <v>2617</v>
      </c>
      <c r="C2453" s="52" t="str">
        <f>IF(MID(B2453,4,2)="09","Ramadan",IF(AND(MID(B2453,4,2)="12",VALUE(LEFT(B2453,2))&lt;=9),"Adha Season","Normal"))</f>
        <v>Normal</v>
      </c>
      <c r="D2453" s="1" t="s">
        <v>45</v>
      </c>
      <c r="F2453" s="4" t="s">
        <v>46</v>
      </c>
      <c r="G2453" s="4">
        <v>38</v>
      </c>
      <c r="H2453" s="4">
        <v>35</v>
      </c>
      <c r="I2453" s="2">
        <f>grand[[#This Row],[number]]-grand[[#This Row],[received]]</f>
        <v>3</v>
      </c>
      <c r="J2453" s="30" t="s">
        <v>1123</v>
      </c>
      <c r="K2453" s="9">
        <v>17063</v>
      </c>
      <c r="L2453" s="9">
        <v>15784</v>
      </c>
      <c r="M2453" s="2">
        <f>K2453-L2453</f>
        <v>1279</v>
      </c>
      <c r="N2453" s="9">
        <v>10238.200000000001</v>
      </c>
      <c r="O2453" s="4"/>
      <c r="P2453" s="7">
        <f>grand[[#This Row],[total weight]]/grand[[#This Row],[received]]</f>
        <v>487.51428571428573</v>
      </c>
      <c r="Q2453" s="7">
        <f>grand[[#This Row],[receiving weight]]/grand[[#This Row],[received]]</f>
        <v>450.97142857142859</v>
      </c>
      <c r="R2453" s="7">
        <f>grand[[#This Row],[transportation loss ]]/grand[[#This Row],[received]]</f>
        <v>36.542857142857144</v>
      </c>
      <c r="S2453" s="7">
        <f>grand[[#This Row],[ carcass weight]]/grand[[#This Row],[received]]</f>
        <v>292.52000000000004</v>
      </c>
      <c r="T2453" s="7">
        <f>grand[[#This Row],[ kidneys fat quantity]]/grand[[#This Row],[received]]</f>
        <v>0</v>
      </c>
      <c r="U2453" s="4">
        <v>20</v>
      </c>
      <c r="V2453" s="4">
        <v>0</v>
      </c>
      <c r="W2453" s="4">
        <v>43.54</v>
      </c>
      <c r="X2453" s="4">
        <v>10</v>
      </c>
      <c r="Y2453" s="8">
        <v>8.5</v>
      </c>
      <c r="Z2453" s="3">
        <f>grand[[#This Row],[av. Transportation loss]]/grand[[#This Row],[av.total weight]]</f>
        <v>7.4957510402625563E-2</v>
      </c>
      <c r="AA2453" s="12">
        <f>AVERAGE((grand[[#This Row],[am]]/25),(grand[[#This Row],[pm]]/50))</f>
        <v>0.83540000000000003</v>
      </c>
      <c r="AB2453" s="3">
        <f>grand[[#This Row],[ carcass weight]]/grand[[#This Row],[total weight]]</f>
        <v>0.60002344253648254</v>
      </c>
      <c r="AC2453" s="6">
        <f>SUM(grand[[#This Row],[am]:[meat transportation]])/100</f>
        <v>0.82039999999999991</v>
      </c>
      <c r="AD2453" s="9" t="s">
        <v>263</v>
      </c>
      <c r="AE2453" s="4">
        <v>3</v>
      </c>
      <c r="AF2453" s="4"/>
      <c r="AG2453" s="4"/>
      <c r="AH2453" s="4"/>
      <c r="AI2453" s="4"/>
      <c r="AJ2453" s="2">
        <v>14</v>
      </c>
      <c r="AK2453" s="12">
        <f>grand[[#This Row],[accepted as exception]]/grand[[#This Row],[number]]</f>
        <v>0.36842105263157893</v>
      </c>
      <c r="AL2453" s="2">
        <f>1042+489+30</f>
        <v>1561</v>
      </c>
    </row>
    <row r="2454" spans="1:38" hidden="1" x14ac:dyDescent="0.2">
      <c r="A2454" s="11">
        <v>44250</v>
      </c>
      <c r="B2454" s="53" t="s">
        <v>2619</v>
      </c>
      <c r="C2454" s="52" t="str">
        <f>IF(MID(B2454,4,2)="09","Ramadan",IF(AND(MID(B2454,4,2)="12",VALUE(LEFT(B2454,2))&lt;=9),"Adha Season","Normal"))</f>
        <v>Normal</v>
      </c>
      <c r="D2454" s="1" t="s">
        <v>45</v>
      </c>
      <c r="F2454" s="4" t="s">
        <v>50</v>
      </c>
      <c r="G2454" s="4">
        <v>42</v>
      </c>
      <c r="H2454" s="4">
        <v>39</v>
      </c>
      <c r="I2454" s="2">
        <f>grand[[#This Row],[number]]-grand[[#This Row],[received]]</f>
        <v>3</v>
      </c>
      <c r="J2454" s="30" t="s">
        <v>107</v>
      </c>
      <c r="K2454" s="9">
        <v>17292</v>
      </c>
      <c r="L2454" s="9">
        <v>16276</v>
      </c>
      <c r="M2454" s="2">
        <f>K2454-L2454</f>
        <v>1016</v>
      </c>
      <c r="N2454" s="9">
        <v>10702.2</v>
      </c>
      <c r="O2454" s="4"/>
      <c r="P2454" s="7">
        <f>grand[[#This Row],[total weight]]/grand[[#This Row],[received]]</f>
        <v>443.38461538461536</v>
      </c>
      <c r="Q2454" s="7">
        <f>grand[[#This Row],[receiving weight]]/grand[[#This Row],[received]]</f>
        <v>417.33333333333331</v>
      </c>
      <c r="R2454" s="7">
        <f>grand[[#This Row],[transportation loss ]]/grand[[#This Row],[received]]</f>
        <v>26.051282051282051</v>
      </c>
      <c r="S2454" s="7">
        <f>grand[[#This Row],[ carcass weight]]/grand[[#This Row],[received]]</f>
        <v>274.41538461538465</v>
      </c>
      <c r="T2454" s="7">
        <f>grand[[#This Row],[ kidneys fat quantity]]/grand[[#This Row],[received]]</f>
        <v>0</v>
      </c>
      <c r="U2454" s="4">
        <v>25</v>
      </c>
      <c r="V2454" s="4">
        <v>0</v>
      </c>
      <c r="W2454" s="4">
        <v>49.44</v>
      </c>
      <c r="X2454" s="4">
        <v>10</v>
      </c>
      <c r="Y2454" s="8">
        <v>8.5</v>
      </c>
      <c r="Z2454" s="3">
        <f>grand[[#This Row],[av. Transportation loss]]/grand[[#This Row],[av.total weight]]</f>
        <v>5.8755493869997691E-2</v>
      </c>
      <c r="AA2454" s="12">
        <f>AVERAGE((grand[[#This Row],[am]]/25),(grand[[#This Row],[pm]]/50))</f>
        <v>0.99439999999999995</v>
      </c>
      <c r="AB2454" s="3">
        <f>grand[[#This Row],[ carcass weight]]/grand[[#This Row],[total weight]]</f>
        <v>0.61891047883414296</v>
      </c>
      <c r="AC2454" s="6">
        <f>SUM(grand[[#This Row],[am]:[meat transportation]])/100</f>
        <v>0.9294</v>
      </c>
      <c r="AD2454" s="9" t="s">
        <v>201</v>
      </c>
      <c r="AE2454" s="4"/>
      <c r="AF2454" s="4" t="s">
        <v>265</v>
      </c>
      <c r="AG2454" s="4"/>
      <c r="AH2454" s="4"/>
      <c r="AI2454" s="4"/>
      <c r="AJ2454" s="2">
        <v>3</v>
      </c>
      <c r="AK2454" s="12">
        <f>grand[[#This Row],[accepted as exception]]/grand[[#This Row],[number]]</f>
        <v>7.1428571428571425E-2</v>
      </c>
      <c r="AL2454" s="2">
        <f>1296+11</f>
        <v>1307</v>
      </c>
    </row>
    <row r="2455" spans="1:38" hidden="1" x14ac:dyDescent="0.2">
      <c r="A2455" s="11">
        <v>44282</v>
      </c>
      <c r="B2455" s="53" t="s">
        <v>2633</v>
      </c>
      <c r="C2455" s="52" t="str">
        <f>IF(MID(B2455,4,2)="09","Ramadan",IF(AND(MID(B2455,4,2)="12",VALUE(LEFT(B2455,2))&lt;=9),"Adha Season","Normal"))</f>
        <v>Normal</v>
      </c>
      <c r="D2455" s="1" t="s">
        <v>45</v>
      </c>
      <c r="F2455" s="4" t="s">
        <v>43</v>
      </c>
      <c r="G2455" s="4">
        <v>20</v>
      </c>
      <c r="H2455" s="4">
        <v>17</v>
      </c>
      <c r="I2455" s="2">
        <f>grand[[#This Row],[number]]-grand[[#This Row],[received]]</f>
        <v>3</v>
      </c>
      <c r="J2455" s="30" t="s">
        <v>1127</v>
      </c>
      <c r="K2455" s="9">
        <v>8744</v>
      </c>
      <c r="L2455" s="9">
        <v>8197</v>
      </c>
      <c r="M2455" s="2">
        <f>K2455-L2455</f>
        <v>547</v>
      </c>
      <c r="N2455" s="9">
        <v>5247.2</v>
      </c>
      <c r="O2455" s="2"/>
      <c r="P2455" s="7">
        <f>grand[[#This Row],[total weight]]/grand[[#This Row],[received]]</f>
        <v>514.35294117647061</v>
      </c>
      <c r="Q2455" s="7">
        <f>grand[[#This Row],[receiving weight]]/grand[[#This Row],[received]]</f>
        <v>482.1764705882353</v>
      </c>
      <c r="R2455" s="7">
        <f>grand[[#This Row],[transportation loss ]]/grand[[#This Row],[received]]</f>
        <v>32.176470588235297</v>
      </c>
      <c r="S2455" s="7">
        <f>grand[[#This Row],[ carcass weight]]/grand[[#This Row],[received]]</f>
        <v>308.65882352941173</v>
      </c>
      <c r="T2455" s="7">
        <f>grand[[#This Row],[ kidneys fat quantity]]/grand[[#This Row],[received]]</f>
        <v>0</v>
      </c>
      <c r="U2455" s="4">
        <v>25</v>
      </c>
      <c r="V2455" s="4">
        <v>0</v>
      </c>
      <c r="W2455" s="4">
        <v>49.64</v>
      </c>
      <c r="X2455" s="4">
        <v>10</v>
      </c>
      <c r="Y2455" s="8">
        <v>8.5</v>
      </c>
      <c r="Z2455" s="3">
        <f>grand[[#This Row],[av. Transportation loss]]/grand[[#This Row],[av.total weight]]</f>
        <v>6.2557182067703568E-2</v>
      </c>
      <c r="AA2455" s="12">
        <f>AVERAGE((grand[[#This Row],[am]]/25),(grand[[#This Row],[pm]]/50))</f>
        <v>0.99639999999999995</v>
      </c>
      <c r="AB2455" s="3">
        <f>grand[[#This Row],[ carcass weight]]/grand[[#This Row],[total weight]]</f>
        <v>0.60009149130832573</v>
      </c>
      <c r="AC2455" s="6">
        <f>SUM(grand[[#This Row],[am]:[meat transportation]])/100</f>
        <v>0.93140000000000001</v>
      </c>
      <c r="AD2455" s="9" t="s">
        <v>81</v>
      </c>
      <c r="AE2455" s="2"/>
      <c r="AF2455" s="4"/>
      <c r="AG2455" s="2"/>
      <c r="AH2455" s="2"/>
      <c r="AI2455" s="2"/>
      <c r="AJ2455" s="2">
        <v>8</v>
      </c>
      <c r="AK2455" s="12">
        <f>grand[[#This Row],[accepted as exception]]/grand[[#This Row],[number]]</f>
        <v>0.4</v>
      </c>
      <c r="AL2455" s="2">
        <f>990+538+11</f>
        <v>1539</v>
      </c>
    </row>
    <row r="2456" spans="1:38" hidden="1" x14ac:dyDescent="0.2">
      <c r="A2456" s="11">
        <v>44289</v>
      </c>
      <c r="B2456" s="53" t="s">
        <v>2636</v>
      </c>
      <c r="C2456" s="52" t="str">
        <f>IF(MID(B2456,4,2)="09","Ramadan",IF(AND(MID(B2456,4,2)="12",VALUE(LEFT(B2456,2))&lt;=9),"Adha Season","Normal"))</f>
        <v>Normal</v>
      </c>
      <c r="D2456" s="1" t="s">
        <v>45</v>
      </c>
      <c r="F2456" s="4" t="s">
        <v>47</v>
      </c>
      <c r="G2456" s="4">
        <v>39</v>
      </c>
      <c r="H2456" s="4">
        <v>36</v>
      </c>
      <c r="I2456" s="2">
        <f>grand[[#This Row],[number]]-grand[[#This Row],[received]]</f>
        <v>3</v>
      </c>
      <c r="J2456" s="30" t="s">
        <v>107</v>
      </c>
      <c r="K2456" s="9">
        <v>16095</v>
      </c>
      <c r="L2456" s="9">
        <v>15702</v>
      </c>
      <c r="M2456" s="2">
        <f>K2456-L2456</f>
        <v>393</v>
      </c>
      <c r="N2456" s="9">
        <v>9739.2999999999993</v>
      </c>
      <c r="O2456" s="2"/>
      <c r="P2456" s="7">
        <f>grand[[#This Row],[total weight]]/grand[[#This Row],[received]]</f>
        <v>447.08333333333331</v>
      </c>
      <c r="Q2456" s="7">
        <f>grand[[#This Row],[receiving weight]]/grand[[#This Row],[received]]</f>
        <v>436.16666666666669</v>
      </c>
      <c r="R2456" s="7">
        <f>grand[[#This Row],[transportation loss ]]/grand[[#This Row],[received]]</f>
        <v>10.916666666666666</v>
      </c>
      <c r="S2456" s="7">
        <f>grand[[#This Row],[ carcass weight]]/grand[[#This Row],[received]]</f>
        <v>270.5361111111111</v>
      </c>
      <c r="T2456" s="7">
        <f>grand[[#This Row],[ kidneys fat quantity]]/grand[[#This Row],[received]]</f>
        <v>0</v>
      </c>
      <c r="U2456" s="4">
        <v>25</v>
      </c>
      <c r="V2456" s="4">
        <v>0</v>
      </c>
      <c r="W2456" s="4">
        <v>50</v>
      </c>
      <c r="X2456" s="4">
        <v>10</v>
      </c>
      <c r="Y2456" s="8">
        <v>8.5</v>
      </c>
      <c r="Z2456" s="3">
        <f>grand[[#This Row],[av. Transportation loss]]/grand[[#This Row],[av.total weight]]</f>
        <v>2.4417520969245106E-2</v>
      </c>
      <c r="AA2456" s="12">
        <f>AVERAGE((grand[[#This Row],[am]]/25),(grand[[#This Row],[pm]]/50))</f>
        <v>1</v>
      </c>
      <c r="AB2456" s="3">
        <f>grand[[#This Row],[ carcass weight]]/grand[[#This Row],[total weight]]</f>
        <v>0.60511338925132019</v>
      </c>
      <c r="AC2456" s="6">
        <f>SUM(grand[[#This Row],[am]:[meat transportation]])/100</f>
        <v>0.93500000000000005</v>
      </c>
      <c r="AD2456" s="9"/>
      <c r="AE2456" s="4"/>
      <c r="AF2456" s="4"/>
      <c r="AG2456" s="2"/>
      <c r="AH2456" s="2"/>
      <c r="AI2456" s="2"/>
      <c r="AJ2456" s="2">
        <v>10</v>
      </c>
      <c r="AK2456" s="12">
        <f>grand[[#This Row],[accepted as exception]]/grand[[#This Row],[number]]</f>
        <v>0.25641025641025639</v>
      </c>
      <c r="AL2456" s="2">
        <v>1313</v>
      </c>
    </row>
    <row r="2457" spans="1:38" hidden="1" x14ac:dyDescent="0.2">
      <c r="A2457" s="11">
        <v>44292</v>
      </c>
      <c r="B2457" s="53" t="s">
        <v>2637</v>
      </c>
      <c r="C2457" s="52" t="str">
        <f>IF(MID(B2457,4,2)="09","Ramadan",IF(AND(MID(B2457,4,2)="12",VALUE(LEFT(B2457,2))&lt;=9),"Adha Season","Normal"))</f>
        <v>Normal</v>
      </c>
      <c r="D2457" s="1" t="s">
        <v>45</v>
      </c>
      <c r="F2457" s="4" t="s">
        <v>50</v>
      </c>
      <c r="G2457" s="4">
        <v>47</v>
      </c>
      <c r="H2457" s="4">
        <v>44</v>
      </c>
      <c r="I2457" s="2">
        <f>grand[[#This Row],[number]]-grand[[#This Row],[received]]</f>
        <v>3</v>
      </c>
      <c r="J2457" s="30" t="s">
        <v>1127</v>
      </c>
      <c r="K2457" s="9">
        <v>20630</v>
      </c>
      <c r="L2457" s="9">
        <v>19676</v>
      </c>
      <c r="M2457" s="2">
        <f>K2457-L2457</f>
        <v>954</v>
      </c>
      <c r="N2457" s="9">
        <v>12997.5</v>
      </c>
      <c r="O2457" s="2"/>
      <c r="P2457" s="7">
        <f>grand[[#This Row],[total weight]]/grand[[#This Row],[received]]</f>
        <v>468.86363636363637</v>
      </c>
      <c r="Q2457" s="7">
        <f>grand[[#This Row],[receiving weight]]/grand[[#This Row],[received]]</f>
        <v>447.18181818181819</v>
      </c>
      <c r="R2457" s="7">
        <f>grand[[#This Row],[transportation loss ]]/grand[[#This Row],[received]]</f>
        <v>21.681818181818183</v>
      </c>
      <c r="S2457" s="7">
        <f>grand[[#This Row],[ carcass weight]]/grand[[#This Row],[received]]</f>
        <v>295.39772727272725</v>
      </c>
      <c r="T2457" s="7">
        <f>grand[[#This Row],[ kidneys fat quantity]]/grand[[#This Row],[received]]</f>
        <v>0</v>
      </c>
      <c r="U2457" s="4">
        <v>25</v>
      </c>
      <c r="V2457" s="4">
        <v>0</v>
      </c>
      <c r="W2457" s="4">
        <v>49.8</v>
      </c>
      <c r="X2457" s="4">
        <v>9.9</v>
      </c>
      <c r="Y2457" s="8">
        <v>8.5</v>
      </c>
      <c r="Z2457" s="3">
        <f>grand[[#This Row],[av. Transportation loss]]/grand[[#This Row],[av.total weight]]</f>
        <v>4.6243334949103251E-2</v>
      </c>
      <c r="AA2457" s="12">
        <f>AVERAGE((grand[[#This Row],[am]]/25),(grand[[#This Row],[pm]]/50))</f>
        <v>0.998</v>
      </c>
      <c r="AB2457" s="3">
        <f>grand[[#This Row],[ carcass weight]]/grand[[#This Row],[total weight]]</f>
        <v>0.63002908385845857</v>
      </c>
      <c r="AC2457" s="6">
        <f>SUM(grand[[#This Row],[am]:[meat transportation]])/100</f>
        <v>0.93200000000000005</v>
      </c>
      <c r="AD2457" s="9"/>
      <c r="AE2457" s="4"/>
      <c r="AF2457" s="4"/>
      <c r="AG2457" s="2"/>
      <c r="AH2457" s="2"/>
      <c r="AI2457" s="2"/>
      <c r="AJ2457" s="2">
        <v>9</v>
      </c>
      <c r="AK2457" s="12">
        <f>grand[[#This Row],[accepted as exception]]/grand[[#This Row],[number]]</f>
        <v>0.19148936170212766</v>
      </c>
      <c r="AL2457" s="2">
        <f>1374+9</f>
        <v>1383</v>
      </c>
    </row>
    <row r="2458" spans="1:38" hidden="1" x14ac:dyDescent="0.2">
      <c r="A2458" s="11">
        <v>44317</v>
      </c>
      <c r="B2458" s="53" t="s">
        <v>2646</v>
      </c>
      <c r="C2458" s="52" t="str">
        <f>IF(MID(B2458,4,2)="09","Ramadan",IF(AND(MID(B2458,4,2)="12",VALUE(LEFT(B2458,2))&lt;=9),"Adha Season","Normal"))</f>
        <v>Ramadan</v>
      </c>
      <c r="D2458" s="1" t="s">
        <v>45</v>
      </c>
      <c r="F2458" s="4" t="s">
        <v>47</v>
      </c>
      <c r="G2458" s="4">
        <v>34</v>
      </c>
      <c r="H2458" s="4">
        <v>31</v>
      </c>
      <c r="I2458" s="2">
        <f>grand[[#This Row],[number]]-grand[[#This Row],[received]]</f>
        <v>3</v>
      </c>
      <c r="J2458" s="30" t="s">
        <v>107</v>
      </c>
      <c r="K2458" s="9">
        <v>13425</v>
      </c>
      <c r="L2458" s="9">
        <v>12812</v>
      </c>
      <c r="M2458" s="2">
        <f>K2458-L2458</f>
        <v>613</v>
      </c>
      <c r="N2458" s="9">
        <v>8055.1</v>
      </c>
      <c r="O2458" s="2"/>
      <c r="P2458" s="7">
        <f>grand[[#This Row],[total weight]]/grand[[#This Row],[received]]</f>
        <v>433.06451612903226</v>
      </c>
      <c r="Q2458" s="7">
        <f>grand[[#This Row],[receiving weight]]/grand[[#This Row],[received]]</f>
        <v>413.29032258064518</v>
      </c>
      <c r="R2458" s="7">
        <f>grand[[#This Row],[transportation loss ]]/grand[[#This Row],[received]]</f>
        <v>19.774193548387096</v>
      </c>
      <c r="S2458" s="7">
        <f>grand[[#This Row],[ carcass weight]]/grand[[#This Row],[received]]</f>
        <v>259.841935483871</v>
      </c>
      <c r="T2458" s="7">
        <f>grand[[#This Row],[ kidneys fat quantity]]/grand[[#This Row],[received]]</f>
        <v>0</v>
      </c>
      <c r="U2458" s="4">
        <v>25</v>
      </c>
      <c r="V2458" s="4">
        <v>0</v>
      </c>
      <c r="W2458" s="4">
        <v>49.45</v>
      </c>
      <c r="X2458" s="4">
        <v>10</v>
      </c>
      <c r="Y2458" s="8">
        <v>8.5</v>
      </c>
      <c r="Z2458" s="3">
        <f>grand[[#This Row],[av. Transportation loss]]/grand[[#This Row],[av.total weight]]</f>
        <v>4.5661080074487895E-2</v>
      </c>
      <c r="AA2458" s="12">
        <f>AVERAGE((grand[[#This Row],[am]]/25),(grand[[#This Row],[pm]]/50))</f>
        <v>0.99450000000000005</v>
      </c>
      <c r="AB2458" s="3">
        <f>grand[[#This Row],[ carcass weight]]/grand[[#This Row],[total weight]]</f>
        <v>0.60000744878957168</v>
      </c>
      <c r="AC2458" s="6">
        <f>SUM(grand[[#This Row],[am]:[meat transportation]])/100</f>
        <v>0.92949999999999999</v>
      </c>
      <c r="AD2458" s="2"/>
      <c r="AE2458" s="2"/>
      <c r="AF2458" s="2"/>
      <c r="AG2458" s="2"/>
      <c r="AH2458" s="2"/>
      <c r="AI2458" s="2"/>
      <c r="AJ2458" s="2">
        <v>3</v>
      </c>
      <c r="AK2458" s="12">
        <f>grand[[#This Row],[accepted as exception]]/grand[[#This Row],[number]]</f>
        <v>8.8235294117647065E-2</v>
      </c>
      <c r="AL2458" s="2">
        <f>1328+4</f>
        <v>1332</v>
      </c>
    </row>
    <row r="2459" spans="1:38" hidden="1" x14ac:dyDescent="0.2">
      <c r="A2459" s="11">
        <v>44338</v>
      </c>
      <c r="B2459" s="53" t="s">
        <v>2653</v>
      </c>
      <c r="C2459" s="52" t="str">
        <f>IF(MID(B2459,4,2)="09","Ramadan",IF(AND(MID(B2459,4,2)="12",VALUE(LEFT(B2459,2))&lt;=9),"Adha Season","Normal"))</f>
        <v>Normal</v>
      </c>
      <c r="D2459" s="1" t="s">
        <v>45</v>
      </c>
      <c r="F2459" s="4" t="s">
        <v>39</v>
      </c>
      <c r="G2459" s="4">
        <v>30</v>
      </c>
      <c r="H2459" s="4">
        <v>27</v>
      </c>
      <c r="I2459" s="2">
        <f>grand[[#This Row],[number]]-grand[[#This Row],[received]]</f>
        <v>3</v>
      </c>
      <c r="J2459" s="30" t="s">
        <v>107</v>
      </c>
      <c r="K2459" s="9">
        <v>10955</v>
      </c>
      <c r="L2459" s="9">
        <v>10307</v>
      </c>
      <c r="M2459" s="2">
        <f>K2459-L2459</f>
        <v>648</v>
      </c>
      <c r="N2459" s="9">
        <v>6769.8</v>
      </c>
      <c r="O2459" s="2"/>
      <c r="P2459" s="7">
        <f>grand[[#This Row],[total weight]]/grand[[#This Row],[received]]</f>
        <v>405.74074074074076</v>
      </c>
      <c r="Q2459" s="7">
        <f>grand[[#This Row],[receiving weight]]/grand[[#This Row],[received]]</f>
        <v>381.74074074074076</v>
      </c>
      <c r="R2459" s="7">
        <f>grand[[#This Row],[transportation loss ]]/grand[[#This Row],[received]]</f>
        <v>24</v>
      </c>
      <c r="S2459" s="7">
        <f>grand[[#This Row],[ carcass weight]]/grand[[#This Row],[received]]</f>
        <v>250.73333333333335</v>
      </c>
      <c r="T2459" s="7">
        <f>grand[[#This Row],[ kidneys fat quantity]]/grand[[#This Row],[received]]</f>
        <v>0</v>
      </c>
      <c r="U2459" s="4">
        <v>25</v>
      </c>
      <c r="V2459" s="4">
        <v>0</v>
      </c>
      <c r="W2459" s="4">
        <v>49.81</v>
      </c>
      <c r="X2459" s="4">
        <v>9.8000000000000007</v>
      </c>
      <c r="Y2459" s="8">
        <v>8.5</v>
      </c>
      <c r="Z2459" s="3">
        <f>grand[[#This Row],[av. Transportation loss]]/grand[[#This Row],[av.total weight]]</f>
        <v>5.9151072569602919E-2</v>
      </c>
      <c r="AA2459" s="12">
        <f>AVERAGE((grand[[#This Row],[am]]/25),(grand[[#This Row],[pm]]/50))</f>
        <v>0.99809999999999999</v>
      </c>
      <c r="AB2459" s="3">
        <f>grand[[#This Row],[ carcass weight]]/grand[[#This Row],[total weight]]</f>
        <v>0.61796439981743501</v>
      </c>
      <c r="AC2459" s="6">
        <f>SUM(grand[[#This Row],[am]:[meat transportation]])/100</f>
        <v>0.93110000000000004</v>
      </c>
      <c r="AD2459" s="2"/>
      <c r="AE2459" s="2"/>
      <c r="AF2459" s="2"/>
      <c r="AG2459" s="2"/>
      <c r="AH2459" s="2"/>
      <c r="AI2459" s="2"/>
      <c r="AJ2459" s="2">
        <v>1</v>
      </c>
      <c r="AK2459" s="12">
        <f>grand[[#This Row],[accepted as exception]]/grand[[#This Row],[number]]</f>
        <v>3.3333333333333333E-2</v>
      </c>
      <c r="AL2459" s="2">
        <f>1248+3</f>
        <v>1251</v>
      </c>
    </row>
    <row r="2460" spans="1:38" hidden="1" x14ac:dyDescent="0.2">
      <c r="A2460" s="11">
        <v>44341</v>
      </c>
      <c r="B2460" s="53" t="s">
        <v>2654</v>
      </c>
      <c r="C2460" s="52" t="str">
        <f>IF(MID(B2460,4,2)="09","Ramadan",IF(AND(MID(B2460,4,2)="12",VALUE(LEFT(B2460,2))&lt;=9),"Adha Season","Normal"))</f>
        <v>Normal</v>
      </c>
      <c r="D2460" s="1" t="s">
        <v>45</v>
      </c>
      <c r="F2460" s="4" t="s">
        <v>280</v>
      </c>
      <c r="G2460" s="4">
        <v>40</v>
      </c>
      <c r="H2460" s="4">
        <v>37</v>
      </c>
      <c r="I2460" s="2">
        <f>grand[[#This Row],[number]]-grand[[#This Row],[received]]</f>
        <v>3</v>
      </c>
      <c r="J2460" s="30" t="s">
        <v>1129</v>
      </c>
      <c r="K2460" s="9">
        <v>16747</v>
      </c>
      <c r="L2460" s="9">
        <v>16530</v>
      </c>
      <c r="M2460" s="2">
        <f>K2460-L2460</f>
        <v>217</v>
      </c>
      <c r="N2460" s="9">
        <v>10048.4</v>
      </c>
      <c r="O2460" s="2"/>
      <c r="P2460" s="7">
        <f>grand[[#This Row],[total weight]]/grand[[#This Row],[received]]</f>
        <v>452.62162162162161</v>
      </c>
      <c r="Q2460" s="7">
        <f>grand[[#This Row],[receiving weight]]/grand[[#This Row],[received]]</f>
        <v>446.75675675675677</v>
      </c>
      <c r="R2460" s="7">
        <f>grand[[#This Row],[transportation loss ]]/grand[[#This Row],[received]]</f>
        <v>5.8648648648648649</v>
      </c>
      <c r="S2460" s="7">
        <f>grand[[#This Row],[ carcass weight]]/grand[[#This Row],[received]]</f>
        <v>271.57837837837837</v>
      </c>
      <c r="T2460" s="7">
        <f>grand[[#This Row],[ kidneys fat quantity]]/grand[[#This Row],[received]]</f>
        <v>0</v>
      </c>
      <c r="U2460" s="4">
        <v>23</v>
      </c>
      <c r="V2460" s="4">
        <v>0</v>
      </c>
      <c r="W2460" s="4">
        <v>49.35</v>
      </c>
      <c r="X2460" s="4">
        <v>9.9</v>
      </c>
      <c r="Y2460" s="8">
        <v>8.5</v>
      </c>
      <c r="Z2460" s="3">
        <f>grand[[#This Row],[av. Transportation loss]]/grand[[#This Row],[av.total weight]]</f>
        <v>1.2957544634859975E-2</v>
      </c>
      <c r="AA2460" s="12">
        <f>AVERAGE((grand[[#This Row],[am]]/25),(grand[[#This Row],[pm]]/50))</f>
        <v>0.95350000000000001</v>
      </c>
      <c r="AB2460" s="3">
        <f>grand[[#This Row],[ carcass weight]]/grand[[#This Row],[total weight]]</f>
        <v>0.60001194243745148</v>
      </c>
      <c r="AC2460" s="6">
        <f>SUM(grand[[#This Row],[am]:[meat transportation]])/100</f>
        <v>0.90749999999999997</v>
      </c>
      <c r="AD2460" s="2"/>
      <c r="AE2460" s="2"/>
      <c r="AF2460" s="2"/>
      <c r="AG2460" s="2"/>
      <c r="AH2460" s="2"/>
      <c r="AI2460" s="2"/>
      <c r="AJ2460" s="2">
        <v>6</v>
      </c>
      <c r="AK2460" s="12">
        <f>grand[[#This Row],[accepted as exception]]/grand[[#This Row],[number]]</f>
        <v>0.15</v>
      </c>
      <c r="AL2460" s="2">
        <f>1495+1634.5</f>
        <v>3129.5</v>
      </c>
    </row>
    <row r="2461" spans="1:38" hidden="1" x14ac:dyDescent="0.2">
      <c r="A2461" s="11">
        <v>44346</v>
      </c>
      <c r="B2461" s="53" t="s">
        <v>1556</v>
      </c>
      <c r="C2461" s="52" t="str">
        <f>IF(MID(B2461,4,2)="09","Ramadan",IF(AND(MID(B2461,4,2)="12",VALUE(LEFT(B2461,2))&lt;=9),"Adha Season","Normal"))</f>
        <v>Normal</v>
      </c>
      <c r="D2461" s="1" t="s">
        <v>45</v>
      </c>
      <c r="F2461" s="4" t="s">
        <v>42</v>
      </c>
      <c r="G2461" s="4">
        <v>42</v>
      </c>
      <c r="H2461" s="4">
        <v>39</v>
      </c>
      <c r="I2461" s="2">
        <f>grand[[#This Row],[number]]-grand[[#This Row],[received]]</f>
        <v>3</v>
      </c>
      <c r="J2461" s="30" t="s">
        <v>107</v>
      </c>
      <c r="K2461" s="9">
        <v>17023</v>
      </c>
      <c r="L2461" s="9">
        <v>16466</v>
      </c>
      <c r="M2461" s="2">
        <f>K2461-L2461</f>
        <v>557</v>
      </c>
      <c r="N2461" s="9">
        <v>10213.5</v>
      </c>
      <c r="O2461" s="2"/>
      <c r="P2461" s="7">
        <f>grand[[#This Row],[total weight]]/grand[[#This Row],[received]]</f>
        <v>436.4871794871795</v>
      </c>
      <c r="Q2461" s="7">
        <f>grand[[#This Row],[receiving weight]]/grand[[#This Row],[received]]</f>
        <v>422.20512820512823</v>
      </c>
      <c r="R2461" s="7">
        <f>grand[[#This Row],[transportation loss ]]/grand[[#This Row],[received]]</f>
        <v>14.282051282051283</v>
      </c>
      <c r="S2461" s="7">
        <f>grand[[#This Row],[ carcass weight]]/grand[[#This Row],[received]]</f>
        <v>261.88461538461536</v>
      </c>
      <c r="T2461" s="7">
        <f>grand[[#This Row],[ kidneys fat quantity]]/grand[[#This Row],[received]]</f>
        <v>0</v>
      </c>
      <c r="U2461" s="4">
        <v>25</v>
      </c>
      <c r="V2461" s="4">
        <v>0</v>
      </c>
      <c r="W2461" s="4">
        <v>49.9</v>
      </c>
      <c r="X2461" s="4">
        <v>10</v>
      </c>
      <c r="Y2461" s="8">
        <v>8.5</v>
      </c>
      <c r="Z2461" s="3">
        <f>grand[[#This Row],[av. Transportation loss]]/grand[[#This Row],[av.total weight]]</f>
        <v>3.2720437055748106E-2</v>
      </c>
      <c r="AA2461" s="12">
        <f>AVERAGE((grand[[#This Row],[am]]/25),(grand[[#This Row],[pm]]/50))</f>
        <v>0.999</v>
      </c>
      <c r="AB2461" s="3">
        <f>grand[[#This Row],[ carcass weight]]/grand[[#This Row],[total weight]]</f>
        <v>0.59998237678435062</v>
      </c>
      <c r="AC2461" s="6">
        <f>SUM(grand[[#This Row],[am]:[meat transportation]])/100</f>
        <v>0.93400000000000005</v>
      </c>
      <c r="AD2461" s="2"/>
      <c r="AE2461" s="2"/>
      <c r="AF2461" s="2"/>
      <c r="AG2461" s="2"/>
      <c r="AH2461" s="2"/>
      <c r="AI2461" s="2"/>
      <c r="AJ2461" s="2">
        <v>9</v>
      </c>
      <c r="AK2461" s="12">
        <f>grand[[#This Row],[accepted as exception]]/grand[[#This Row],[number]]</f>
        <v>0.21428571428571427</v>
      </c>
      <c r="AL2461" s="2">
        <v>1334</v>
      </c>
    </row>
    <row r="2462" spans="1:38" hidden="1" x14ac:dyDescent="0.2">
      <c r="A2462" s="11">
        <v>44357</v>
      </c>
      <c r="B2462" s="53" t="s">
        <v>2661</v>
      </c>
      <c r="C2462" s="52" t="str">
        <f>IF(MID(B2462,4,2)="09","Ramadan",IF(AND(MID(B2462,4,2)="12",VALUE(LEFT(B2462,2))&lt;=9),"Adha Season","Normal"))</f>
        <v>Normal</v>
      </c>
      <c r="D2462" s="1" t="s">
        <v>45</v>
      </c>
      <c r="F2462" s="4" t="s">
        <v>46</v>
      </c>
      <c r="G2462" s="4">
        <v>44</v>
      </c>
      <c r="H2462" s="4">
        <v>41</v>
      </c>
      <c r="I2462" s="2">
        <f>grand[[#This Row],[number]]-grand[[#This Row],[received]]</f>
        <v>3</v>
      </c>
      <c r="J2462" s="30" t="s">
        <v>301</v>
      </c>
      <c r="K2462" s="9">
        <v>18070</v>
      </c>
      <c r="L2462" s="9">
        <v>17155</v>
      </c>
      <c r="M2462" s="2">
        <f>K2462-L2462</f>
        <v>915</v>
      </c>
      <c r="N2462" s="9">
        <v>10841.3</v>
      </c>
      <c r="O2462" s="2"/>
      <c r="P2462" s="7">
        <f>grand[[#This Row],[total weight]]/grand[[#This Row],[received]]</f>
        <v>440.73170731707319</v>
      </c>
      <c r="Q2462" s="7">
        <f>grand[[#This Row],[receiving weight]]/grand[[#This Row],[received]]</f>
        <v>418.41463414634148</v>
      </c>
      <c r="R2462" s="7">
        <f>grand[[#This Row],[transportation loss ]]/grand[[#This Row],[received]]</f>
        <v>22.317073170731707</v>
      </c>
      <c r="S2462" s="7">
        <f>grand[[#This Row],[ carcass weight]]/grand[[#This Row],[received]]</f>
        <v>264.42195121951215</v>
      </c>
      <c r="T2462" s="7">
        <f>grand[[#This Row],[ kidneys fat quantity]]/grand[[#This Row],[received]]</f>
        <v>0</v>
      </c>
      <c r="U2462" s="4">
        <v>25</v>
      </c>
      <c r="V2462" s="4">
        <v>0</v>
      </c>
      <c r="W2462" s="4">
        <v>49.76</v>
      </c>
      <c r="X2462" s="4">
        <v>10</v>
      </c>
      <c r="Y2462" s="8">
        <v>8.5</v>
      </c>
      <c r="Z2462" s="3">
        <f>grand[[#This Row],[av. Transportation loss]]/grand[[#This Row],[av.total weight]]</f>
        <v>5.0636413945766463E-2</v>
      </c>
      <c r="AA2462" s="12">
        <f>AVERAGE((grand[[#This Row],[am]]/25),(grand[[#This Row],[pm]]/50))</f>
        <v>0.99760000000000004</v>
      </c>
      <c r="AB2462" s="3">
        <f>grand[[#This Row],[ carcass weight]]/grand[[#This Row],[total weight]]</f>
        <v>0.59996126175982289</v>
      </c>
      <c r="AC2462" s="6">
        <f>SUM(grand[[#This Row],[am]:[meat transportation]])/100</f>
        <v>0.93259999999999987</v>
      </c>
      <c r="AD2462" s="2"/>
      <c r="AE2462" s="2"/>
      <c r="AF2462" s="2"/>
      <c r="AG2462" s="2"/>
      <c r="AH2462" s="2"/>
      <c r="AI2462" s="2"/>
      <c r="AJ2462" s="2">
        <v>7</v>
      </c>
      <c r="AK2462" s="12">
        <f>grand[[#This Row],[accepted as exception]]/grand[[#This Row],[number]]</f>
        <v>0.15909090909090909</v>
      </c>
      <c r="AL2462" s="2">
        <f>1420+88</f>
        <v>1508</v>
      </c>
    </row>
    <row r="2463" spans="1:38" hidden="1" x14ac:dyDescent="0.2">
      <c r="A2463" s="11">
        <v>44362</v>
      </c>
      <c r="B2463" s="53" t="s">
        <v>2663</v>
      </c>
      <c r="C2463" s="52" t="str">
        <f>IF(MID(B2463,4,2)="09","Ramadan",IF(AND(MID(B2463,4,2)="12",VALUE(LEFT(B2463,2))&lt;=9),"Adha Season","Normal"))</f>
        <v>Normal</v>
      </c>
      <c r="D2463" s="1" t="s">
        <v>45</v>
      </c>
      <c r="F2463" s="4" t="s">
        <v>42</v>
      </c>
      <c r="G2463" s="4">
        <v>18</v>
      </c>
      <c r="H2463" s="4">
        <v>15</v>
      </c>
      <c r="I2463" s="2">
        <f>grand[[#This Row],[number]]-grand[[#This Row],[received]]</f>
        <v>3</v>
      </c>
      <c r="J2463" s="30" t="s">
        <v>107</v>
      </c>
      <c r="K2463" s="9">
        <v>6428</v>
      </c>
      <c r="L2463" s="9">
        <v>6230</v>
      </c>
      <c r="M2463" s="2">
        <f>K2463-L2463</f>
        <v>198</v>
      </c>
      <c r="N2463" s="9">
        <v>3856.7</v>
      </c>
      <c r="O2463" s="2"/>
      <c r="P2463" s="7">
        <f>grand[[#This Row],[total weight]]/grand[[#This Row],[received]]</f>
        <v>428.53333333333336</v>
      </c>
      <c r="Q2463" s="7">
        <f>grand[[#This Row],[receiving weight]]/grand[[#This Row],[received]]</f>
        <v>415.33333333333331</v>
      </c>
      <c r="R2463" s="7">
        <f>grand[[#This Row],[transportation loss ]]/grand[[#This Row],[received]]</f>
        <v>13.2</v>
      </c>
      <c r="S2463" s="7">
        <f>grand[[#This Row],[ carcass weight]]/grand[[#This Row],[received]]</f>
        <v>257.11333333333334</v>
      </c>
      <c r="T2463" s="7">
        <f>grand[[#This Row],[ kidneys fat quantity]]/grand[[#This Row],[received]]</f>
        <v>0</v>
      </c>
      <c r="U2463" s="4">
        <v>25</v>
      </c>
      <c r="V2463" s="4">
        <v>0</v>
      </c>
      <c r="W2463" s="4">
        <v>49.67</v>
      </c>
      <c r="X2463" s="4">
        <v>10</v>
      </c>
      <c r="Y2463" s="8">
        <v>8.5</v>
      </c>
      <c r="Z2463" s="3">
        <f>grand[[#This Row],[av. Transportation loss]]/grand[[#This Row],[av.total weight]]</f>
        <v>3.0802738021157433E-2</v>
      </c>
      <c r="AA2463" s="12">
        <f>AVERAGE((grand[[#This Row],[am]]/25),(grand[[#This Row],[pm]]/50))</f>
        <v>0.99670000000000003</v>
      </c>
      <c r="AB2463" s="3">
        <f>grand[[#This Row],[ carcass weight]]/grand[[#This Row],[total weight]]</f>
        <v>0.59998444306160548</v>
      </c>
      <c r="AC2463" s="6">
        <f>SUM(grand[[#This Row],[am]:[meat transportation]])/100</f>
        <v>0.93169999999999997</v>
      </c>
      <c r="AD2463" s="2"/>
      <c r="AE2463" s="2"/>
      <c r="AF2463" s="2"/>
      <c r="AG2463" s="2"/>
      <c r="AH2463" s="2"/>
      <c r="AI2463" s="2"/>
      <c r="AJ2463" s="2">
        <v>5</v>
      </c>
      <c r="AK2463" s="12">
        <f>grand[[#This Row],[accepted as exception]]/grand[[#This Row],[number]]</f>
        <v>0.27777777777777779</v>
      </c>
      <c r="AL2463" s="2">
        <v>1496</v>
      </c>
    </row>
    <row r="2464" spans="1:38" hidden="1" x14ac:dyDescent="0.2">
      <c r="A2464" s="11">
        <v>44383</v>
      </c>
      <c r="B2464" s="53" t="s">
        <v>2672</v>
      </c>
      <c r="C2464" s="52" t="str">
        <f>IF(MID(B2464,4,2)="09","Ramadan",IF(AND(MID(B2464,4,2)="12",VALUE(LEFT(B2464,2))&lt;=9),"Adha Season","Normal"))</f>
        <v>Normal</v>
      </c>
      <c r="D2464" s="1" t="s">
        <v>45</v>
      </c>
      <c r="F2464" s="4" t="s">
        <v>282</v>
      </c>
      <c r="G2464" s="4">
        <v>24</v>
      </c>
      <c r="H2464" s="4">
        <v>21</v>
      </c>
      <c r="I2464" s="2">
        <f>grand[[#This Row],[number]]-grand[[#This Row],[received]]</f>
        <v>3</v>
      </c>
      <c r="J2464" s="30" t="s">
        <v>307</v>
      </c>
      <c r="K2464" s="9">
        <v>8985</v>
      </c>
      <c r="L2464" s="2">
        <v>8860</v>
      </c>
      <c r="M2464" s="2">
        <f>K2464-L2464</f>
        <v>125</v>
      </c>
      <c r="N2464" s="2">
        <v>5390.9</v>
      </c>
      <c r="O2464" s="2"/>
      <c r="P2464" s="7">
        <f>grand[[#This Row],[total weight]]/grand[[#This Row],[received]]</f>
        <v>427.85714285714283</v>
      </c>
      <c r="Q2464" s="7">
        <f>grand[[#This Row],[receiving weight]]/grand[[#This Row],[received]]</f>
        <v>421.90476190476193</v>
      </c>
      <c r="R2464" s="7">
        <f>grand[[#This Row],[transportation loss ]]/grand[[#This Row],[received]]</f>
        <v>5.9523809523809526</v>
      </c>
      <c r="S2464" s="7">
        <f>grand[[#This Row],[ carcass weight]]/grand[[#This Row],[received]]</f>
        <v>256.70952380952377</v>
      </c>
      <c r="T2464" s="7">
        <f>grand[[#This Row],[ kidneys fat quantity]]/grand[[#This Row],[received]]</f>
        <v>0</v>
      </c>
      <c r="U2464" s="4">
        <v>25</v>
      </c>
      <c r="V2464" s="4">
        <v>0</v>
      </c>
      <c r="W2464" s="4">
        <v>50</v>
      </c>
      <c r="X2464" s="4">
        <v>10</v>
      </c>
      <c r="Y2464" s="8">
        <v>8.5</v>
      </c>
      <c r="Z2464" s="3">
        <f>grand[[#This Row],[av. Transportation loss]]/grand[[#This Row],[av.total weight]]</f>
        <v>1.3912075681691709E-2</v>
      </c>
      <c r="AA2464" s="12">
        <f>AVERAGE((grand[[#This Row],[am]]/25),(grand[[#This Row],[pm]]/50))</f>
        <v>1</v>
      </c>
      <c r="AB2464" s="3">
        <f>grand[[#This Row],[ carcass weight]]/grand[[#This Row],[total weight]]</f>
        <v>0.59998887033945458</v>
      </c>
      <c r="AC2464" s="6">
        <f>SUM(grand[[#This Row],[am]:[meat transportation]])/100</f>
        <v>0.93500000000000005</v>
      </c>
      <c r="AD2464" s="2"/>
      <c r="AE2464" s="2"/>
      <c r="AF2464" s="2"/>
      <c r="AG2464" s="2"/>
      <c r="AH2464" s="2"/>
      <c r="AI2464" s="2"/>
      <c r="AJ2464" s="2">
        <v>2</v>
      </c>
      <c r="AK2464" s="12">
        <f>grand[[#This Row],[accepted as exception]]/grand[[#This Row],[number]]</f>
        <v>8.3333333333333329E-2</v>
      </c>
      <c r="AL2464" s="2">
        <v>1420</v>
      </c>
    </row>
    <row r="2465" spans="1:38" hidden="1" x14ac:dyDescent="0.2">
      <c r="A2465" s="11">
        <v>44409</v>
      </c>
      <c r="B2465" s="53" t="s">
        <v>1574</v>
      </c>
      <c r="C2465" s="52" t="str">
        <f>IF(MID(B2465,4,2)="09","Ramadan",IF(AND(MID(B2465,4,2)="12",VALUE(LEFT(B2465,2))&lt;=9),"Adha Season","Normal"))</f>
        <v>Normal</v>
      </c>
      <c r="D2465" s="1" t="s">
        <v>45</v>
      </c>
      <c r="F2465" s="4" t="s">
        <v>42</v>
      </c>
      <c r="G2465" s="4">
        <v>16</v>
      </c>
      <c r="H2465" s="4">
        <v>13</v>
      </c>
      <c r="I2465" s="2">
        <f>grand[[#This Row],[number]]-grand[[#This Row],[received]]</f>
        <v>3</v>
      </c>
      <c r="J2465" s="30" t="s">
        <v>313</v>
      </c>
      <c r="K2465" s="2">
        <v>5515</v>
      </c>
      <c r="L2465" s="13">
        <v>5365</v>
      </c>
      <c r="M2465" s="2">
        <f>K2465-L2465</f>
        <v>150</v>
      </c>
      <c r="N2465" s="2">
        <v>3308.8</v>
      </c>
      <c r="O2465" s="2"/>
      <c r="P2465" s="7">
        <f>grand[[#This Row],[total weight]]/grand[[#This Row],[received]]</f>
        <v>424.23076923076923</v>
      </c>
      <c r="Q2465" s="7">
        <f>grand[[#This Row],[receiving weight]]/grand[[#This Row],[received]]</f>
        <v>412.69230769230768</v>
      </c>
      <c r="R2465" s="7">
        <f>grand[[#This Row],[transportation loss ]]/grand[[#This Row],[received]]</f>
        <v>11.538461538461538</v>
      </c>
      <c r="S2465" s="7">
        <f>grand[[#This Row],[ carcass weight]]/grand[[#This Row],[received]]</f>
        <v>254.52307692307693</v>
      </c>
      <c r="T2465" s="7">
        <f>grand[[#This Row],[ kidneys fat quantity]]/grand[[#This Row],[received]]</f>
        <v>0</v>
      </c>
      <c r="U2465" s="4">
        <v>24.7</v>
      </c>
      <c r="V2465" s="4">
        <v>0</v>
      </c>
      <c r="W2465" s="4">
        <v>49</v>
      </c>
      <c r="X2465" s="4">
        <v>10</v>
      </c>
      <c r="Y2465" s="8">
        <v>7</v>
      </c>
      <c r="Z2465" s="3">
        <f>grand[[#This Row],[av. Transportation loss]]/grand[[#This Row],[av.total weight]]</f>
        <v>2.7198549410698096E-2</v>
      </c>
      <c r="AA2465" s="12">
        <f>AVERAGE((grand[[#This Row],[am]]/25),(grand[[#This Row],[pm]]/50))</f>
        <v>0.98399999999999999</v>
      </c>
      <c r="AB2465" s="3">
        <f>grand[[#This Row],[ carcass weight]]/grand[[#This Row],[total weight]]</f>
        <v>0.59996373526745239</v>
      </c>
      <c r="AC2465" s="6">
        <f>SUM(grand[[#This Row],[am]:[meat transportation]])/100</f>
        <v>0.90700000000000003</v>
      </c>
      <c r="AD2465" s="2"/>
      <c r="AE2465" s="2"/>
      <c r="AF2465" s="2"/>
      <c r="AG2465" s="2"/>
      <c r="AH2465" s="2"/>
      <c r="AI2465" s="2"/>
      <c r="AJ2465" s="2">
        <v>5</v>
      </c>
      <c r="AK2465" s="12">
        <f>grand[[#This Row],[accepted as exception]]/grand[[#This Row],[number]]</f>
        <v>0.3125</v>
      </c>
      <c r="AL2465" s="2">
        <v>1065</v>
      </c>
    </row>
    <row r="2466" spans="1:38" hidden="1" x14ac:dyDescent="0.2">
      <c r="A2466" s="11">
        <v>44416</v>
      </c>
      <c r="B2466" s="53" t="s">
        <v>2679</v>
      </c>
      <c r="C2466" s="52" t="str">
        <f>IF(MID(B2466,4,2)="09","Ramadan",IF(AND(MID(B2466,4,2)="12",VALUE(LEFT(B2466,2))&lt;=9),"Adha Season","Normal"))</f>
        <v>Normal</v>
      </c>
      <c r="D2466" s="1" t="s">
        <v>45</v>
      </c>
      <c r="F2466" s="4" t="s">
        <v>39</v>
      </c>
      <c r="G2466" s="4">
        <v>52</v>
      </c>
      <c r="H2466" s="4">
        <v>49</v>
      </c>
      <c r="I2466" s="2">
        <f>grand[[#This Row],[number]]-grand[[#This Row],[received]]</f>
        <v>3</v>
      </c>
      <c r="J2466" s="30" t="s">
        <v>313</v>
      </c>
      <c r="K2466" s="2">
        <v>20697</v>
      </c>
      <c r="L2466" s="2">
        <v>19438</v>
      </c>
      <c r="M2466" s="2">
        <f>K2466-L2466</f>
        <v>1259</v>
      </c>
      <c r="N2466" s="2">
        <v>12874.9</v>
      </c>
      <c r="O2466" s="2"/>
      <c r="P2466" s="7">
        <f>grand[[#This Row],[total weight]]/grand[[#This Row],[received]]</f>
        <v>422.38775510204084</v>
      </c>
      <c r="Q2466" s="7">
        <f>grand[[#This Row],[receiving weight]]/grand[[#This Row],[received]]</f>
        <v>396.69387755102042</v>
      </c>
      <c r="R2466" s="7">
        <f>grand[[#This Row],[transportation loss ]]/grand[[#This Row],[received]]</f>
        <v>25.693877551020407</v>
      </c>
      <c r="S2466" s="7">
        <f>grand[[#This Row],[ carcass weight]]/grand[[#This Row],[received]]</f>
        <v>262.75306122448978</v>
      </c>
      <c r="T2466" s="7">
        <f>grand[[#This Row],[ kidneys fat quantity]]/grand[[#This Row],[received]]</f>
        <v>0</v>
      </c>
      <c r="U2466" s="4">
        <v>25</v>
      </c>
      <c r="V2466" s="4"/>
      <c r="W2466" s="4">
        <v>49.96</v>
      </c>
      <c r="X2466" s="4">
        <v>10</v>
      </c>
      <c r="Y2466" s="8">
        <v>8.5</v>
      </c>
      <c r="Z2466" s="3">
        <f>grand[[#This Row],[av. Transportation loss]]/grand[[#This Row],[av.total weight]]</f>
        <v>6.0830071991109819E-2</v>
      </c>
      <c r="AA2466" s="12">
        <f>AVERAGE((grand[[#This Row],[am]]/25),(grand[[#This Row],[pm]]/50))</f>
        <v>0.99960000000000004</v>
      </c>
      <c r="AB2466" s="3">
        <f>grand[[#This Row],[ carcass weight]]/grand[[#This Row],[total weight]]</f>
        <v>0.62206599990336764</v>
      </c>
      <c r="AC2466" s="6">
        <f>SUM(grand[[#This Row],[am]:[meat transportation]])/100</f>
        <v>0.9346000000000001</v>
      </c>
      <c r="AD2466" s="2"/>
      <c r="AE2466" s="2"/>
      <c r="AF2466" s="2"/>
      <c r="AG2466" s="2"/>
      <c r="AH2466" s="2"/>
      <c r="AI2466" s="2"/>
      <c r="AJ2466" s="2">
        <v>0</v>
      </c>
      <c r="AK2466" s="12">
        <f>grand[[#This Row],[accepted as exception]]/grand[[#This Row],[number]]</f>
        <v>0</v>
      </c>
      <c r="AL2466" s="2">
        <v>1237</v>
      </c>
    </row>
    <row r="2467" spans="1:38" hidden="1" x14ac:dyDescent="0.2">
      <c r="A2467" s="11">
        <v>44434</v>
      </c>
      <c r="B2467" s="53" t="s">
        <v>2687</v>
      </c>
      <c r="C2467" s="52" t="str">
        <f>IF(MID(B2467,4,2)="09","Ramadan",IF(AND(MID(B2467,4,2)="12",VALUE(LEFT(B2467,2))&lt;=9),"Adha Season","Normal"))</f>
        <v>Normal</v>
      </c>
      <c r="D2467" s="1" t="s">
        <v>45</v>
      </c>
      <c r="F2467" s="4" t="s">
        <v>46</v>
      </c>
      <c r="G2467" s="4">
        <v>48</v>
      </c>
      <c r="H2467" s="4">
        <v>45</v>
      </c>
      <c r="I2467" s="2">
        <f>grand[[#This Row],[number]]-grand[[#This Row],[received]]</f>
        <v>3</v>
      </c>
      <c r="J2467" s="30" t="s">
        <v>318</v>
      </c>
      <c r="K2467" s="9">
        <v>16935</v>
      </c>
      <c r="L2467" s="9">
        <v>16498</v>
      </c>
      <c r="M2467" s="2">
        <f>K2467-L2467</f>
        <v>437</v>
      </c>
      <c r="N2467" s="9">
        <v>10160.5</v>
      </c>
      <c r="O2467" s="9"/>
      <c r="P2467" s="7">
        <f>grand[[#This Row],[total weight]]/grand[[#This Row],[received]]</f>
        <v>376.33333333333331</v>
      </c>
      <c r="Q2467" s="7">
        <f>grand[[#This Row],[receiving weight]]/grand[[#This Row],[received]]</f>
        <v>366.62222222222221</v>
      </c>
      <c r="R2467" s="7">
        <f>grand[[#This Row],[transportation loss ]]/grand[[#This Row],[received]]</f>
        <v>9.7111111111111104</v>
      </c>
      <c r="S2467" s="7">
        <f>grand[[#This Row],[ carcass weight]]/grand[[#This Row],[received]]</f>
        <v>225.78888888888889</v>
      </c>
      <c r="T2467" s="7">
        <f>grand[[#This Row],[ kidneys fat quantity]]/grand[[#This Row],[received]]</f>
        <v>0</v>
      </c>
      <c r="U2467" s="4">
        <v>25</v>
      </c>
      <c r="V2467" s="4">
        <v>0</v>
      </c>
      <c r="W2467" s="4">
        <v>49.87</v>
      </c>
      <c r="X2467" s="4">
        <v>10</v>
      </c>
      <c r="Y2467" s="8">
        <v>8.5</v>
      </c>
      <c r="Z2467" s="3">
        <f>grand[[#This Row],[av. Transportation loss]]/grand[[#This Row],[av.total weight]]</f>
        <v>2.580454679657514E-2</v>
      </c>
      <c r="AA2467" s="12">
        <f>AVERAGE((grand[[#This Row],[am]]/25),(grand[[#This Row],[pm]]/50))</f>
        <v>0.99869999999999992</v>
      </c>
      <c r="AB2467" s="3">
        <f>grand[[#This Row],[ carcass weight]]/grand[[#This Row],[total weight]]</f>
        <v>0.59997047534691472</v>
      </c>
      <c r="AC2467" s="6">
        <f>SUM(grand[[#This Row],[am]:[meat transportation]])/100</f>
        <v>0.93370000000000009</v>
      </c>
      <c r="AD2467" s="2"/>
      <c r="AE2467" s="2"/>
      <c r="AF2467" s="2"/>
      <c r="AG2467" s="2"/>
      <c r="AH2467" s="2"/>
      <c r="AI2467" s="2"/>
      <c r="AJ2467" s="2">
        <v>17</v>
      </c>
      <c r="AK2467" s="12">
        <f>grand[[#This Row],[accepted as exception]]/grand[[#This Row],[number]]</f>
        <v>0.35416666666666669</v>
      </c>
      <c r="AL2467" s="2">
        <v>1205</v>
      </c>
    </row>
    <row r="2468" spans="1:38" hidden="1" x14ac:dyDescent="0.2">
      <c r="A2468" s="11">
        <v>44460</v>
      </c>
      <c r="B2468" s="53" t="s">
        <v>2698</v>
      </c>
      <c r="C2468" s="52" t="str">
        <f>IF(MID(B2468,4,2)="09","Ramadan",IF(AND(MID(B2468,4,2)="12",VALUE(LEFT(B2468,2))&lt;=9),"Adha Season","Normal"))</f>
        <v>Normal</v>
      </c>
      <c r="D2468" s="1" t="s">
        <v>45</v>
      </c>
      <c r="F2468" s="4" t="s">
        <v>39</v>
      </c>
      <c r="G2468" s="4">
        <v>42</v>
      </c>
      <c r="H2468" s="4">
        <v>39</v>
      </c>
      <c r="I2468" s="2">
        <f>grand[[#This Row],[number]]-grand[[#This Row],[received]]</f>
        <v>3</v>
      </c>
      <c r="J2468" s="30" t="s">
        <v>323</v>
      </c>
      <c r="K2468" s="9">
        <v>16298</v>
      </c>
      <c r="L2468" s="9">
        <v>15568</v>
      </c>
      <c r="M2468" s="2">
        <f>K2468-L2468</f>
        <v>730</v>
      </c>
      <c r="N2468" s="9">
        <v>9896</v>
      </c>
      <c r="O2468" s="9"/>
      <c r="P2468" s="7">
        <f>grand[[#This Row],[total weight]]/grand[[#This Row],[received]]</f>
        <v>417.89743589743591</v>
      </c>
      <c r="Q2468" s="7">
        <f>grand[[#This Row],[receiving weight]]/grand[[#This Row],[received]]</f>
        <v>399.17948717948718</v>
      </c>
      <c r="R2468" s="7">
        <f>grand[[#This Row],[transportation loss ]]/grand[[#This Row],[received]]</f>
        <v>18.717948717948719</v>
      </c>
      <c r="S2468" s="7">
        <f>grand[[#This Row],[ carcass weight]]/grand[[#This Row],[received]]</f>
        <v>253.74358974358975</v>
      </c>
      <c r="T2468" s="7">
        <f>grand[[#This Row],[ kidneys fat quantity]]/grand[[#This Row],[received]]</f>
        <v>0</v>
      </c>
      <c r="U2468" s="4">
        <v>25</v>
      </c>
      <c r="V2468" s="4">
        <v>0</v>
      </c>
      <c r="W2468" s="4">
        <v>49.1</v>
      </c>
      <c r="X2468" s="4">
        <v>10</v>
      </c>
      <c r="Y2468" s="8">
        <v>8.5</v>
      </c>
      <c r="Z2468" s="3">
        <f>grand[[#This Row],[av. Transportation loss]]/grand[[#This Row],[av.total weight]]</f>
        <v>4.4790771873849555E-2</v>
      </c>
      <c r="AA2468" s="12">
        <f>AVERAGE((grand[[#This Row],[am]]/25),(grand[[#This Row],[pm]]/50))</f>
        <v>0.99099999999999999</v>
      </c>
      <c r="AB2468" s="3">
        <f>grand[[#This Row],[ carcass weight]]/grand[[#This Row],[total weight]]</f>
        <v>0.60719106638851394</v>
      </c>
      <c r="AC2468" s="6">
        <f>SUM(grand[[#This Row],[am]:[meat transportation]])/100</f>
        <v>0.92599999999999993</v>
      </c>
      <c r="AD2468" s="2"/>
      <c r="AE2468" s="2"/>
      <c r="AF2468" s="2"/>
      <c r="AG2468" s="2"/>
      <c r="AH2468" s="2"/>
      <c r="AI2468" s="2"/>
      <c r="AJ2468" s="2">
        <v>5</v>
      </c>
      <c r="AK2468" s="12">
        <f>grand[[#This Row],[accepted as exception]]/grand[[#This Row],[number]]</f>
        <v>0.11904761904761904</v>
      </c>
      <c r="AL2468" s="2">
        <v>1357</v>
      </c>
    </row>
    <row r="2469" spans="1:38" hidden="1" x14ac:dyDescent="0.2">
      <c r="A2469" s="11">
        <v>44469</v>
      </c>
      <c r="B2469" s="53" t="s">
        <v>2702</v>
      </c>
      <c r="C2469" s="52" t="str">
        <f>IF(MID(B2469,4,2)="09","Ramadan",IF(AND(MID(B2469,4,2)="12",VALUE(LEFT(B2469,2))&lt;=9),"Adha Season","Normal"))</f>
        <v>Normal</v>
      </c>
      <c r="D2469" s="1" t="s">
        <v>45</v>
      </c>
      <c r="F2469" s="4" t="s">
        <v>46</v>
      </c>
      <c r="G2469" s="4">
        <v>43</v>
      </c>
      <c r="H2469" s="4">
        <v>40</v>
      </c>
      <c r="I2469" s="2">
        <f>grand[[#This Row],[number]]-grand[[#This Row],[received]]</f>
        <v>3</v>
      </c>
      <c r="J2469" s="30" t="s">
        <v>324</v>
      </c>
      <c r="K2469" s="9">
        <v>15988</v>
      </c>
      <c r="L2469" s="9">
        <v>15406</v>
      </c>
      <c r="M2469" s="2">
        <f>K2469-L2469</f>
        <v>582</v>
      </c>
      <c r="N2469" s="9">
        <v>9719.7999999999993</v>
      </c>
      <c r="O2469" s="9"/>
      <c r="P2469" s="7">
        <f>grand[[#This Row],[total weight]]/grand[[#This Row],[received]]</f>
        <v>399.7</v>
      </c>
      <c r="Q2469" s="7">
        <f>grand[[#This Row],[receiving weight]]/grand[[#This Row],[received]]</f>
        <v>385.15</v>
      </c>
      <c r="R2469" s="7">
        <f>grand[[#This Row],[transportation loss ]]/grand[[#This Row],[received]]</f>
        <v>14.55</v>
      </c>
      <c r="S2469" s="7">
        <f>grand[[#This Row],[ carcass weight]]/grand[[#This Row],[received]]</f>
        <v>242.99499999999998</v>
      </c>
      <c r="T2469" s="7">
        <f>grand[[#This Row],[ kidneys fat quantity]]/grand[[#This Row],[received]]</f>
        <v>0</v>
      </c>
      <c r="U2469" s="4">
        <v>25</v>
      </c>
      <c r="V2469" s="4">
        <v>0</v>
      </c>
      <c r="W2469" s="4">
        <v>49.774999999999999</v>
      </c>
      <c r="X2469" s="4">
        <v>10</v>
      </c>
      <c r="Y2469" s="8">
        <v>8.5</v>
      </c>
      <c r="Z2469" s="3">
        <f>grand[[#This Row],[av. Transportation loss]]/grand[[#This Row],[av.total weight]]</f>
        <v>3.6402301726294724E-2</v>
      </c>
      <c r="AA2469" s="12">
        <f>AVERAGE((grand[[#This Row],[am]]/25),(grand[[#This Row],[pm]]/50))</f>
        <v>0.99774999999999991</v>
      </c>
      <c r="AB2469" s="3">
        <f>grand[[#This Row],[ carcass weight]]/grand[[#This Row],[total weight]]</f>
        <v>0.6079434575931949</v>
      </c>
      <c r="AC2469" s="6">
        <f>SUM(grand[[#This Row],[am]:[meat transportation]])/100</f>
        <v>0.93275000000000008</v>
      </c>
      <c r="AD2469" s="2"/>
      <c r="AE2469" s="2"/>
      <c r="AF2469" s="2"/>
      <c r="AG2469" s="2"/>
      <c r="AH2469" s="2"/>
      <c r="AI2469" s="2"/>
      <c r="AJ2469" s="2">
        <v>13</v>
      </c>
      <c r="AK2469" s="12">
        <f>grand[[#This Row],[accepted as exception]]/grand[[#This Row],[number]]</f>
        <v>0.30232558139534882</v>
      </c>
      <c r="AL2469" s="2">
        <f>423+846</f>
        <v>1269</v>
      </c>
    </row>
    <row r="2470" spans="1:38" hidden="1" x14ac:dyDescent="0.2">
      <c r="A2470" s="11">
        <v>44558</v>
      </c>
      <c r="B2470" s="53" t="s">
        <v>2740</v>
      </c>
      <c r="C2470" s="52" t="str">
        <f>IF(MID(B2470,4,2)="09","Ramadan",IF(AND(MID(B2470,4,2)="12",VALUE(LEFT(B2470,2))&lt;=9),"Adha Season","Normal"))</f>
        <v>Normal</v>
      </c>
      <c r="D2470" s="1" t="s">
        <v>45</v>
      </c>
      <c r="F2470" s="4" t="s">
        <v>39</v>
      </c>
      <c r="G2470" s="1">
        <v>32</v>
      </c>
      <c r="H2470" s="15">
        <v>29</v>
      </c>
      <c r="I2470" s="1">
        <f>grand[[#This Row],[number]]-grand[[#This Row],[received]]</f>
        <v>3</v>
      </c>
      <c r="J2470" s="30" t="s">
        <v>313</v>
      </c>
      <c r="K2470" s="9">
        <v>13323</v>
      </c>
      <c r="L2470" s="9">
        <v>12624</v>
      </c>
      <c r="M2470" s="2">
        <f>K2470-L2470</f>
        <v>699</v>
      </c>
      <c r="N2470" s="9">
        <v>8312.1</v>
      </c>
      <c r="O2470" s="9">
        <v>316</v>
      </c>
      <c r="P2470" s="7">
        <f>grand[[#This Row],[total weight]]/grand[[#This Row],[received]]</f>
        <v>459.41379310344826</v>
      </c>
      <c r="Q2470" s="7">
        <f>grand[[#This Row],[receiving weight]]/grand[[#This Row],[received]]</f>
        <v>435.31034482758622</v>
      </c>
      <c r="R2470" s="7">
        <f>grand[[#This Row],[transportation loss ]]/grand[[#This Row],[received]]</f>
        <v>24.103448275862068</v>
      </c>
      <c r="S2470" s="7">
        <f>grand[[#This Row],[ carcass weight]]/grand[[#This Row],[received]]</f>
        <v>286.62413793103451</v>
      </c>
      <c r="T2470" s="7">
        <f>grand[[#This Row],[ kidneys fat quantity]]/grand[[#This Row],[received]]</f>
        <v>10.896551724137931</v>
      </c>
      <c r="U2470" s="15">
        <v>25</v>
      </c>
      <c r="V2470" s="15">
        <v>0</v>
      </c>
      <c r="W2470" s="15">
        <v>49.517241379310342</v>
      </c>
      <c r="X2470" s="15">
        <v>10</v>
      </c>
      <c r="Y2470" s="8">
        <v>8.5</v>
      </c>
      <c r="Z2470" s="18">
        <f>grand[[#This Row],[av. Transportation loss]]/grand[[#This Row],[av.total weight]]</f>
        <v>5.2465660887187571E-2</v>
      </c>
      <c r="AA2470" s="12">
        <f>AVERAGE((grand[[#This Row],[am]]/25),(grand[[#This Row],[pm]]/50))</f>
        <v>0.99517241379310339</v>
      </c>
      <c r="AB2470" s="3">
        <f>grand[[#This Row],[ carcass weight]]/grand[[#This Row],[total weight]]</f>
        <v>0.62389101553704118</v>
      </c>
      <c r="AC2470" s="19">
        <f>SUM(grand[[#This Row],[am]:[meat transportation]])/100</f>
        <v>0.93017241379310345</v>
      </c>
      <c r="AD2470" s="9" t="s">
        <v>168</v>
      </c>
      <c r="AF2470" s="1" t="s">
        <v>162</v>
      </c>
      <c r="AJ2470" s="1">
        <v>4</v>
      </c>
      <c r="AK2470" s="20">
        <f>grand[[#This Row],[accepted as exception]]/grand[[#This Row],[number]]</f>
        <v>0.125</v>
      </c>
      <c r="AL2470" s="1">
        <f>1406+5</f>
        <v>1411</v>
      </c>
    </row>
    <row r="2471" spans="1:38" hidden="1" x14ac:dyDescent="0.2">
      <c r="A2471" s="11">
        <v>44584</v>
      </c>
      <c r="B2471" s="53" t="s">
        <v>1600</v>
      </c>
      <c r="C2471" s="52" t="str">
        <f>IF(MID(B2471,4,2)="09","Ramadan",IF(AND(MID(B2471,4,2)="12",VALUE(LEFT(B2471,2))&lt;=9),"Adha Season","Normal"))</f>
        <v>Normal</v>
      </c>
      <c r="D2471" s="1" t="s">
        <v>45</v>
      </c>
      <c r="F2471" s="4" t="s">
        <v>280</v>
      </c>
      <c r="G2471" s="1">
        <v>31</v>
      </c>
      <c r="H2471" s="15">
        <v>28</v>
      </c>
      <c r="I2471" s="1">
        <f>grand[[#This Row],[number]]-grand[[#This Row],[received]]</f>
        <v>3</v>
      </c>
      <c r="J2471" s="30" t="s">
        <v>361</v>
      </c>
      <c r="K2471" s="9">
        <v>13060</v>
      </c>
      <c r="L2471" s="9">
        <v>12510</v>
      </c>
      <c r="M2471" s="2">
        <f>K2471-L2471</f>
        <v>550</v>
      </c>
      <c r="N2471" s="9">
        <v>7836.5</v>
      </c>
      <c r="O2471" s="9">
        <v>267</v>
      </c>
      <c r="P2471" s="7">
        <f>grand[[#This Row],[total weight]]/grand[[#This Row],[received]]</f>
        <v>466.42857142857144</v>
      </c>
      <c r="Q2471" s="7">
        <f>grand[[#This Row],[receiving weight]]/grand[[#This Row],[received]]</f>
        <v>446.78571428571428</v>
      </c>
      <c r="R2471" s="7">
        <f>grand[[#This Row],[transportation loss ]]/grand[[#This Row],[received]]</f>
        <v>19.642857142857142</v>
      </c>
      <c r="S2471" s="7">
        <f>grand[[#This Row],[ carcass weight]]/grand[[#This Row],[received]]</f>
        <v>279.875</v>
      </c>
      <c r="T2471" s="7">
        <f>grand[[#This Row],[ kidneys fat quantity]]/grand[[#This Row],[received]]</f>
        <v>9.5357142857142865</v>
      </c>
      <c r="U2471" s="15">
        <v>25</v>
      </c>
      <c r="V2471" s="15">
        <v>0</v>
      </c>
      <c r="W2471" s="15">
        <v>49.642857142857139</v>
      </c>
      <c r="X2471" s="15">
        <v>10</v>
      </c>
      <c r="Y2471" s="8">
        <v>8.5</v>
      </c>
      <c r="Z2471" s="18">
        <f>grand[[#This Row],[av. Transportation loss]]/grand[[#This Row],[av.total weight]]</f>
        <v>4.2113323124042874E-2</v>
      </c>
      <c r="AA2471" s="12">
        <f>AVERAGE((grand[[#This Row],[am]]/25),(grand[[#This Row],[pm]]/50))</f>
        <v>0.99642857142857144</v>
      </c>
      <c r="AB2471" s="3">
        <f>grand[[#This Row],[ carcass weight]]/grand[[#This Row],[total weight]]</f>
        <v>0.60003828483920363</v>
      </c>
      <c r="AC2471" s="19">
        <f>SUM(grand[[#This Row],[am]:[meat transportation]])/100</f>
        <v>0.93142857142857138</v>
      </c>
      <c r="AD2471" s="2"/>
      <c r="AJ2471" s="1">
        <v>5</v>
      </c>
      <c r="AK2471" s="20">
        <f>grand[[#This Row],[accepted as exception]]/grand[[#This Row],[number]]</f>
        <v>0.16129032258064516</v>
      </c>
      <c r="AL2471" s="1">
        <f>1435+2</f>
        <v>1437</v>
      </c>
    </row>
    <row r="2472" spans="1:38" hidden="1" x14ac:dyDescent="0.2">
      <c r="A2472" s="11">
        <v>44586</v>
      </c>
      <c r="B2472" s="53" t="s">
        <v>2752</v>
      </c>
      <c r="C2472" s="52" t="str">
        <f>IF(MID(B2472,4,2)="09","Ramadan",IF(AND(MID(B2472,4,2)="12",VALUE(LEFT(B2472,2))&lt;=9),"Adha Season","Normal"))</f>
        <v>Normal</v>
      </c>
      <c r="D2472" s="1" t="s">
        <v>45</v>
      </c>
      <c r="E2472" s="1" t="s">
        <v>481</v>
      </c>
      <c r="F2472" s="4" t="s">
        <v>39</v>
      </c>
      <c r="G2472" s="1">
        <v>29</v>
      </c>
      <c r="H2472" s="15">
        <v>26</v>
      </c>
      <c r="I2472" s="1">
        <f>grand[[#This Row],[number]]-grand[[#This Row],[received]]</f>
        <v>3</v>
      </c>
      <c r="J2472" s="30" t="s">
        <v>363</v>
      </c>
      <c r="K2472" s="9">
        <v>12580</v>
      </c>
      <c r="L2472" s="9">
        <v>11745</v>
      </c>
      <c r="M2472" s="2">
        <f>K2472-L2472</f>
        <v>835</v>
      </c>
      <c r="N2472" s="9">
        <v>7712.6</v>
      </c>
      <c r="O2472" s="9">
        <v>288</v>
      </c>
      <c r="P2472" s="7">
        <f>grand[[#This Row],[total weight]]/grand[[#This Row],[received]]</f>
        <v>483.84615384615387</v>
      </c>
      <c r="Q2472" s="7">
        <f>grand[[#This Row],[receiving weight]]/grand[[#This Row],[received]]</f>
        <v>451.73076923076923</v>
      </c>
      <c r="R2472" s="7">
        <f>grand[[#This Row],[transportation loss ]]/grand[[#This Row],[received]]</f>
        <v>32.115384615384613</v>
      </c>
      <c r="S2472" s="7">
        <f>grand[[#This Row],[ carcass weight]]/grand[[#This Row],[received]]</f>
        <v>296.63846153846157</v>
      </c>
      <c r="T2472" s="7">
        <f>grand[[#This Row],[ kidneys fat quantity]]/grand[[#This Row],[received]]</f>
        <v>11.076923076923077</v>
      </c>
      <c r="U2472" s="15">
        <v>25</v>
      </c>
      <c r="V2472" s="15">
        <v>0</v>
      </c>
      <c r="W2472" s="15">
        <v>49.730769230769226</v>
      </c>
      <c r="X2472" s="15">
        <v>9.6153846153846168</v>
      </c>
      <c r="Y2472" s="8">
        <v>8.5</v>
      </c>
      <c r="Z2472" s="18">
        <f>grand[[#This Row],[av. Transportation loss]]/grand[[#This Row],[av.total weight]]</f>
        <v>6.6375198728139892E-2</v>
      </c>
      <c r="AA2472" s="12">
        <f>AVERAGE((grand[[#This Row],[am]]/25),(grand[[#This Row],[pm]]/50))</f>
        <v>0.99730769230769223</v>
      </c>
      <c r="AB2472" s="3">
        <f>grand[[#This Row],[ carcass weight]]/grand[[#This Row],[total weight]]</f>
        <v>0.61308426073131961</v>
      </c>
      <c r="AC2472" s="19">
        <f>SUM(grand[[#This Row],[am]:[meat transportation]])/100</f>
        <v>0.92846153846153845</v>
      </c>
      <c r="AD2472" s="9" t="s">
        <v>113</v>
      </c>
      <c r="AJ2472" s="1">
        <v>0</v>
      </c>
      <c r="AK2472" s="20">
        <f>grand[[#This Row],[accepted as exception]]/grand[[#This Row],[number]]</f>
        <v>0</v>
      </c>
      <c r="AL2472" s="1">
        <f>1500+1.5</f>
        <v>1501.5</v>
      </c>
    </row>
    <row r="2473" spans="1:38" hidden="1" x14ac:dyDescent="0.2">
      <c r="A2473" s="11">
        <v>44593</v>
      </c>
      <c r="B2473" s="53" t="s">
        <v>2755</v>
      </c>
      <c r="C2473" s="52" t="str">
        <f>IF(MID(B2473,4,2)="09","Ramadan",IF(AND(MID(B2473,4,2)="12",VALUE(LEFT(B2473,2))&lt;=9),"Adha Season","Normal"))</f>
        <v>Normal</v>
      </c>
      <c r="D2473" s="1" t="s">
        <v>45</v>
      </c>
      <c r="E2473" s="1" t="s">
        <v>481</v>
      </c>
      <c r="F2473" s="4" t="s">
        <v>50</v>
      </c>
      <c r="G2473" s="1">
        <v>34</v>
      </c>
      <c r="H2473" s="15">
        <v>31</v>
      </c>
      <c r="I2473" s="1">
        <f>grand[[#This Row],[number]]-grand[[#This Row],[received]]</f>
        <v>3</v>
      </c>
      <c r="J2473" s="30" t="s">
        <v>367</v>
      </c>
      <c r="K2473" s="9">
        <v>14512</v>
      </c>
      <c r="L2473" s="9">
        <v>13797</v>
      </c>
      <c r="M2473" s="2">
        <f>K2473-L2473</f>
        <v>715</v>
      </c>
      <c r="N2473" s="9">
        <v>9059</v>
      </c>
      <c r="O2473" s="9">
        <v>333</v>
      </c>
      <c r="P2473" s="7">
        <f>grand[[#This Row],[total weight]]/grand[[#This Row],[received]]</f>
        <v>468.12903225806451</v>
      </c>
      <c r="Q2473" s="7">
        <f>grand[[#This Row],[receiving weight]]/grand[[#This Row],[received]]</f>
        <v>445.06451612903226</v>
      </c>
      <c r="R2473" s="7">
        <f>grand[[#This Row],[transportation loss ]]/grand[[#This Row],[received]]</f>
        <v>23.06451612903226</v>
      </c>
      <c r="S2473" s="7">
        <f>grand[[#This Row],[ carcass weight]]/grand[[#This Row],[received]]</f>
        <v>292.22580645161293</v>
      </c>
      <c r="T2473" s="7">
        <f>grand[[#This Row],[ kidneys fat quantity]]/grand[[#This Row],[received]]</f>
        <v>10.741935483870968</v>
      </c>
      <c r="U2473" s="15">
        <v>25</v>
      </c>
      <c r="V2473" s="15">
        <v>0</v>
      </c>
      <c r="W2473" s="15">
        <v>49.322580645161288</v>
      </c>
      <c r="X2473" s="15">
        <v>9.6774193548387082</v>
      </c>
      <c r="Y2473" s="8">
        <v>8.5</v>
      </c>
      <c r="Z2473" s="18">
        <f>grand[[#This Row],[av. Transportation loss]]/grand[[#This Row],[av.total weight]]</f>
        <v>4.926957001102536E-2</v>
      </c>
      <c r="AA2473" s="12">
        <f>AVERAGE((grand[[#This Row],[am]]/25),(grand[[#This Row],[pm]]/50))</f>
        <v>0.99322580645161285</v>
      </c>
      <c r="AB2473" s="3">
        <f>grand[[#This Row],[ carcass weight]]/grand[[#This Row],[total weight]]</f>
        <v>0.62424200661521501</v>
      </c>
      <c r="AC2473" s="19">
        <f>SUM(grand[[#This Row],[am]:[meat transportation]])/100</f>
        <v>0.92499999999999982</v>
      </c>
      <c r="AD2473" s="9" t="s">
        <v>368</v>
      </c>
      <c r="AJ2473" s="1">
        <v>3</v>
      </c>
      <c r="AK2473" s="20">
        <f>grand[[#This Row],[accepted as exception]]/grand[[#This Row],[number]]</f>
        <v>8.8235294117647065E-2</v>
      </c>
      <c r="AL2473" s="1">
        <v>1249</v>
      </c>
    </row>
    <row r="2474" spans="1:38" hidden="1" x14ac:dyDescent="0.2">
      <c r="A2474" s="11">
        <v>44628</v>
      </c>
      <c r="B2474" s="53" t="s">
        <v>2770</v>
      </c>
      <c r="C2474" s="52" t="str">
        <f>IF(MID(B2474,4,2)="09","Ramadan",IF(AND(MID(B2474,4,2)="12",VALUE(LEFT(B2474,2))&lt;=9),"Adha Season","Normal"))</f>
        <v>Normal</v>
      </c>
      <c r="D2474" s="1" t="s">
        <v>45</v>
      </c>
      <c r="E2474" s="1" t="s">
        <v>481</v>
      </c>
      <c r="F2474" s="4" t="s">
        <v>39</v>
      </c>
      <c r="G2474" s="1">
        <v>34</v>
      </c>
      <c r="H2474" s="15">
        <v>31</v>
      </c>
      <c r="I2474" s="1">
        <f>grand[[#This Row],[number]]-grand[[#This Row],[received]]</f>
        <v>3</v>
      </c>
      <c r="J2474" s="30" t="s">
        <v>387</v>
      </c>
      <c r="K2474" s="9">
        <v>14048</v>
      </c>
      <c r="L2474" s="9">
        <v>13322</v>
      </c>
      <c r="M2474" s="2">
        <f>K2474-L2474</f>
        <v>726</v>
      </c>
      <c r="N2474" s="9">
        <v>8698.6</v>
      </c>
      <c r="O2474" s="9">
        <v>332</v>
      </c>
      <c r="P2474" s="7">
        <f>grand[[#This Row],[total weight]]/grand[[#This Row],[received]]</f>
        <v>453.16129032258067</v>
      </c>
      <c r="Q2474" s="7">
        <f>grand[[#This Row],[receiving weight]]/grand[[#This Row],[received]]</f>
        <v>429.74193548387098</v>
      </c>
      <c r="R2474" s="7">
        <f>grand[[#This Row],[transportation loss ]]/grand[[#This Row],[received]]</f>
        <v>23.419354838709676</v>
      </c>
      <c r="S2474" s="7">
        <f>grand[[#This Row],[ carcass weight]]/grand[[#This Row],[received]]</f>
        <v>280.60000000000002</v>
      </c>
      <c r="T2474" s="7">
        <f>grand[[#This Row],[ kidneys fat quantity]]/grand[[#This Row],[received]]</f>
        <v>10.709677419354838</v>
      </c>
      <c r="U2474" s="15">
        <v>25</v>
      </c>
      <c r="V2474" s="15">
        <v>0</v>
      </c>
      <c r="W2474" s="15">
        <v>49.548387096774192</v>
      </c>
      <c r="X2474" s="17">
        <v>7.5</v>
      </c>
      <c r="Y2474" s="8">
        <v>8.5</v>
      </c>
      <c r="Z2474" s="18">
        <f>grand[[#This Row],[av. Transportation loss]]/grand[[#This Row],[av.total weight]]</f>
        <v>5.1679954441913437E-2</v>
      </c>
      <c r="AA2474" s="12">
        <f>AVERAGE((grand[[#This Row],[am]]/25),(grand[[#This Row],[pm]]/50))</f>
        <v>0.99548387096774194</v>
      </c>
      <c r="AB2474" s="3">
        <f>grand[[#This Row],[ carcass weight]]/grand[[#This Row],[total weight]]</f>
        <v>0.61920558086560362</v>
      </c>
      <c r="AC2474" s="19">
        <f>SUM(grand[[#This Row],[am]:[meat transportation]])/100</f>
        <v>0.90548387096774197</v>
      </c>
      <c r="AD2474" s="2" t="s">
        <v>168</v>
      </c>
      <c r="AJ2474" s="1">
        <v>0</v>
      </c>
      <c r="AK2474" s="20">
        <f>grand[[#This Row],[accepted as exception]]/grand[[#This Row],[number]]</f>
        <v>0</v>
      </c>
      <c r="AL2474" s="1">
        <v>1490</v>
      </c>
    </row>
    <row r="2475" spans="1:38" hidden="1" x14ac:dyDescent="0.2">
      <c r="A2475" s="11">
        <v>44652</v>
      </c>
      <c r="B2475" s="53" t="s">
        <v>1610</v>
      </c>
      <c r="C2475" s="52" t="str">
        <f>IF(MID(B2475,4,2)="09","Ramadan",IF(AND(MID(B2475,4,2)="12",VALUE(LEFT(B2475,2))&lt;=9),"Adha Season","Normal"))</f>
        <v>Normal</v>
      </c>
      <c r="D2475" s="1" t="s">
        <v>45</v>
      </c>
      <c r="F2475" s="4" t="s">
        <v>46</v>
      </c>
      <c r="G2475" s="1">
        <v>53</v>
      </c>
      <c r="H2475" s="15">
        <v>50</v>
      </c>
      <c r="I2475" s="1">
        <f>grand[[#This Row],[number]]-grand[[#This Row],[received]]</f>
        <v>3</v>
      </c>
      <c r="J2475" s="30" t="s">
        <v>402</v>
      </c>
      <c r="K2475" s="9">
        <v>24140</v>
      </c>
      <c r="L2475" s="9">
        <v>24140</v>
      </c>
      <c r="M2475" s="2">
        <f>K2475-L2475</f>
        <v>0</v>
      </c>
      <c r="N2475" s="9">
        <v>14483.5</v>
      </c>
      <c r="O2475" s="9">
        <v>513</v>
      </c>
      <c r="P2475" s="7">
        <f>grand[[#This Row],[total weight]]/grand[[#This Row],[received]]</f>
        <v>482.8</v>
      </c>
      <c r="Q2475" s="7">
        <f>grand[[#This Row],[receiving weight]]/grand[[#This Row],[received]]</f>
        <v>482.8</v>
      </c>
      <c r="R2475" s="7">
        <f>grand[[#This Row],[transportation loss ]]/grand[[#This Row],[received]]</f>
        <v>0</v>
      </c>
      <c r="S2475" s="7">
        <f>grand[[#This Row],[ carcass weight]]/grand[[#This Row],[received]]</f>
        <v>289.67</v>
      </c>
      <c r="T2475" s="7">
        <f>grand[[#This Row],[ kidneys fat quantity]]/grand[[#This Row],[received]]</f>
        <v>10.26</v>
      </c>
      <c r="U2475" s="15">
        <v>25</v>
      </c>
      <c r="V2475" s="15">
        <v>0</v>
      </c>
      <c r="W2475" s="15">
        <v>48.519230769230774</v>
      </c>
      <c r="X2475" s="15">
        <v>9.9038461538461533</v>
      </c>
      <c r="Y2475" s="8">
        <v>8.5</v>
      </c>
      <c r="Z2475" s="18">
        <f>grand[[#This Row],[av. Transportation loss]]/grand[[#This Row],[av.total weight]]</f>
        <v>0</v>
      </c>
      <c r="AA2475" s="12">
        <f>AVERAGE((grand[[#This Row],[am]]/25),(grand[[#This Row],[pm]]/50))</f>
        <v>0.9851923076923077</v>
      </c>
      <c r="AB2475" s="3">
        <f>grand[[#This Row],[ carcass weight]]/grand[[#This Row],[total weight]]</f>
        <v>0.5999792874896438</v>
      </c>
      <c r="AC2475" s="19">
        <f>SUM(grand[[#This Row],[am]:[meat transportation]])/100</f>
        <v>0.9192307692307693</v>
      </c>
      <c r="AD2475" s="2" t="s">
        <v>403</v>
      </c>
      <c r="AJ2475" s="1">
        <v>0</v>
      </c>
      <c r="AK2475" s="20"/>
      <c r="AL2475" s="1">
        <v>1447</v>
      </c>
    </row>
    <row r="2476" spans="1:38" hidden="1" x14ac:dyDescent="0.2">
      <c r="A2476" s="11">
        <v>44682</v>
      </c>
      <c r="B2476" s="53" t="s">
        <v>1627</v>
      </c>
      <c r="C2476" s="52" t="str">
        <f>IF(MID(B2476,4,2)="09","Ramadan",IF(AND(MID(B2476,4,2)="12",VALUE(LEFT(B2476,2))&lt;=9),"Adha Season","Normal"))</f>
        <v>Ramadan</v>
      </c>
      <c r="D2476" s="1" t="s">
        <v>45</v>
      </c>
      <c r="F2476" s="4" t="s">
        <v>280</v>
      </c>
      <c r="G2476" s="1">
        <v>42</v>
      </c>
      <c r="H2476" s="15">
        <v>39</v>
      </c>
      <c r="I2476" s="1">
        <f>grand[[#This Row],[number]]-grand[[#This Row],[received]]</f>
        <v>3</v>
      </c>
      <c r="J2476" s="30" t="s">
        <v>417</v>
      </c>
      <c r="K2476" s="9">
        <v>18735</v>
      </c>
      <c r="L2476" s="9">
        <v>18735</v>
      </c>
      <c r="M2476" s="2">
        <f>K2476-L2476</f>
        <v>0</v>
      </c>
      <c r="N2476" s="9">
        <v>11454.4</v>
      </c>
      <c r="O2476" s="9">
        <v>431</v>
      </c>
      <c r="P2476" s="7">
        <f>grand[[#This Row],[total weight]]/grand[[#This Row],[received]]</f>
        <v>480.38461538461536</v>
      </c>
      <c r="Q2476" s="7">
        <f>grand[[#This Row],[receiving weight]]/grand[[#This Row],[received]]</f>
        <v>480.38461538461536</v>
      </c>
      <c r="R2476" s="7">
        <f>grand[[#This Row],[transportation loss ]]/grand[[#This Row],[received]]</f>
        <v>0</v>
      </c>
      <c r="S2476" s="7">
        <f>grand[[#This Row],[ carcass weight]]/grand[[#This Row],[received]]</f>
        <v>293.70256410256411</v>
      </c>
      <c r="T2476" s="7">
        <f>grand[[#This Row],[ kidneys fat quantity]]/grand[[#This Row],[received]]</f>
        <v>11.051282051282051</v>
      </c>
      <c r="U2476" s="15">
        <v>25</v>
      </c>
      <c r="V2476" s="15">
        <v>0</v>
      </c>
      <c r="W2476" s="15">
        <v>49.717948717948715</v>
      </c>
      <c r="X2476" s="15">
        <v>10</v>
      </c>
      <c r="Y2476" s="8">
        <v>8.5</v>
      </c>
      <c r="Z2476" s="18">
        <f>grand[[#This Row],[av. Transportation loss]]/grand[[#This Row],[av.total weight]]</f>
        <v>0</v>
      </c>
      <c r="AA2476" s="12">
        <f>AVERAGE((grand[[#This Row],[am]]/25),(grand[[#This Row],[pm]]/50))</f>
        <v>0.99717948717948723</v>
      </c>
      <c r="AB2476" s="3">
        <f>grand[[#This Row],[ carcass weight]]/grand[[#This Row],[total weight]]</f>
        <v>0.61139044568988521</v>
      </c>
      <c r="AC2476" s="19">
        <f>SUM(grand[[#This Row],[am]:[meat transportation]])/100</f>
        <v>0.93217948717948718</v>
      </c>
      <c r="AD2476" s="2" t="s">
        <v>418</v>
      </c>
      <c r="AJ2476" s="1">
        <v>15</v>
      </c>
      <c r="AK2476" s="20"/>
      <c r="AL2476" s="1">
        <v>1300</v>
      </c>
    </row>
    <row r="2477" spans="1:38" hidden="1" x14ac:dyDescent="0.2">
      <c r="A2477" s="11">
        <v>44691</v>
      </c>
      <c r="B2477" s="53" t="s">
        <v>1631</v>
      </c>
      <c r="C2477" s="52" t="str">
        <f>IF(MID(B2477,4,2)="09","Ramadan",IF(AND(MID(B2477,4,2)="12",VALUE(LEFT(B2477,2))&lt;=9),"Adha Season","Normal"))</f>
        <v>Normal</v>
      </c>
      <c r="D2477" s="1" t="s">
        <v>45</v>
      </c>
      <c r="E2477" s="1" t="s">
        <v>481</v>
      </c>
      <c r="F2477" s="4" t="s">
        <v>39</v>
      </c>
      <c r="G2477" s="1">
        <v>40</v>
      </c>
      <c r="H2477" s="15">
        <v>37</v>
      </c>
      <c r="I2477" s="1">
        <f>grand[[#This Row],[number]]-grand[[#This Row],[received]]</f>
        <v>3</v>
      </c>
      <c r="J2477" s="30" t="s">
        <v>428</v>
      </c>
      <c r="K2477" s="9">
        <v>17123</v>
      </c>
      <c r="L2477" s="9">
        <v>16153</v>
      </c>
      <c r="M2477" s="2">
        <f>K2477-L2477</f>
        <v>970</v>
      </c>
      <c r="N2477" s="9">
        <v>10391.799999999999</v>
      </c>
      <c r="O2477" s="9">
        <v>370</v>
      </c>
      <c r="P2477" s="7">
        <f>grand[[#This Row],[total weight]]/grand[[#This Row],[received]]</f>
        <v>462.7837837837838</v>
      </c>
      <c r="Q2477" s="7">
        <f>grand[[#This Row],[receiving weight]]/grand[[#This Row],[received]]</f>
        <v>436.56756756756755</v>
      </c>
      <c r="R2477" s="7">
        <f>grand[[#This Row],[transportation loss ]]/grand[[#This Row],[received]]</f>
        <v>26.216216216216218</v>
      </c>
      <c r="S2477" s="7">
        <f>grand[[#This Row],[ carcass weight]]/grand[[#This Row],[received]]</f>
        <v>280.85945945945946</v>
      </c>
      <c r="T2477" s="7">
        <f>grand[[#This Row],[ kidneys fat quantity]]/grand[[#This Row],[received]]</f>
        <v>10</v>
      </c>
      <c r="U2477" s="15">
        <v>25</v>
      </c>
      <c r="V2477" s="15">
        <v>0</v>
      </c>
      <c r="W2477" s="15">
        <v>49.65</v>
      </c>
      <c r="X2477" s="15">
        <v>10</v>
      </c>
      <c r="Y2477" s="8">
        <v>8.5</v>
      </c>
      <c r="Z2477" s="18">
        <f>grand[[#This Row],[av. Transportation loss]]/grand[[#This Row],[av.total weight]]</f>
        <v>5.6648951702388602E-2</v>
      </c>
      <c r="AA2477" s="12">
        <f>AVERAGE((grand[[#This Row],[am]]/25),(grand[[#This Row],[pm]]/50))</f>
        <v>0.99649999999999994</v>
      </c>
      <c r="AB2477" s="3">
        <f>grand[[#This Row],[ carcass weight]]/grand[[#This Row],[total weight]]</f>
        <v>0.60689131577410493</v>
      </c>
      <c r="AC2477" s="19">
        <f>SUM(grand[[#This Row],[am]:[meat transportation]])/100</f>
        <v>0.93150000000000011</v>
      </c>
      <c r="AD2477" s="2" t="s">
        <v>373</v>
      </c>
      <c r="AJ2477" s="1">
        <v>3</v>
      </c>
      <c r="AK2477" s="20"/>
      <c r="AL2477" s="1">
        <f>1347+58</f>
        <v>1405</v>
      </c>
    </row>
    <row r="2478" spans="1:38" hidden="1" x14ac:dyDescent="0.2">
      <c r="A2478" s="11">
        <v>44703</v>
      </c>
      <c r="B2478" s="53" t="s">
        <v>1638</v>
      </c>
      <c r="C2478" s="52" t="str">
        <f>IF(MID(B2478,4,2)="09","Ramadan",IF(AND(MID(B2478,4,2)="12",VALUE(LEFT(B2478,2))&lt;=9),"Adha Season","Normal"))</f>
        <v>Normal</v>
      </c>
      <c r="D2478" s="1" t="s">
        <v>45</v>
      </c>
      <c r="F2478" s="4" t="s">
        <v>280</v>
      </c>
      <c r="G2478" s="1">
        <v>38</v>
      </c>
      <c r="H2478" s="15">
        <v>35</v>
      </c>
      <c r="I2478" s="1">
        <f>grand[[#This Row],[number]]-grand[[#This Row],[received]]</f>
        <v>3</v>
      </c>
      <c r="J2478" s="30" t="s">
        <v>428</v>
      </c>
      <c r="K2478" s="9">
        <v>17581</v>
      </c>
      <c r="L2478" s="9">
        <v>16785</v>
      </c>
      <c r="M2478" s="2">
        <f>K2478-L2478</f>
        <v>796</v>
      </c>
      <c r="N2478" s="9">
        <v>10549.4</v>
      </c>
      <c r="O2478" s="9">
        <v>379</v>
      </c>
      <c r="P2478" s="7">
        <f>grand[[#This Row],[total weight]]/grand[[#This Row],[received]]</f>
        <v>502.31428571428569</v>
      </c>
      <c r="Q2478" s="7">
        <f>grand[[#This Row],[receiving weight]]/grand[[#This Row],[received]]</f>
        <v>479.57142857142856</v>
      </c>
      <c r="R2478" s="7">
        <f>grand[[#This Row],[transportation loss ]]/grand[[#This Row],[received]]</f>
        <v>22.742857142857144</v>
      </c>
      <c r="S2478" s="7">
        <f>grand[[#This Row],[ carcass weight]]/grand[[#This Row],[received]]</f>
        <v>301.41142857142859</v>
      </c>
      <c r="T2478" s="7">
        <f>grand[[#This Row],[ kidneys fat quantity]]/grand[[#This Row],[received]]</f>
        <v>10.828571428571429</v>
      </c>
      <c r="U2478" s="15">
        <v>24</v>
      </c>
      <c r="V2478" s="15">
        <v>0</v>
      </c>
      <c r="W2478" s="15">
        <v>49.571428571428569</v>
      </c>
      <c r="X2478" s="15">
        <v>9.8571428571428577</v>
      </c>
      <c r="Y2478" s="8">
        <v>8.5</v>
      </c>
      <c r="Z2478" s="18">
        <f>grand[[#This Row],[av. Transportation loss]]/grand[[#This Row],[av.total weight]]</f>
        <v>4.5276150389625167E-2</v>
      </c>
      <c r="AA2478" s="12">
        <f>AVERAGE((grand[[#This Row],[am]]/25),(grand[[#This Row],[pm]]/50))</f>
        <v>0.97571428571428576</v>
      </c>
      <c r="AB2478" s="3">
        <f>grand[[#This Row],[ carcass weight]]/grand[[#This Row],[total weight]]</f>
        <v>0.60004550366873322</v>
      </c>
      <c r="AC2478" s="19">
        <f>SUM(grand[[#This Row],[am]:[meat transportation]])/100</f>
        <v>0.91928571428571426</v>
      </c>
      <c r="AD2478" s="2"/>
      <c r="AJ2478" s="1">
        <v>6</v>
      </c>
      <c r="AK2478" s="20"/>
      <c r="AL2478" s="1">
        <v>1305</v>
      </c>
    </row>
    <row r="2479" spans="1:38" hidden="1" x14ac:dyDescent="0.2">
      <c r="A2479" s="11">
        <v>44861</v>
      </c>
      <c r="B2479" s="53" t="s">
        <v>1725</v>
      </c>
      <c r="C2479" s="52" t="str">
        <f>IF(MID(B2479,4,2)="09","Ramadan",IF(AND(MID(B2479,4,2)="12",VALUE(LEFT(B2479,2))&lt;=9),"Adha Season","Normal"))</f>
        <v>Normal</v>
      </c>
      <c r="D2479" s="1" t="s">
        <v>45</v>
      </c>
      <c r="F2479" s="4" t="s">
        <v>462</v>
      </c>
      <c r="G2479" s="1">
        <v>27</v>
      </c>
      <c r="H2479" s="15">
        <v>24</v>
      </c>
      <c r="I2479" s="1">
        <f>grand[[#This Row],[number]]-grand[[#This Row],[received]]</f>
        <v>3</v>
      </c>
      <c r="J2479" s="30" t="s">
        <v>1134</v>
      </c>
      <c r="K2479" s="2">
        <v>11468.5</v>
      </c>
      <c r="L2479" s="2">
        <v>11468.5</v>
      </c>
      <c r="M2479" s="2">
        <f>K2479-L2479</f>
        <v>0</v>
      </c>
      <c r="N2479" s="2">
        <v>7228.9</v>
      </c>
      <c r="O2479" s="2">
        <v>0</v>
      </c>
      <c r="P2479" s="7">
        <f>grand[[#This Row],[total weight]]/grand[[#This Row],[received]]</f>
        <v>477.85416666666669</v>
      </c>
      <c r="Q2479" s="7">
        <f>grand[[#This Row],[receiving weight]]/grand[[#This Row],[received]]</f>
        <v>477.85416666666669</v>
      </c>
      <c r="R2479" s="7">
        <f>grand[[#This Row],[transportation loss ]]/grand[[#This Row],[received]]</f>
        <v>0</v>
      </c>
      <c r="S2479" s="7">
        <f>grand[[#This Row],[ carcass weight]]/grand[[#This Row],[received]]</f>
        <v>301.20416666666665</v>
      </c>
      <c r="T2479" s="7">
        <f>grand[[#This Row],[ kidneys fat quantity]]/grand[[#This Row],[received]]</f>
        <v>0</v>
      </c>
      <c r="U2479" s="15">
        <v>25</v>
      </c>
      <c r="V2479" s="15">
        <v>5</v>
      </c>
      <c r="W2479" s="15">
        <v>49.416666666666671</v>
      </c>
      <c r="X2479" s="15">
        <v>9.375</v>
      </c>
      <c r="Y2479" s="8">
        <v>8.5</v>
      </c>
      <c r="Z2479" s="20">
        <f>grand[[#This Row],[av. Transportation loss]]/grand[[#This Row],[av.total weight]]</f>
        <v>0</v>
      </c>
      <c r="AA2479" s="12">
        <f>AVERAGE((grand[[#This Row],[am]]/25),(grand[[#This Row],[pm]]/50))</f>
        <v>0.99416666666666664</v>
      </c>
      <c r="AB2479" s="12">
        <f>grand[[#This Row],[ carcass weight]]/grand[[#This Row],[total weight]]</f>
        <v>0.63032654662771936</v>
      </c>
      <c r="AC2479" s="22">
        <f>SUM(grand[[#This Row],[am]:[meat transportation]])/100</f>
        <v>0.97291666666666676</v>
      </c>
      <c r="AD2479" s="9" t="s">
        <v>479</v>
      </c>
      <c r="AK2479" s="20"/>
      <c r="AL2479" s="1"/>
    </row>
    <row r="2480" spans="1:38" hidden="1" x14ac:dyDescent="0.2">
      <c r="A2480" s="11">
        <v>44887</v>
      </c>
      <c r="B2480" s="53" t="s">
        <v>1741</v>
      </c>
      <c r="C2480" s="52" t="str">
        <f>IF(MID(B2480,4,2)="09","Ramadan",IF(AND(MID(B2480,4,2)="12",VALUE(LEFT(B2480,2))&lt;=9),"Adha Season","Normal"))</f>
        <v>Normal</v>
      </c>
      <c r="D2480" s="1" t="s">
        <v>45</v>
      </c>
      <c r="F2480" s="4" t="s">
        <v>39</v>
      </c>
      <c r="G2480" s="1">
        <v>42</v>
      </c>
      <c r="H2480" s="15">
        <v>39</v>
      </c>
      <c r="I2480" s="1">
        <f>grand[[#This Row],[number]]-grand[[#This Row],[received]]</f>
        <v>3</v>
      </c>
      <c r="J2480" s="30" t="s">
        <v>489</v>
      </c>
      <c r="K2480" s="2">
        <v>16537</v>
      </c>
      <c r="L2480" s="2">
        <v>15916</v>
      </c>
      <c r="M2480" s="2">
        <f>K2480-L2480</f>
        <v>621</v>
      </c>
      <c r="N2480" s="2">
        <v>10175.5</v>
      </c>
      <c r="O2480" s="2">
        <v>348</v>
      </c>
      <c r="P2480" s="7">
        <f>grand[[#This Row],[total weight]]/grand[[#This Row],[received]]</f>
        <v>424.02564102564105</v>
      </c>
      <c r="Q2480" s="7">
        <f>grand[[#This Row],[receiving weight]]/grand[[#This Row],[received]]</f>
        <v>408.10256410256409</v>
      </c>
      <c r="R2480" s="7">
        <f>grand[[#This Row],[transportation loss ]]/grand[[#This Row],[received]]</f>
        <v>15.923076923076923</v>
      </c>
      <c r="S2480" s="7">
        <f>grand[[#This Row],[ carcass weight]]/grand[[#This Row],[received]]</f>
        <v>260.91025641025641</v>
      </c>
      <c r="T2480" s="7">
        <f>grand[[#This Row],[ kidneys fat quantity]]/grand[[#This Row],[received]]</f>
        <v>8.9230769230769234</v>
      </c>
      <c r="U2480" s="15">
        <v>25</v>
      </c>
      <c r="V2480" s="15">
        <v>0</v>
      </c>
      <c r="W2480" s="15">
        <v>46.384615384615387</v>
      </c>
      <c r="X2480" s="15">
        <v>10</v>
      </c>
      <c r="Y2480" s="8">
        <v>8.5</v>
      </c>
      <c r="Z2480" s="20">
        <f>grand[[#This Row],[av. Transportation loss]]/grand[[#This Row],[av.total weight]]</f>
        <v>3.7552155771905425E-2</v>
      </c>
      <c r="AA2480" s="12">
        <f>AVERAGE((grand[[#This Row],[am]]/25),(grand[[#This Row],[pm]]/50))</f>
        <v>0.9638461538461538</v>
      </c>
      <c r="AB2480" s="12">
        <f>grand[[#This Row],[ carcass weight]]/grand[[#This Row],[total weight]]</f>
        <v>0.61531716756364518</v>
      </c>
      <c r="AC2480" s="22">
        <f>SUM(grand[[#This Row],[am]:[meat transportation]])/100</f>
        <v>0.89884615384615385</v>
      </c>
      <c r="AD2480" s="9" t="s">
        <v>501</v>
      </c>
      <c r="AJ2480" s="1">
        <v>2</v>
      </c>
      <c r="AK2480" s="20"/>
      <c r="AL2480" s="1">
        <v>1348.5</v>
      </c>
    </row>
    <row r="2481" spans="1:38" hidden="1" x14ac:dyDescent="0.2">
      <c r="A2481" s="11">
        <v>44924</v>
      </c>
      <c r="B2481" s="53" t="s">
        <v>1764</v>
      </c>
      <c r="C2481" s="52" t="str">
        <f>IF(MID(B2481,4,2)="09","Ramadan",IF(AND(MID(B2481,4,2)="12",VALUE(LEFT(B2481,2))&lt;=9),"Adha Season","Normal"))</f>
        <v>Normal</v>
      </c>
      <c r="D2481" s="1" t="s">
        <v>45</v>
      </c>
      <c r="F2481" s="4" t="s">
        <v>39</v>
      </c>
      <c r="G2481" s="1">
        <v>50</v>
      </c>
      <c r="H2481" s="15">
        <v>47</v>
      </c>
      <c r="I2481" s="1">
        <f>grand[[#This Row],[number]]-grand[[#This Row],[received]]</f>
        <v>3</v>
      </c>
      <c r="J2481" s="30" t="s">
        <v>514</v>
      </c>
      <c r="K2481" s="2">
        <v>21695</v>
      </c>
      <c r="L2481" s="2">
        <v>20786</v>
      </c>
      <c r="M2481" s="2">
        <f>K2481-L2481</f>
        <v>909</v>
      </c>
      <c r="N2481" s="2">
        <v>13345.4</v>
      </c>
      <c r="O2481" s="2">
        <v>419</v>
      </c>
      <c r="P2481" s="7">
        <f>grand[[#This Row],[total weight]]/grand[[#This Row],[received]]</f>
        <v>461.59574468085106</v>
      </c>
      <c r="Q2481" s="7">
        <f>grand[[#This Row],[receiving weight]]/grand[[#This Row],[received]]</f>
        <v>442.25531914893617</v>
      </c>
      <c r="R2481" s="7">
        <f>grand[[#This Row],[transportation loss ]]/grand[[#This Row],[received]]</f>
        <v>19.340425531914892</v>
      </c>
      <c r="S2481" s="7">
        <f>grand[[#This Row],[ carcass weight]]/grand[[#This Row],[received]]</f>
        <v>283.94468085106382</v>
      </c>
      <c r="T2481" s="7">
        <f>grand[[#This Row],[ kidneys fat quantity]]/grand[[#This Row],[received]]</f>
        <v>8.914893617021276</v>
      </c>
      <c r="U2481" s="15">
        <v>25</v>
      </c>
      <c r="V2481" s="15">
        <v>0</v>
      </c>
      <c r="W2481" s="15">
        <v>49.276595744680854</v>
      </c>
      <c r="X2481" s="15">
        <v>10</v>
      </c>
      <c r="Y2481" s="8">
        <v>8.5</v>
      </c>
      <c r="Z2481" s="21">
        <f>grand[[#This Row],[av. Transportation loss]]/grand[[#This Row],[av.total weight]]</f>
        <v>4.1899055081816086E-2</v>
      </c>
      <c r="AA2481" s="12">
        <f>AVERAGE((grand[[#This Row],[am]]/25),(grand[[#This Row],[pm]]/50))</f>
        <v>0.99276595744680862</v>
      </c>
      <c r="AB2481" s="23">
        <f>grand[[#This Row],[ carcass weight]]/grand[[#This Row],[total weight]]</f>
        <v>0.61513712837059231</v>
      </c>
      <c r="AC2481" s="24">
        <f>SUM(grand[[#This Row],[am]:[meat transportation]])/100</f>
        <v>0.92776595744680856</v>
      </c>
      <c r="AD2481" s="2" t="s">
        <v>515</v>
      </c>
      <c r="AJ2481" s="1">
        <v>9</v>
      </c>
      <c r="AK2481" s="20"/>
      <c r="AL2481" s="1">
        <v>1442</v>
      </c>
    </row>
    <row r="2482" spans="1:38" hidden="1" x14ac:dyDescent="0.2">
      <c r="A2482" s="11">
        <v>44938</v>
      </c>
      <c r="B2482" s="53" t="s">
        <v>1773</v>
      </c>
      <c r="C2482" s="52" t="str">
        <f>IF(MID(B2482,4,2)="09","Ramadan",IF(AND(MID(B2482,4,2)="12",VALUE(LEFT(B2482,2))&lt;=9),"Adha Season","Normal"))</f>
        <v>Normal</v>
      </c>
      <c r="D2482" s="1" t="s">
        <v>45</v>
      </c>
      <c r="E2482" s="1" t="s">
        <v>483</v>
      </c>
      <c r="F2482" s="4" t="s">
        <v>39</v>
      </c>
      <c r="G2482" s="1">
        <v>58</v>
      </c>
      <c r="H2482" s="15">
        <v>55</v>
      </c>
      <c r="I2482" s="1">
        <f>grand[[#This Row],[number]]-grand[[#This Row],[received]]</f>
        <v>3</v>
      </c>
      <c r="J2482" s="30" t="s">
        <v>526</v>
      </c>
      <c r="K2482" s="2">
        <v>24412</v>
      </c>
      <c r="L2482" s="2">
        <v>23403</v>
      </c>
      <c r="M2482" s="2">
        <f>K2482-L2482</f>
        <v>1009</v>
      </c>
      <c r="N2482" s="2">
        <v>15025.5</v>
      </c>
      <c r="O2482" s="2">
        <v>545</v>
      </c>
      <c r="P2482" s="7">
        <f>grand[[#This Row],[total weight]]/grand[[#This Row],[received]]</f>
        <v>443.85454545454547</v>
      </c>
      <c r="Q2482" s="7">
        <f>grand[[#This Row],[receiving weight]]/grand[[#This Row],[received]]</f>
        <v>425.5090909090909</v>
      </c>
      <c r="R2482" s="7">
        <f>grand[[#This Row],[transportation loss ]]/grand[[#This Row],[received]]</f>
        <v>18.345454545454544</v>
      </c>
      <c r="S2482" s="7">
        <f>grand[[#This Row],[ carcass weight]]/grand[[#This Row],[received]]</f>
        <v>273.19090909090909</v>
      </c>
      <c r="T2482" s="7">
        <f>grand[[#This Row],[ kidneys fat quantity]]/grand[[#This Row],[received]]</f>
        <v>9.9090909090909083</v>
      </c>
      <c r="U2482" s="15">
        <v>25</v>
      </c>
      <c r="V2482" s="15">
        <v>0</v>
      </c>
      <c r="W2482" s="15">
        <v>49.36363636363636</v>
      </c>
      <c r="X2482" s="15">
        <v>10</v>
      </c>
      <c r="Y2482" s="8">
        <v>8.5</v>
      </c>
      <c r="Z2482" s="21">
        <f>grand[[#This Row],[av. Transportation loss]]/grand[[#This Row],[av.total weight]]</f>
        <v>4.1332131738489264E-2</v>
      </c>
      <c r="AA2482" s="12">
        <f>AVERAGE((grand[[#This Row],[am]]/25),(grand[[#This Row],[pm]]/50))</f>
        <v>0.99363636363636365</v>
      </c>
      <c r="AB2482" s="23">
        <f>grand[[#This Row],[ carcass weight]]/grand[[#This Row],[total weight]]</f>
        <v>0.61549647714238898</v>
      </c>
      <c r="AC2482" s="24">
        <f>SUM(grand[[#This Row],[am]:[meat transportation]])/100</f>
        <v>0.92863636363636359</v>
      </c>
      <c r="AD2482" s="2" t="s">
        <v>527</v>
      </c>
      <c r="AJ2482" s="1">
        <v>0</v>
      </c>
      <c r="AK2482" s="20"/>
      <c r="AL2482" s="1">
        <v>1347</v>
      </c>
    </row>
    <row r="2483" spans="1:38" hidden="1" x14ac:dyDescent="0.2">
      <c r="A2483" s="11">
        <v>44951</v>
      </c>
      <c r="B2483" s="53" t="s">
        <v>1781</v>
      </c>
      <c r="C2483" s="52" t="str">
        <f>IF(MID(B2483,4,2)="09","Ramadan",IF(AND(MID(B2483,4,2)="12",VALUE(LEFT(B2483,2))&lt;=9),"Adha Season","Normal"))</f>
        <v>Normal</v>
      </c>
      <c r="D2483" s="1" t="s">
        <v>45</v>
      </c>
      <c r="E2483" s="1" t="s">
        <v>528</v>
      </c>
      <c r="F2483" s="4" t="s">
        <v>462</v>
      </c>
      <c r="G2483" s="1">
        <v>22</v>
      </c>
      <c r="H2483" s="15">
        <v>19</v>
      </c>
      <c r="I2483" s="1">
        <f>grand[[#This Row],[number]]-grand[[#This Row],[received]]</f>
        <v>3</v>
      </c>
      <c r="J2483" s="30" t="s">
        <v>1135</v>
      </c>
      <c r="K2483" s="2">
        <v>8147.4683544303798</v>
      </c>
      <c r="L2483" s="2">
        <v>8147.4683544303798</v>
      </c>
      <c r="M2483" s="2">
        <f>K2483-L2483</f>
        <v>0</v>
      </c>
      <c r="N2483" s="2">
        <v>5149.2</v>
      </c>
      <c r="O2483" s="2"/>
      <c r="P2483" s="7">
        <f>grand[[#This Row],[total weight]]/grand[[#This Row],[received]]</f>
        <v>428.81412391738843</v>
      </c>
      <c r="Q2483" s="7">
        <f>grand[[#This Row],[receiving weight]]/grand[[#This Row],[received]]</f>
        <v>428.81412391738843</v>
      </c>
      <c r="R2483" s="7">
        <f>grand[[#This Row],[transportation loss ]]/grand[[#This Row],[received]]</f>
        <v>0</v>
      </c>
      <c r="S2483" s="7">
        <f>grand[[#This Row],[ carcass weight]]/grand[[#This Row],[received]]</f>
        <v>271.01052631578949</v>
      </c>
      <c r="T2483" s="7">
        <f>grand[[#This Row],[ kidneys fat quantity]]/grand[[#This Row],[received]]</f>
        <v>0</v>
      </c>
      <c r="U2483" s="15">
        <v>25</v>
      </c>
      <c r="V2483" s="15">
        <v>5</v>
      </c>
      <c r="W2483" s="15">
        <v>47</v>
      </c>
      <c r="X2483" s="15">
        <v>9.7368421052631575</v>
      </c>
      <c r="Y2483" s="8">
        <v>7.8684210526315788</v>
      </c>
      <c r="Z2483" s="21">
        <f>grand[[#This Row],[av. Transportation loss]]/grand[[#This Row],[av.total weight]]</f>
        <v>0</v>
      </c>
      <c r="AA2483" s="12">
        <f>AVERAGE((grand[[#This Row],[am]]/25),(grand[[#This Row],[pm]]/50))</f>
        <v>0.97</v>
      </c>
      <c r="AB2483" s="23">
        <f>grand[[#This Row],[ carcass weight]]/grand[[#This Row],[total weight]]</f>
        <v>0.63200000000000001</v>
      </c>
      <c r="AC2483" s="24">
        <f>SUM(grand[[#This Row],[am]:[meat transportation]])/100</f>
        <v>0.94605263157894726</v>
      </c>
      <c r="AD2483" s="2"/>
      <c r="AK2483" s="20"/>
      <c r="AL2483" s="1">
        <v>1110</v>
      </c>
    </row>
    <row r="2484" spans="1:38" hidden="1" x14ac:dyDescent="0.2">
      <c r="A2484" s="11">
        <v>45003</v>
      </c>
      <c r="B2484" s="53" t="s">
        <v>1818</v>
      </c>
      <c r="C2484" s="52" t="str">
        <f>IF(MID(B2484,4,2)="09","Ramadan",IF(AND(MID(B2484,4,2)="12",VALUE(LEFT(B2484,2))&lt;=9),"Adha Season","Normal"))</f>
        <v>Normal</v>
      </c>
      <c r="D2484" s="1" t="s">
        <v>45</v>
      </c>
      <c r="E2484" s="1" t="s">
        <v>554</v>
      </c>
      <c r="F2484" s="4" t="s">
        <v>280</v>
      </c>
      <c r="G2484" s="1">
        <v>19</v>
      </c>
      <c r="H2484" s="1">
        <v>16</v>
      </c>
      <c r="I2484" s="1">
        <f>grand[[#This Row],[number]]-grand[[#This Row],[received]]</f>
        <v>3</v>
      </c>
      <c r="J2484" s="30" t="s">
        <v>555</v>
      </c>
      <c r="K2484" s="2">
        <v>9978.3333333333339</v>
      </c>
      <c r="L2484" s="2">
        <v>9978.3333333333339</v>
      </c>
      <c r="M2484" s="2">
        <f>K2484-L2484</f>
        <v>0</v>
      </c>
      <c r="N2484" s="2">
        <v>5987</v>
      </c>
      <c r="O2484" s="2">
        <v>135</v>
      </c>
      <c r="P2484" s="7">
        <f>grand[[#This Row],[total weight]]/grand[[#This Row],[received]]</f>
        <v>623.64583333333337</v>
      </c>
      <c r="Q2484" s="7">
        <f>grand[[#This Row],[receiving weight]]/grand[[#This Row],[received]]</f>
        <v>623.64583333333337</v>
      </c>
      <c r="R2484" s="7">
        <f>grand[[#This Row],[transportation loss ]]/grand[[#This Row],[received]]</f>
        <v>0</v>
      </c>
      <c r="S2484" s="7">
        <f>grand[[#This Row],[ carcass weight]]/grand[[#This Row],[received]]</f>
        <v>374.1875</v>
      </c>
      <c r="T2484" s="7">
        <f>grand[[#This Row],[ kidneys fat quantity]]/grand[[#This Row],[received]]</f>
        <v>8.4375</v>
      </c>
      <c r="U2484" s="1">
        <v>25</v>
      </c>
      <c r="V2484" s="1">
        <v>0</v>
      </c>
      <c r="W2484" s="1">
        <v>45</v>
      </c>
      <c r="X2484" s="1">
        <v>10</v>
      </c>
      <c r="Y2484" s="1">
        <v>8.5</v>
      </c>
      <c r="Z2484" s="18">
        <f>grand[[#This Row],[av. Transportation loss]]/grand[[#This Row],[av.total weight]]</f>
        <v>0</v>
      </c>
      <c r="AA2484" s="12">
        <f>AVERAGE((grand[[#This Row],[am]]/25),(grand[[#This Row],[pm]]/50))</f>
        <v>0.95</v>
      </c>
      <c r="AB2484" s="3">
        <f>grand[[#This Row],[ carcass weight]]/grand[[#This Row],[total weight]]</f>
        <v>0.6</v>
      </c>
      <c r="AC2484" s="18">
        <f>SUM(grand[[#This Row],[am]:[meat transportation]])/100</f>
        <v>0.88500000000000001</v>
      </c>
      <c r="AJ2484" s="1">
        <v>16</v>
      </c>
      <c r="AK2484" s="1"/>
      <c r="AL2484" s="1">
        <v>1575.4736842105262</v>
      </c>
    </row>
    <row r="2485" spans="1:38" hidden="1" x14ac:dyDescent="0.2">
      <c r="A2485" s="11">
        <v>45057</v>
      </c>
      <c r="B2485" s="53" t="s">
        <v>2792</v>
      </c>
      <c r="C2485" s="52" t="str">
        <f>IF(MID(B2485,4,2)="09","Ramadan",IF(AND(MID(B2485,4,2)="12",VALUE(LEFT(B2485,2))&lt;=9),"Adha Season","Normal"))</f>
        <v>Normal</v>
      </c>
      <c r="D2485" s="1" t="s">
        <v>45</v>
      </c>
      <c r="E2485" s="1" t="s">
        <v>483</v>
      </c>
      <c r="F2485" s="4" t="s">
        <v>46</v>
      </c>
      <c r="G2485" s="1">
        <v>39</v>
      </c>
      <c r="H2485" s="1">
        <v>36</v>
      </c>
      <c r="I2485" s="1">
        <f>grand[[#This Row],[number]]-grand[[#This Row],[received]]</f>
        <v>3</v>
      </c>
      <c r="J2485" s="30" t="s">
        <v>564</v>
      </c>
      <c r="K2485" s="2">
        <v>16175</v>
      </c>
      <c r="L2485" s="2">
        <v>16175</v>
      </c>
      <c r="M2485" s="2">
        <f>K2485-L2485</f>
        <v>0</v>
      </c>
      <c r="N2485" s="2">
        <v>9705.2999999999993</v>
      </c>
      <c r="O2485" s="2">
        <v>247</v>
      </c>
      <c r="P2485" s="7">
        <f>grand[[#This Row],[total weight]]/grand[[#This Row],[received]]</f>
        <v>449.30555555555554</v>
      </c>
      <c r="Q2485" s="7">
        <f>grand[[#This Row],[receiving weight]]/grand[[#This Row],[received]]</f>
        <v>449.30555555555554</v>
      </c>
      <c r="R2485" s="7">
        <f>grand[[#This Row],[transportation loss ]]/grand[[#This Row],[received]]</f>
        <v>0</v>
      </c>
      <c r="S2485" s="7">
        <f>grand[[#This Row],[ carcass weight]]/grand[[#This Row],[received]]</f>
        <v>269.59166666666664</v>
      </c>
      <c r="T2485" s="7">
        <f>grand[[#This Row],[ kidneys fat quantity]]/grand[[#This Row],[received]]</f>
        <v>6.8611111111111107</v>
      </c>
      <c r="U2485" s="1">
        <v>24.583333333333332</v>
      </c>
      <c r="V2485" s="1">
        <v>0</v>
      </c>
      <c r="W2485" s="1">
        <v>49.138888888888886</v>
      </c>
      <c r="X2485" s="1">
        <v>10</v>
      </c>
      <c r="Y2485" s="1">
        <v>8.5</v>
      </c>
      <c r="Z2485" s="18">
        <f>grand[[#This Row],[av. Transportation loss]]/grand[[#This Row],[av.total weight]]</f>
        <v>0</v>
      </c>
      <c r="AA2485" s="12">
        <f>AVERAGE((grand[[#This Row],[am]]/25),(grand[[#This Row],[pm]]/50))</f>
        <v>0.98305555555555557</v>
      </c>
      <c r="AB2485" s="3">
        <f>grand[[#This Row],[ carcass weight]]/grand[[#This Row],[total weight]]</f>
        <v>0.60001854714064906</v>
      </c>
      <c r="AC2485" s="18">
        <f>SUM(grand[[#This Row],[am]:[meat transportation]])/100</f>
        <v>0.92222222222222217</v>
      </c>
      <c r="AJ2485" s="1">
        <v>8</v>
      </c>
      <c r="AK2485" s="1"/>
      <c r="AL2485" s="1">
        <v>1650</v>
      </c>
    </row>
    <row r="2486" spans="1:38" hidden="1" x14ac:dyDescent="0.2">
      <c r="A2486" s="11">
        <v>45097</v>
      </c>
      <c r="B2486" s="53" t="s">
        <v>1852</v>
      </c>
      <c r="C2486" s="52" t="str">
        <f>IF(MID(B2486,4,2)="09","Ramadan",IF(AND(MID(B2486,4,2)="12",VALUE(LEFT(B2486,2))&lt;=9),"Adha Season","Normal"))</f>
        <v>Adha Season</v>
      </c>
      <c r="D2486" s="1" t="s">
        <v>45</v>
      </c>
      <c r="E2486" s="1" t="s">
        <v>483</v>
      </c>
      <c r="F2486" s="4" t="s">
        <v>280</v>
      </c>
      <c r="G2486" s="1">
        <v>43</v>
      </c>
      <c r="H2486" s="1">
        <v>40</v>
      </c>
      <c r="I2486" s="1">
        <f>grand[[#This Row],[number]]-grand[[#This Row],[received]]</f>
        <v>3</v>
      </c>
      <c r="J2486" s="30" t="s">
        <v>571</v>
      </c>
      <c r="K2486" s="2">
        <v>20435</v>
      </c>
      <c r="L2486" s="2">
        <v>20435</v>
      </c>
      <c r="M2486" s="2">
        <f>K2486-L2486</f>
        <v>0</v>
      </c>
      <c r="N2486" s="2">
        <v>12260.2</v>
      </c>
      <c r="O2486" s="2">
        <v>415</v>
      </c>
      <c r="P2486" s="7">
        <f>grand[[#This Row],[total weight]]/grand[[#This Row],[received]]</f>
        <v>510.875</v>
      </c>
      <c r="Q2486" s="7">
        <f>grand[[#This Row],[receiving weight]]/grand[[#This Row],[received]]</f>
        <v>510.875</v>
      </c>
      <c r="R2486" s="7">
        <f>grand[[#This Row],[transportation loss ]]/grand[[#This Row],[received]]</f>
        <v>0</v>
      </c>
      <c r="S2486" s="7">
        <f>grand[[#This Row],[ carcass weight]]/grand[[#This Row],[received]]</f>
        <v>306.505</v>
      </c>
      <c r="T2486" s="7">
        <f>grand[[#This Row],[ kidneys fat quantity]]/grand[[#This Row],[received]]</f>
        <v>10.375</v>
      </c>
      <c r="U2486" s="1">
        <v>24.5</v>
      </c>
      <c r="V2486" s="1">
        <v>0</v>
      </c>
      <c r="W2486" s="1">
        <v>48.95</v>
      </c>
      <c r="X2486" s="1">
        <v>10</v>
      </c>
      <c r="Y2486" s="1">
        <v>8.5</v>
      </c>
      <c r="Z2486" s="18">
        <f>grand[[#This Row],[av. Transportation loss]]/grand[[#This Row],[av.total weight]]</f>
        <v>0</v>
      </c>
      <c r="AA2486" s="12">
        <f>AVERAGE((grand[[#This Row],[am]]/25),(grand[[#This Row],[pm]]/50))</f>
        <v>0.97950000000000004</v>
      </c>
      <c r="AB2486" s="3">
        <f>grand[[#This Row],[ carcass weight]]/grand[[#This Row],[total weight]]</f>
        <v>0.59996085148030343</v>
      </c>
      <c r="AC2486" s="18">
        <f>SUM(grand[[#This Row],[am]:[meat transportation]])/100</f>
        <v>0.91949999999999998</v>
      </c>
      <c r="AJ2486" s="1">
        <v>17</v>
      </c>
      <c r="AK2486" s="1"/>
      <c r="AL2486" s="1"/>
    </row>
    <row r="2487" spans="1:38" hidden="1" x14ac:dyDescent="0.2">
      <c r="A2487" s="11">
        <v>45101</v>
      </c>
      <c r="B2487" s="53" t="s">
        <v>1856</v>
      </c>
      <c r="C2487" s="52" t="str">
        <f>IF(MID(B2487,4,2)="09","Ramadan",IF(AND(MID(B2487,4,2)="12",VALUE(LEFT(B2487,2))&lt;=9),"Adha Season","Normal"))</f>
        <v>Adha Season</v>
      </c>
      <c r="D2487" s="1" t="s">
        <v>45</v>
      </c>
      <c r="E2487" s="1" t="s">
        <v>483</v>
      </c>
      <c r="F2487" s="4" t="s">
        <v>43</v>
      </c>
      <c r="G2487" s="1">
        <v>63</v>
      </c>
      <c r="H2487" s="1">
        <v>60</v>
      </c>
      <c r="I2487" s="1">
        <f>grand[[#This Row],[number]]-grand[[#This Row],[received]]</f>
        <v>3</v>
      </c>
      <c r="J2487" s="30" t="s">
        <v>572</v>
      </c>
      <c r="K2487" s="2">
        <v>29536</v>
      </c>
      <c r="L2487" s="2">
        <v>29536</v>
      </c>
      <c r="M2487" s="2">
        <f>K2487-L2487</f>
        <v>0</v>
      </c>
      <c r="N2487" s="2">
        <v>17722.900000000001</v>
      </c>
      <c r="O2487" s="2">
        <v>591</v>
      </c>
      <c r="P2487" s="7">
        <f>grand[[#This Row],[total weight]]/grand[[#This Row],[received]]</f>
        <v>492.26666666666665</v>
      </c>
      <c r="Q2487" s="7">
        <f>grand[[#This Row],[receiving weight]]/grand[[#This Row],[received]]</f>
        <v>492.26666666666665</v>
      </c>
      <c r="R2487" s="7">
        <f>grand[[#This Row],[transportation loss ]]/grand[[#This Row],[received]]</f>
        <v>0</v>
      </c>
      <c r="S2487" s="7">
        <f>grand[[#This Row],[ carcass weight]]/grand[[#This Row],[received]]</f>
        <v>295.38166666666672</v>
      </c>
      <c r="T2487" s="7">
        <f>grand[[#This Row],[ kidneys fat quantity]]/grand[[#This Row],[received]]</f>
        <v>9.85</v>
      </c>
      <c r="U2487" s="1">
        <v>24.75</v>
      </c>
      <c r="V2487" s="1">
        <v>0</v>
      </c>
      <c r="W2487" s="1">
        <v>48.949999999999996</v>
      </c>
      <c r="X2487" s="1">
        <v>10</v>
      </c>
      <c r="Y2487" s="1">
        <v>8.5</v>
      </c>
      <c r="Z2487" s="18">
        <f>grand[[#This Row],[av. Transportation loss]]/grand[[#This Row],[av.total weight]]</f>
        <v>0</v>
      </c>
      <c r="AA2487" s="12">
        <f>AVERAGE((grand[[#This Row],[am]]/25),(grand[[#This Row],[pm]]/50))</f>
        <v>0.98449999999999993</v>
      </c>
      <c r="AB2487" s="3">
        <f>grand[[#This Row],[ carcass weight]]/grand[[#This Row],[total weight]]</f>
        <v>0.60004401408450714</v>
      </c>
      <c r="AC2487" s="18">
        <f>SUM(grand[[#This Row],[am]:[meat transportation]])/100</f>
        <v>0.92199999999999993</v>
      </c>
      <c r="AJ2487" s="1">
        <v>0</v>
      </c>
      <c r="AK2487" s="1"/>
      <c r="AL2487" s="1"/>
    </row>
    <row r="2488" spans="1:38" hidden="1" x14ac:dyDescent="0.2">
      <c r="A2488" s="11">
        <v>45144</v>
      </c>
      <c r="B2488" s="53" t="s">
        <v>2817</v>
      </c>
      <c r="C2488" s="52" t="str">
        <f>IF(MID(B2488,4,2)="09","Ramadan",IF(AND(MID(B2488,4,2)="12",VALUE(LEFT(B2488,2))&lt;=9),"Adha Season","Normal"))</f>
        <v>Normal</v>
      </c>
      <c r="D2488" s="1" t="s">
        <v>45</v>
      </c>
      <c r="E2488" s="1" t="s">
        <v>483</v>
      </c>
      <c r="F2488" s="4" t="s">
        <v>39</v>
      </c>
      <c r="G2488" s="1">
        <v>40</v>
      </c>
      <c r="H2488" s="1">
        <v>37</v>
      </c>
      <c r="I2488" s="1">
        <f>grand[[#This Row],[number]]-grand[[#This Row],[received]]</f>
        <v>3</v>
      </c>
      <c r="J2488" s="30" t="s">
        <v>580</v>
      </c>
      <c r="K2488" s="2">
        <v>16054</v>
      </c>
      <c r="L2488" s="2">
        <v>16054</v>
      </c>
      <c r="M2488" s="2">
        <f>K2488-L2488</f>
        <v>0</v>
      </c>
      <c r="N2488" s="2">
        <v>9868.7999999999993</v>
      </c>
      <c r="O2488" s="2">
        <v>314</v>
      </c>
      <c r="P2488" s="7">
        <f>grand[[#This Row],[total weight]]/grand[[#This Row],[received]]</f>
        <v>433.89189189189187</v>
      </c>
      <c r="Q2488" s="7">
        <f>grand[[#This Row],[receiving weight]]/grand[[#This Row],[received]]</f>
        <v>433.89189189189187</v>
      </c>
      <c r="R2488" s="7">
        <f>grand[[#This Row],[transportation loss ]]/grand[[#This Row],[received]]</f>
        <v>0</v>
      </c>
      <c r="S2488" s="7">
        <f>grand[[#This Row],[ carcass weight]]/grand[[#This Row],[received]]</f>
        <v>266.7243243243243</v>
      </c>
      <c r="T2488" s="7">
        <f>grand[[#This Row],[ kidneys fat quantity]]/grand[[#This Row],[received]]</f>
        <v>8.486486486486486</v>
      </c>
      <c r="U2488" s="1">
        <v>25</v>
      </c>
      <c r="V2488" s="1">
        <v>0</v>
      </c>
      <c r="W2488" s="1">
        <v>49.702702702702709</v>
      </c>
      <c r="X2488" s="1">
        <v>10</v>
      </c>
      <c r="Y2488" s="1">
        <v>8.5</v>
      </c>
      <c r="Z2488" s="18">
        <f>grand[[#This Row],[av. Transportation loss]]/grand[[#This Row],[av.total weight]]</f>
        <v>0</v>
      </c>
      <c r="AA2488" s="12">
        <f>AVERAGE((grand[[#This Row],[am]]/25),(grand[[#This Row],[pm]]/50))</f>
        <v>0.99702702702702717</v>
      </c>
      <c r="AB2488" s="3">
        <f>grand[[#This Row],[ carcass weight]]/grand[[#This Row],[total weight]]</f>
        <v>0.61472530210539422</v>
      </c>
      <c r="AC2488" s="18">
        <f>SUM(grand[[#This Row],[am]:[meat transportation]])/100</f>
        <v>0.93202702702702711</v>
      </c>
      <c r="AJ2488" s="1">
        <v>4</v>
      </c>
      <c r="AK2488" s="1"/>
      <c r="AL2488" s="1"/>
    </row>
    <row r="2489" spans="1:38" hidden="1" x14ac:dyDescent="0.2">
      <c r="A2489" s="11">
        <v>45147</v>
      </c>
      <c r="B2489" s="53" t="s">
        <v>1869</v>
      </c>
      <c r="C2489" s="52" t="str">
        <f>IF(MID(B2489,4,2)="09","Ramadan",IF(AND(MID(B2489,4,2)="12",VALUE(LEFT(B2489,2))&lt;=9),"Adha Season","Normal"))</f>
        <v>Normal</v>
      </c>
      <c r="D2489" s="1" t="s">
        <v>45</v>
      </c>
      <c r="E2489" s="1" t="s">
        <v>483</v>
      </c>
      <c r="F2489" s="4" t="s">
        <v>280</v>
      </c>
      <c r="G2489" s="1">
        <v>33</v>
      </c>
      <c r="H2489" s="1">
        <v>30</v>
      </c>
      <c r="I2489" s="1">
        <f>grand[[#This Row],[number]]-grand[[#This Row],[received]]</f>
        <v>3</v>
      </c>
      <c r="J2489" s="30" t="s">
        <v>582</v>
      </c>
      <c r="K2489" s="2">
        <v>12992</v>
      </c>
      <c r="L2489" s="2">
        <v>12992</v>
      </c>
      <c r="M2489" s="2">
        <f>K2489-L2489</f>
        <v>0</v>
      </c>
      <c r="N2489" s="2">
        <v>7795</v>
      </c>
      <c r="O2489" s="2">
        <v>277</v>
      </c>
      <c r="P2489" s="7">
        <f>grand[[#This Row],[total weight]]/grand[[#This Row],[received]]</f>
        <v>433.06666666666666</v>
      </c>
      <c r="Q2489" s="7">
        <f>grand[[#This Row],[receiving weight]]/grand[[#This Row],[received]]</f>
        <v>433.06666666666666</v>
      </c>
      <c r="R2489" s="7">
        <f>grand[[#This Row],[transportation loss ]]/grand[[#This Row],[received]]</f>
        <v>0</v>
      </c>
      <c r="S2489" s="7">
        <f>grand[[#This Row],[ carcass weight]]/grand[[#This Row],[received]]</f>
        <v>259.83333333333331</v>
      </c>
      <c r="T2489" s="7">
        <f>grand[[#This Row],[ kidneys fat quantity]]/grand[[#This Row],[received]]</f>
        <v>9.2333333333333325</v>
      </c>
      <c r="U2489" s="1">
        <v>24.833333333333332</v>
      </c>
      <c r="V2489" s="1">
        <v>0</v>
      </c>
      <c r="W2489" s="1">
        <v>47.766666666666673</v>
      </c>
      <c r="X2489" s="1">
        <v>10</v>
      </c>
      <c r="Y2489" s="1">
        <v>8.5</v>
      </c>
      <c r="Z2489" s="18">
        <f>grand[[#This Row],[av. Transportation loss]]/grand[[#This Row],[av.total weight]]</f>
        <v>0</v>
      </c>
      <c r="AA2489" s="12">
        <f>AVERAGE((grand[[#This Row],[am]]/25),(grand[[#This Row],[pm]]/50))</f>
        <v>0.97433333333333338</v>
      </c>
      <c r="AB2489" s="3">
        <f>grand[[#This Row],[ carcass weight]]/grand[[#This Row],[total weight]]</f>
        <v>0.59998460591133007</v>
      </c>
      <c r="AC2489" s="18">
        <f>SUM(grand[[#This Row],[am]:[meat transportation]])/100</f>
        <v>0.91100000000000003</v>
      </c>
      <c r="AJ2489" s="1">
        <v>7</v>
      </c>
      <c r="AK2489" s="1"/>
      <c r="AL2489" s="1"/>
    </row>
    <row r="2490" spans="1:38" hidden="1" x14ac:dyDescent="0.2">
      <c r="A2490" s="11">
        <v>45183</v>
      </c>
      <c r="B2490" s="53" t="s">
        <v>1884</v>
      </c>
      <c r="C2490" s="52" t="str">
        <f>IF(MID(B2490,4,2)="09","Ramadan",IF(AND(MID(B2490,4,2)="12",VALUE(LEFT(B2490,2))&lt;=9),"Adha Season","Normal"))</f>
        <v>Normal</v>
      </c>
      <c r="D2490" s="1" t="s">
        <v>45</v>
      </c>
      <c r="E2490" s="1" t="s">
        <v>483</v>
      </c>
      <c r="F2490" s="4" t="s">
        <v>280</v>
      </c>
      <c r="G2490" s="1">
        <v>45</v>
      </c>
      <c r="H2490" s="1">
        <v>42</v>
      </c>
      <c r="I2490" s="1">
        <f>grand[[#This Row],[number]]-grand[[#This Row],[received]]</f>
        <v>3</v>
      </c>
      <c r="J2490" s="30" t="s">
        <v>587</v>
      </c>
      <c r="K2490" s="2">
        <v>18598</v>
      </c>
      <c r="L2490" s="2">
        <v>17915</v>
      </c>
      <c r="M2490" s="2">
        <f>K2490-L2490</f>
        <v>683</v>
      </c>
      <c r="N2490" s="2">
        <v>11159.5</v>
      </c>
      <c r="O2490" s="2">
        <v>334</v>
      </c>
      <c r="P2490" s="7">
        <f>grand[[#This Row],[total weight]]/grand[[#This Row],[received]]</f>
        <v>442.8095238095238</v>
      </c>
      <c r="Q2490" s="7">
        <f>grand[[#This Row],[receiving weight]]/grand[[#This Row],[received]]</f>
        <v>426.54761904761904</v>
      </c>
      <c r="R2490" s="7">
        <f>grand[[#This Row],[transportation loss ]]/grand[[#This Row],[received]]</f>
        <v>16.261904761904763</v>
      </c>
      <c r="S2490" s="7">
        <f>grand[[#This Row],[ carcass weight]]/grand[[#This Row],[received]]</f>
        <v>265.70238095238096</v>
      </c>
      <c r="T2490" s="7">
        <f>grand[[#This Row],[ kidneys fat quantity]]/grand[[#This Row],[received]]</f>
        <v>7.9523809523809526</v>
      </c>
      <c r="U2490" s="1">
        <v>25</v>
      </c>
      <c r="V2490" s="1">
        <v>0</v>
      </c>
      <c r="W2490" s="1">
        <v>49.785714285714285</v>
      </c>
      <c r="X2490" s="1">
        <v>10</v>
      </c>
      <c r="Y2490" s="1">
        <v>8.5</v>
      </c>
      <c r="Z2490" s="18">
        <f>grand[[#This Row],[av. Transportation loss]]/grand[[#This Row],[av.total weight]]</f>
        <v>3.6724378965480163E-2</v>
      </c>
      <c r="AA2490" s="12">
        <f>AVERAGE((grand[[#This Row],[am]]/25),(grand[[#This Row],[pm]]/50))</f>
        <v>0.99785714285714278</v>
      </c>
      <c r="AB2490" s="3">
        <f>grand[[#This Row],[ carcass weight]]/grand[[#This Row],[total weight]]</f>
        <v>0.60003763845574798</v>
      </c>
      <c r="AC2490" s="18">
        <f>SUM(grand[[#This Row],[am]:[meat transportation]])/100</f>
        <v>0.93285714285714283</v>
      </c>
      <c r="AJ2490" s="1">
        <v>7</v>
      </c>
      <c r="AK2490" s="1"/>
      <c r="AL2490" s="1"/>
    </row>
    <row r="2491" spans="1:38" hidden="1" x14ac:dyDescent="0.2">
      <c r="A2491" s="11">
        <v>45234</v>
      </c>
      <c r="B2491" s="53" t="s">
        <v>2841</v>
      </c>
      <c r="C2491" s="52" t="str">
        <f>IF(MID(B2491,4,2)="09","Ramadan",IF(AND(MID(B2491,4,2)="12",VALUE(LEFT(B2491,2))&lt;=9),"Adha Season","Normal"))</f>
        <v>Normal</v>
      </c>
      <c r="D2491" s="1" t="s">
        <v>45</v>
      </c>
      <c r="E2491" s="1" t="s">
        <v>483</v>
      </c>
      <c r="F2491" s="4" t="s">
        <v>576</v>
      </c>
      <c r="G2491" s="1">
        <v>46</v>
      </c>
      <c r="H2491" s="1">
        <v>43</v>
      </c>
      <c r="I2491" s="1">
        <f>grand[[#This Row],[number]]-grand[[#This Row],[received]]</f>
        <v>3</v>
      </c>
      <c r="J2491" s="30" t="s">
        <v>1138</v>
      </c>
      <c r="K2491" s="2">
        <v>22030</v>
      </c>
      <c r="L2491" s="2">
        <v>21290</v>
      </c>
      <c r="M2491" s="2">
        <f>K2491-L2491</f>
        <v>740</v>
      </c>
      <c r="N2491" s="2">
        <v>13424.4</v>
      </c>
      <c r="O2491" s="2">
        <v>322</v>
      </c>
      <c r="P2491" s="7">
        <f>grand[[#This Row],[total weight]]/grand[[#This Row],[received]]</f>
        <v>512.32558139534888</v>
      </c>
      <c r="Q2491" s="7">
        <f>grand[[#This Row],[receiving weight]]/grand[[#This Row],[received]]</f>
        <v>495.11627906976742</v>
      </c>
      <c r="R2491" s="7">
        <f>grand[[#This Row],[transportation loss ]]/grand[[#This Row],[received]]</f>
        <v>17.209302325581394</v>
      </c>
      <c r="S2491" s="7">
        <f>grand[[#This Row],[ carcass weight]]/grand[[#This Row],[received]]</f>
        <v>312.19534883720928</v>
      </c>
      <c r="T2491" s="7">
        <f>grand[[#This Row],[ kidneys fat quantity]]/grand[[#This Row],[received]]</f>
        <v>7.4883720930232558</v>
      </c>
      <c r="U2491" s="1">
        <v>25</v>
      </c>
      <c r="V2491" s="1">
        <v>0</v>
      </c>
      <c r="W2491" s="1">
        <v>46.744186046511629</v>
      </c>
      <c r="X2491" s="1">
        <v>10</v>
      </c>
      <c r="Y2491" s="1">
        <v>8.5</v>
      </c>
      <c r="Z2491" s="18">
        <f>grand[[#This Row],[av. Transportation loss]]/grand[[#This Row],[av.total weight]]</f>
        <v>3.3590558329550609E-2</v>
      </c>
      <c r="AA2491" s="12">
        <f>AVERAGE((grand[[#This Row],[am]]/25),(grand[[#This Row],[pm]]/50))</f>
        <v>0.96744186046511627</v>
      </c>
      <c r="AB2491" s="3">
        <f>grand[[#This Row],[ carcass weight]]/grand[[#This Row],[total weight]]</f>
        <v>0.60936904221516108</v>
      </c>
      <c r="AC2491" s="18">
        <f>SUM(grand[[#This Row],[am]:[meat transportation]])/100</f>
        <v>0.90244186046511632</v>
      </c>
      <c r="AJ2491" s="1">
        <v>31</v>
      </c>
      <c r="AK2491" s="1"/>
      <c r="AL2491" s="1"/>
    </row>
    <row r="2492" spans="1:38" hidden="1" x14ac:dyDescent="0.2">
      <c r="A2492" s="11">
        <v>45291</v>
      </c>
      <c r="B2492" s="53" t="s">
        <v>1922</v>
      </c>
      <c r="C2492" s="52" t="str">
        <f>IF(MID(B2492,4,2)="09","Ramadan",IF(AND(MID(B2492,4,2)="12",VALUE(LEFT(B2492,2))&lt;=9),"Adha Season","Normal"))</f>
        <v>Normal</v>
      </c>
      <c r="D2492" s="1" t="s">
        <v>45</v>
      </c>
      <c r="E2492" s="1" t="s">
        <v>483</v>
      </c>
      <c r="F2492" s="4" t="s">
        <v>39</v>
      </c>
      <c r="G2492" s="1">
        <v>32</v>
      </c>
      <c r="H2492" s="1">
        <v>29</v>
      </c>
      <c r="I2492" s="1">
        <f>grand[[#This Row],[number]]-grand[[#This Row],[received]]</f>
        <v>3</v>
      </c>
      <c r="J2492" s="30" t="s">
        <v>609</v>
      </c>
      <c r="K2492" s="2">
        <v>12775</v>
      </c>
      <c r="L2492" s="2">
        <v>12119</v>
      </c>
      <c r="M2492" s="2">
        <f>K2492-L2492</f>
        <v>656</v>
      </c>
      <c r="N2492" s="2">
        <v>7831.1</v>
      </c>
      <c r="O2492" s="2">
        <v>283</v>
      </c>
      <c r="P2492" s="7">
        <f>grand[[#This Row],[total weight]]/grand[[#This Row],[received]]</f>
        <v>440.51724137931035</v>
      </c>
      <c r="Q2492" s="7">
        <f>grand[[#This Row],[receiving weight]]/grand[[#This Row],[received]]</f>
        <v>417.89655172413791</v>
      </c>
      <c r="R2492" s="7">
        <f>grand[[#This Row],[transportation loss ]]/grand[[#This Row],[received]]</f>
        <v>22.620689655172413</v>
      </c>
      <c r="S2492" s="7">
        <f>grand[[#This Row],[ carcass weight]]/grand[[#This Row],[received]]</f>
        <v>270.03793103448277</v>
      </c>
      <c r="T2492" s="7">
        <f>grand[[#This Row],[ kidneys fat quantity]]/grand[[#This Row],[received]]</f>
        <v>9.7586206896551726</v>
      </c>
      <c r="U2492" s="1">
        <v>25</v>
      </c>
      <c r="V2492" s="1">
        <v>0</v>
      </c>
      <c r="W2492" s="1">
        <v>49.931034482758619</v>
      </c>
      <c r="X2492" s="1">
        <v>10</v>
      </c>
      <c r="Y2492" s="1">
        <v>8.5</v>
      </c>
      <c r="Z2492" s="18">
        <f>grand[[#This Row],[av. Transportation loss]]/grand[[#This Row],[av.total weight]]</f>
        <v>5.1350293542074363E-2</v>
      </c>
      <c r="AA2492" s="12">
        <f>AVERAGE((grand[[#This Row],[am]]/25),(grand[[#This Row],[pm]]/50))</f>
        <v>0.99931034482758618</v>
      </c>
      <c r="AB2492" s="3">
        <f>grand[[#This Row],[ carcass weight]]/grand[[#This Row],[total weight]]</f>
        <v>0.61300195694716242</v>
      </c>
      <c r="AC2492" s="18">
        <f>SUM(grand[[#This Row],[am]:[meat transportation]])/100</f>
        <v>0.93431034482758624</v>
      </c>
      <c r="AJ2492" s="1">
        <v>4</v>
      </c>
      <c r="AK2492" s="1"/>
      <c r="AL2492" s="1"/>
    </row>
    <row r="2493" spans="1:38" hidden="1" x14ac:dyDescent="0.2">
      <c r="A2493" s="11">
        <v>45351</v>
      </c>
      <c r="B2493" s="53" t="s">
        <v>1944</v>
      </c>
      <c r="C2493" s="52" t="str">
        <f>IF(MID(B2493,4,2)="09","Ramadan",IF(AND(MID(B2493,4,2)="12",VALUE(LEFT(B2493,2))&lt;=9),"Adha Season","Normal"))</f>
        <v>Normal</v>
      </c>
      <c r="D2493" s="1" t="s">
        <v>45</v>
      </c>
      <c r="E2493" s="1" t="s">
        <v>483</v>
      </c>
      <c r="F2493" s="4" t="s">
        <v>280</v>
      </c>
      <c r="G2493" s="1">
        <v>42</v>
      </c>
      <c r="H2493" s="1">
        <v>39</v>
      </c>
      <c r="I2493" s="1">
        <f>grand[[#This Row],[number]]-grand[[#This Row],[received]]</f>
        <v>3</v>
      </c>
      <c r="J2493" s="30" t="s">
        <v>618</v>
      </c>
      <c r="K2493" s="2">
        <v>19227</v>
      </c>
      <c r="L2493" s="2">
        <v>18630</v>
      </c>
      <c r="M2493" s="2">
        <f>K2493-L2493</f>
        <v>597</v>
      </c>
      <c r="N2493" s="2">
        <v>11551.5</v>
      </c>
      <c r="O2493" s="2">
        <v>379</v>
      </c>
      <c r="P2493" s="7">
        <f>grand[[#This Row],[total weight]]/grand[[#This Row],[received]]</f>
        <v>493</v>
      </c>
      <c r="Q2493" s="7">
        <f>grand[[#This Row],[receiving weight]]/grand[[#This Row],[received]]</f>
        <v>477.69230769230768</v>
      </c>
      <c r="R2493" s="7">
        <f>grand[[#This Row],[transportation loss ]]/grand[[#This Row],[received]]</f>
        <v>15.307692307692308</v>
      </c>
      <c r="S2493" s="7">
        <f>grand[[#This Row],[ carcass weight]]/grand[[#This Row],[received]]</f>
        <v>296.19230769230768</v>
      </c>
      <c r="T2493" s="7">
        <f>grand[[#This Row],[ kidneys fat quantity]]/grand[[#This Row],[received]]</f>
        <v>9.7179487179487172</v>
      </c>
      <c r="U2493" s="1">
        <v>24.615384615384617</v>
      </c>
      <c r="V2493" s="1">
        <v>0</v>
      </c>
      <c r="W2493" s="1">
        <v>48.307692307692314</v>
      </c>
      <c r="X2493" s="1">
        <v>10</v>
      </c>
      <c r="Y2493" s="1">
        <v>8.5</v>
      </c>
      <c r="Z2493" s="18">
        <f>grand[[#This Row],[av. Transportation loss]]/grand[[#This Row],[av.total weight]]</f>
        <v>3.1050085816820099E-2</v>
      </c>
      <c r="AA2493" s="12">
        <f>AVERAGE((grand[[#This Row],[am]]/25),(grand[[#This Row],[pm]]/50))</f>
        <v>0.97538461538461552</v>
      </c>
      <c r="AB2493" s="3">
        <f>grand[[#This Row],[ carcass weight]]/grand[[#This Row],[total weight]]</f>
        <v>0.60079575596816981</v>
      </c>
      <c r="AC2493" s="18">
        <f>SUM(grand[[#This Row],[am]:[meat transportation]])/100</f>
        <v>0.91423076923076929</v>
      </c>
      <c r="AJ2493" s="1">
        <v>19</v>
      </c>
      <c r="AK2493" s="1"/>
      <c r="AL2493" s="1"/>
    </row>
    <row r="2494" spans="1:38" hidden="1" x14ac:dyDescent="0.2">
      <c r="A2494" s="11">
        <v>45356</v>
      </c>
      <c r="B2494" s="53" t="s">
        <v>1947</v>
      </c>
      <c r="C2494" s="52" t="str">
        <f>IF(MID(B2494,4,2)="09","Ramadan",IF(AND(MID(B2494,4,2)="12",VALUE(LEFT(B2494,2))&lt;=9),"Adha Season","Normal"))</f>
        <v>Normal</v>
      </c>
      <c r="D2494" s="1" t="s">
        <v>45</v>
      </c>
      <c r="E2494" s="1" t="s">
        <v>483</v>
      </c>
      <c r="F2494" s="4" t="s">
        <v>280</v>
      </c>
      <c r="G2494" s="1">
        <v>67</v>
      </c>
      <c r="H2494" s="1">
        <v>64</v>
      </c>
      <c r="I2494" s="1">
        <f>grand[[#This Row],[number]]-grand[[#This Row],[received]]</f>
        <v>3</v>
      </c>
      <c r="J2494" s="30" t="s">
        <v>620</v>
      </c>
      <c r="K2494" s="2">
        <v>32840</v>
      </c>
      <c r="L2494" s="2">
        <v>31815</v>
      </c>
      <c r="M2494" s="2">
        <f>K2494-L2494</f>
        <v>1025</v>
      </c>
      <c r="N2494" s="2">
        <v>19765.900000000001</v>
      </c>
      <c r="O2494" s="2">
        <v>725</v>
      </c>
      <c r="P2494" s="7">
        <f>grand[[#This Row],[total weight]]/grand[[#This Row],[received]]</f>
        <v>513.125</v>
      </c>
      <c r="Q2494" s="7">
        <f>grand[[#This Row],[receiving weight]]/grand[[#This Row],[received]]</f>
        <v>497.109375</v>
      </c>
      <c r="R2494" s="7">
        <f>grand[[#This Row],[transportation loss ]]/grand[[#This Row],[received]]</f>
        <v>16.015625</v>
      </c>
      <c r="S2494" s="7">
        <f>grand[[#This Row],[ carcass weight]]/grand[[#This Row],[received]]</f>
        <v>308.84218750000002</v>
      </c>
      <c r="T2494" s="7">
        <f>grand[[#This Row],[ kidneys fat quantity]]/grand[[#This Row],[received]]</f>
        <v>11.328125</v>
      </c>
      <c r="U2494" s="1">
        <v>24.453125</v>
      </c>
      <c r="V2494" s="1">
        <v>0</v>
      </c>
      <c r="W2494" s="1">
        <v>48.5</v>
      </c>
      <c r="X2494" s="1">
        <v>9.84375</v>
      </c>
      <c r="Y2494" s="1">
        <v>8.5</v>
      </c>
      <c r="Z2494" s="18">
        <f>grand[[#This Row],[av. Transportation loss]]/grand[[#This Row],[av.total weight]]</f>
        <v>3.1211936662606576E-2</v>
      </c>
      <c r="AA2494" s="12">
        <f>AVERAGE((grand[[#This Row],[am]]/25),(grand[[#This Row],[pm]]/50))</f>
        <v>0.97406250000000005</v>
      </c>
      <c r="AB2494" s="3">
        <f>grand[[#This Row],[ carcass weight]]/grand[[#This Row],[total weight]]</f>
        <v>0.60188489646772236</v>
      </c>
      <c r="AC2494" s="18">
        <f>SUM(grand[[#This Row],[am]:[meat transportation]])/100</f>
        <v>0.91296875</v>
      </c>
      <c r="AJ2494" s="1">
        <v>44</v>
      </c>
      <c r="AK2494" s="1"/>
      <c r="AL2494" s="1"/>
    </row>
    <row r="2495" spans="1:38" hidden="1" x14ac:dyDescent="0.2">
      <c r="A2495" s="11">
        <v>45359</v>
      </c>
      <c r="B2495" s="53" t="s">
        <v>1950</v>
      </c>
      <c r="C2495" s="52" t="str">
        <f>IF(MID(B2495,4,2)="09","Ramadan",IF(AND(MID(B2495,4,2)="12",VALUE(LEFT(B2495,2))&lt;=9),"Adha Season","Normal"))</f>
        <v>Normal</v>
      </c>
      <c r="D2495" s="1" t="s">
        <v>45</v>
      </c>
      <c r="E2495" s="1" t="s">
        <v>483</v>
      </c>
      <c r="F2495" s="4" t="s">
        <v>39</v>
      </c>
      <c r="G2495" s="1">
        <v>61</v>
      </c>
      <c r="H2495" s="1">
        <v>58</v>
      </c>
      <c r="I2495" s="1">
        <f>grand[[#This Row],[number]]-grand[[#This Row],[received]]</f>
        <v>3</v>
      </c>
      <c r="J2495" s="30" t="s">
        <v>609</v>
      </c>
      <c r="K2495" s="2">
        <v>24481</v>
      </c>
      <c r="L2495" s="2">
        <v>24481</v>
      </c>
      <c r="M2495" s="2">
        <f>K2495-L2495</f>
        <v>0</v>
      </c>
      <c r="N2495" s="2">
        <v>15088</v>
      </c>
      <c r="O2495" s="2">
        <v>504</v>
      </c>
      <c r="P2495" s="7">
        <f>grand[[#This Row],[total weight]]/grand[[#This Row],[received]]</f>
        <v>422.08620689655174</v>
      </c>
      <c r="Q2495" s="7">
        <f>grand[[#This Row],[receiving weight]]/grand[[#This Row],[received]]</f>
        <v>422.08620689655174</v>
      </c>
      <c r="R2495" s="7">
        <f>grand[[#This Row],[transportation loss ]]/grand[[#This Row],[received]]</f>
        <v>0</v>
      </c>
      <c r="S2495" s="7">
        <f>grand[[#This Row],[ carcass weight]]/grand[[#This Row],[received]]</f>
        <v>260.13793103448273</v>
      </c>
      <c r="T2495" s="7">
        <f>grand[[#This Row],[ kidneys fat quantity]]/grand[[#This Row],[received]]</f>
        <v>8.6896551724137936</v>
      </c>
      <c r="U2495" s="1">
        <v>25</v>
      </c>
      <c r="V2495" s="1">
        <v>0</v>
      </c>
      <c r="W2495" s="1">
        <v>48.741379310344833</v>
      </c>
      <c r="X2495" s="1">
        <v>10</v>
      </c>
      <c r="Y2495" s="1">
        <v>8.5</v>
      </c>
      <c r="Z2495" s="18">
        <f>grand[[#This Row],[av. Transportation loss]]/grand[[#This Row],[av.total weight]]</f>
        <v>0</v>
      </c>
      <c r="AA2495" s="12">
        <f>AVERAGE((grand[[#This Row],[am]]/25),(grand[[#This Row],[pm]]/50))</f>
        <v>0.98741379310344835</v>
      </c>
      <c r="AB2495" s="3">
        <f>grand[[#This Row],[ carcass weight]]/grand[[#This Row],[total weight]]</f>
        <v>0.61631469302724562</v>
      </c>
      <c r="AC2495" s="18">
        <f>SUM(grand[[#This Row],[am]:[meat transportation]])/100</f>
        <v>0.92241379310344829</v>
      </c>
      <c r="AJ2495" s="1">
        <v>8</v>
      </c>
      <c r="AK2495" s="1"/>
      <c r="AL2495" s="1"/>
    </row>
    <row r="2496" spans="1:38" hidden="1" x14ac:dyDescent="0.2">
      <c r="A2496" s="11">
        <v>45374</v>
      </c>
      <c r="B2496" s="53" t="s">
        <v>2879</v>
      </c>
      <c r="C2496" s="52" t="str">
        <f>IF(MID(B2496,4,2)="09","Ramadan",IF(AND(MID(B2496,4,2)="12",VALUE(LEFT(B2496,2))&lt;=9),"Adha Season","Normal"))</f>
        <v>Ramadan</v>
      </c>
      <c r="D2496" s="1" t="s">
        <v>45</v>
      </c>
      <c r="E2496" s="1" t="s">
        <v>483</v>
      </c>
      <c r="F2496" s="4" t="s">
        <v>43</v>
      </c>
      <c r="G2496" s="1">
        <v>58</v>
      </c>
      <c r="H2496" s="1">
        <v>55</v>
      </c>
      <c r="I2496" s="1">
        <f>grand[[#This Row],[number]]-grand[[#This Row],[received]]</f>
        <v>3</v>
      </c>
      <c r="J2496" s="30" t="s">
        <v>387</v>
      </c>
      <c r="K2496" s="2">
        <v>22195</v>
      </c>
      <c r="L2496" s="2">
        <v>21860</v>
      </c>
      <c r="M2496" s="2">
        <f>K2496-L2496</f>
        <v>335</v>
      </c>
      <c r="N2496" s="2">
        <v>13317.3</v>
      </c>
      <c r="O2496" s="2">
        <v>422</v>
      </c>
      <c r="P2496" s="7">
        <f>grand[[#This Row],[total weight]]/grand[[#This Row],[received]]</f>
        <v>403.54545454545456</v>
      </c>
      <c r="Q2496" s="7">
        <f>grand[[#This Row],[receiving weight]]/grand[[#This Row],[received]]</f>
        <v>397.45454545454544</v>
      </c>
      <c r="R2496" s="7">
        <f>grand[[#This Row],[transportation loss ]]/grand[[#This Row],[received]]</f>
        <v>6.0909090909090908</v>
      </c>
      <c r="S2496" s="7">
        <f>grand[[#This Row],[ carcass weight]]/grand[[#This Row],[received]]</f>
        <v>242.13272727272727</v>
      </c>
      <c r="T2496" s="7">
        <f>grand[[#This Row],[ kidneys fat quantity]]/grand[[#This Row],[received]]</f>
        <v>7.6727272727272728</v>
      </c>
      <c r="U2496" s="1">
        <v>24.81818181818182</v>
      </c>
      <c r="V2496" s="1">
        <v>0</v>
      </c>
      <c r="W2496" s="1">
        <v>49.527272727272731</v>
      </c>
      <c r="X2496" s="1">
        <v>10</v>
      </c>
      <c r="Y2496" s="1">
        <v>8.5</v>
      </c>
      <c r="Z2496" s="18">
        <f>grand[[#This Row],[av. Transportation loss]]/grand[[#This Row],[av.total weight]]</f>
        <v>1.5093489524667717E-2</v>
      </c>
      <c r="AA2496" s="12">
        <f>AVERAGE((grand[[#This Row],[am]]/25),(grand[[#This Row],[pm]]/50))</f>
        <v>0.99163636363636365</v>
      </c>
      <c r="AB2496" s="3">
        <f>grand[[#This Row],[ carcass weight]]/grand[[#This Row],[total weight]]</f>
        <v>0.60001351655778323</v>
      </c>
      <c r="AC2496" s="18">
        <f>SUM(grand[[#This Row],[am]:[meat transportation]])/100</f>
        <v>0.92845454545454542</v>
      </c>
      <c r="AJ2496" s="1">
        <v>17</v>
      </c>
      <c r="AK2496" s="1"/>
      <c r="AL2496" s="1"/>
    </row>
    <row r="2497" spans="1:38" hidden="1" x14ac:dyDescent="0.2">
      <c r="A2497" s="11">
        <v>45529</v>
      </c>
      <c r="B2497" s="53" t="s">
        <v>2027</v>
      </c>
      <c r="C2497" s="52" t="str">
        <f>IF(MID(B2497,4,2)="09","Ramadan",IF(AND(MID(B2497,4,2)="12",VALUE(LEFT(B2497,2))&lt;=9),"Adha Season","Normal"))</f>
        <v>Normal</v>
      </c>
      <c r="D2497" s="1" t="s">
        <v>45</v>
      </c>
      <c r="E2497" s="1" t="s">
        <v>483</v>
      </c>
      <c r="F2497" s="4" t="s">
        <v>576</v>
      </c>
      <c r="G2497" s="1">
        <v>52</v>
      </c>
      <c r="H2497" s="1">
        <v>49</v>
      </c>
      <c r="I2497" s="1">
        <f>grand[[#This Row],[number]]-grand[[#This Row],[received]]</f>
        <v>3</v>
      </c>
      <c r="J2497" s="30" t="s">
        <v>644</v>
      </c>
      <c r="K2497" s="2">
        <v>22702</v>
      </c>
      <c r="L2497" s="2">
        <v>21746</v>
      </c>
      <c r="M2497" s="2">
        <f>K2497-L2497</f>
        <v>956</v>
      </c>
      <c r="N2497" s="2">
        <v>14039.5</v>
      </c>
      <c r="O2497" s="2">
        <v>401</v>
      </c>
      <c r="P2497" s="7">
        <f>grand[[#This Row],[total weight]]/grand[[#This Row],[received]]</f>
        <v>463.30612244897958</v>
      </c>
      <c r="Q2497" s="7">
        <f>grand[[#This Row],[receiving weight]]/grand[[#This Row],[received]]</f>
        <v>443.79591836734693</v>
      </c>
      <c r="R2497" s="7">
        <f>grand[[#This Row],[transportation loss ]]/grand[[#This Row],[received]]</f>
        <v>19.510204081632654</v>
      </c>
      <c r="S2497" s="7">
        <f>grand[[#This Row],[ carcass weight]]/grand[[#This Row],[received]]</f>
        <v>286.5204081632653</v>
      </c>
      <c r="T2497" s="7">
        <f>grand[[#This Row],[ kidneys fat quantity]]/grand[[#This Row],[received]]</f>
        <v>8.183673469387756</v>
      </c>
      <c r="U2497" s="1">
        <v>25</v>
      </c>
      <c r="V2497" s="1">
        <v>0</v>
      </c>
      <c r="W2497" s="1">
        <v>49.061224489795919</v>
      </c>
      <c r="X2497" s="1">
        <v>10</v>
      </c>
      <c r="Y2497" s="1">
        <v>8.5</v>
      </c>
      <c r="Z2497" s="18">
        <f>grand[[#This Row],[av. Transportation loss]]/grand[[#This Row],[av.total weight]]</f>
        <v>4.2110827239890763E-2</v>
      </c>
      <c r="AA2497" s="12">
        <f>AVERAGE((grand[[#This Row],[am]]/25),(grand[[#This Row],[pm]]/50))</f>
        <v>0.99061224489795918</v>
      </c>
      <c r="AB2497" s="3">
        <f>grand[[#This Row],[ carcass weight]]/grand[[#This Row],[total weight]]</f>
        <v>0.6184256893665756</v>
      </c>
      <c r="AC2497" s="18">
        <f>SUM(grand[[#This Row],[am]:[meat transportation]])/100</f>
        <v>0.92561224489795924</v>
      </c>
      <c r="AJ2497" s="1">
        <v>26</v>
      </c>
      <c r="AK2497" s="1"/>
      <c r="AL2497" s="1"/>
    </row>
    <row r="2498" spans="1:38" hidden="1" x14ac:dyDescent="0.2">
      <c r="A2498" s="11">
        <v>45605</v>
      </c>
      <c r="B2498" s="53" t="s">
        <v>2080</v>
      </c>
      <c r="C2498" s="52" t="str">
        <f>IF(MID(B2498,4,2)="09","Ramadan",IF(AND(MID(B2498,4,2)="12",VALUE(LEFT(B2498,2))&lt;=9),"Adha Season","Normal"))</f>
        <v>Normal</v>
      </c>
      <c r="D2498" s="1" t="s">
        <v>45</v>
      </c>
      <c r="E2498" s="1" t="s">
        <v>483</v>
      </c>
      <c r="F2498" s="4" t="s">
        <v>280</v>
      </c>
      <c r="G2498" s="1">
        <v>34</v>
      </c>
      <c r="H2498" s="1">
        <v>31</v>
      </c>
      <c r="I2498" s="1">
        <f>grand[[#This Row],[number]]-grand[[#This Row],[received]]</f>
        <v>3</v>
      </c>
      <c r="J2498" s="30" t="s">
        <v>652</v>
      </c>
      <c r="K2498" s="2">
        <v>17240</v>
      </c>
      <c r="L2498" s="2">
        <v>16725</v>
      </c>
      <c r="M2498" s="2">
        <f>K2498-L2498</f>
        <v>515</v>
      </c>
      <c r="N2498" s="2">
        <v>10445.5</v>
      </c>
      <c r="O2498" s="2">
        <v>400</v>
      </c>
      <c r="P2498" s="7">
        <f>grand[[#This Row],[total weight]]/grand[[#This Row],[received]]</f>
        <v>556.12903225806451</v>
      </c>
      <c r="Q2498" s="7">
        <f>grand[[#This Row],[receiving weight]]/grand[[#This Row],[received]]</f>
        <v>539.51612903225805</v>
      </c>
      <c r="R2498" s="7">
        <f>grand[[#This Row],[transportation loss ]]/grand[[#This Row],[received]]</f>
        <v>16.612903225806452</v>
      </c>
      <c r="S2498" s="7">
        <f>grand[[#This Row],[ carcass weight]]/grand[[#This Row],[received]]</f>
        <v>336.95161290322579</v>
      </c>
      <c r="T2498" s="7">
        <f>grand[[#This Row],[ kidneys fat quantity]]/grand[[#This Row],[received]]</f>
        <v>12.903225806451612</v>
      </c>
      <c r="U2498" s="1">
        <v>25</v>
      </c>
      <c r="V2498" s="1">
        <v>0</v>
      </c>
      <c r="W2498" s="1">
        <v>44.774193548387096</v>
      </c>
      <c r="X2498" s="1">
        <v>10</v>
      </c>
      <c r="Y2498" s="1">
        <v>8.5</v>
      </c>
      <c r="Z2498" s="18">
        <f>grand[[#This Row],[av. Transportation loss]]/grand[[#This Row],[av.total weight]]</f>
        <v>2.9872389791183295E-2</v>
      </c>
      <c r="AA2498" s="12">
        <f>AVERAGE((grand[[#This Row],[am]]/25),(grand[[#This Row],[pm]]/50))</f>
        <v>0.94774193548387098</v>
      </c>
      <c r="AB2498" s="3">
        <f>grand[[#This Row],[ carcass weight]]/grand[[#This Row],[total weight]]</f>
        <v>0.60588747099767981</v>
      </c>
      <c r="AC2498" s="18">
        <f>SUM(grand[[#This Row],[am]:[meat transportation]])/100</f>
        <v>0.88274193548387103</v>
      </c>
      <c r="AJ2498" s="1">
        <v>26</v>
      </c>
      <c r="AK2498" s="1"/>
      <c r="AL2498" s="1"/>
    </row>
    <row r="2499" spans="1:38" hidden="1" x14ac:dyDescent="0.2">
      <c r="A2499" s="11">
        <v>45630</v>
      </c>
      <c r="B2499" s="53" t="s">
        <v>2097</v>
      </c>
      <c r="C2499" s="52" t="str">
        <f>IF(MID(B2499,4,2)="09","Ramadan",IF(AND(MID(B2499,4,2)="12",VALUE(LEFT(B2499,2))&lt;=9),"Adha Season","Normal"))</f>
        <v>Normal</v>
      </c>
      <c r="D2499" s="1" t="s">
        <v>45</v>
      </c>
      <c r="E2499" s="1" t="s">
        <v>483</v>
      </c>
      <c r="F2499" s="4" t="s">
        <v>43</v>
      </c>
      <c r="G2499" s="1">
        <v>60</v>
      </c>
      <c r="H2499" s="1">
        <v>57</v>
      </c>
      <c r="I2499" s="1">
        <f>grand[[#This Row],[number]]-grand[[#This Row],[received]]</f>
        <v>3</v>
      </c>
      <c r="J2499" s="30" t="s">
        <v>657</v>
      </c>
      <c r="K2499" s="2">
        <v>24844</v>
      </c>
      <c r="L2499" s="2">
        <v>23452</v>
      </c>
      <c r="M2499" s="2">
        <f>K2499-L2499</f>
        <v>1392</v>
      </c>
      <c r="N2499" s="2">
        <v>15043.1</v>
      </c>
      <c r="O2499" s="2">
        <v>444</v>
      </c>
      <c r="P2499" s="7">
        <f>grand[[#This Row],[total weight]]/grand[[#This Row],[received]]</f>
        <v>435.85964912280701</v>
      </c>
      <c r="Q2499" s="7">
        <f>grand[[#This Row],[receiving weight]]/grand[[#This Row],[received]]</f>
        <v>411.43859649122805</v>
      </c>
      <c r="R2499" s="7">
        <f>grand[[#This Row],[transportation loss ]]/grand[[#This Row],[received]]</f>
        <v>24.421052631578949</v>
      </c>
      <c r="S2499" s="7">
        <f>grand[[#This Row],[ carcass weight]]/grand[[#This Row],[received]]</f>
        <v>263.9140350877193</v>
      </c>
      <c r="T2499" s="7">
        <f>grand[[#This Row],[ kidneys fat quantity]]/grand[[#This Row],[received]]</f>
        <v>7.7894736842105265</v>
      </c>
      <c r="U2499" s="1">
        <v>25</v>
      </c>
      <c r="V2499" s="1">
        <v>0</v>
      </c>
      <c r="W2499" s="1">
        <v>49.84210526315789</v>
      </c>
      <c r="X2499" s="1">
        <v>10</v>
      </c>
      <c r="Y2499" s="1">
        <v>8.5</v>
      </c>
      <c r="Z2499" s="18">
        <f>grand[[#This Row],[av. Transportation loss]]/grand[[#This Row],[av.total weight]]</f>
        <v>5.602962485912092E-2</v>
      </c>
      <c r="AA2499" s="12">
        <f>AVERAGE((grand[[#This Row],[am]]/25),(grand[[#This Row],[pm]]/50))</f>
        <v>0.99842105263157888</v>
      </c>
      <c r="AB2499" s="3">
        <f>grand[[#This Row],[ carcass weight]]/grand[[#This Row],[total weight]]</f>
        <v>0.60550233456770253</v>
      </c>
      <c r="AC2499" s="18">
        <f>SUM(grand[[#This Row],[am]:[meat transportation]])/100</f>
        <v>0.93342105263157893</v>
      </c>
      <c r="AJ2499" s="1">
        <v>10</v>
      </c>
      <c r="AK2499" s="1"/>
      <c r="AL2499" s="1"/>
    </row>
    <row r="2500" spans="1:38" hidden="1" x14ac:dyDescent="0.2">
      <c r="A2500" s="11">
        <v>45655</v>
      </c>
      <c r="B2500" s="53" t="s">
        <v>2115</v>
      </c>
      <c r="C2500" s="52" t="str">
        <f>IF(MID(B2500,4,2)="09","Ramadan",IF(AND(MID(B2500,4,2)="12",VALUE(LEFT(B2500,2))&lt;=9),"Adha Season","Normal"))</f>
        <v>Normal</v>
      </c>
      <c r="D2500" s="1" t="s">
        <v>45</v>
      </c>
      <c r="E2500" s="1" t="s">
        <v>483</v>
      </c>
      <c r="F2500" s="4" t="s">
        <v>43</v>
      </c>
      <c r="G2500" s="1">
        <v>50</v>
      </c>
      <c r="H2500" s="1">
        <v>47</v>
      </c>
      <c r="I2500" s="1">
        <f>grand[[#This Row],[number]]-grand[[#This Row],[received]]</f>
        <v>3</v>
      </c>
      <c r="J2500" s="30" t="s">
        <v>664</v>
      </c>
      <c r="K2500" s="2">
        <v>25390</v>
      </c>
      <c r="L2500" s="2">
        <v>25225</v>
      </c>
      <c r="M2500" s="2">
        <f>K2500-L2500</f>
        <v>165</v>
      </c>
      <c r="N2500" s="2">
        <v>15234.9</v>
      </c>
      <c r="O2500" s="2">
        <v>553</v>
      </c>
      <c r="P2500" s="7">
        <f>grand[[#This Row],[total weight]]/grand[[#This Row],[received]]</f>
        <v>540.21276595744678</v>
      </c>
      <c r="Q2500" s="7">
        <f>grand[[#This Row],[receiving weight]]/grand[[#This Row],[received]]</f>
        <v>536.70212765957444</v>
      </c>
      <c r="R2500" s="7">
        <f>grand[[#This Row],[transportation loss ]]/grand[[#This Row],[received]]</f>
        <v>3.5106382978723403</v>
      </c>
      <c r="S2500" s="7">
        <f>grand[[#This Row],[ carcass weight]]/grand[[#This Row],[received]]</f>
        <v>324.14680851063827</v>
      </c>
      <c r="T2500" s="7">
        <f>grand[[#This Row],[ kidneys fat quantity]]/grand[[#This Row],[received]]</f>
        <v>11.76595744680851</v>
      </c>
      <c r="U2500" s="1">
        <v>25</v>
      </c>
      <c r="V2500" s="1">
        <v>0</v>
      </c>
      <c r="W2500" s="1">
        <v>47.574468085106382</v>
      </c>
      <c r="X2500" s="1">
        <v>10</v>
      </c>
      <c r="Y2500" s="1">
        <v>8.5</v>
      </c>
      <c r="Z2500" s="18">
        <f>grand[[#This Row],[av. Transportation loss]]/grand[[#This Row],[av.total weight]]</f>
        <v>6.4986215045293423E-3</v>
      </c>
      <c r="AA2500" s="12">
        <f>AVERAGE((grand[[#This Row],[am]]/25),(grand[[#This Row],[pm]]/50))</f>
        <v>0.97574468085106381</v>
      </c>
      <c r="AB2500" s="3">
        <f>grand[[#This Row],[ carcass weight]]/grand[[#This Row],[total weight]]</f>
        <v>0.60003544702638834</v>
      </c>
      <c r="AC2500" s="18">
        <f>SUM(grand[[#This Row],[am]:[meat transportation]])/100</f>
        <v>0.91074468085106386</v>
      </c>
      <c r="AJ2500" s="1">
        <v>35</v>
      </c>
      <c r="AK2500" s="1"/>
      <c r="AL2500" s="1"/>
    </row>
    <row r="2501" spans="1:38" hidden="1" x14ac:dyDescent="0.2">
      <c r="A2501" s="11">
        <v>46230</v>
      </c>
      <c r="B2501" s="53" t="str">
        <f>TEXT(grand[[#This Row],[date]],"[$-ar-SA,6]dd/mm/yyyy")</f>
        <v>12/02/1448</v>
      </c>
      <c r="C2501" s="52" t="str">
        <f>IF(MID(B2501,4,2)="09","Ramadan",IF(AND(MID(B2501,4,2)="12",VALUE(LEFT(B2501,2))&lt;=9),"Adha Season","Normal"))</f>
        <v>Normal</v>
      </c>
      <c r="D2501" s="1" t="s">
        <v>1079</v>
      </c>
      <c r="F2501" s="4" t="s">
        <v>772</v>
      </c>
      <c r="G2501" s="1">
        <v>50</v>
      </c>
      <c r="H2501" s="1">
        <v>50</v>
      </c>
      <c r="I2501" s="1">
        <f>grand[[#This Row],[number]]-grand[[#This Row],[received]]</f>
        <v>0</v>
      </c>
      <c r="J2501" s="2"/>
      <c r="K2501" s="2">
        <v>2297</v>
      </c>
      <c r="L2501" s="2">
        <v>2297</v>
      </c>
      <c r="M2501" s="2">
        <f>K2501-L2501</f>
        <v>0</v>
      </c>
      <c r="N2501" s="2">
        <v>1213</v>
      </c>
      <c r="O2501" s="2">
        <v>0</v>
      </c>
      <c r="P2501" s="7">
        <f>grand[[#This Row],[total weight]]/grand[[#This Row],[received]]</f>
        <v>45.94</v>
      </c>
      <c r="Q2501" s="7">
        <f>grand[[#This Row],[receiving weight]]/grand[[#This Row],[received]]</f>
        <v>45.94</v>
      </c>
      <c r="R2501" s="7">
        <f>grand[[#This Row],[transportation loss ]]/grand[[#This Row],[received]]</f>
        <v>0</v>
      </c>
      <c r="S2501" s="7">
        <f>grand[[#This Row],[ carcass weight]]/grand[[#This Row],[received]]</f>
        <v>24.26</v>
      </c>
      <c r="T2501" s="7">
        <f>grand[[#This Row],[ kidneys fat quantity]]/grand[[#This Row],[received]]</f>
        <v>0</v>
      </c>
      <c r="U2501" s="1">
        <v>25</v>
      </c>
      <c r="V2501" s="1">
        <v>0</v>
      </c>
      <c r="W2501" s="1">
        <v>46.98</v>
      </c>
      <c r="X2501" s="1">
        <v>10</v>
      </c>
      <c r="Y2501" s="1">
        <v>8.5</v>
      </c>
      <c r="Z2501" s="18">
        <f>grand[[#This Row],[av. Transportation loss]]/grand[[#This Row],[av.total weight]]</f>
        <v>0</v>
      </c>
      <c r="AA2501" s="18">
        <f>AVERAGE((grand[[#This Row],[am]]/25),(grand[[#This Row],[pm]]/50))</f>
        <v>0.9698</v>
      </c>
      <c r="AB2501" s="3">
        <f>grand[[#This Row],[ carcass weight]]/grand[[#This Row],[total weight]]</f>
        <v>0.52808010448410969</v>
      </c>
      <c r="AC2501" s="18">
        <f>SUM(grand[[#This Row],[am]:[meat transportation]])/100</f>
        <v>0.90479999999999994</v>
      </c>
      <c r="AD2501" s="1" t="s">
        <v>3065</v>
      </c>
      <c r="AJ2501" s="1">
        <v>0</v>
      </c>
    </row>
    <row r="2502" spans="1:38" hidden="1" x14ac:dyDescent="0.2">
      <c r="A2502" s="11">
        <v>46230</v>
      </c>
      <c r="B2502" s="53" t="str">
        <f>TEXT(grand[[#This Row],[date]],"[$-ar-SA,6]dd/mm/yyyy")</f>
        <v>12/02/1448</v>
      </c>
      <c r="C2502" s="52" t="str">
        <f>IF(MID(B2502,4,2)="09","Ramadan",IF(AND(MID(B2502,4,2)="12",VALUE(LEFT(B2502,2))&lt;=9),"Adha Season","Normal"))</f>
        <v>Normal</v>
      </c>
      <c r="D2502" s="1" t="s">
        <v>45</v>
      </c>
      <c r="F2502" s="4" t="s">
        <v>959</v>
      </c>
      <c r="G2502" s="1">
        <v>64</v>
      </c>
      <c r="H2502" s="1">
        <v>64</v>
      </c>
      <c r="I2502" s="1">
        <f>grand[[#This Row],[number]]-grand[[#This Row],[received]]</f>
        <v>0</v>
      </c>
      <c r="J2502" s="2"/>
      <c r="K2502" s="2">
        <v>26666</v>
      </c>
      <c r="L2502" s="2">
        <v>26666</v>
      </c>
      <c r="M2502" s="2">
        <f>K2502-L2502</f>
        <v>0</v>
      </c>
      <c r="N2502" s="2">
        <v>16041</v>
      </c>
      <c r="O2502" s="2">
        <v>424</v>
      </c>
      <c r="P2502" s="7">
        <f>grand[[#This Row],[total weight]]/grand[[#This Row],[received]]</f>
        <v>416.65625</v>
      </c>
      <c r="Q2502" s="7">
        <f>grand[[#This Row],[receiving weight]]/grand[[#This Row],[received]]</f>
        <v>416.65625</v>
      </c>
      <c r="R2502" s="7">
        <f>grand[[#This Row],[transportation loss ]]/grand[[#This Row],[received]]</f>
        <v>0</v>
      </c>
      <c r="S2502" s="7">
        <f>grand[[#This Row],[ carcass weight]]/grand[[#This Row],[received]]</f>
        <v>250.640625</v>
      </c>
      <c r="T2502" s="7">
        <f>grand[[#This Row],[ kidneys fat quantity]]/grand[[#This Row],[received]]</f>
        <v>6.625</v>
      </c>
      <c r="U2502" s="1">
        <v>25</v>
      </c>
      <c r="V2502" s="1">
        <v>0</v>
      </c>
      <c r="W2502" s="1">
        <v>48.109375</v>
      </c>
      <c r="X2502" s="1">
        <v>10</v>
      </c>
      <c r="Y2502" s="1">
        <v>8.5</v>
      </c>
      <c r="Z2502" s="18">
        <f>grand[[#This Row],[av. Transportation loss]]/grand[[#This Row],[av.total weight]]</f>
        <v>0</v>
      </c>
      <c r="AA2502" s="18">
        <f>AVERAGE((grand[[#This Row],[am]]/25),(grand[[#This Row],[pm]]/50))</f>
        <v>0.98109374999999999</v>
      </c>
      <c r="AB2502" s="3">
        <f>grand[[#This Row],[ carcass weight]]/grand[[#This Row],[total weight]]</f>
        <v>0.60155253881347037</v>
      </c>
      <c r="AC2502" s="18">
        <f>SUM(grand[[#This Row],[am]:[meat transportation]])/100</f>
        <v>0.91609375000000004</v>
      </c>
      <c r="AD2502" s="1" t="s">
        <v>3067</v>
      </c>
      <c r="AJ2502" s="1">
        <v>0</v>
      </c>
    </row>
    <row r="2503" spans="1:38" hidden="1" x14ac:dyDescent="0.2">
      <c r="A2503" s="11">
        <v>46231</v>
      </c>
      <c r="B2503" s="53" t="str">
        <f>TEXT(grand[[#This Row],[date]],"[$-ar-SA,6]dd/mm/yyyy")</f>
        <v>13/02/1448</v>
      </c>
      <c r="C2503" s="52" t="str">
        <f>IF(MID(B2503,4,2)="09","Ramadan",IF(AND(MID(B2503,4,2)="12",VALUE(LEFT(B2503,2))&lt;=9),"Adha Season","Normal"))</f>
        <v>Normal</v>
      </c>
      <c r="D2503" s="1" t="s">
        <v>45</v>
      </c>
      <c r="F2503" s="4" t="s">
        <v>46</v>
      </c>
      <c r="G2503" s="1">
        <v>64</v>
      </c>
      <c r="H2503" s="1">
        <v>64</v>
      </c>
      <c r="I2503" s="1">
        <f>grand[[#This Row],[number]]-grand[[#This Row],[received]]</f>
        <v>0</v>
      </c>
      <c r="J2503" s="2"/>
      <c r="K2503" s="2">
        <v>32522</v>
      </c>
      <c r="L2503" s="2">
        <v>32522</v>
      </c>
      <c r="M2503" s="2">
        <f>K2503-L2503</f>
        <v>0</v>
      </c>
      <c r="N2503" s="2">
        <v>19514</v>
      </c>
      <c r="O2503" s="2">
        <v>642</v>
      </c>
      <c r="P2503" s="7">
        <f>grand[[#This Row],[total weight]]/grand[[#This Row],[received]]</f>
        <v>508.15625</v>
      </c>
      <c r="Q2503" s="7">
        <f>grand[[#This Row],[receiving weight]]/grand[[#This Row],[received]]</f>
        <v>508.15625</v>
      </c>
      <c r="R2503" s="7">
        <f>grand[[#This Row],[transportation loss ]]/grand[[#This Row],[received]]</f>
        <v>0</v>
      </c>
      <c r="S2503" s="7">
        <f>grand[[#This Row],[ carcass weight]]/grand[[#This Row],[received]]</f>
        <v>304.90625</v>
      </c>
      <c r="T2503" s="7">
        <f>grand[[#This Row],[ kidneys fat quantity]]/grand[[#This Row],[received]]</f>
        <v>10.03125</v>
      </c>
      <c r="U2503" s="1">
        <v>23.4375</v>
      </c>
      <c r="V2503" s="1">
        <v>0</v>
      </c>
      <c r="W2503" s="1">
        <v>48.0625</v>
      </c>
      <c r="X2503" s="1">
        <v>10</v>
      </c>
      <c r="Y2503" s="1">
        <v>8.5</v>
      </c>
      <c r="Z2503" s="18">
        <f>grand[[#This Row],[av. Transportation loss]]/grand[[#This Row],[av.total weight]]</f>
        <v>0</v>
      </c>
      <c r="AA2503" s="18">
        <f>AVERAGE((grand[[#This Row],[am]]/25),(grand[[#This Row],[pm]]/50))</f>
        <v>0.94937500000000008</v>
      </c>
      <c r="AB2503" s="3">
        <f>grand[[#This Row],[ carcass weight]]/grand[[#This Row],[total weight]]</f>
        <v>0.60002459873316527</v>
      </c>
      <c r="AC2503" s="18">
        <f>SUM(grand[[#This Row],[am]:[meat transportation]])/100</f>
        <v>0.9</v>
      </c>
      <c r="AD2503" s="1" t="s">
        <v>3069</v>
      </c>
      <c r="AJ2503" s="1">
        <v>24</v>
      </c>
    </row>
    <row r="2504" spans="1:38" hidden="1" x14ac:dyDescent="0.2">
      <c r="A2504" s="11">
        <v>46232</v>
      </c>
      <c r="B2504" s="53" t="str">
        <f>TEXT(grand[[#This Row],[date]],"[$-ar-SA,6]dd/mm/yyyy")</f>
        <v>14/02/1448</v>
      </c>
      <c r="C2504" s="52" t="str">
        <f>IF(MID(B2504,4,2)="09","Ramadan",IF(AND(MID(B2504,4,2)="12",VALUE(LEFT(B2504,2))&lt;=9),"Adha Season","Normal"))</f>
        <v>Normal</v>
      </c>
      <c r="D2504" s="1" t="s">
        <v>1079</v>
      </c>
      <c r="F2504" s="4" t="s">
        <v>165</v>
      </c>
      <c r="G2504" s="1">
        <v>56</v>
      </c>
      <c r="H2504" s="1">
        <v>56</v>
      </c>
      <c r="I2504" s="1">
        <f>grand[[#This Row],[number]]-grand[[#This Row],[received]]</f>
        <v>0</v>
      </c>
      <c r="J2504" s="2"/>
      <c r="K2504" s="2">
        <v>2966</v>
      </c>
      <c r="L2504" s="2">
        <v>2966</v>
      </c>
      <c r="M2504" s="2">
        <f>K2504-L2504</f>
        <v>0</v>
      </c>
      <c r="N2504" s="2">
        <v>1657</v>
      </c>
      <c r="O2504" s="2">
        <v>0</v>
      </c>
      <c r="P2504" s="7">
        <f>grand[[#This Row],[total weight]]/grand[[#This Row],[received]]</f>
        <v>52.964285714285715</v>
      </c>
      <c r="Q2504" s="7">
        <f>grand[[#This Row],[receiving weight]]/grand[[#This Row],[received]]</f>
        <v>52.964285714285715</v>
      </c>
      <c r="R2504" s="7">
        <f>grand[[#This Row],[transportation loss ]]/grand[[#This Row],[received]]</f>
        <v>0</v>
      </c>
      <c r="S2504" s="7">
        <f>grand[[#This Row],[ carcass weight]]/grand[[#This Row],[received]]</f>
        <v>29.589285714285715</v>
      </c>
      <c r="T2504" s="7">
        <f>grand[[#This Row],[ kidneys fat quantity]]/grand[[#This Row],[received]]</f>
        <v>0</v>
      </c>
      <c r="U2504" s="1">
        <v>25</v>
      </c>
      <c r="V2504" s="1">
        <v>0</v>
      </c>
      <c r="W2504" s="1">
        <v>45.142857142857139</v>
      </c>
      <c r="X2504" s="1">
        <v>10</v>
      </c>
      <c r="Y2504" s="1">
        <v>8.5</v>
      </c>
      <c r="Z2504" s="18">
        <f>grand[[#This Row],[av. Transportation loss]]/grand[[#This Row],[av.total weight]]</f>
        <v>0</v>
      </c>
      <c r="AA2504" s="18">
        <f>AVERAGE((grand[[#This Row],[am]]/25),(grand[[#This Row],[pm]]/50))</f>
        <v>0.9514285714285714</v>
      </c>
      <c r="AB2504" s="3">
        <f>grand[[#This Row],[ carcass weight]]/grand[[#This Row],[total weight]]</f>
        <v>0.55866486850977748</v>
      </c>
      <c r="AC2504" s="18">
        <f>SUM(grand[[#This Row],[am]:[meat transportation]])/100</f>
        <v>0.88642857142857134</v>
      </c>
      <c r="AD2504" s="1" t="s">
        <v>3073</v>
      </c>
      <c r="AJ2504" s="1">
        <v>0</v>
      </c>
    </row>
    <row r="2505" spans="1:38" hidden="1" x14ac:dyDescent="0.2">
      <c r="A2505" s="11">
        <v>46232</v>
      </c>
      <c r="B2505" s="53" t="str">
        <f>TEXT(grand[[#This Row],[date]],"[$-ar-SA,6]dd/mm/yyyy")</f>
        <v>14/02/1448</v>
      </c>
      <c r="C2505" s="52" t="str">
        <f>IF(MID(B2505,4,2)="09","Ramadan",IF(AND(MID(B2505,4,2)="12",VALUE(LEFT(B2505,2))&lt;=9),"Adha Season","Normal"))</f>
        <v>Normal</v>
      </c>
      <c r="D2505" s="2" t="s">
        <v>350</v>
      </c>
      <c r="F2505" s="4" t="s">
        <v>1161</v>
      </c>
      <c r="G2505" s="1">
        <v>35</v>
      </c>
      <c r="H2505" s="1">
        <v>35</v>
      </c>
      <c r="I2505" s="1">
        <f>grand[[#This Row],[number]]-grand[[#This Row],[received]]</f>
        <v>0</v>
      </c>
      <c r="J2505" s="2"/>
      <c r="K2505" s="61">
        <v>810</v>
      </c>
      <c r="L2505" s="61">
        <v>810</v>
      </c>
      <c r="M2505" s="2">
        <f>K2505-L2505</f>
        <v>0</v>
      </c>
      <c r="N2505" s="2">
        <v>435</v>
      </c>
      <c r="O2505" s="2">
        <v>0</v>
      </c>
      <c r="P2505" s="7">
        <f>grand[[#This Row],[total weight]]/grand[[#This Row],[received]]</f>
        <v>23.142857142857142</v>
      </c>
      <c r="Q2505" s="7">
        <f>grand[[#This Row],[receiving weight]]/grand[[#This Row],[received]]</f>
        <v>23.142857142857142</v>
      </c>
      <c r="R2505" s="7">
        <f>grand[[#This Row],[transportation loss ]]/grand[[#This Row],[received]]</f>
        <v>0</v>
      </c>
      <c r="S2505" s="7">
        <f>grand[[#This Row],[ carcass weight]]/grand[[#This Row],[received]]</f>
        <v>12.428571428571429</v>
      </c>
      <c r="T2505" s="7">
        <f>grand[[#This Row],[ kidneys fat quantity]]/grand[[#This Row],[received]]</f>
        <v>0</v>
      </c>
      <c r="U2505" s="1">
        <v>25</v>
      </c>
      <c r="V2505" s="1">
        <v>0</v>
      </c>
      <c r="W2505" s="1">
        <v>49.657142857142858</v>
      </c>
      <c r="X2505" s="1">
        <v>10</v>
      </c>
      <c r="Y2505" s="1">
        <v>8.5</v>
      </c>
      <c r="Z2505" s="18">
        <f>grand[[#This Row],[av. Transportation loss]]/grand[[#This Row],[av.total weight]]</f>
        <v>0</v>
      </c>
      <c r="AA2505" s="18">
        <f>AVERAGE((grand[[#This Row],[am]]/25),(grand[[#This Row],[pm]]/50))</f>
        <v>0.99657142857142866</v>
      </c>
      <c r="AB2505" s="3">
        <f>grand[[#This Row],[ carcass weight]]/grand[[#This Row],[total weight]]</f>
        <v>0.53703703703703709</v>
      </c>
      <c r="AC2505" s="18">
        <f>SUM(grand[[#This Row],[am]:[meat transportation]])/100</f>
        <v>0.93157142857142861</v>
      </c>
      <c r="AD2505" s="1" t="s">
        <v>987</v>
      </c>
      <c r="AJ2505" s="1">
        <v>0</v>
      </c>
    </row>
    <row r="2506" spans="1:38" x14ac:dyDescent="0.2">
      <c r="A2506" s="11">
        <v>46232</v>
      </c>
      <c r="B2506" s="53" t="str">
        <f>TEXT(grand[[#This Row],[date]],"[$-ar-SA,6]dd/mm/yyyy")</f>
        <v>14/02/1448</v>
      </c>
      <c r="C2506" s="52" t="str">
        <f>IF(MID(B2506,4,2)="09","Ramadan",IF(AND(MID(B2506,4,2)="12",VALUE(LEFT(B2506,2))&lt;=9),"Adha Season","Normal"))</f>
        <v>Normal</v>
      </c>
      <c r="D2506" s="1" t="s">
        <v>45</v>
      </c>
      <c r="F2506" s="4" t="s">
        <v>986</v>
      </c>
      <c r="G2506" s="1">
        <v>64</v>
      </c>
      <c r="H2506" s="1">
        <v>60</v>
      </c>
      <c r="I2506" s="1">
        <f>grand[[#This Row],[number]]-grand[[#This Row],[received]]</f>
        <v>4</v>
      </c>
      <c r="J2506" s="9" t="s">
        <v>3201</v>
      </c>
      <c r="K2506" s="2">
        <v>26271</v>
      </c>
      <c r="L2506" s="2">
        <v>26271</v>
      </c>
      <c r="M2506" s="2">
        <f>K2506-L2506</f>
        <v>0</v>
      </c>
      <c r="N2506" s="2">
        <v>15787</v>
      </c>
      <c r="O2506" s="2">
        <v>467</v>
      </c>
      <c r="P2506" s="7">
        <f>grand[[#This Row],[total weight]]/grand[[#This Row],[received]]</f>
        <v>437.85</v>
      </c>
      <c r="Q2506" s="7">
        <f>grand[[#This Row],[receiving weight]]/grand[[#This Row],[received]]</f>
        <v>437.85</v>
      </c>
      <c r="R2506" s="7">
        <f>grand[[#This Row],[transportation loss ]]/grand[[#This Row],[received]]</f>
        <v>0</v>
      </c>
      <c r="S2506" s="7">
        <f>grand[[#This Row],[ carcass weight]]/grand[[#This Row],[received]]</f>
        <v>263.11666666666667</v>
      </c>
      <c r="T2506" s="7">
        <f>grand[[#This Row],[ kidneys fat quantity]]/grand[[#This Row],[received]]</f>
        <v>7.7833333333333332</v>
      </c>
      <c r="U2506" s="1">
        <v>23.083333333333336</v>
      </c>
      <c r="V2506" s="1">
        <v>0</v>
      </c>
      <c r="W2506" s="1">
        <v>46.29999999999999</v>
      </c>
      <c r="X2506" s="1">
        <v>10</v>
      </c>
      <c r="Y2506" s="1">
        <v>8.5</v>
      </c>
      <c r="Z2506" s="18">
        <f>grand[[#This Row],[av. Transportation loss]]/grand[[#This Row],[av.total weight]]</f>
        <v>0</v>
      </c>
      <c r="AA2506" s="18">
        <f>AVERAGE((grand[[#This Row],[am]]/25),(grand[[#This Row],[pm]]/50))</f>
        <v>0.92466666666666664</v>
      </c>
      <c r="AB2506" s="3">
        <f>grand[[#This Row],[ carcass weight]]/grand[[#This Row],[total weight]]</f>
        <v>0.60092878078489587</v>
      </c>
      <c r="AC2506" s="18">
        <f>SUM(grand[[#This Row],[am]:[meat transportation]])/100</f>
        <v>0.87883333333333324</v>
      </c>
      <c r="AD2506" s="1" t="s">
        <v>3071</v>
      </c>
      <c r="AJ2506" s="1">
        <v>23</v>
      </c>
    </row>
    <row r="2507" spans="1:38" hidden="1" x14ac:dyDescent="0.2">
      <c r="A2507" s="11">
        <v>46233</v>
      </c>
      <c r="B2507" s="53" t="str">
        <f>TEXT(grand[[#This Row],[date]],"[$-ar-SA,6]dd/mm/yyyy")</f>
        <v>15/02/1448</v>
      </c>
      <c r="C2507" s="52" t="str">
        <f>IF(MID(B2507,4,2)="09","Ramadan",IF(AND(MID(B2507,4,2)="12",VALUE(LEFT(B2507,2))&lt;=9),"Adha Season","Normal"))</f>
        <v>Normal</v>
      </c>
      <c r="D2507" s="1" t="s">
        <v>294</v>
      </c>
      <c r="F2507" s="4" t="s">
        <v>46</v>
      </c>
      <c r="G2507" s="1">
        <v>70</v>
      </c>
      <c r="H2507" s="1">
        <v>70</v>
      </c>
      <c r="I2507" s="1">
        <f>grand[[#This Row],[number]]-grand[[#This Row],[received]]</f>
        <v>0</v>
      </c>
      <c r="J2507" s="2"/>
      <c r="K2507" s="2">
        <v>4005</v>
      </c>
      <c r="L2507" s="2">
        <v>4005</v>
      </c>
      <c r="M2507" s="2">
        <f>K2507-L2507</f>
        <v>0</v>
      </c>
      <c r="N2507" s="2">
        <v>2260</v>
      </c>
      <c r="O2507" s="2">
        <v>0</v>
      </c>
      <c r="P2507" s="7">
        <f>grand[[#This Row],[total weight]]/grand[[#This Row],[received]]</f>
        <v>57.214285714285715</v>
      </c>
      <c r="Q2507" s="7">
        <f>grand[[#This Row],[receiving weight]]/grand[[#This Row],[received]]</f>
        <v>57.214285714285715</v>
      </c>
      <c r="R2507" s="7">
        <f>grand[[#This Row],[transportation loss ]]/grand[[#This Row],[received]]</f>
        <v>0</v>
      </c>
      <c r="S2507" s="7">
        <f>grand[[#This Row],[ carcass weight]]/grand[[#This Row],[received]]</f>
        <v>32.285714285714285</v>
      </c>
      <c r="T2507" s="7">
        <f>grand[[#This Row],[ kidneys fat quantity]]/grand[[#This Row],[received]]</f>
        <v>0</v>
      </c>
      <c r="U2507" s="1">
        <v>25</v>
      </c>
      <c r="V2507" s="1">
        <v>0</v>
      </c>
      <c r="W2507" s="1">
        <v>45</v>
      </c>
      <c r="X2507" s="1">
        <v>10</v>
      </c>
      <c r="Y2507" s="1">
        <v>8.5</v>
      </c>
      <c r="Z2507" s="18">
        <f>grand[[#This Row],[av. Transportation loss]]/grand[[#This Row],[av.total weight]]</f>
        <v>0</v>
      </c>
      <c r="AA2507" s="18">
        <f>AVERAGE((grand[[#This Row],[am]]/25),(grand[[#This Row],[pm]]/50))</f>
        <v>0.95</v>
      </c>
      <c r="AB2507" s="3">
        <f>grand[[#This Row],[ carcass weight]]/grand[[#This Row],[total weight]]</f>
        <v>0.56429463171036209</v>
      </c>
      <c r="AC2507" s="18">
        <f>SUM(grand[[#This Row],[am]:[meat transportation]])/100</f>
        <v>0.88500000000000001</v>
      </c>
      <c r="AD2507" s="1" t="s">
        <v>987</v>
      </c>
      <c r="AJ2507" s="1">
        <v>0</v>
      </c>
    </row>
    <row r="2508" spans="1:38" hidden="1" x14ac:dyDescent="0.2">
      <c r="A2508" s="11">
        <v>46233</v>
      </c>
      <c r="B2508" s="53" t="str">
        <f>TEXT(grand[[#This Row],[date]],"[$-ar-SA,6]dd/mm/yyyy")</f>
        <v>15/02/1448</v>
      </c>
      <c r="C2508" s="52" t="str">
        <f>IF(MID(B2508,4,2)="09","Ramadan",IF(AND(MID(B2508,4,2)="12",VALUE(LEFT(B2508,2))&lt;=9),"Adha Season","Normal"))</f>
        <v>Normal</v>
      </c>
      <c r="D2508" s="1" t="s">
        <v>45</v>
      </c>
      <c r="F2508" s="4" t="s">
        <v>3104</v>
      </c>
      <c r="G2508" s="1">
        <v>18</v>
      </c>
      <c r="H2508" s="1">
        <v>18</v>
      </c>
      <c r="I2508" s="1">
        <f>grand[[#This Row],[number]]-grand[[#This Row],[received]]</f>
        <v>0</v>
      </c>
      <c r="J2508" s="2"/>
      <c r="K2508" s="2">
        <v>8077</v>
      </c>
      <c r="L2508" s="2">
        <v>8077</v>
      </c>
      <c r="M2508" s="2">
        <f>K2508-L2508</f>
        <v>0</v>
      </c>
      <c r="N2508" s="2">
        <v>4864</v>
      </c>
      <c r="O2508" s="2">
        <v>103</v>
      </c>
      <c r="P2508" s="7">
        <f>grand[[#This Row],[total weight]]/grand[[#This Row],[received]]</f>
        <v>448.72222222222223</v>
      </c>
      <c r="Q2508" s="7">
        <f>grand[[#This Row],[receiving weight]]/grand[[#This Row],[received]]</f>
        <v>448.72222222222223</v>
      </c>
      <c r="R2508" s="7">
        <f>grand[[#This Row],[transportation loss ]]/grand[[#This Row],[received]]</f>
        <v>0</v>
      </c>
      <c r="S2508" s="7">
        <f>grand[[#This Row],[ carcass weight]]/grand[[#This Row],[received]]</f>
        <v>270.22222222222223</v>
      </c>
      <c r="T2508" s="7">
        <f>grand[[#This Row],[ kidneys fat quantity]]/grand[[#This Row],[received]]</f>
        <v>5.7222222222222223</v>
      </c>
      <c r="U2508" s="1">
        <v>24.166666666666668</v>
      </c>
      <c r="V2508" s="1">
        <v>0</v>
      </c>
      <c r="W2508" s="1">
        <v>46.666666666666664</v>
      </c>
      <c r="X2508" s="1">
        <v>10</v>
      </c>
      <c r="Y2508" s="1">
        <v>8.5</v>
      </c>
      <c r="Z2508" s="18">
        <f>grand[[#This Row],[av. Transportation loss]]/grand[[#This Row],[av.total weight]]</f>
        <v>0</v>
      </c>
      <c r="AA2508" s="18">
        <f>AVERAGE((grand[[#This Row],[am]]/25),(grand[[#This Row],[pm]]/50))</f>
        <v>0.95</v>
      </c>
      <c r="AB2508" s="3">
        <f>grand[[#This Row],[ carcass weight]]/grand[[#This Row],[total weight]]</f>
        <v>0.60220378853534728</v>
      </c>
      <c r="AC2508" s="18">
        <f>SUM(grand[[#This Row],[am]:[meat transportation]])/100</f>
        <v>0.89333333333333331</v>
      </c>
      <c r="AD2508" s="1" t="s">
        <v>3078</v>
      </c>
      <c r="AJ2508" s="1">
        <v>3</v>
      </c>
    </row>
    <row r="2509" spans="1:38" hidden="1" x14ac:dyDescent="0.2">
      <c r="A2509" s="11">
        <v>46233</v>
      </c>
      <c r="B2509" s="53" t="str">
        <f>TEXT(grand[[#This Row],[date]],"[$-ar-SA,6]dd/mm/yyyy")</f>
        <v>15/02/1448</v>
      </c>
      <c r="C2509" s="52" t="str">
        <f>IF(MID(B2509,4,2)="09","Ramadan",IF(AND(MID(B2509,4,2)="12",VALUE(LEFT(B2509,2))&lt;=9),"Adha Season","Normal"))</f>
        <v>Normal</v>
      </c>
      <c r="D2509" s="1" t="s">
        <v>45</v>
      </c>
      <c r="F2509" s="4" t="s">
        <v>576</v>
      </c>
      <c r="G2509" s="1">
        <v>87</v>
      </c>
      <c r="H2509" s="1">
        <v>87</v>
      </c>
      <c r="I2509" s="1">
        <f>grand[[#This Row],[number]]-grand[[#This Row],[received]]</f>
        <v>0</v>
      </c>
      <c r="J2509" s="2"/>
      <c r="K2509" s="2">
        <v>44255</v>
      </c>
      <c r="L2509" s="2">
        <v>44255</v>
      </c>
      <c r="M2509" s="2">
        <f>K2509-L2509</f>
        <v>0</v>
      </c>
      <c r="N2509" s="2">
        <v>27607</v>
      </c>
      <c r="O2509" s="2">
        <v>705</v>
      </c>
      <c r="P2509" s="7">
        <f>grand[[#This Row],[total weight]]/grand[[#This Row],[received]]</f>
        <v>508.67816091954023</v>
      </c>
      <c r="Q2509" s="7">
        <f>grand[[#This Row],[receiving weight]]/grand[[#This Row],[received]]</f>
        <v>508.67816091954023</v>
      </c>
      <c r="R2509" s="7">
        <f>grand[[#This Row],[transportation loss ]]/grand[[#This Row],[received]]</f>
        <v>0</v>
      </c>
      <c r="S2509" s="7">
        <f>grand[[#This Row],[ carcass weight]]/grand[[#This Row],[received]]</f>
        <v>317.32183908045977</v>
      </c>
      <c r="T2509" s="7">
        <f>grand[[#This Row],[ kidneys fat quantity]]/grand[[#This Row],[received]]</f>
        <v>8.1034482758620694</v>
      </c>
      <c r="U2509" s="1">
        <v>24.080459770114945</v>
      </c>
      <c r="V2509" s="1">
        <v>0</v>
      </c>
      <c r="W2509" s="1">
        <v>47.258620689655167</v>
      </c>
      <c r="X2509" s="1">
        <v>10</v>
      </c>
      <c r="Y2509" s="1">
        <v>8.5</v>
      </c>
      <c r="Z2509" s="18">
        <f>grand[[#This Row],[av. Transportation loss]]/grand[[#This Row],[av.total weight]]</f>
        <v>0</v>
      </c>
      <c r="AA2509" s="18">
        <f>AVERAGE((grand[[#This Row],[am]]/25),(grand[[#This Row],[pm]]/50))</f>
        <v>0.95419540229885058</v>
      </c>
      <c r="AB2509" s="3">
        <f>grand[[#This Row],[ carcass weight]]/grand[[#This Row],[total weight]]</f>
        <v>0.62381651790758108</v>
      </c>
      <c r="AC2509" s="18">
        <f>SUM(grand[[#This Row],[am]:[meat transportation]])/100</f>
        <v>0.89839080459770115</v>
      </c>
      <c r="AD2509" s="1" t="s">
        <v>3081</v>
      </c>
      <c r="AJ2509" s="1">
        <v>43</v>
      </c>
    </row>
    <row r="2510" spans="1:38" hidden="1" x14ac:dyDescent="0.2">
      <c r="A2510" s="11">
        <v>46235</v>
      </c>
      <c r="B2510" s="53" t="str">
        <f>TEXT(grand[[#This Row],[date]],"[$-ar-SA,6]dd/mm/yyyy")</f>
        <v>17/02/1448</v>
      </c>
      <c r="C2510" s="52" t="str">
        <f>IF(MID(B2510,4,2)="09","Ramadan",IF(AND(MID(B2510,4,2)="12",VALUE(LEFT(B2510,2))&lt;=9),"Adha Season","Normal"))</f>
        <v>Normal</v>
      </c>
      <c r="D2510" s="1" t="s">
        <v>294</v>
      </c>
      <c r="F2510" s="4" t="s">
        <v>165</v>
      </c>
      <c r="G2510" s="1">
        <v>38</v>
      </c>
      <c r="H2510" s="1">
        <v>38</v>
      </c>
      <c r="I2510" s="1">
        <f>grand[[#This Row],[number]]-grand[[#This Row],[received]]</f>
        <v>0</v>
      </c>
      <c r="J2510" s="2"/>
      <c r="K2510" s="2">
        <v>1960</v>
      </c>
      <c r="L2510" s="2">
        <v>1960</v>
      </c>
      <c r="M2510" s="2">
        <f>K2510-L2510</f>
        <v>0</v>
      </c>
      <c r="N2510" s="2">
        <v>1050</v>
      </c>
      <c r="O2510" s="2">
        <v>0</v>
      </c>
      <c r="P2510" s="7">
        <f>grand[[#This Row],[total weight]]/grand[[#This Row],[received]]</f>
        <v>51.578947368421055</v>
      </c>
      <c r="Q2510" s="7">
        <f>grand[[#This Row],[receiving weight]]/grand[[#This Row],[received]]</f>
        <v>51.578947368421055</v>
      </c>
      <c r="R2510" s="7">
        <f>grand[[#This Row],[transportation loss ]]/grand[[#This Row],[received]]</f>
        <v>0</v>
      </c>
      <c r="S2510" s="7">
        <f>grand[[#This Row],[ carcass weight]]/grand[[#This Row],[received]]</f>
        <v>27.631578947368421</v>
      </c>
      <c r="T2510" s="7">
        <f>grand[[#This Row],[ kidneys fat quantity]]/grand[[#This Row],[received]]</f>
        <v>0</v>
      </c>
      <c r="U2510" s="1">
        <v>25</v>
      </c>
      <c r="V2510" s="1">
        <v>2</v>
      </c>
      <c r="W2510" s="1">
        <v>43.5</v>
      </c>
      <c r="X2510" s="1">
        <v>10</v>
      </c>
      <c r="Y2510" s="1">
        <v>8.5</v>
      </c>
      <c r="Z2510" s="18">
        <f>grand[[#This Row],[av. Transportation loss]]/grand[[#This Row],[av.total weight]]</f>
        <v>0</v>
      </c>
      <c r="AA2510" s="18">
        <f>AVERAGE((grand[[#This Row],[am]]/25),(grand[[#This Row],[pm]]/50))</f>
        <v>0.93500000000000005</v>
      </c>
      <c r="AB2510" s="3">
        <f>grand[[#This Row],[ carcass weight]]/grand[[#This Row],[total weight]]</f>
        <v>0.5357142857142857</v>
      </c>
      <c r="AC2510" s="18">
        <f>SUM(grand[[#This Row],[am]:[meat transportation]])/100</f>
        <v>0.89</v>
      </c>
      <c r="AD2510" s="1" t="s">
        <v>3106</v>
      </c>
      <c r="AJ2510" s="1">
        <v>0</v>
      </c>
    </row>
    <row r="2511" spans="1:38" hidden="1" x14ac:dyDescent="0.2">
      <c r="A2511" s="11">
        <v>46235</v>
      </c>
      <c r="B2511" s="53" t="str">
        <f>TEXT(grand[[#This Row],[date]],"[$-ar-SA,6]dd/mm/yyyy")</f>
        <v>17/02/1448</v>
      </c>
      <c r="C2511" s="52" t="str">
        <f>IF(MID(B2511,4,2)="09","Ramadan",IF(AND(MID(B2511,4,2)="12",VALUE(LEFT(B2511,2))&lt;=9),"Adha Season","Normal"))</f>
        <v>Normal</v>
      </c>
      <c r="D2511" s="1" t="s">
        <v>45</v>
      </c>
      <c r="F2511" s="4" t="s">
        <v>165</v>
      </c>
      <c r="G2511" s="1">
        <v>56</v>
      </c>
      <c r="H2511" s="1">
        <v>56</v>
      </c>
      <c r="I2511" s="1">
        <f>grand[[#This Row],[number]]-grand[[#This Row],[received]]</f>
        <v>0</v>
      </c>
      <c r="J2511" s="2"/>
      <c r="K2511" s="2">
        <v>23599</v>
      </c>
      <c r="L2511" s="2">
        <v>23599</v>
      </c>
      <c r="M2511" s="2">
        <f>K2511-L2511</f>
        <v>0</v>
      </c>
      <c r="N2511" s="2">
        <v>14159</v>
      </c>
      <c r="O2511" s="2">
        <v>291</v>
      </c>
      <c r="P2511" s="7">
        <f>grand[[#This Row],[total weight]]/grand[[#This Row],[received]]</f>
        <v>421.41071428571428</v>
      </c>
      <c r="Q2511" s="7">
        <f>grand[[#This Row],[receiving weight]]/grand[[#This Row],[received]]</f>
        <v>421.41071428571428</v>
      </c>
      <c r="R2511" s="7">
        <f>grand[[#This Row],[transportation loss ]]/grand[[#This Row],[received]]</f>
        <v>0</v>
      </c>
      <c r="S2511" s="7">
        <f>grand[[#This Row],[ carcass weight]]/grand[[#This Row],[received]]</f>
        <v>252.83928571428572</v>
      </c>
      <c r="T2511" s="7">
        <f>grand[[#This Row],[ kidneys fat quantity]]/grand[[#This Row],[received]]</f>
        <v>5.1964285714285712</v>
      </c>
      <c r="U2511" s="1">
        <v>24.642857142857142</v>
      </c>
      <c r="V2511" s="1">
        <v>0</v>
      </c>
      <c r="W2511" s="1">
        <v>49.000000000000007</v>
      </c>
      <c r="X2511" s="1">
        <v>10</v>
      </c>
      <c r="Y2511" s="1">
        <v>8.5</v>
      </c>
      <c r="Z2511" s="18">
        <f>grand[[#This Row],[av. Transportation loss]]/grand[[#This Row],[av.total weight]]</f>
        <v>0</v>
      </c>
      <c r="AA2511" s="18">
        <f>AVERAGE((grand[[#This Row],[am]]/25),(grand[[#This Row],[pm]]/50))</f>
        <v>0.98285714285714287</v>
      </c>
      <c r="AB2511" s="3">
        <f>grand[[#This Row],[ carcass weight]]/grand[[#This Row],[total weight]]</f>
        <v>0.5999830501292428</v>
      </c>
      <c r="AC2511" s="18">
        <f>SUM(grand[[#This Row],[am]:[meat transportation]])/100</f>
        <v>0.92142857142857149</v>
      </c>
      <c r="AD2511" s="1" t="s">
        <v>3107</v>
      </c>
      <c r="AJ2511" s="1">
        <v>13</v>
      </c>
    </row>
    <row r="2512" spans="1:38" x14ac:dyDescent="0.2">
      <c r="A2512" s="11">
        <v>46235</v>
      </c>
      <c r="B2512" s="53" t="str">
        <f>TEXT(grand[[#This Row],[date]],"[$-ar-SA,6]dd/mm/yyyy")</f>
        <v>17/02/1448</v>
      </c>
      <c r="C2512" s="52" t="str">
        <f>IF(MID(B2512,4,2)="09","Ramadan",IF(AND(MID(B2512,4,2)="12",VALUE(LEFT(B2512,2))&lt;=9),"Adha Season","Normal"))</f>
        <v>Normal</v>
      </c>
      <c r="D2512" s="1" t="s">
        <v>45</v>
      </c>
      <c r="F2512" s="4" t="s">
        <v>815</v>
      </c>
      <c r="G2512" s="1">
        <v>60</v>
      </c>
      <c r="H2512" s="1">
        <v>59</v>
      </c>
      <c r="I2512" s="1">
        <f>grand[[#This Row],[number]]-grand[[#This Row],[received]]</f>
        <v>1</v>
      </c>
      <c r="J2512" s="9" t="s">
        <v>3169</v>
      </c>
      <c r="K2512" s="2">
        <v>32100</v>
      </c>
      <c r="L2512" s="2">
        <v>32100</v>
      </c>
      <c r="M2512" s="2">
        <f>K2512-L2512</f>
        <v>0</v>
      </c>
      <c r="N2512" s="2">
        <v>19486</v>
      </c>
      <c r="O2512" s="2">
        <v>390</v>
      </c>
      <c r="P2512" s="7">
        <f>grand[[#This Row],[total weight]]/grand[[#This Row],[received]]</f>
        <v>544.06779661016947</v>
      </c>
      <c r="Q2512" s="7">
        <f>grand[[#This Row],[receiving weight]]/grand[[#This Row],[received]]</f>
        <v>544.06779661016947</v>
      </c>
      <c r="R2512" s="7">
        <f>grand[[#This Row],[transportation loss ]]/grand[[#This Row],[received]]</f>
        <v>0</v>
      </c>
      <c r="S2512" s="7">
        <f>grand[[#This Row],[ carcass weight]]/grand[[#This Row],[received]]</f>
        <v>330.27118644067798</v>
      </c>
      <c r="T2512" s="7">
        <f>grand[[#This Row],[ kidneys fat quantity]]/grand[[#This Row],[received]]</f>
        <v>6.6101694915254239</v>
      </c>
      <c r="U2512" s="1">
        <v>25</v>
      </c>
      <c r="V2512" s="1">
        <v>2</v>
      </c>
      <c r="W2512" s="1">
        <v>42.127118644067799</v>
      </c>
      <c r="X2512" s="1">
        <v>10</v>
      </c>
      <c r="Y2512" s="1">
        <v>8.5</v>
      </c>
      <c r="Z2512" s="18">
        <f>grand[[#This Row],[av. Transportation loss]]/grand[[#This Row],[av.total weight]]</f>
        <v>0</v>
      </c>
      <c r="AA2512" s="18">
        <f>AVERAGE((grand[[#This Row],[am]]/25),(grand[[#This Row],[pm]]/50))</f>
        <v>0.92127118644067796</v>
      </c>
      <c r="AB2512" s="3">
        <f>grand[[#This Row],[ carcass weight]]/grand[[#This Row],[total weight]]</f>
        <v>0.60704049844236763</v>
      </c>
      <c r="AC2512" s="18">
        <f>SUM(grand[[#This Row],[am]:[meat transportation]])/100</f>
        <v>0.87627118644067792</v>
      </c>
      <c r="AD2512" s="1" t="s">
        <v>3105</v>
      </c>
      <c r="AJ2512" s="1">
        <v>0</v>
      </c>
    </row>
    <row r="2513" spans="1:38" x14ac:dyDescent="0.2">
      <c r="A2513" s="11">
        <v>46236</v>
      </c>
      <c r="B2513" s="53" t="str">
        <f>TEXT(grand[[#This Row],[date]],"[$-ar-SA,6]dd/mm/yyyy")</f>
        <v>18/02/1448</v>
      </c>
      <c r="C2513" s="52" t="str">
        <f>IF(MID(B2513,4,2)="09","Ramadan",IF(AND(MID(B2513,4,2)="12",VALUE(LEFT(B2513,2))&lt;=9),"Adha Season","Normal"))</f>
        <v>Normal</v>
      </c>
      <c r="D2513" s="1" t="s">
        <v>45</v>
      </c>
      <c r="F2513" s="4" t="s">
        <v>746</v>
      </c>
      <c r="G2513" s="1">
        <v>16</v>
      </c>
      <c r="H2513" s="1">
        <v>15</v>
      </c>
      <c r="I2513" s="1">
        <f>grand[[#This Row],[number]]-grand[[#This Row],[received]]</f>
        <v>1</v>
      </c>
      <c r="J2513" s="9" t="s">
        <v>3175</v>
      </c>
      <c r="K2513" s="2">
        <v>6644</v>
      </c>
      <c r="L2513" s="2">
        <v>6644</v>
      </c>
      <c r="M2513" s="2">
        <f>K2513-L2513</f>
        <v>0</v>
      </c>
      <c r="N2513" s="2">
        <v>3986</v>
      </c>
      <c r="O2513" s="2">
        <v>122</v>
      </c>
      <c r="P2513" s="7">
        <f>grand[[#This Row],[total weight]]/grand[[#This Row],[received]]</f>
        <v>442.93333333333334</v>
      </c>
      <c r="Q2513" s="7">
        <f>grand[[#This Row],[receiving weight]]/grand[[#This Row],[received]]</f>
        <v>442.93333333333334</v>
      </c>
      <c r="R2513" s="7">
        <f>grand[[#This Row],[transportation loss ]]/grand[[#This Row],[received]]</f>
        <v>0</v>
      </c>
      <c r="S2513" s="7">
        <f>grand[[#This Row],[ carcass weight]]/grand[[#This Row],[received]]</f>
        <v>265.73333333333335</v>
      </c>
      <c r="T2513" s="7">
        <f>grand[[#This Row],[ kidneys fat quantity]]/grand[[#This Row],[received]]</f>
        <v>8.1333333333333329</v>
      </c>
      <c r="U2513" s="1">
        <v>24</v>
      </c>
      <c r="V2513" s="1">
        <v>2</v>
      </c>
      <c r="W2513" s="1">
        <v>43.06666666666667</v>
      </c>
      <c r="X2513" s="1">
        <v>10</v>
      </c>
      <c r="Y2513" s="1">
        <v>8.5</v>
      </c>
      <c r="Z2513" s="18">
        <f>grand[[#This Row],[av. Transportation loss]]/grand[[#This Row],[av.total weight]]</f>
        <v>0</v>
      </c>
      <c r="AA2513" s="18">
        <f>AVERAGE((grand[[#This Row],[am]]/25),(grand[[#This Row],[pm]]/50))</f>
        <v>0.91066666666666674</v>
      </c>
      <c r="AB2513" s="3">
        <f>grand[[#This Row],[ carcass weight]]/grand[[#This Row],[total weight]]</f>
        <v>0.59993979530403374</v>
      </c>
      <c r="AC2513" s="18">
        <f>SUM(grand[[#This Row],[am]:[meat transportation]])/100</f>
        <v>0.87566666666666659</v>
      </c>
      <c r="AD2513" s="1" t="s">
        <v>3123</v>
      </c>
      <c r="AJ2513" s="1">
        <v>9</v>
      </c>
    </row>
    <row r="2514" spans="1:38" hidden="1" x14ac:dyDescent="0.2">
      <c r="A2514" s="11">
        <v>46237</v>
      </c>
      <c r="B2514" s="53" t="str">
        <f>TEXT(grand[[#This Row],[date]],"[$-ar-SA,6]dd/mm/yyyy")</f>
        <v>19/02/1448</v>
      </c>
      <c r="C2514" s="52" t="str">
        <f>IF(MID(B2514,4,2)="09","Ramadan",IF(AND(MID(B2514,4,2)="12",VALUE(LEFT(B2514,2))&lt;=9),"Adha Season","Normal"))</f>
        <v>Normal</v>
      </c>
      <c r="D2514" s="1" t="s">
        <v>45</v>
      </c>
      <c r="F2514" s="4" t="s">
        <v>954</v>
      </c>
      <c r="G2514" s="1">
        <v>72</v>
      </c>
      <c r="H2514" s="1">
        <v>72</v>
      </c>
      <c r="I2514" s="1">
        <f>grand[[#This Row],[number]]-grand[[#This Row],[received]]</f>
        <v>0</v>
      </c>
      <c r="J2514" s="2"/>
      <c r="K2514" s="2">
        <v>30350</v>
      </c>
      <c r="L2514" s="2">
        <v>30350</v>
      </c>
      <c r="M2514" s="2">
        <f>K2514-L2514</f>
        <v>0</v>
      </c>
      <c r="N2514" s="2">
        <v>18285</v>
      </c>
      <c r="O2514" s="2">
        <v>543</v>
      </c>
      <c r="P2514" s="7">
        <f>grand[[#This Row],[total weight]]/grand[[#This Row],[received]]</f>
        <v>421.52777777777777</v>
      </c>
      <c r="Q2514" s="7">
        <f>grand[[#This Row],[receiving weight]]/grand[[#This Row],[received]]</f>
        <v>421.52777777777777</v>
      </c>
      <c r="R2514" s="7">
        <f>grand[[#This Row],[transportation loss ]]/grand[[#This Row],[received]]</f>
        <v>0</v>
      </c>
      <c r="S2514" s="7">
        <f>grand[[#This Row],[ carcass weight]]/grand[[#This Row],[received]]</f>
        <v>253.95833333333334</v>
      </c>
      <c r="T2514" s="7">
        <f>grand[[#This Row],[ kidneys fat quantity]]/grand[[#This Row],[received]]</f>
        <v>7.541666666666667</v>
      </c>
      <c r="U2514" s="1">
        <v>25</v>
      </c>
      <c r="V2514" s="1">
        <v>0</v>
      </c>
      <c r="W2514" s="1">
        <v>48.999999999999993</v>
      </c>
      <c r="X2514" s="1">
        <v>10</v>
      </c>
      <c r="Y2514" s="1">
        <v>8.5</v>
      </c>
      <c r="Z2514" s="18">
        <f>grand[[#This Row],[av. Transportation loss]]/grand[[#This Row],[av.total weight]]</f>
        <v>0</v>
      </c>
      <c r="AA2514" s="18">
        <f>AVERAGE((grand[[#This Row],[am]]/25),(grand[[#This Row],[pm]]/50))</f>
        <v>0.99</v>
      </c>
      <c r="AB2514" s="3">
        <f>grand[[#This Row],[ carcass weight]]/grand[[#This Row],[total weight]]</f>
        <v>0.60247116968698522</v>
      </c>
      <c r="AC2514" s="18">
        <f>SUM(grand[[#This Row],[am]:[meat transportation]])/100</f>
        <v>0.92500000000000004</v>
      </c>
      <c r="AD2514" s="1" t="s">
        <v>3138</v>
      </c>
      <c r="AJ2514" s="1">
        <v>0</v>
      </c>
    </row>
    <row r="2515" spans="1:38" hidden="1" x14ac:dyDescent="0.2">
      <c r="A2515" s="11">
        <v>46237</v>
      </c>
      <c r="B2515" s="53" t="str">
        <f>TEXT(grand[[#This Row],[date]],"[$-ar-SA,6]dd/mm/yyyy")</f>
        <v>19/02/1448</v>
      </c>
      <c r="C2515" s="52" t="str">
        <f>IF(MID(B2515,4,2)="09","Ramadan",IF(AND(MID(B2515,4,2)="12",VALUE(LEFT(B2515,2))&lt;=9),"Adha Season","Normal"))</f>
        <v>Normal</v>
      </c>
      <c r="D2515" s="1" t="s">
        <v>294</v>
      </c>
      <c r="F2515" s="4" t="s">
        <v>165</v>
      </c>
      <c r="G2515" s="1">
        <v>64</v>
      </c>
      <c r="H2515" s="1">
        <v>63</v>
      </c>
      <c r="I2515" s="1">
        <f>grand[[#This Row],[number]]-grand[[#This Row],[received]]</f>
        <v>1</v>
      </c>
      <c r="J2515" s="9" t="s">
        <v>3178</v>
      </c>
      <c r="K2515" s="2">
        <v>3359</v>
      </c>
      <c r="L2515" s="2">
        <v>3359</v>
      </c>
      <c r="M2515" s="2">
        <f>K2515-L2515</f>
        <v>0</v>
      </c>
      <c r="N2515" s="2">
        <v>1854</v>
      </c>
      <c r="O2515" s="2">
        <v>0</v>
      </c>
      <c r="P2515" s="7">
        <f>grand[[#This Row],[total weight]]/grand[[#This Row],[received]]</f>
        <v>53.317460317460316</v>
      </c>
      <c r="Q2515" s="7">
        <f>grand[[#This Row],[receiving weight]]/grand[[#This Row],[received]]</f>
        <v>53.317460317460316</v>
      </c>
      <c r="R2515" s="7">
        <f>grand[[#This Row],[transportation loss ]]/grand[[#This Row],[received]]</f>
        <v>0</v>
      </c>
      <c r="S2515" s="7">
        <f>grand[[#This Row],[ carcass weight]]/grand[[#This Row],[received]]</f>
        <v>29.428571428571427</v>
      </c>
      <c r="T2515" s="7">
        <f>grand[[#This Row],[ kidneys fat quantity]]/grand[[#This Row],[received]]</f>
        <v>0</v>
      </c>
      <c r="U2515" s="1">
        <v>25</v>
      </c>
      <c r="V2515" s="1">
        <v>0</v>
      </c>
      <c r="W2515" s="1">
        <v>43.317460317460323</v>
      </c>
      <c r="X2515" s="1">
        <v>10</v>
      </c>
      <c r="Y2515" s="1">
        <v>8.5</v>
      </c>
      <c r="Z2515" s="18">
        <f>grand[[#This Row],[av. Transportation loss]]/grand[[#This Row],[av.total weight]]</f>
        <v>0</v>
      </c>
      <c r="AA2515" s="18">
        <f>AVERAGE((grand[[#This Row],[am]]/25),(grand[[#This Row],[pm]]/50))</f>
        <v>0.93317460317460321</v>
      </c>
      <c r="AB2515" s="3">
        <f>grand[[#This Row],[ carcass weight]]/grand[[#This Row],[total weight]]</f>
        <v>0.55194998511461746</v>
      </c>
      <c r="AC2515" s="18">
        <f>SUM(grand[[#This Row],[am]:[meat transportation]])/100</f>
        <v>0.86817460317460327</v>
      </c>
      <c r="AD2515" s="1" t="s">
        <v>740</v>
      </c>
      <c r="AJ2515" s="1">
        <v>0</v>
      </c>
    </row>
    <row r="2516" spans="1:38" hidden="1" x14ac:dyDescent="0.2">
      <c r="A2516" s="11">
        <v>46238</v>
      </c>
      <c r="B2516" s="53" t="str">
        <f>TEXT(grand[[#This Row],[date]],"[$-ar-SA,6]dd/mm/yyyy")</f>
        <v>20/02/1448</v>
      </c>
      <c r="C2516" s="52" t="str">
        <f>IF(MID(B2516,4,2)="09","Ramadan",IF(AND(MID(B2516,4,2)="12",VALUE(LEFT(B2516,2))&lt;=9),"Adha Season","Normal"))</f>
        <v>Normal</v>
      </c>
      <c r="D2516" s="1" t="s">
        <v>45</v>
      </c>
      <c r="F2516" s="4" t="s">
        <v>815</v>
      </c>
      <c r="G2516" s="1">
        <v>60</v>
      </c>
      <c r="H2516" s="1">
        <v>60</v>
      </c>
      <c r="I2516" s="1">
        <f>grand[[#This Row],[number]]-grand[[#This Row],[received]]</f>
        <v>0</v>
      </c>
      <c r="J2516" s="2"/>
      <c r="K2516" s="2">
        <v>31844</v>
      </c>
      <c r="L2516" s="2">
        <v>31844</v>
      </c>
      <c r="M2516" s="2">
        <f>K2516-L2516</f>
        <v>0</v>
      </c>
      <c r="N2516" s="2">
        <v>19325</v>
      </c>
      <c r="O2516" s="2">
        <v>452</v>
      </c>
      <c r="P2516" s="7">
        <f>grand[[#This Row],[total weight]]/grand[[#This Row],[received]]</f>
        <v>530.73333333333335</v>
      </c>
      <c r="Q2516" s="7">
        <f>grand[[#This Row],[receiving weight]]/grand[[#This Row],[received]]</f>
        <v>530.73333333333335</v>
      </c>
      <c r="R2516" s="7">
        <f>grand[[#This Row],[transportation loss ]]/grand[[#This Row],[received]]</f>
        <v>0</v>
      </c>
      <c r="S2516" s="7">
        <f>grand[[#This Row],[ carcass weight]]/grand[[#This Row],[received]]</f>
        <v>322.08333333333331</v>
      </c>
      <c r="T2516" s="7">
        <f>grand[[#This Row],[ kidneys fat quantity]]/grand[[#This Row],[received]]</f>
        <v>7.5333333333333332</v>
      </c>
      <c r="U2516" s="1">
        <v>24.916666666666664</v>
      </c>
      <c r="V2516" s="1">
        <v>2</v>
      </c>
      <c r="W2516" s="1">
        <v>40.908333333333331</v>
      </c>
      <c r="X2516" s="1">
        <v>10</v>
      </c>
      <c r="Y2516" s="1">
        <v>8.5</v>
      </c>
      <c r="Z2516" s="18">
        <f>grand[[#This Row],[av. Transportation loss]]/grand[[#This Row],[av.total weight]]</f>
        <v>0</v>
      </c>
      <c r="AA2516" s="18">
        <f>AVERAGE((grand[[#This Row],[am]]/25),(grand[[#This Row],[pm]]/50))</f>
        <v>0.90741666666666654</v>
      </c>
      <c r="AB2516" s="3">
        <f>grand[[#This Row],[ carcass weight]]/grand[[#This Row],[total weight]]</f>
        <v>0.60686471548800403</v>
      </c>
      <c r="AC2516" s="18">
        <f>SUM(grand[[#This Row],[am]:[meat transportation]])/100</f>
        <v>0.86324999999999985</v>
      </c>
      <c r="AD2516" s="1" t="s">
        <v>3139</v>
      </c>
      <c r="AJ2516" s="1">
        <v>0</v>
      </c>
    </row>
    <row r="2517" spans="1:38" hidden="1" x14ac:dyDescent="0.2">
      <c r="A2517" s="11">
        <v>45914</v>
      </c>
      <c r="B2517" s="53" t="s">
        <v>2310</v>
      </c>
      <c r="C2517" s="52" t="str">
        <f>IF(MID(B2517,4,2)="09","Ramadan",IF(AND(MID(B2517,4,2)="12",VALUE(LEFT(B2517,2))&lt;=9),"Adha Season","Normal"))</f>
        <v>Normal</v>
      </c>
      <c r="D2517" s="1" t="s">
        <v>45</v>
      </c>
      <c r="E2517" s="1" t="s">
        <v>483</v>
      </c>
      <c r="F2517" s="4" t="s">
        <v>46</v>
      </c>
      <c r="G2517" s="1">
        <v>25</v>
      </c>
      <c r="H2517" s="1">
        <v>22</v>
      </c>
      <c r="I2517" s="1">
        <f>grand[[#This Row],[number]]-grand[[#This Row],[received]]</f>
        <v>3</v>
      </c>
      <c r="J2517" s="30"/>
      <c r="K2517" s="2">
        <v>9798</v>
      </c>
      <c r="L2517" s="2">
        <v>10480</v>
      </c>
      <c r="M2517" s="2">
        <f>K2517-L2517</f>
        <v>-682</v>
      </c>
      <c r="N2517" s="2">
        <v>5878.7999999999993</v>
      </c>
      <c r="O2517" s="2">
        <v>164</v>
      </c>
      <c r="P2517" s="7">
        <f>grand[[#This Row],[total weight]]/grand[[#This Row],[received]]</f>
        <v>445.36363636363637</v>
      </c>
      <c r="Q2517" s="7">
        <f>grand[[#This Row],[receiving weight]]/grand[[#This Row],[received]]</f>
        <v>476.36363636363637</v>
      </c>
      <c r="R2517" s="7">
        <f>grand[[#This Row],[transportation loss ]]/grand[[#This Row],[received]]</f>
        <v>-31</v>
      </c>
      <c r="S2517" s="7">
        <f>grand[[#This Row],[ carcass weight]]/grand[[#This Row],[received]]</f>
        <v>267.21818181818179</v>
      </c>
      <c r="T2517" s="7">
        <f>grand[[#This Row],[ kidneys fat quantity]]/grand[[#This Row],[received]]</f>
        <v>7.4545454545454541</v>
      </c>
      <c r="U2517" s="1">
        <v>25</v>
      </c>
      <c r="V2517" s="1">
        <v>0</v>
      </c>
      <c r="W2517" s="1">
        <v>49.737373737373737</v>
      </c>
      <c r="X2517" s="1">
        <v>10</v>
      </c>
      <c r="Y2517" s="1">
        <v>8.5</v>
      </c>
      <c r="Z2517" s="18">
        <f>grand[[#This Row],[av. Transportation loss]]/grand[[#This Row],[av.total weight]]</f>
        <v>-6.960604204939784E-2</v>
      </c>
      <c r="AA2517" s="18">
        <f>AVERAGE((grand[[#This Row],[am]]/25),(grand[[#This Row],[pm]]/50))</f>
        <v>0.99737373737373736</v>
      </c>
      <c r="AB2517" s="3">
        <f>grand[[#This Row],[ carcass weight]]/grand[[#This Row],[total weight]]</f>
        <v>0.6</v>
      </c>
      <c r="AC2517" s="18">
        <f>SUM(grand[[#This Row],[am]:[meat transportation]])/100</f>
        <v>0.9323737373737373</v>
      </c>
      <c r="AJ2517" s="1">
        <v>3</v>
      </c>
      <c r="AK2517" s="1"/>
      <c r="AL2517" s="1"/>
    </row>
    <row r="2518" spans="1:38" hidden="1" x14ac:dyDescent="0.2">
      <c r="A2518" s="11">
        <v>45924</v>
      </c>
      <c r="B2518" s="53" t="s">
        <v>2319</v>
      </c>
      <c r="C2518" s="52" t="str">
        <f>IF(MID(B2518,4,2)="09","Ramadan",IF(AND(MID(B2518,4,2)="12",VALUE(LEFT(B2518,2))&lt;=9),"Adha Season","Normal"))</f>
        <v>Normal</v>
      </c>
      <c r="D2518" s="1" t="s">
        <v>45</v>
      </c>
      <c r="E2518" s="1" t="s">
        <v>483</v>
      </c>
      <c r="F2518" s="4" t="s">
        <v>46</v>
      </c>
      <c r="G2518" s="1">
        <v>28</v>
      </c>
      <c r="H2518" s="1">
        <v>25</v>
      </c>
      <c r="I2518" s="1">
        <f>grand[[#This Row],[number]]-grand[[#This Row],[received]]</f>
        <v>3</v>
      </c>
      <c r="J2518" s="30"/>
      <c r="K2518" s="2">
        <v>11601</v>
      </c>
      <c r="L2518" s="2">
        <v>10985</v>
      </c>
      <c r="M2518" s="2">
        <f>K2518-L2518</f>
        <v>616</v>
      </c>
      <c r="N2518" s="2">
        <v>6960.7</v>
      </c>
      <c r="O2518" s="2">
        <v>201</v>
      </c>
      <c r="P2518" s="7">
        <f>grand[[#This Row],[total weight]]/grand[[#This Row],[received]]</f>
        <v>464.04</v>
      </c>
      <c r="Q2518" s="7">
        <f>grand[[#This Row],[receiving weight]]/grand[[#This Row],[received]]</f>
        <v>439.4</v>
      </c>
      <c r="R2518" s="7">
        <f>grand[[#This Row],[transportation loss ]]/grand[[#This Row],[received]]</f>
        <v>24.64</v>
      </c>
      <c r="S2518" s="7">
        <f>grand[[#This Row],[ carcass weight]]/grand[[#This Row],[received]]</f>
        <v>278.428</v>
      </c>
      <c r="T2518" s="7">
        <f>grand[[#This Row],[ kidneys fat quantity]]/grand[[#This Row],[received]]</f>
        <v>8.0399999999999991</v>
      </c>
      <c r="U2518" s="1">
        <v>25</v>
      </c>
      <c r="V2518" s="1">
        <v>0</v>
      </c>
      <c r="W2518" s="1">
        <v>49.737373737373737</v>
      </c>
      <c r="X2518" s="1">
        <v>10</v>
      </c>
      <c r="Y2518" s="1">
        <v>8.5</v>
      </c>
      <c r="Z2518" s="18">
        <f>grand[[#This Row],[av. Transportation loss]]/grand[[#This Row],[av.total weight]]</f>
        <v>5.3098870787001116E-2</v>
      </c>
      <c r="AA2518" s="18">
        <f>AVERAGE((grand[[#This Row],[am]]/25),(grand[[#This Row],[pm]]/50))</f>
        <v>0.99737373737373736</v>
      </c>
      <c r="AB2518" s="3">
        <f>grand[[#This Row],[ carcass weight]]/grand[[#This Row],[total weight]]</f>
        <v>0.6000086199465563</v>
      </c>
      <c r="AC2518" s="18">
        <f>SUM(grand[[#This Row],[am]:[meat transportation]])/100</f>
        <v>0.9323737373737373</v>
      </c>
      <c r="AJ2518" s="1">
        <v>4</v>
      </c>
      <c r="AK2518" s="1"/>
      <c r="AL2518" s="1"/>
    </row>
    <row r="2519" spans="1:38" hidden="1" x14ac:dyDescent="0.2">
      <c r="A2519" s="11">
        <v>45934</v>
      </c>
      <c r="B2519" s="53" t="s">
        <v>2327</v>
      </c>
      <c r="C2519" s="52" t="str">
        <f>IF(MID(B2519,4,2)="09","Ramadan",IF(AND(MID(B2519,4,2)="12",VALUE(LEFT(B2519,2))&lt;=9),"Adha Season","Normal"))</f>
        <v>Normal</v>
      </c>
      <c r="D2519" s="2" t="s">
        <v>294</v>
      </c>
      <c r="F2519" s="4" t="s">
        <v>772</v>
      </c>
      <c r="G2519" s="1">
        <v>51</v>
      </c>
      <c r="H2519" s="1">
        <v>48</v>
      </c>
      <c r="I2519" s="1">
        <f>grand[[#This Row],[number]]-grand[[#This Row],[received]]</f>
        <v>3</v>
      </c>
      <c r="J2519" s="30"/>
      <c r="K2519" s="2">
        <v>2525</v>
      </c>
      <c r="L2519" s="2">
        <v>2394</v>
      </c>
      <c r="M2519" s="2">
        <f>K2519-L2519</f>
        <v>131</v>
      </c>
      <c r="N2519" s="2">
        <v>1386.2</v>
      </c>
      <c r="O2519" s="2">
        <v>0</v>
      </c>
      <c r="P2519" s="7">
        <f>grand[[#This Row],[total weight]]/grand[[#This Row],[received]]</f>
        <v>52.604166666666664</v>
      </c>
      <c r="Q2519" s="7">
        <f>grand[[#This Row],[receiving weight]]/grand[[#This Row],[received]]</f>
        <v>49.875</v>
      </c>
      <c r="R2519" s="7">
        <f>grand[[#This Row],[transportation loss ]]/grand[[#This Row],[received]]</f>
        <v>2.7291666666666665</v>
      </c>
      <c r="S2519" s="7">
        <f>grand[[#This Row],[ carcass weight]]/grand[[#This Row],[received]]</f>
        <v>28.879166666666666</v>
      </c>
      <c r="T2519" s="7">
        <f>grand[[#This Row],[ kidneys fat quantity]]/grand[[#This Row],[received]]</f>
        <v>0</v>
      </c>
      <c r="U2519" s="1">
        <v>25</v>
      </c>
      <c r="V2519" s="1">
        <v>0</v>
      </c>
      <c r="W2519" s="1">
        <v>48.604166666666671</v>
      </c>
      <c r="X2519" s="1">
        <v>10</v>
      </c>
      <c r="Y2519" s="1">
        <v>8.5</v>
      </c>
      <c r="Z2519" s="18">
        <f>grand[[#This Row],[av. Transportation loss]]/grand[[#This Row],[av.total weight]]</f>
        <v>5.1881188118811879E-2</v>
      </c>
      <c r="AA2519" s="18">
        <f>AVERAGE((grand[[#This Row],[am]]/25),(grand[[#This Row],[pm]]/50))</f>
        <v>0.98604166666666671</v>
      </c>
      <c r="AB2519" s="3">
        <f>grand[[#This Row],[ carcass weight]]/grand[[#This Row],[total weight]]</f>
        <v>0.54899009900990103</v>
      </c>
      <c r="AC2519" s="18">
        <f>SUM(grand[[#This Row],[am]:[meat transportation]])/100</f>
        <v>0.92104166666666676</v>
      </c>
      <c r="AD2519" s="1" t="s">
        <v>792</v>
      </c>
      <c r="AJ2519" s="1">
        <v>0</v>
      </c>
      <c r="AK2519" s="1"/>
      <c r="AL2519" s="1"/>
    </row>
    <row r="2520" spans="1:38" hidden="1" x14ac:dyDescent="0.2">
      <c r="A2520" s="11">
        <v>45936</v>
      </c>
      <c r="B2520" s="53" t="s">
        <v>2329</v>
      </c>
      <c r="C2520" s="52" t="str">
        <f>IF(MID(B2520,4,2)="09","Ramadan",IF(AND(MID(B2520,4,2)="12",VALUE(LEFT(B2520,2))&lt;=9),"Adha Season","Normal"))</f>
        <v>Normal</v>
      </c>
      <c r="D2520" s="1" t="s">
        <v>45</v>
      </c>
      <c r="E2520" s="1" t="s">
        <v>528</v>
      </c>
      <c r="F2520" s="4" t="s">
        <v>770</v>
      </c>
      <c r="G2520" s="1">
        <v>72</v>
      </c>
      <c r="H2520" s="1">
        <v>69</v>
      </c>
      <c r="I2520" s="1">
        <f>grand[[#This Row],[number]]-grand[[#This Row],[received]]</f>
        <v>3</v>
      </c>
      <c r="J2520" s="30"/>
      <c r="K2520" s="2">
        <f>grand[[#This Row],[ carcass weight]]*100/63.2</f>
        <v>32379.113924050627</v>
      </c>
      <c r="L2520" s="2">
        <f>grand[[#This Row],[total weight]]</f>
        <v>32379.113924050627</v>
      </c>
      <c r="M2520" s="2">
        <f>K2520-L2520</f>
        <v>0</v>
      </c>
      <c r="N2520" s="2">
        <v>20463.599999999999</v>
      </c>
      <c r="O2520" s="2">
        <v>0</v>
      </c>
      <c r="P2520" s="7">
        <f>grand[[#This Row],[total weight]]/grand[[#This Row],[received]]</f>
        <v>469.26252063841491</v>
      </c>
      <c r="Q2520" s="7">
        <f>grand[[#This Row],[receiving weight]]/grand[[#This Row],[received]]</f>
        <v>469.26252063841491</v>
      </c>
      <c r="R2520" s="7">
        <f>grand[[#This Row],[transportation loss ]]/grand[[#This Row],[received]]</f>
        <v>0</v>
      </c>
      <c r="S2520" s="7">
        <f>grand[[#This Row],[ carcass weight]]/grand[[#This Row],[received]]</f>
        <v>296.57391304347823</v>
      </c>
      <c r="T2520" s="7">
        <f>grand[[#This Row],[ kidneys fat quantity]]/grand[[#This Row],[received]]</f>
        <v>0</v>
      </c>
      <c r="U2520" s="1">
        <v>25</v>
      </c>
      <c r="V2520" s="1">
        <v>0</v>
      </c>
      <c r="W2520" s="1">
        <v>50</v>
      </c>
      <c r="X2520" s="1">
        <v>10</v>
      </c>
      <c r="Y2520" s="1">
        <v>8.5</v>
      </c>
      <c r="Z2520" s="18">
        <f>grand[[#This Row],[av. Transportation loss]]/grand[[#This Row],[av.total weight]]</f>
        <v>0</v>
      </c>
      <c r="AA2520" s="18">
        <f>AVERAGE((grand[[#This Row],[am]]/25),(grand[[#This Row],[pm]]/50))</f>
        <v>1</v>
      </c>
      <c r="AB2520" s="3">
        <f>grand[[#This Row],[ carcass weight]]/grand[[#This Row],[total weight]]</f>
        <v>0.63200000000000012</v>
      </c>
      <c r="AC2520" s="18">
        <f>SUM(grand[[#This Row],[am]:[meat transportation]])/100</f>
        <v>0.93500000000000005</v>
      </c>
      <c r="AK2520" s="1"/>
      <c r="AL2520" s="1"/>
    </row>
    <row r="2521" spans="1:38" hidden="1" x14ac:dyDescent="0.2">
      <c r="A2521" s="11">
        <v>45945</v>
      </c>
      <c r="B2521" s="53" t="s">
        <v>2337</v>
      </c>
      <c r="C2521" s="52" t="str">
        <f>IF(MID(B2521,4,2)="09","Ramadan",IF(AND(MID(B2521,4,2)="12",VALUE(LEFT(B2521,2))&lt;=9),"Adha Season","Normal"))</f>
        <v>Normal</v>
      </c>
      <c r="D2521" s="2" t="s">
        <v>294</v>
      </c>
      <c r="F2521" s="4" t="s">
        <v>772</v>
      </c>
      <c r="G2521" s="1">
        <v>32</v>
      </c>
      <c r="H2521" s="1">
        <v>29</v>
      </c>
      <c r="I2521" s="1">
        <f>grand[[#This Row],[number]]-grand[[#This Row],[received]]</f>
        <v>3</v>
      </c>
      <c r="J2521" s="30"/>
      <c r="K2521" s="2">
        <v>1414</v>
      </c>
      <c r="L2521" s="2">
        <v>1414</v>
      </c>
      <c r="M2521" s="2">
        <f>K2521-L2521</f>
        <v>0</v>
      </c>
      <c r="N2521" s="2">
        <v>777.9</v>
      </c>
      <c r="O2521" s="2">
        <v>0</v>
      </c>
      <c r="P2521" s="7">
        <f>grand[[#This Row],[total weight]]/grand[[#This Row],[received]]</f>
        <v>48.758620689655174</v>
      </c>
      <c r="Q2521" s="7">
        <f>grand[[#This Row],[receiving weight]]/grand[[#This Row],[received]]</f>
        <v>48.758620689655174</v>
      </c>
      <c r="R2521" s="7">
        <f>grand[[#This Row],[transportation loss ]]/grand[[#This Row],[received]]</f>
        <v>0</v>
      </c>
      <c r="S2521" s="7">
        <f>grand[[#This Row],[ carcass weight]]/grand[[#This Row],[received]]</f>
        <v>26.824137931034482</v>
      </c>
      <c r="T2521" s="7">
        <f>grand[[#This Row],[ kidneys fat quantity]]/grand[[#This Row],[received]]</f>
        <v>0</v>
      </c>
      <c r="U2521" s="1">
        <v>25</v>
      </c>
      <c r="V2521" s="1">
        <v>0</v>
      </c>
      <c r="W2521" s="1">
        <v>49.551724137931032</v>
      </c>
      <c r="X2521" s="1">
        <v>10</v>
      </c>
      <c r="Y2521" s="1">
        <v>8.5</v>
      </c>
      <c r="Z2521" s="18">
        <f>grand[[#This Row],[av. Transportation loss]]/grand[[#This Row],[av.total weight]]</f>
        <v>0</v>
      </c>
      <c r="AA2521" s="18">
        <f>AVERAGE((grand[[#This Row],[am]]/25),(grand[[#This Row],[pm]]/50))</f>
        <v>0.9955172413793103</v>
      </c>
      <c r="AB2521" s="3">
        <f>grand[[#This Row],[ carcass weight]]/grand[[#This Row],[total weight]]</f>
        <v>0.55014144271570009</v>
      </c>
      <c r="AC2521" s="18">
        <f>SUM(grand[[#This Row],[am]:[meat transportation]])/100</f>
        <v>0.93051724137931036</v>
      </c>
      <c r="AD2521" s="1" t="s">
        <v>81</v>
      </c>
      <c r="AJ2521" s="1">
        <v>0</v>
      </c>
      <c r="AK2521" s="1"/>
      <c r="AL2521" s="1"/>
    </row>
    <row r="2522" spans="1:38" hidden="1" x14ac:dyDescent="0.2">
      <c r="A2522" s="11">
        <v>45960</v>
      </c>
      <c r="B2522" s="53" t="s">
        <v>2350</v>
      </c>
      <c r="C2522" s="52" t="str">
        <f>IF(MID(B2522,4,2)="09","Ramadan",IF(AND(MID(B2522,4,2)="12",VALUE(LEFT(B2522,2))&lt;=9),"Adha Season","Normal"))</f>
        <v>Normal</v>
      </c>
      <c r="D2522" s="2" t="s">
        <v>294</v>
      </c>
      <c r="F2522" s="4" t="s">
        <v>780</v>
      </c>
      <c r="G2522" s="1">
        <v>50</v>
      </c>
      <c r="H2522" s="1">
        <v>47</v>
      </c>
      <c r="I2522" s="1">
        <f>grand[[#This Row],[number]]-grand[[#This Row],[received]]</f>
        <v>3</v>
      </c>
      <c r="J2522" s="30"/>
      <c r="K2522" s="2">
        <v>2467</v>
      </c>
      <c r="L2522" s="2">
        <v>2467</v>
      </c>
      <c r="M2522" s="2">
        <f>K2522-L2522</f>
        <v>0</v>
      </c>
      <c r="N2522" s="2">
        <v>1428.4</v>
      </c>
      <c r="O2522" s="2">
        <v>0</v>
      </c>
      <c r="P2522" s="7">
        <f>grand[[#This Row],[total weight]]/grand[[#This Row],[received]]</f>
        <v>52.48936170212766</v>
      </c>
      <c r="Q2522" s="7">
        <f>grand[[#This Row],[receiving weight]]/grand[[#This Row],[received]]</f>
        <v>52.48936170212766</v>
      </c>
      <c r="R2522" s="7">
        <f>grand[[#This Row],[transportation loss ]]/grand[[#This Row],[received]]</f>
        <v>0</v>
      </c>
      <c r="S2522" s="7">
        <f>grand[[#This Row],[ carcass weight]]/grand[[#This Row],[received]]</f>
        <v>30.391489361702131</v>
      </c>
      <c r="T2522" s="7">
        <f>grand[[#This Row],[ kidneys fat quantity]]/grand[[#This Row],[received]]</f>
        <v>0</v>
      </c>
      <c r="U2522" s="1">
        <v>25</v>
      </c>
      <c r="V2522" s="1">
        <v>0</v>
      </c>
      <c r="W2522" s="1">
        <v>49.106382978723403</v>
      </c>
      <c r="X2522" s="1">
        <v>10</v>
      </c>
      <c r="Y2522" s="1">
        <v>8.5</v>
      </c>
      <c r="Z2522" s="18">
        <f>grand[[#This Row],[av. Transportation loss]]/grand[[#This Row],[av.total weight]]</f>
        <v>0</v>
      </c>
      <c r="AA2522" s="18">
        <f>AVERAGE((grand[[#This Row],[am]]/25),(grand[[#This Row],[pm]]/50))</f>
        <v>0.99106382978723406</v>
      </c>
      <c r="AB2522" s="3">
        <f>grand[[#This Row],[ carcass weight]]/grand[[#This Row],[total weight]]</f>
        <v>0.57900283745439807</v>
      </c>
      <c r="AC2522" s="18">
        <f>SUM(grand[[#This Row],[am]:[meat transportation]])/100</f>
        <v>0.92606382978723401</v>
      </c>
      <c r="AD2522" s="1" t="s">
        <v>460</v>
      </c>
      <c r="AJ2522" s="1">
        <v>0</v>
      </c>
      <c r="AK2522" s="1"/>
      <c r="AL2522" s="1"/>
    </row>
    <row r="2523" spans="1:38" hidden="1" x14ac:dyDescent="0.2">
      <c r="A2523" s="11">
        <v>45965</v>
      </c>
      <c r="B2523" s="53" t="s">
        <v>2353</v>
      </c>
      <c r="C2523" s="52" t="str">
        <f>IF(MID(B2523,4,2)="09","Ramadan",IF(AND(MID(B2523,4,2)="12",VALUE(LEFT(B2523,2))&lt;=9),"Adha Season","Normal"))</f>
        <v>Normal</v>
      </c>
      <c r="D2523" s="1" t="s">
        <v>45</v>
      </c>
      <c r="E2523" s="1" t="s">
        <v>483</v>
      </c>
      <c r="F2523" s="4" t="s">
        <v>165</v>
      </c>
      <c r="G2523" s="1">
        <v>56</v>
      </c>
      <c r="H2523">
        <v>53</v>
      </c>
      <c r="I2523">
        <f>grand[[#This Row],[number]]-grand[[#This Row],[received]]</f>
        <v>3</v>
      </c>
      <c r="J2523" s="30"/>
      <c r="K2523" s="2">
        <v>25950</v>
      </c>
      <c r="L2523" s="2">
        <v>24960</v>
      </c>
      <c r="M2523" s="2">
        <f>K2523-L2523</f>
        <v>990</v>
      </c>
      <c r="N2523" s="2">
        <v>15577.8</v>
      </c>
      <c r="O2523" s="2">
        <v>565</v>
      </c>
      <c r="P2523" s="7">
        <f>grand[[#This Row],[total weight]]/grand[[#This Row],[received]]</f>
        <v>489.62264150943395</v>
      </c>
      <c r="Q2523" s="7">
        <f>grand[[#This Row],[receiving weight]]/grand[[#This Row],[received]]</f>
        <v>470.94339622641508</v>
      </c>
      <c r="R2523" s="7">
        <f>grand[[#This Row],[transportation loss ]]/grand[[#This Row],[received]]</f>
        <v>18.679245283018869</v>
      </c>
      <c r="S2523" s="7">
        <f>grand[[#This Row],[ carcass weight]]/grand[[#This Row],[received]]</f>
        <v>293.92075471698109</v>
      </c>
      <c r="T2523" s="7">
        <f>grand[[#This Row],[ kidneys fat quantity]]/grand[[#This Row],[received]]</f>
        <v>10.660377358490566</v>
      </c>
      <c r="U2523">
        <v>25</v>
      </c>
      <c r="V2523">
        <v>0</v>
      </c>
      <c r="W2523">
        <v>43.584905660377359</v>
      </c>
      <c r="X2523">
        <v>10</v>
      </c>
      <c r="Y2523" s="1">
        <v>8.5</v>
      </c>
      <c r="Z2523" s="18">
        <f>grand[[#This Row],[av. Transportation loss]]/grand[[#This Row],[av.total weight]]</f>
        <v>3.8150289017341042E-2</v>
      </c>
      <c r="AA2523" s="18">
        <f>AVERAGE((grand[[#This Row],[am]]/25),(grand[[#This Row],[pm]]/50))</f>
        <v>0.9358490566037736</v>
      </c>
      <c r="AB2523" s="3">
        <f>grand[[#This Row],[ carcass weight]]/grand[[#This Row],[total weight]]</f>
        <v>0.60030057803468206</v>
      </c>
      <c r="AC2523" s="18">
        <f>SUM(grand[[#This Row],[am]:[meat transportation]])/100</f>
        <v>0.87084905660377354</v>
      </c>
      <c r="AD2523" s="2" t="s">
        <v>869</v>
      </c>
      <c r="AE2523" s="2"/>
      <c r="AF2523" s="2"/>
      <c r="AG2523" s="2"/>
      <c r="AH2523" s="2"/>
      <c r="AI2523" s="2"/>
      <c r="AJ2523" s="2">
        <v>20</v>
      </c>
      <c r="AK2523" s="1"/>
      <c r="AL2523" s="1"/>
    </row>
    <row r="2524" spans="1:38" hidden="1" x14ac:dyDescent="0.2">
      <c r="A2524" s="11">
        <v>45976</v>
      </c>
      <c r="B2524" s="53" t="s">
        <v>2362</v>
      </c>
      <c r="C2524" s="52" t="str">
        <f>IF(MID(B2524,4,2)="09","Ramadan",IF(AND(MID(B2524,4,2)="12",VALUE(LEFT(B2524,2))&lt;=9),"Adha Season","Normal"))</f>
        <v>Normal</v>
      </c>
      <c r="D2524" s="1" t="s">
        <v>45</v>
      </c>
      <c r="E2524" s="1" t="s">
        <v>483</v>
      </c>
      <c r="F2524" s="4" t="s">
        <v>746</v>
      </c>
      <c r="G2524" s="1">
        <v>42</v>
      </c>
      <c r="H2524">
        <v>39</v>
      </c>
      <c r="I2524">
        <f>grand[[#This Row],[number]]-grand[[#This Row],[received]]</f>
        <v>3</v>
      </c>
      <c r="J2524" s="30"/>
      <c r="K2524" s="2">
        <v>19498</v>
      </c>
      <c r="L2524" s="2">
        <v>18728</v>
      </c>
      <c r="M2524" s="2">
        <f>K2524-L2524</f>
        <v>770</v>
      </c>
      <c r="N2524" s="2">
        <v>11699</v>
      </c>
      <c r="O2524" s="2">
        <v>456</v>
      </c>
      <c r="P2524" s="7">
        <f>grand[[#This Row],[total weight]]/grand[[#This Row],[received]]</f>
        <v>499.94871794871796</v>
      </c>
      <c r="Q2524" s="7">
        <f>grand[[#This Row],[receiving weight]]/grand[[#This Row],[received]]</f>
        <v>480.20512820512823</v>
      </c>
      <c r="R2524" s="7">
        <f>grand[[#This Row],[transportation loss ]]/grand[[#This Row],[received]]</f>
        <v>19.743589743589745</v>
      </c>
      <c r="S2524" s="7">
        <f>grand[[#This Row],[ carcass weight]]/grand[[#This Row],[received]]</f>
        <v>299.97435897435895</v>
      </c>
      <c r="T2524" s="7">
        <f>grand[[#This Row],[ kidneys fat quantity]]/grand[[#This Row],[received]]</f>
        <v>11.692307692307692</v>
      </c>
      <c r="U2524">
        <v>24.743589743589745</v>
      </c>
      <c r="V2524">
        <v>0</v>
      </c>
      <c r="W2524">
        <v>44.282051282051285</v>
      </c>
      <c r="X2524">
        <v>10</v>
      </c>
      <c r="Y2524">
        <v>8.5</v>
      </c>
      <c r="Z2524" s="18">
        <f>grand[[#This Row],[av. Transportation loss]]/grand[[#This Row],[av.total weight]]</f>
        <v>3.9491229869730228E-2</v>
      </c>
      <c r="AA2524" s="18">
        <f>AVERAGE((grand[[#This Row],[am]]/25),(grand[[#This Row],[pm]]/50))</f>
        <v>0.93769230769230771</v>
      </c>
      <c r="AB2524" s="3">
        <f>grand[[#This Row],[ carcass weight]]/grand[[#This Row],[total weight]]</f>
        <v>0.60001025746230385</v>
      </c>
      <c r="AC2524" s="18">
        <f>SUM(grand[[#This Row],[am]:[meat transportation]])/100</f>
        <v>0.87525641025641021</v>
      </c>
      <c r="AD2524" s="2" t="s">
        <v>825</v>
      </c>
      <c r="AE2524" s="2"/>
      <c r="AF2524" s="2"/>
      <c r="AG2524" s="2"/>
      <c r="AH2524" s="2"/>
      <c r="AI2524" s="2"/>
      <c r="AJ2524" s="2">
        <v>14</v>
      </c>
      <c r="AK2524" s="1"/>
      <c r="AL2524" s="1"/>
    </row>
    <row r="2525" spans="1:38" hidden="1" x14ac:dyDescent="0.2">
      <c r="A2525" s="11">
        <v>45992</v>
      </c>
      <c r="B2525" s="53" t="s">
        <v>2375</v>
      </c>
      <c r="C2525" s="52" t="str">
        <f>IF(MID(B2525,4,2)="09","Ramadan",IF(AND(MID(B2525,4,2)="12",VALUE(LEFT(B2525,2))&lt;=9),"Adha Season","Normal"))</f>
        <v>Normal</v>
      </c>
      <c r="D2525" s="1" t="s">
        <v>45</v>
      </c>
      <c r="E2525" s="1" t="s">
        <v>483</v>
      </c>
      <c r="F2525" s="4" t="s">
        <v>746</v>
      </c>
      <c r="G2525" s="1">
        <v>58</v>
      </c>
      <c r="H2525">
        <v>55</v>
      </c>
      <c r="I2525">
        <f>grand[[#This Row],[number]]-grand[[#This Row],[received]]</f>
        <v>3</v>
      </c>
      <c r="J2525" s="30"/>
      <c r="K2525" s="2">
        <v>26875</v>
      </c>
      <c r="L2525" s="2">
        <v>26875</v>
      </c>
      <c r="M2525" s="2">
        <f>K2525-L2525</f>
        <v>0</v>
      </c>
      <c r="N2525" s="2">
        <v>16124.2</v>
      </c>
      <c r="O2525" s="2">
        <v>536</v>
      </c>
      <c r="P2525" s="7">
        <f>grand[[#This Row],[total weight]]/grand[[#This Row],[received]]</f>
        <v>488.63636363636363</v>
      </c>
      <c r="Q2525" s="7">
        <f>grand[[#This Row],[receiving weight]]/grand[[#This Row],[received]]</f>
        <v>488.63636363636363</v>
      </c>
      <c r="R2525" s="7">
        <f>grand[[#This Row],[transportation loss ]]/grand[[#This Row],[received]]</f>
        <v>0</v>
      </c>
      <c r="S2525" s="7">
        <f>grand[[#This Row],[ carcass weight]]/grand[[#This Row],[received]]</f>
        <v>293.16727272727275</v>
      </c>
      <c r="T2525" s="7">
        <f>grand[[#This Row],[ kidneys fat quantity]]/grand[[#This Row],[received]]</f>
        <v>9.745454545454546</v>
      </c>
      <c r="U2525">
        <v>24.18181818181818</v>
      </c>
      <c r="V2525">
        <v>0</v>
      </c>
      <c r="W2525">
        <v>43.963636363636361</v>
      </c>
      <c r="X2525">
        <v>10</v>
      </c>
      <c r="Y2525">
        <v>8.5</v>
      </c>
      <c r="Z2525" s="18">
        <f>grand[[#This Row],[av. Transportation loss]]/grand[[#This Row],[av.total weight]]</f>
        <v>0</v>
      </c>
      <c r="AA2525" s="18">
        <f>AVERAGE((grand[[#This Row],[am]]/25),(grand[[#This Row],[pm]]/50))</f>
        <v>0.92327272727272724</v>
      </c>
      <c r="AB2525" s="3">
        <f>grand[[#This Row],[ carcass weight]]/grand[[#This Row],[total weight]]</f>
        <v>0.59997023255813953</v>
      </c>
      <c r="AC2525" s="18">
        <f>SUM(grand[[#This Row],[am]:[meat transportation]])/100</f>
        <v>0.86645454545454537</v>
      </c>
      <c r="AD2525" s="2" t="s">
        <v>812</v>
      </c>
      <c r="AE2525" s="2"/>
      <c r="AF2525" s="2"/>
      <c r="AG2525" s="2"/>
      <c r="AH2525" s="2"/>
      <c r="AI2525" s="2"/>
      <c r="AJ2525" s="2">
        <v>41</v>
      </c>
      <c r="AK2525" s="1"/>
      <c r="AL2525" s="1"/>
    </row>
    <row r="2526" spans="1:38" hidden="1" x14ac:dyDescent="0.2">
      <c r="A2526" s="11">
        <v>46006</v>
      </c>
      <c r="B2526" s="53" t="s">
        <v>2387</v>
      </c>
      <c r="C2526" s="52" t="str">
        <f>IF(MID(B2526,4,2)="09","Ramadan",IF(AND(MID(B2526,4,2)="12",VALUE(LEFT(B2526,2))&lt;=9),"Adha Season","Normal"))</f>
        <v>Normal</v>
      </c>
      <c r="D2526" s="1" t="s">
        <v>45</v>
      </c>
      <c r="E2526" s="1" t="s">
        <v>483</v>
      </c>
      <c r="F2526" s="4" t="s">
        <v>165</v>
      </c>
      <c r="G2526" s="1">
        <v>48</v>
      </c>
      <c r="H2526">
        <v>45</v>
      </c>
      <c r="I2526">
        <f>grand[[#This Row],[number]]-grand[[#This Row],[received]]</f>
        <v>3</v>
      </c>
      <c r="J2526" s="30"/>
      <c r="K2526" s="2">
        <v>23454</v>
      </c>
      <c r="L2526" s="2">
        <v>23454</v>
      </c>
      <c r="M2526" s="2">
        <f>K2526-L2526</f>
        <v>0</v>
      </c>
      <c r="N2526" s="2">
        <v>14072.1</v>
      </c>
      <c r="O2526" s="2">
        <v>513</v>
      </c>
      <c r="P2526" s="7">
        <f>grand[[#This Row],[total weight]]/grand[[#This Row],[received]]</f>
        <v>521.20000000000005</v>
      </c>
      <c r="Q2526" s="7">
        <f>grand[[#This Row],[receiving weight]]/grand[[#This Row],[received]]</f>
        <v>521.20000000000005</v>
      </c>
      <c r="R2526" s="7">
        <f>grand[[#This Row],[transportation loss ]]/grand[[#This Row],[received]]</f>
        <v>0</v>
      </c>
      <c r="S2526" s="7">
        <f>grand[[#This Row],[ carcass weight]]/grand[[#This Row],[received]]</f>
        <v>312.71333333333337</v>
      </c>
      <c r="T2526" s="7">
        <f>grand[[#This Row],[ kidneys fat quantity]]/grand[[#This Row],[received]]</f>
        <v>11.4</v>
      </c>
      <c r="U2526">
        <v>22.777777777777779</v>
      </c>
      <c r="V2526">
        <v>0</v>
      </c>
      <c r="W2526">
        <v>44.066666666666663</v>
      </c>
      <c r="X2526">
        <v>10</v>
      </c>
      <c r="Y2526">
        <v>8.5</v>
      </c>
      <c r="Z2526" s="18">
        <f>grand[[#This Row],[av. Transportation loss]]/grand[[#This Row],[av.total weight]]</f>
        <v>0</v>
      </c>
      <c r="AA2526" s="18">
        <f>AVERAGE((grand[[#This Row],[am]]/25),(grand[[#This Row],[pm]]/50))</f>
        <v>0.89622222222222225</v>
      </c>
      <c r="AB2526" s="3">
        <f>grand[[#This Row],[ carcass weight]]/grand[[#This Row],[total weight]]</f>
        <v>0.59998720900486058</v>
      </c>
      <c r="AC2526" s="18">
        <f>SUM(grand[[#This Row],[am]:[meat transportation]])/100</f>
        <v>0.85344444444444434</v>
      </c>
      <c r="AD2526" s="2" t="s">
        <v>827</v>
      </c>
      <c r="AE2526" s="2"/>
      <c r="AF2526" s="2"/>
      <c r="AG2526" s="2"/>
      <c r="AH2526" s="2"/>
      <c r="AI2526" s="2"/>
      <c r="AJ2526" s="2">
        <v>38</v>
      </c>
      <c r="AK2526" s="1"/>
      <c r="AL2526" s="1"/>
    </row>
    <row r="2527" spans="1:38" hidden="1" x14ac:dyDescent="0.2">
      <c r="A2527" s="11">
        <v>46011</v>
      </c>
      <c r="B2527" s="53" t="s">
        <v>2391</v>
      </c>
      <c r="C2527" s="52" t="str">
        <f>IF(MID(B2527,4,2)="09","Ramadan",IF(AND(MID(B2527,4,2)="12",VALUE(LEFT(B2527,2))&lt;=9),"Adha Season","Normal"))</f>
        <v>Normal</v>
      </c>
      <c r="D2527" s="2" t="s">
        <v>294</v>
      </c>
      <c r="F2527" s="4" t="s">
        <v>656</v>
      </c>
      <c r="G2527" s="1">
        <v>35</v>
      </c>
      <c r="H2527">
        <v>32</v>
      </c>
      <c r="I2527">
        <f>grand[[#This Row],[number]]-grand[[#This Row],[received]]</f>
        <v>3</v>
      </c>
      <c r="J2527" s="30"/>
      <c r="K2527" s="2">
        <v>1620</v>
      </c>
      <c r="L2527" s="2">
        <v>1620</v>
      </c>
      <c r="M2527" s="2">
        <f>K2527-L2527</f>
        <v>0</v>
      </c>
      <c r="N2527" s="2">
        <v>934.8</v>
      </c>
      <c r="O2527" s="2">
        <v>0</v>
      </c>
      <c r="P2527" s="7">
        <f>grand[[#This Row],[total weight]]/grand[[#This Row],[received]]</f>
        <v>50.625</v>
      </c>
      <c r="Q2527" s="7">
        <f>grand[[#This Row],[receiving weight]]/grand[[#This Row],[received]]</f>
        <v>50.625</v>
      </c>
      <c r="R2527" s="7">
        <f>grand[[#This Row],[transportation loss ]]/grand[[#This Row],[received]]</f>
        <v>0</v>
      </c>
      <c r="S2527" s="7">
        <f>grand[[#This Row],[ carcass weight]]/grand[[#This Row],[received]]</f>
        <v>29.212499999999999</v>
      </c>
      <c r="T2527" s="7">
        <f>grand[[#This Row],[ kidneys fat quantity]]/grand[[#This Row],[received]]</f>
        <v>0</v>
      </c>
      <c r="U2527">
        <v>25</v>
      </c>
      <c r="V2527">
        <v>0</v>
      </c>
      <c r="W2527">
        <v>44.9375</v>
      </c>
      <c r="X2527">
        <v>10</v>
      </c>
      <c r="Y2527">
        <v>8.5</v>
      </c>
      <c r="Z2527" s="18">
        <f>grand[[#This Row],[av. Transportation loss]]/grand[[#This Row],[av.total weight]]</f>
        <v>0</v>
      </c>
      <c r="AA2527" s="18">
        <f>AVERAGE((grand[[#This Row],[am]]/25),(grand[[#This Row],[pm]]/50))</f>
        <v>0.94937500000000008</v>
      </c>
      <c r="AB2527" s="3">
        <f>grand[[#This Row],[ carcass weight]]/grand[[#This Row],[total weight]]</f>
        <v>0.57703703703703701</v>
      </c>
      <c r="AC2527" s="18">
        <f>SUM(grand[[#This Row],[am]:[meat transportation]])/100</f>
        <v>0.88437500000000002</v>
      </c>
      <c r="AD2527" s="2" t="s">
        <v>841</v>
      </c>
      <c r="AE2527" s="2"/>
      <c r="AF2527" s="2"/>
      <c r="AG2527" s="2"/>
      <c r="AH2527" s="2"/>
      <c r="AI2527" s="2"/>
      <c r="AJ2527" s="2">
        <v>0</v>
      </c>
      <c r="AK2527" s="1"/>
      <c r="AL2527" s="1"/>
    </row>
    <row r="2528" spans="1:38" hidden="1" x14ac:dyDescent="0.2">
      <c r="A2528" s="11">
        <v>46238</v>
      </c>
      <c r="B2528" s="53" t="str">
        <f>TEXT(grand[[#This Row],[date]],"[$-ar-SA,6]dd/mm/yyyy")</f>
        <v>20/02/1448</v>
      </c>
      <c r="C2528" s="52" t="str">
        <f>IF(MID(B2528,4,2)="09","Ramadan",IF(AND(MID(B2528,4,2)="12",VALUE(LEFT(B2528,2))&lt;=9),"Adha Season","Normal"))</f>
        <v>Normal</v>
      </c>
      <c r="D2528" s="2" t="s">
        <v>350</v>
      </c>
      <c r="F2528" s="4" t="s">
        <v>1161</v>
      </c>
      <c r="G2528" s="1">
        <v>31</v>
      </c>
      <c r="H2528" s="1">
        <v>31</v>
      </c>
      <c r="I2528" s="1">
        <f>grand[[#This Row],[number]]-grand[[#This Row],[received]]</f>
        <v>0</v>
      </c>
      <c r="J2528" s="2"/>
      <c r="K2528" s="2">
        <v>740</v>
      </c>
      <c r="L2528" s="2">
        <v>740</v>
      </c>
      <c r="M2528" s="2">
        <f>K2528-L2528</f>
        <v>0</v>
      </c>
      <c r="N2528" s="2">
        <v>392</v>
      </c>
      <c r="O2528" s="2">
        <v>0</v>
      </c>
      <c r="P2528" s="7">
        <f>grand[[#This Row],[total weight]]/grand[[#This Row],[received]]</f>
        <v>23.870967741935484</v>
      </c>
      <c r="Q2528" s="7">
        <f>grand[[#This Row],[receiving weight]]/grand[[#This Row],[received]]</f>
        <v>23.870967741935484</v>
      </c>
      <c r="R2528" s="7">
        <f>grand[[#This Row],[transportation loss ]]/grand[[#This Row],[received]]</f>
        <v>0</v>
      </c>
      <c r="S2528" s="7">
        <f>grand[[#This Row],[ carcass weight]]/grand[[#This Row],[received]]</f>
        <v>12.64516129032258</v>
      </c>
      <c r="T2528" s="7">
        <f>grand[[#This Row],[ kidneys fat quantity]]/grand[[#This Row],[received]]</f>
        <v>0</v>
      </c>
      <c r="U2528" s="1">
        <v>25</v>
      </c>
      <c r="V2528" s="1">
        <v>0</v>
      </c>
      <c r="W2528" s="1">
        <v>46.806451612903224</v>
      </c>
      <c r="X2528" s="1">
        <v>10</v>
      </c>
      <c r="Y2528" s="1">
        <v>8.5</v>
      </c>
      <c r="Z2528" s="18">
        <f>grand[[#This Row],[av. Transportation loss]]/grand[[#This Row],[av.total weight]]</f>
        <v>0</v>
      </c>
      <c r="AA2528" s="18">
        <f>AVERAGE((grand[[#This Row],[am]]/25),(grand[[#This Row],[pm]]/50))</f>
        <v>0.96806451612903222</v>
      </c>
      <c r="AB2528" s="3">
        <f>grand[[#This Row],[ carcass weight]]/grand[[#This Row],[total weight]]</f>
        <v>0.52972972972972976</v>
      </c>
      <c r="AC2528" s="18">
        <f>SUM(grand[[#This Row],[am]:[meat transportation]])/100</f>
        <v>0.90306451612903227</v>
      </c>
      <c r="AD2528" s="1" t="s">
        <v>81</v>
      </c>
      <c r="AJ2528" s="1">
        <v>0</v>
      </c>
    </row>
    <row r="2529" spans="1:38" hidden="1" x14ac:dyDescent="0.2">
      <c r="A2529" s="11">
        <v>46238</v>
      </c>
      <c r="B2529" s="53" t="str">
        <f>TEXT(grand[[#This Row],[date]],"[$-ar-SA,6]dd/mm/yyyy")</f>
        <v>20/02/1448</v>
      </c>
      <c r="C2529" s="52" t="str">
        <f>IF(MID(B2529,4,2)="09","Ramadan",IF(AND(MID(B2529,4,2)="12",VALUE(LEFT(B2529,2))&lt;=9),"Adha Season","Normal"))</f>
        <v>Normal</v>
      </c>
      <c r="D2529" s="1" t="s">
        <v>45</v>
      </c>
      <c r="F2529" s="4" t="s">
        <v>3104</v>
      </c>
      <c r="G2529" s="1">
        <v>60</v>
      </c>
      <c r="H2529" s="1">
        <v>60</v>
      </c>
      <c r="I2529" s="1">
        <f>grand[[#This Row],[number]]-grand[[#This Row],[received]]</f>
        <v>0</v>
      </c>
      <c r="J2529" s="2"/>
      <c r="K2529" s="2">
        <v>26920</v>
      </c>
      <c r="L2529" s="2">
        <v>26920</v>
      </c>
      <c r="M2529" s="2">
        <f>K2529-L2529</f>
        <v>0</v>
      </c>
      <c r="N2529" s="2">
        <v>16196</v>
      </c>
      <c r="O2529" s="2">
        <v>328</v>
      </c>
      <c r="P2529" s="7">
        <f>grand[[#This Row],[total weight]]/grand[[#This Row],[received]]</f>
        <v>448.66666666666669</v>
      </c>
      <c r="Q2529" s="7">
        <f>grand[[#This Row],[receiving weight]]/grand[[#This Row],[received]]</f>
        <v>448.66666666666669</v>
      </c>
      <c r="R2529" s="7">
        <f>grand[[#This Row],[transportation loss ]]/grand[[#This Row],[received]]</f>
        <v>0</v>
      </c>
      <c r="S2529" s="7">
        <f>grand[[#This Row],[ carcass weight]]/grand[[#This Row],[received]]</f>
        <v>269.93333333333334</v>
      </c>
      <c r="T2529" s="7">
        <f>grand[[#This Row],[ kidneys fat quantity]]/grand[[#This Row],[received]]</f>
        <v>5.4666666666666668</v>
      </c>
      <c r="U2529" s="1">
        <v>24.916666666666664</v>
      </c>
      <c r="V2529" s="1">
        <v>0</v>
      </c>
      <c r="W2529" s="1">
        <v>46.975000000000001</v>
      </c>
      <c r="X2529" s="1">
        <v>10</v>
      </c>
      <c r="Y2529" s="1">
        <v>8.5</v>
      </c>
      <c r="Z2529" s="18">
        <f>grand[[#This Row],[av. Transportation loss]]/grand[[#This Row],[av.total weight]]</f>
        <v>0</v>
      </c>
      <c r="AA2529" s="18">
        <f>AVERAGE((grand[[#This Row],[am]]/25),(grand[[#This Row],[pm]]/50))</f>
        <v>0.9680833333333333</v>
      </c>
      <c r="AB2529" s="3">
        <f>grand[[#This Row],[ carcass weight]]/grand[[#This Row],[total weight]]</f>
        <v>0.6016344725111441</v>
      </c>
      <c r="AC2529" s="18">
        <f>SUM(grand[[#This Row],[am]:[meat transportation]])/100</f>
        <v>0.9039166666666667</v>
      </c>
      <c r="AD2529" s="1" t="s">
        <v>3140</v>
      </c>
      <c r="AJ2529" s="1">
        <v>10</v>
      </c>
    </row>
    <row r="2530" spans="1:38" hidden="1" x14ac:dyDescent="0.2">
      <c r="A2530" s="11">
        <v>46240</v>
      </c>
      <c r="B2530" s="53" t="str">
        <f>TEXT(grand[[#This Row],[date]],"[$-ar-SA,6]dd/mm/yyyy")</f>
        <v>22/02/1448</v>
      </c>
      <c r="C2530" s="52" t="str">
        <f>IF(MID(B2530,4,2)="09","Ramadan",IF(AND(MID(B2530,4,2)="12",VALUE(LEFT(B2530,2))&lt;=9),"Adha Season","Normal"))</f>
        <v>Normal</v>
      </c>
      <c r="D2530" s="1" t="s">
        <v>294</v>
      </c>
      <c r="F2530" s="4" t="s">
        <v>165</v>
      </c>
      <c r="G2530" s="1">
        <v>88</v>
      </c>
      <c r="H2530" s="1">
        <v>88</v>
      </c>
      <c r="I2530" s="1">
        <f>grand[[#This Row],[number]]-grand[[#This Row],[received]]</f>
        <v>0</v>
      </c>
      <c r="J2530" s="2"/>
      <c r="K2530" s="2">
        <v>4955</v>
      </c>
      <c r="L2530" s="2">
        <v>4955</v>
      </c>
      <c r="M2530" s="2">
        <f>K2530-L2530</f>
        <v>0</v>
      </c>
      <c r="N2530" s="2">
        <v>2633</v>
      </c>
      <c r="O2530" s="2">
        <v>0</v>
      </c>
      <c r="P2530" s="7">
        <f>grand[[#This Row],[total weight]]/grand[[#This Row],[received]]</f>
        <v>56.30681818181818</v>
      </c>
      <c r="Q2530" s="7">
        <f>grand[[#This Row],[receiving weight]]/grand[[#This Row],[received]]</f>
        <v>56.30681818181818</v>
      </c>
      <c r="R2530" s="7">
        <f>grand[[#This Row],[transportation loss ]]/grand[[#This Row],[received]]</f>
        <v>0</v>
      </c>
      <c r="S2530" s="7">
        <f>grand[[#This Row],[ carcass weight]]/grand[[#This Row],[received]]</f>
        <v>29.920454545454547</v>
      </c>
      <c r="T2530" s="7">
        <f>grand[[#This Row],[ kidneys fat quantity]]/grand[[#This Row],[received]]</f>
        <v>0</v>
      </c>
      <c r="U2530" s="1">
        <v>25</v>
      </c>
      <c r="V2530" s="1">
        <v>0</v>
      </c>
      <c r="W2530" s="1">
        <v>46.329545454545453</v>
      </c>
      <c r="X2530" s="1">
        <v>10</v>
      </c>
      <c r="Y2530" s="1">
        <v>8.5</v>
      </c>
      <c r="Z2530" s="18">
        <f>grand[[#This Row],[av. Transportation loss]]/grand[[#This Row],[av.total weight]]</f>
        <v>0</v>
      </c>
      <c r="AA2530" s="18">
        <f>AVERAGE((grand[[#This Row],[am]]/25),(grand[[#This Row],[pm]]/50))</f>
        <v>0.96329545454545451</v>
      </c>
      <c r="AB2530" s="3">
        <f>grand[[#This Row],[ carcass weight]]/grand[[#This Row],[total weight]]</f>
        <v>0.53138244197780016</v>
      </c>
      <c r="AC2530" s="18">
        <f>SUM(grand[[#This Row],[am]:[meat transportation]])/100</f>
        <v>0.89829545454545456</v>
      </c>
      <c r="AD2530" s="1" t="s">
        <v>3141</v>
      </c>
      <c r="AJ2530" s="1">
        <v>0</v>
      </c>
    </row>
    <row r="2531" spans="1:38" hidden="1" x14ac:dyDescent="0.2">
      <c r="A2531" s="11">
        <v>46240</v>
      </c>
      <c r="B2531" s="53" t="str">
        <f>TEXT(grand[[#This Row],[date]],"[$-ar-SA,6]dd/mm/yyyy")</f>
        <v>22/02/1448</v>
      </c>
      <c r="C2531" s="52" t="str">
        <f>IF(MID(B2531,4,2)="09","Ramadan",IF(AND(MID(B2531,4,2)="12",VALUE(LEFT(B2531,2))&lt;=9),"Adha Season","Normal"))</f>
        <v>Normal</v>
      </c>
      <c r="D2531" s="1" t="s">
        <v>45</v>
      </c>
      <c r="F2531" s="4" t="s">
        <v>884</v>
      </c>
      <c r="G2531" s="1">
        <v>56</v>
      </c>
      <c r="H2531" s="1">
        <v>56</v>
      </c>
      <c r="I2531" s="1">
        <f>grand[[#This Row],[number]]-grand[[#This Row],[received]]</f>
        <v>0</v>
      </c>
      <c r="J2531" s="2"/>
      <c r="K2531" s="2">
        <v>25275</v>
      </c>
      <c r="L2531" s="2">
        <v>25275</v>
      </c>
      <c r="M2531" s="2">
        <f>K2531-L2531</f>
        <v>0</v>
      </c>
      <c r="N2531" s="2">
        <v>15164</v>
      </c>
      <c r="O2531" s="2">
        <v>372</v>
      </c>
      <c r="P2531" s="7">
        <f>grand[[#This Row],[total weight]]/grand[[#This Row],[received]]</f>
        <v>451.33928571428572</v>
      </c>
      <c r="Q2531" s="7">
        <f>grand[[#This Row],[receiving weight]]/grand[[#This Row],[received]]</f>
        <v>451.33928571428572</v>
      </c>
      <c r="R2531" s="7">
        <f>grand[[#This Row],[transportation loss ]]/grand[[#This Row],[received]]</f>
        <v>0</v>
      </c>
      <c r="S2531" s="7">
        <f>grand[[#This Row],[ carcass weight]]/grand[[#This Row],[received]]</f>
        <v>270.78571428571428</v>
      </c>
      <c r="T2531" s="7">
        <f>grand[[#This Row],[ kidneys fat quantity]]/grand[[#This Row],[received]]</f>
        <v>6.6428571428571432</v>
      </c>
      <c r="U2531" s="1">
        <v>24.910714285714285</v>
      </c>
      <c r="V2531" s="1">
        <v>0</v>
      </c>
      <c r="W2531" s="1">
        <v>46.946428571428562</v>
      </c>
      <c r="X2531" s="1">
        <v>10</v>
      </c>
      <c r="Y2531" s="1">
        <v>8.5</v>
      </c>
      <c r="Z2531" s="18">
        <f>grand[[#This Row],[av. Transportation loss]]/grand[[#This Row],[av.total weight]]</f>
        <v>0</v>
      </c>
      <c r="AA2531" s="18">
        <f>AVERAGE((grand[[#This Row],[am]]/25),(grand[[#This Row],[pm]]/50))</f>
        <v>0.96767857142857139</v>
      </c>
      <c r="AB2531" s="3">
        <f>grand[[#This Row],[ carcass weight]]/grand[[#This Row],[total weight]]</f>
        <v>0.59996043521266074</v>
      </c>
      <c r="AC2531" s="18">
        <f>SUM(grand[[#This Row],[am]:[meat transportation]])/100</f>
        <v>0.90357142857142847</v>
      </c>
      <c r="AD2531" s="1" t="s">
        <v>741</v>
      </c>
      <c r="AJ2531" s="1">
        <v>1</v>
      </c>
    </row>
    <row r="2532" spans="1:38" hidden="1" x14ac:dyDescent="0.2">
      <c r="A2532" s="11">
        <v>46240</v>
      </c>
      <c r="B2532" s="53" t="str">
        <f>TEXT(grand[[#This Row],[date]],"[$-ar-SA,6]dd/mm/yyyy")</f>
        <v>22/02/1448</v>
      </c>
      <c r="C2532" s="52" t="str">
        <f>IF(MID(B2532,4,2)="09","Ramadan",IF(AND(MID(B2532,4,2)="12",VALUE(LEFT(B2532,2))&lt;=9),"Adha Season","Normal"))</f>
        <v>Normal</v>
      </c>
      <c r="D2532" s="1" t="s">
        <v>45</v>
      </c>
      <c r="F2532" s="4" t="s">
        <v>165</v>
      </c>
      <c r="G2532" s="1">
        <v>52</v>
      </c>
      <c r="H2532" s="1">
        <v>52</v>
      </c>
      <c r="I2532" s="1">
        <f>grand[[#This Row],[number]]-grand[[#This Row],[received]]</f>
        <v>0</v>
      </c>
      <c r="J2532" s="2"/>
      <c r="K2532" s="2">
        <v>20059</v>
      </c>
      <c r="L2532" s="2">
        <v>20059</v>
      </c>
      <c r="M2532" s="2">
        <f>K2532-L2532</f>
        <v>0</v>
      </c>
      <c r="N2532" s="2">
        <v>12036</v>
      </c>
      <c r="O2532" s="2">
        <v>242</v>
      </c>
      <c r="P2532" s="7">
        <f>grand[[#This Row],[total weight]]/grand[[#This Row],[received]]</f>
        <v>385.75</v>
      </c>
      <c r="Q2532" s="7">
        <f>grand[[#This Row],[receiving weight]]/grand[[#This Row],[received]]</f>
        <v>385.75</v>
      </c>
      <c r="R2532" s="7">
        <f>grand[[#This Row],[transportation loss ]]/grand[[#This Row],[received]]</f>
        <v>0</v>
      </c>
      <c r="S2532" s="7">
        <f>grand[[#This Row],[ carcass weight]]/grand[[#This Row],[received]]</f>
        <v>231.46153846153845</v>
      </c>
      <c r="T2532" s="7">
        <f>grand[[#This Row],[ kidneys fat quantity]]/grand[[#This Row],[received]]</f>
        <v>4.6538461538461542</v>
      </c>
      <c r="U2532" s="1">
        <v>24.903846153846153</v>
      </c>
      <c r="V2532" s="1">
        <v>0</v>
      </c>
      <c r="W2532" s="1">
        <v>48.75</v>
      </c>
      <c r="X2532" s="1">
        <v>10</v>
      </c>
      <c r="Y2532" s="1">
        <v>8.5</v>
      </c>
      <c r="Z2532" s="18">
        <f>grand[[#This Row],[av. Transportation loss]]/grand[[#This Row],[av.total weight]]</f>
        <v>0</v>
      </c>
      <c r="AA2532" s="18">
        <f>AVERAGE((grand[[#This Row],[am]]/25),(grand[[#This Row],[pm]]/50))</f>
        <v>0.98557692307692313</v>
      </c>
      <c r="AB2532" s="3">
        <f>grand[[#This Row],[ carcass weight]]/grand[[#This Row],[total weight]]</f>
        <v>0.60002991176030707</v>
      </c>
      <c r="AC2532" s="18">
        <f>SUM(grand[[#This Row],[am]:[meat transportation]])/100</f>
        <v>0.92153846153846164</v>
      </c>
      <c r="AD2532" s="1" t="s">
        <v>3142</v>
      </c>
      <c r="AJ2532" s="1">
        <v>1</v>
      </c>
    </row>
    <row r="2533" spans="1:38" hidden="1" x14ac:dyDescent="0.2">
      <c r="A2533" s="11">
        <v>43905</v>
      </c>
      <c r="B2533" s="53" t="s">
        <v>1431</v>
      </c>
      <c r="C2533" s="52" t="str">
        <f>IF(MID(B2533,4,2)="09","Ramadan",IF(AND(MID(B2533,4,2)="12",VALUE(LEFT(B2533,2))&lt;=9),"Adha Season","Normal"))</f>
        <v>Normal</v>
      </c>
      <c r="D2533" s="1" t="s">
        <v>45</v>
      </c>
      <c r="F2533" s="4" t="s">
        <v>46</v>
      </c>
      <c r="G2533" s="4">
        <v>40</v>
      </c>
      <c r="H2533" s="4">
        <v>36</v>
      </c>
      <c r="I2533" s="2">
        <f>grand[[#This Row],[number]]-grand[[#This Row],[received]]</f>
        <v>4</v>
      </c>
      <c r="J2533" s="30" t="s">
        <v>64</v>
      </c>
      <c r="K2533" s="4">
        <v>16876</v>
      </c>
      <c r="L2533" s="4">
        <v>16061</v>
      </c>
      <c r="M2533" s="2">
        <f>K2533-L2533</f>
        <v>815</v>
      </c>
      <c r="N2533" s="4">
        <v>10175.299999999999</v>
      </c>
      <c r="O2533" s="4"/>
      <c r="P2533" s="7">
        <f>grand[[#This Row],[total weight]]/grand[[#This Row],[received]]</f>
        <v>468.77777777777777</v>
      </c>
      <c r="Q2533" s="7">
        <f>grand[[#This Row],[receiving weight]]/grand[[#This Row],[received]]</f>
        <v>446.13888888888891</v>
      </c>
      <c r="R2533" s="7">
        <f>grand[[#This Row],[transportation loss ]]/grand[[#This Row],[received]]</f>
        <v>22.638888888888889</v>
      </c>
      <c r="S2533" s="7">
        <f>grand[[#This Row],[ carcass weight]]/grand[[#This Row],[received]]</f>
        <v>282.64722222222218</v>
      </c>
      <c r="T2533" s="7">
        <f>grand[[#This Row],[ kidneys fat quantity]]/grand[[#This Row],[received]]</f>
        <v>0</v>
      </c>
      <c r="U2533" s="4">
        <v>22.6</v>
      </c>
      <c r="V2533" s="4">
        <v>0</v>
      </c>
      <c r="W2533" s="4">
        <v>49.5</v>
      </c>
      <c r="X2533" s="4">
        <v>10</v>
      </c>
      <c r="Y2533" s="8">
        <v>8.5</v>
      </c>
      <c r="Z2533" s="3">
        <f>grand[[#This Row],[av. Transportation loss]]/grand[[#This Row],[av.total weight]]</f>
        <v>4.8293434463142923E-2</v>
      </c>
      <c r="AA2533" s="12">
        <f>AVERAGE((grand[[#This Row],[am]]/25),(grand[[#This Row],[pm]]/50))</f>
        <v>0.94700000000000006</v>
      </c>
      <c r="AB2533" s="3">
        <f>grand[[#This Row],[ carcass weight]]/grand[[#This Row],[total weight]]</f>
        <v>0.60294501066603456</v>
      </c>
      <c r="AC2533" s="6">
        <f>SUM(grand[[#This Row],[am]:[meat transportation]])/100</f>
        <v>0.90599999999999992</v>
      </c>
      <c r="AD2533" s="4" t="s">
        <v>81</v>
      </c>
      <c r="AE2533" s="4">
        <v>3</v>
      </c>
      <c r="AF2533" s="4" t="s">
        <v>82</v>
      </c>
      <c r="AG2533" s="4">
        <v>7</v>
      </c>
      <c r="AH2533" s="4"/>
      <c r="AI2533" s="4"/>
      <c r="AJ2533" s="2">
        <v>3</v>
      </c>
      <c r="AK2533" s="4"/>
    </row>
    <row r="2534" spans="1:38" hidden="1" x14ac:dyDescent="0.2">
      <c r="A2534" s="11">
        <v>43912</v>
      </c>
      <c r="B2534" s="53" t="s">
        <v>1437</v>
      </c>
      <c r="C2534" s="52" t="str">
        <f>IF(MID(B2534,4,2)="09","Ramadan",IF(AND(MID(B2534,4,2)="12",VALUE(LEFT(B2534,2))&lt;=9),"Adha Season","Normal"))</f>
        <v>Normal</v>
      </c>
      <c r="D2534" s="1" t="s">
        <v>45</v>
      </c>
      <c r="F2534" s="4" t="s">
        <v>50</v>
      </c>
      <c r="G2534" s="4">
        <v>42</v>
      </c>
      <c r="H2534" s="4">
        <v>38</v>
      </c>
      <c r="I2534" s="2">
        <f>grand[[#This Row],[number]]-grand[[#This Row],[received]]</f>
        <v>4</v>
      </c>
      <c r="J2534" s="30" t="s">
        <v>86</v>
      </c>
      <c r="K2534" s="4">
        <v>15331</v>
      </c>
      <c r="L2534" s="4">
        <v>14480</v>
      </c>
      <c r="M2534" s="2">
        <f>K2534-L2534</f>
        <v>851</v>
      </c>
      <c r="N2534" s="4">
        <v>9400.6</v>
      </c>
      <c r="O2534" s="4"/>
      <c r="P2534" s="7">
        <f>grand[[#This Row],[total weight]]/grand[[#This Row],[received]]</f>
        <v>403.44736842105266</v>
      </c>
      <c r="Q2534" s="7">
        <f>grand[[#This Row],[receiving weight]]/grand[[#This Row],[received]]</f>
        <v>381.05263157894734</v>
      </c>
      <c r="R2534" s="7">
        <f>grand[[#This Row],[transportation loss ]]/grand[[#This Row],[received]]</f>
        <v>22.394736842105264</v>
      </c>
      <c r="S2534" s="7">
        <f>grand[[#This Row],[ carcass weight]]/grand[[#This Row],[received]]</f>
        <v>247.3842105263158</v>
      </c>
      <c r="T2534" s="7">
        <f>grand[[#This Row],[ kidneys fat quantity]]/grand[[#This Row],[received]]</f>
        <v>0</v>
      </c>
      <c r="U2534" s="4">
        <v>25</v>
      </c>
      <c r="V2534" s="4">
        <v>0</v>
      </c>
      <c r="W2534" s="4">
        <v>49.8</v>
      </c>
      <c r="X2534" s="4">
        <v>10</v>
      </c>
      <c r="Y2534" s="8">
        <v>8.5</v>
      </c>
      <c r="Z2534" s="3">
        <f>grand[[#This Row],[av. Transportation loss]]/grand[[#This Row],[av.total weight]]</f>
        <v>5.5508446937577456E-2</v>
      </c>
      <c r="AA2534" s="12">
        <f>AVERAGE((grand[[#This Row],[am]]/25),(grand[[#This Row],[pm]]/50))</f>
        <v>0.998</v>
      </c>
      <c r="AB2534" s="3">
        <f>grand[[#This Row],[ carcass weight]]/grand[[#This Row],[total weight]]</f>
        <v>0.61317591807448957</v>
      </c>
      <c r="AC2534" s="6">
        <f>SUM(grand[[#This Row],[am]:[meat transportation]])/100</f>
        <v>0.93299999999999994</v>
      </c>
      <c r="AD2534" s="4"/>
      <c r="AE2534" s="4"/>
      <c r="AF2534" s="4" t="s">
        <v>55</v>
      </c>
      <c r="AG2534" s="4"/>
      <c r="AH2534" s="4"/>
      <c r="AI2534" s="4">
        <v>1</v>
      </c>
      <c r="AJ2534" s="2"/>
      <c r="AK2534" s="4"/>
    </row>
    <row r="2535" spans="1:38" hidden="1" x14ac:dyDescent="0.2">
      <c r="A2535" s="11">
        <v>43933</v>
      </c>
      <c r="B2535" s="53" t="s">
        <v>1455</v>
      </c>
      <c r="C2535" s="52" t="str">
        <f>IF(MID(B2535,4,2)="09","Ramadan",IF(AND(MID(B2535,4,2)="12",VALUE(LEFT(B2535,2))&lt;=9),"Adha Season","Normal"))</f>
        <v>Normal</v>
      </c>
      <c r="D2535" s="1" t="s">
        <v>45</v>
      </c>
      <c r="F2535" s="4" t="s">
        <v>46</v>
      </c>
      <c r="G2535" s="4">
        <v>36</v>
      </c>
      <c r="H2535" s="4">
        <v>32</v>
      </c>
      <c r="I2535" s="2">
        <f>grand[[#This Row],[number]]-grand[[#This Row],[received]]</f>
        <v>4</v>
      </c>
      <c r="J2535" s="30" t="s">
        <v>96</v>
      </c>
      <c r="K2535" s="4">
        <v>15336</v>
      </c>
      <c r="L2535" s="4">
        <v>14581</v>
      </c>
      <c r="M2535" s="2">
        <f>K2535-L2535</f>
        <v>755</v>
      </c>
      <c r="N2535" s="4">
        <v>9201.4</v>
      </c>
      <c r="O2535" s="4"/>
      <c r="P2535" s="7">
        <f>grand[[#This Row],[total weight]]/grand[[#This Row],[received]]</f>
        <v>479.25</v>
      </c>
      <c r="Q2535" s="7">
        <f>grand[[#This Row],[receiving weight]]/grand[[#This Row],[received]]</f>
        <v>455.65625</v>
      </c>
      <c r="R2535" s="7">
        <f>grand[[#This Row],[transportation loss ]]/grand[[#This Row],[received]]</f>
        <v>23.59375</v>
      </c>
      <c r="S2535" s="7">
        <f>grand[[#This Row],[ carcass weight]]/grand[[#This Row],[received]]</f>
        <v>287.54374999999999</v>
      </c>
      <c r="T2535" s="7">
        <f>grand[[#This Row],[ kidneys fat quantity]]/grand[[#This Row],[received]]</f>
        <v>0</v>
      </c>
      <c r="U2535" s="4">
        <v>24.7</v>
      </c>
      <c r="V2535" s="4">
        <v>0</v>
      </c>
      <c r="W2535" s="4">
        <v>49.3</v>
      </c>
      <c r="X2535" s="4">
        <v>10</v>
      </c>
      <c r="Y2535" s="8">
        <v>8.5</v>
      </c>
      <c r="Z2535" s="3">
        <f>grand[[#This Row],[av. Transportation loss]]/grand[[#This Row],[av.total weight]]</f>
        <v>4.9230568596765778E-2</v>
      </c>
      <c r="AA2535" s="12">
        <f>AVERAGE((grand[[#This Row],[am]]/25),(grand[[#This Row],[pm]]/50))</f>
        <v>0.98699999999999999</v>
      </c>
      <c r="AB2535" s="3">
        <f>grand[[#This Row],[ carcass weight]]/grand[[#This Row],[total weight]]</f>
        <v>0.5999869587897757</v>
      </c>
      <c r="AC2535" s="6">
        <f>SUM(grand[[#This Row],[am]:[meat transportation]])/100</f>
        <v>0.92500000000000004</v>
      </c>
      <c r="AD2535" s="4" t="s">
        <v>97</v>
      </c>
      <c r="AE2535" s="4">
        <v>3</v>
      </c>
      <c r="AF2535" s="4" t="s">
        <v>98</v>
      </c>
      <c r="AG2535" s="4">
        <v>5</v>
      </c>
      <c r="AH2535" s="4"/>
      <c r="AI2535" s="4">
        <v>1</v>
      </c>
      <c r="AJ2535" s="2"/>
      <c r="AK2535" s="4"/>
    </row>
    <row r="2536" spans="1:38" hidden="1" x14ac:dyDescent="0.2">
      <c r="A2536" s="11">
        <v>44087</v>
      </c>
      <c r="B2536" s="53" t="s">
        <v>1512</v>
      </c>
      <c r="C2536" s="52" t="str">
        <f>IF(MID(B2536,4,2)="09","Ramadan",IF(AND(MID(B2536,4,2)="12",VALUE(LEFT(B2536,2))&lt;=9),"Adha Season","Normal"))</f>
        <v>Normal</v>
      </c>
      <c r="D2536" s="1" t="s">
        <v>45</v>
      </c>
      <c r="F2536" s="4" t="s">
        <v>50</v>
      </c>
      <c r="G2536" s="4">
        <v>20</v>
      </c>
      <c r="H2536" s="4">
        <v>16</v>
      </c>
      <c r="I2536" s="2">
        <f>grand[[#This Row],[number]]-grand[[#This Row],[received]]</f>
        <v>4</v>
      </c>
      <c r="J2536" s="30" t="s">
        <v>200</v>
      </c>
      <c r="K2536" s="4">
        <v>7083</v>
      </c>
      <c r="L2536" s="4">
        <v>6554</v>
      </c>
      <c r="M2536" s="2">
        <f>K2536-L2536</f>
        <v>529</v>
      </c>
      <c r="N2536" s="4">
        <v>4446.5</v>
      </c>
      <c r="O2536" s="4"/>
      <c r="P2536" s="7">
        <f>grand[[#This Row],[total weight]]/grand[[#This Row],[received]]</f>
        <v>442.6875</v>
      </c>
      <c r="Q2536" s="7">
        <f>grand[[#This Row],[receiving weight]]/grand[[#This Row],[received]]</f>
        <v>409.625</v>
      </c>
      <c r="R2536" s="7">
        <f>grand[[#This Row],[transportation loss ]]/grand[[#This Row],[received]]</f>
        <v>33.0625</v>
      </c>
      <c r="S2536" s="7">
        <f>grand[[#This Row],[ carcass weight]]/grand[[#This Row],[received]]</f>
        <v>277.90625</v>
      </c>
      <c r="T2536" s="7">
        <f>grand[[#This Row],[ kidneys fat quantity]]/grand[[#This Row],[received]]</f>
        <v>0</v>
      </c>
      <c r="U2536" s="4">
        <v>25</v>
      </c>
      <c r="V2536" s="4">
        <v>0</v>
      </c>
      <c r="W2536" s="4">
        <v>49.1</v>
      </c>
      <c r="X2536" s="4">
        <v>10</v>
      </c>
      <c r="Y2536" s="8">
        <v>8.5</v>
      </c>
      <c r="Z2536" s="3">
        <f>grand[[#This Row],[av. Transportation loss]]/grand[[#This Row],[av.total weight]]</f>
        <v>7.4685867570238595E-2</v>
      </c>
      <c r="AA2536" s="12">
        <f>AVERAGE((grand[[#This Row],[am]]/25),(grand[[#This Row],[pm]]/50))</f>
        <v>0.99099999999999999</v>
      </c>
      <c r="AB2536" s="3">
        <f>grand[[#This Row],[ carcass weight]]/grand[[#This Row],[total weight]]</f>
        <v>0.6277707186220528</v>
      </c>
      <c r="AC2536" s="6">
        <f>SUM(grand[[#This Row],[am]:[meat transportation]])/100</f>
        <v>0.92599999999999993</v>
      </c>
      <c r="AD2536" s="9" t="s">
        <v>201</v>
      </c>
      <c r="AE2536" s="4"/>
      <c r="AF2536" s="4" t="s">
        <v>55</v>
      </c>
      <c r="AG2536" s="4"/>
      <c r="AH2536" s="4"/>
      <c r="AI2536" s="4"/>
      <c r="AJ2536" s="2">
        <v>1</v>
      </c>
      <c r="AK2536" s="4"/>
      <c r="AL2536" s="2">
        <f>1771+8</f>
        <v>1779</v>
      </c>
    </row>
    <row r="2537" spans="1:38" hidden="1" x14ac:dyDescent="0.2">
      <c r="A2537" s="11">
        <v>44138</v>
      </c>
      <c r="B2537" s="53" t="s">
        <v>2571</v>
      </c>
      <c r="C2537" s="52" t="str">
        <f>IF(MID(B2537,4,2)="09","Ramadan",IF(AND(MID(B2537,4,2)="12",VALUE(LEFT(B2537,2))&lt;=9),"Adha Season","Normal"))</f>
        <v>Normal</v>
      </c>
      <c r="D2537" s="1" t="s">
        <v>45</v>
      </c>
      <c r="F2537" s="4" t="s">
        <v>165</v>
      </c>
      <c r="G2537" s="4">
        <v>36</v>
      </c>
      <c r="H2537" s="4">
        <v>32</v>
      </c>
      <c r="I2537" s="2">
        <f>grand[[#This Row],[number]]-grand[[#This Row],[received]]</f>
        <v>4</v>
      </c>
      <c r="J2537" s="30" t="s">
        <v>1116</v>
      </c>
      <c r="K2537" s="4">
        <v>14368.5</v>
      </c>
      <c r="L2537" s="4">
        <v>13743.5</v>
      </c>
      <c r="M2537" s="2">
        <f>K2537-L2537</f>
        <v>625</v>
      </c>
      <c r="N2537" s="4">
        <v>8620.5</v>
      </c>
      <c r="O2537" s="4"/>
      <c r="P2537" s="7">
        <f>grand[[#This Row],[total weight]]/grand[[#This Row],[received]]</f>
        <v>449.015625</v>
      </c>
      <c r="Q2537" s="7">
        <f>grand[[#This Row],[receiving weight]]/grand[[#This Row],[received]]</f>
        <v>429.484375</v>
      </c>
      <c r="R2537" s="7">
        <f>grand[[#This Row],[transportation loss ]]/grand[[#This Row],[received]]</f>
        <v>19.53125</v>
      </c>
      <c r="S2537" s="7">
        <f>grand[[#This Row],[ carcass weight]]/grand[[#This Row],[received]]</f>
        <v>269.390625</v>
      </c>
      <c r="T2537" s="7">
        <f>grand[[#This Row],[ kidneys fat quantity]]/grand[[#This Row],[received]]</f>
        <v>0</v>
      </c>
      <c r="U2537" s="4">
        <v>24.8</v>
      </c>
      <c r="V2537" s="4">
        <v>0</v>
      </c>
      <c r="W2537" s="4">
        <v>49.4</v>
      </c>
      <c r="X2537" s="4">
        <v>10</v>
      </c>
      <c r="Y2537" s="8">
        <v>8.5</v>
      </c>
      <c r="Z2537" s="3">
        <f>grand[[#This Row],[av. Transportation loss]]/grand[[#This Row],[av.total weight]]</f>
        <v>4.3497929498555868E-2</v>
      </c>
      <c r="AA2537" s="12">
        <f>AVERAGE((grand[[#This Row],[am]]/25),(grand[[#This Row],[pm]]/50))</f>
        <v>0.99</v>
      </c>
      <c r="AB2537" s="3">
        <f>grand[[#This Row],[ carcass weight]]/grand[[#This Row],[total weight]]</f>
        <v>0.59995824198768144</v>
      </c>
      <c r="AC2537" s="6">
        <f>SUM(grand[[#This Row],[am]:[meat transportation]])/100</f>
        <v>0.92700000000000005</v>
      </c>
      <c r="AD2537" s="9" t="s">
        <v>81</v>
      </c>
      <c r="AE2537" s="4">
        <v>3</v>
      </c>
      <c r="AF2537" s="4" t="s">
        <v>55</v>
      </c>
      <c r="AG2537" s="4"/>
      <c r="AH2537" s="4"/>
      <c r="AI2537" s="4"/>
      <c r="AJ2537" s="2"/>
      <c r="AK2537" s="4"/>
      <c r="AL2537" s="2">
        <f>939+877.5+8.5</f>
        <v>1825</v>
      </c>
    </row>
    <row r="2538" spans="1:38" hidden="1" x14ac:dyDescent="0.2">
      <c r="A2538" s="11">
        <v>44175</v>
      </c>
      <c r="B2538" s="53" t="s">
        <v>2587</v>
      </c>
      <c r="C2538" s="52" t="str">
        <f>IF(MID(B2538,4,2)="09","Ramadan",IF(AND(MID(B2538,4,2)="12",VALUE(LEFT(B2538,2))&lt;=9),"Adha Season","Normal"))</f>
        <v>Normal</v>
      </c>
      <c r="D2538" s="1" t="s">
        <v>45</v>
      </c>
      <c r="F2538" s="4" t="s">
        <v>46</v>
      </c>
      <c r="G2538" s="4">
        <v>48</v>
      </c>
      <c r="H2538" s="4">
        <v>44</v>
      </c>
      <c r="I2538" s="2">
        <f>grand[[#This Row],[number]]-grand[[#This Row],[received]]</f>
        <v>4</v>
      </c>
      <c r="J2538" s="30" t="s">
        <v>239</v>
      </c>
      <c r="K2538" s="4">
        <v>20830</v>
      </c>
      <c r="L2538" s="4">
        <v>19875</v>
      </c>
      <c r="M2538" s="2">
        <f>K2538-L2538</f>
        <v>955</v>
      </c>
      <c r="N2538" s="4">
        <v>12498.7</v>
      </c>
      <c r="O2538" s="4"/>
      <c r="P2538" s="7">
        <f>grand[[#This Row],[total weight]]/grand[[#This Row],[received]]</f>
        <v>473.40909090909093</v>
      </c>
      <c r="Q2538" s="7">
        <f>grand[[#This Row],[receiving weight]]/grand[[#This Row],[received]]</f>
        <v>451.70454545454544</v>
      </c>
      <c r="R2538" s="7">
        <f>grand[[#This Row],[transportation loss ]]/grand[[#This Row],[received]]</f>
        <v>21.704545454545453</v>
      </c>
      <c r="S2538" s="7">
        <f>grand[[#This Row],[ carcass weight]]/grand[[#This Row],[received]]</f>
        <v>284.06136363636364</v>
      </c>
      <c r="T2538" s="7">
        <f>grand[[#This Row],[ kidneys fat quantity]]/grand[[#This Row],[received]]</f>
        <v>0</v>
      </c>
      <c r="U2538" s="4">
        <v>25</v>
      </c>
      <c r="V2538" s="4">
        <v>0</v>
      </c>
      <c r="W2538" s="4">
        <v>49.91</v>
      </c>
      <c r="X2538" s="4">
        <v>10</v>
      </c>
      <c r="Y2538" s="8">
        <v>8.5</v>
      </c>
      <c r="Z2538" s="3">
        <f>grand[[#This Row],[av. Transportation loss]]/grand[[#This Row],[av.total weight]]</f>
        <v>4.5847335573691785E-2</v>
      </c>
      <c r="AA2538" s="12">
        <f>AVERAGE((grand[[#This Row],[am]]/25),(grand[[#This Row],[pm]]/50))</f>
        <v>0.99909999999999999</v>
      </c>
      <c r="AB2538" s="3">
        <f>grand[[#This Row],[ carcass weight]]/grand[[#This Row],[total weight]]</f>
        <v>0.60003360537686035</v>
      </c>
      <c r="AC2538" s="6">
        <f>SUM(grand[[#This Row],[am]:[meat transportation]])/100</f>
        <v>0.93409999999999993</v>
      </c>
      <c r="AD2538" s="9" t="s">
        <v>71</v>
      </c>
      <c r="AE2538" s="4"/>
      <c r="AF2538" s="4"/>
      <c r="AG2538" s="4"/>
      <c r="AH2538" s="4"/>
      <c r="AI2538" s="4"/>
      <c r="AJ2538" s="2"/>
      <c r="AK2538" s="4"/>
      <c r="AL2538" s="2">
        <f>20+1930</f>
        <v>1950</v>
      </c>
    </row>
    <row r="2539" spans="1:38" hidden="1" x14ac:dyDescent="0.2">
      <c r="A2539" s="11">
        <v>44194</v>
      </c>
      <c r="B2539" s="53" t="s">
        <v>2595</v>
      </c>
      <c r="C2539" s="52" t="str">
        <f>IF(MID(B2539,4,2)="09","Ramadan",IF(AND(MID(B2539,4,2)="12",VALUE(LEFT(B2539,2))&lt;=9),"Adha Season","Normal"))</f>
        <v>Normal</v>
      </c>
      <c r="D2539" s="1" t="s">
        <v>45</v>
      </c>
      <c r="F2539" s="4" t="s">
        <v>46</v>
      </c>
      <c r="G2539" s="4">
        <v>42</v>
      </c>
      <c r="H2539" s="4">
        <v>38</v>
      </c>
      <c r="I2539" s="2">
        <f>grand[[#This Row],[number]]-grand[[#This Row],[received]]</f>
        <v>4</v>
      </c>
      <c r="J2539" s="30" t="s">
        <v>254</v>
      </c>
      <c r="K2539" s="4">
        <v>17995</v>
      </c>
      <c r="L2539" s="4">
        <v>17050</v>
      </c>
      <c r="M2539" s="2">
        <f>K2539-L2539</f>
        <v>945</v>
      </c>
      <c r="N2539" s="4">
        <v>10796.7</v>
      </c>
      <c r="O2539" s="4"/>
      <c r="P2539" s="7">
        <f>grand[[#This Row],[total weight]]/grand[[#This Row],[received]]</f>
        <v>473.55263157894734</v>
      </c>
      <c r="Q2539" s="7">
        <f>grand[[#This Row],[receiving weight]]/grand[[#This Row],[received]]</f>
        <v>448.68421052631578</v>
      </c>
      <c r="R2539" s="7">
        <f>grand[[#This Row],[transportation loss ]]/grand[[#This Row],[received]]</f>
        <v>24.868421052631579</v>
      </c>
      <c r="S2539" s="7">
        <f>grand[[#This Row],[ carcass weight]]/grand[[#This Row],[received]]</f>
        <v>284.12368421052633</v>
      </c>
      <c r="T2539" s="7">
        <f>grand[[#This Row],[ kidneys fat quantity]]/grand[[#This Row],[received]]</f>
        <v>0</v>
      </c>
      <c r="U2539" s="4">
        <v>25</v>
      </c>
      <c r="V2539" s="4">
        <v>0</v>
      </c>
      <c r="W2539" s="4">
        <v>49.74</v>
      </c>
      <c r="X2539" s="4">
        <v>10</v>
      </c>
      <c r="Y2539" s="8">
        <v>8.5</v>
      </c>
      <c r="Z2539" s="3">
        <f>grand[[#This Row],[av. Transportation loss]]/grand[[#This Row],[av.total weight]]</f>
        <v>5.251458738538483E-2</v>
      </c>
      <c r="AA2539" s="12">
        <f>AVERAGE((grand[[#This Row],[am]]/25),(grand[[#This Row],[pm]]/50))</f>
        <v>0.99740000000000006</v>
      </c>
      <c r="AB2539" s="3">
        <f>grand[[#This Row],[ carcass weight]]/grand[[#This Row],[total weight]]</f>
        <v>0.59998332870241733</v>
      </c>
      <c r="AC2539" s="6">
        <f>SUM(grand[[#This Row],[am]:[meat transportation]])/100</f>
        <v>0.93240000000000012</v>
      </c>
      <c r="AD2539" s="9" t="s">
        <v>255</v>
      </c>
      <c r="AE2539" s="4"/>
      <c r="AF2539" s="4" t="s">
        <v>256</v>
      </c>
      <c r="AG2539" s="4"/>
      <c r="AH2539" s="4"/>
      <c r="AI2539" s="4"/>
      <c r="AJ2539" s="2">
        <v>13</v>
      </c>
      <c r="AK2539" s="12">
        <f>grand[[#This Row],[accepted as exception]]/grand[[#This Row],[number]]</f>
        <v>0.30952380952380953</v>
      </c>
      <c r="AL2539" s="2">
        <f>1915+2</f>
        <v>1917</v>
      </c>
    </row>
    <row r="2540" spans="1:38" hidden="1" x14ac:dyDescent="0.2">
      <c r="A2540" s="11">
        <v>44199</v>
      </c>
      <c r="B2540" s="53" t="s">
        <v>1530</v>
      </c>
      <c r="C2540" s="52" t="str">
        <f>IF(MID(B2540,4,2)="09","Ramadan",IF(AND(MID(B2540,4,2)="12",VALUE(LEFT(B2540,2))&lt;=9),"Adha Season","Normal"))</f>
        <v>Normal</v>
      </c>
      <c r="D2540" s="1" t="s">
        <v>45</v>
      </c>
      <c r="F2540" s="4" t="s">
        <v>50</v>
      </c>
      <c r="G2540" s="4">
        <v>50</v>
      </c>
      <c r="H2540" s="4">
        <v>46</v>
      </c>
      <c r="I2540" s="2">
        <f>grand[[#This Row],[number]]-grand[[#This Row],[received]]</f>
        <v>4</v>
      </c>
      <c r="J2540" s="30" t="s">
        <v>239</v>
      </c>
      <c r="K2540" s="4">
        <v>20036</v>
      </c>
      <c r="L2540" s="4">
        <v>18691</v>
      </c>
      <c r="M2540" s="2">
        <f>K2540-L2540</f>
        <v>1345</v>
      </c>
      <c r="N2540" s="4">
        <v>12428.1</v>
      </c>
      <c r="O2540" s="4"/>
      <c r="P2540" s="7">
        <f>grand[[#This Row],[total weight]]/grand[[#This Row],[received]]</f>
        <v>435.56521739130437</v>
      </c>
      <c r="Q2540" s="7">
        <f>grand[[#This Row],[receiving weight]]/grand[[#This Row],[received]]</f>
        <v>406.32608695652175</v>
      </c>
      <c r="R2540" s="7">
        <f>grand[[#This Row],[transportation loss ]]/grand[[#This Row],[received]]</f>
        <v>29.239130434782609</v>
      </c>
      <c r="S2540" s="7">
        <f>grand[[#This Row],[ carcass weight]]/grand[[#This Row],[received]]</f>
        <v>270.17608695652177</v>
      </c>
      <c r="T2540" s="7">
        <f>grand[[#This Row],[ kidneys fat quantity]]/grand[[#This Row],[received]]</f>
        <v>0</v>
      </c>
      <c r="U2540" s="4">
        <v>25</v>
      </c>
      <c r="V2540" s="4">
        <v>0</v>
      </c>
      <c r="W2540" s="4">
        <v>49.7</v>
      </c>
      <c r="X2540" s="4">
        <v>10</v>
      </c>
      <c r="Y2540" s="8">
        <v>8.5</v>
      </c>
      <c r="Z2540" s="3">
        <f>grand[[#This Row],[av. Transportation loss]]/grand[[#This Row],[av.total weight]]</f>
        <v>6.7129167498502687E-2</v>
      </c>
      <c r="AA2540" s="12">
        <f>AVERAGE((grand[[#This Row],[am]]/25),(grand[[#This Row],[pm]]/50))</f>
        <v>0.99700000000000011</v>
      </c>
      <c r="AB2540" s="3">
        <f>grand[[#This Row],[ carcass weight]]/grand[[#This Row],[total weight]]</f>
        <v>0.62028848073467757</v>
      </c>
      <c r="AC2540" s="6">
        <f>SUM(grand[[#This Row],[am]:[meat transportation]])/100</f>
        <v>0.93200000000000005</v>
      </c>
      <c r="AD2540" s="9" t="s">
        <v>71</v>
      </c>
      <c r="AE2540" s="4"/>
      <c r="AF2540" s="4"/>
      <c r="AG2540" s="4"/>
      <c r="AH2540" s="4"/>
      <c r="AI2540" s="4"/>
      <c r="AJ2540" s="2">
        <v>4</v>
      </c>
      <c r="AK2540" s="12">
        <f>grand[[#This Row],[accepted as exception]]/grand[[#This Row],[number]]</f>
        <v>0.08</v>
      </c>
      <c r="AL2540" s="2">
        <f>1659+14</f>
        <v>1673</v>
      </c>
    </row>
    <row r="2541" spans="1:38" hidden="1" x14ac:dyDescent="0.2">
      <c r="A2541" s="11">
        <v>44234</v>
      </c>
      <c r="B2541" s="53" t="s">
        <v>1535</v>
      </c>
      <c r="C2541" s="52" t="str">
        <f>IF(MID(B2541,4,2)="09","Ramadan",IF(AND(MID(B2541,4,2)="12",VALUE(LEFT(B2541,2))&lt;=9),"Adha Season","Normal"))</f>
        <v>Normal</v>
      </c>
      <c r="D2541" s="1" t="s">
        <v>45</v>
      </c>
      <c r="F2541" s="4" t="s">
        <v>46</v>
      </c>
      <c r="G2541" s="4">
        <v>45</v>
      </c>
      <c r="H2541" s="4">
        <v>41</v>
      </c>
      <c r="I2541" s="2">
        <f>grand[[#This Row],[number]]-grand[[#This Row],[received]]</f>
        <v>4</v>
      </c>
      <c r="J2541" s="30" t="s">
        <v>239</v>
      </c>
      <c r="K2541" s="4">
        <v>19305</v>
      </c>
      <c r="L2541" s="4">
        <v>17980</v>
      </c>
      <c r="M2541" s="2">
        <f>K2541-L2541</f>
        <v>1325</v>
      </c>
      <c r="N2541" s="4">
        <v>11687.8</v>
      </c>
      <c r="O2541" s="4"/>
      <c r="P2541" s="7">
        <f>grand[[#This Row],[total weight]]/grand[[#This Row],[received]]</f>
        <v>470.85365853658539</v>
      </c>
      <c r="Q2541" s="7">
        <f>grand[[#This Row],[receiving weight]]/grand[[#This Row],[received]]</f>
        <v>438.53658536585368</v>
      </c>
      <c r="R2541" s="7">
        <f>grand[[#This Row],[transportation loss ]]/grand[[#This Row],[received]]</f>
        <v>32.31707317073171</v>
      </c>
      <c r="S2541" s="7">
        <f>grand[[#This Row],[ carcass weight]]/grand[[#This Row],[received]]</f>
        <v>285.06829268292682</v>
      </c>
      <c r="T2541" s="7">
        <f>grand[[#This Row],[ kidneys fat quantity]]/grand[[#This Row],[received]]</f>
        <v>0</v>
      </c>
      <c r="U2541" s="4">
        <v>25</v>
      </c>
      <c r="V2541" s="4">
        <v>0</v>
      </c>
      <c r="W2541" s="4">
        <v>49.85</v>
      </c>
      <c r="X2541" s="4">
        <v>9.9</v>
      </c>
      <c r="Y2541" s="8">
        <v>8.5</v>
      </c>
      <c r="Z2541" s="3">
        <f>grand[[#This Row],[av. Transportation loss]]/grand[[#This Row],[av.total weight]]</f>
        <v>6.8635068635068644E-2</v>
      </c>
      <c r="AA2541" s="12">
        <f>AVERAGE((grand[[#This Row],[am]]/25),(grand[[#This Row],[pm]]/50))</f>
        <v>0.99849999999999994</v>
      </c>
      <c r="AB2541" s="3">
        <f>grand[[#This Row],[ carcass weight]]/grand[[#This Row],[total weight]]</f>
        <v>0.60542864542864538</v>
      </c>
      <c r="AC2541" s="6">
        <f>SUM(grand[[#This Row],[am]:[meat transportation]])/100</f>
        <v>0.9325</v>
      </c>
      <c r="AD2541" s="9"/>
      <c r="AE2541" s="4"/>
      <c r="AF2541" s="4" t="s">
        <v>170</v>
      </c>
      <c r="AG2541" s="4"/>
      <c r="AH2541" s="4"/>
      <c r="AI2541" s="4"/>
      <c r="AJ2541" s="2">
        <v>13</v>
      </c>
      <c r="AK2541" s="12">
        <f>grand[[#This Row],[accepted as exception]]/grand[[#This Row],[number]]</f>
        <v>0.28888888888888886</v>
      </c>
      <c r="AL2541" s="2">
        <v>1857</v>
      </c>
    </row>
    <row r="2542" spans="1:38" hidden="1" x14ac:dyDescent="0.2">
      <c r="A2542" s="11">
        <v>44241</v>
      </c>
      <c r="B2542" s="53" t="s">
        <v>1536</v>
      </c>
      <c r="C2542" s="52" t="str">
        <f>IF(MID(B2542,4,2)="09","Ramadan",IF(AND(MID(B2542,4,2)="12",VALUE(LEFT(B2542,2))&lt;=9),"Adha Season","Normal"))</f>
        <v>Normal</v>
      </c>
      <c r="D2542" s="1" t="s">
        <v>45</v>
      </c>
      <c r="F2542" s="4" t="s">
        <v>46</v>
      </c>
      <c r="G2542" s="4">
        <v>47</v>
      </c>
      <c r="H2542" s="4">
        <v>43</v>
      </c>
      <c r="I2542" s="2">
        <f>grand[[#This Row],[number]]-grand[[#This Row],[received]]</f>
        <v>4</v>
      </c>
      <c r="J2542" s="30" t="s">
        <v>1122</v>
      </c>
      <c r="K2542" s="9">
        <v>20942</v>
      </c>
      <c r="L2542" s="9">
        <v>19750</v>
      </c>
      <c r="M2542" s="2">
        <f>K2542-L2542</f>
        <v>1192</v>
      </c>
      <c r="N2542" s="9">
        <v>12564.6</v>
      </c>
      <c r="O2542" s="4"/>
      <c r="P2542" s="7">
        <f>grand[[#This Row],[total weight]]/grand[[#This Row],[received]]</f>
        <v>487.02325581395348</v>
      </c>
      <c r="Q2542" s="7">
        <f>grand[[#This Row],[receiving weight]]/grand[[#This Row],[received]]</f>
        <v>459.30232558139534</v>
      </c>
      <c r="R2542" s="7">
        <f>grand[[#This Row],[transportation loss ]]/grand[[#This Row],[received]]</f>
        <v>27.720930232558139</v>
      </c>
      <c r="S2542" s="7">
        <f>grand[[#This Row],[ carcass weight]]/grand[[#This Row],[received]]</f>
        <v>292.2</v>
      </c>
      <c r="T2542" s="7">
        <f>grand[[#This Row],[ kidneys fat quantity]]/grand[[#This Row],[received]]</f>
        <v>0</v>
      </c>
      <c r="U2542" s="4">
        <v>22</v>
      </c>
      <c r="V2542" s="4">
        <v>0</v>
      </c>
      <c r="W2542" s="4">
        <v>49.65</v>
      </c>
      <c r="X2542" s="4">
        <v>9.9</v>
      </c>
      <c r="Y2542" s="8">
        <v>8.5</v>
      </c>
      <c r="Z2542" s="3">
        <f>grand[[#This Row],[av. Transportation loss]]/grand[[#This Row],[av.total weight]]</f>
        <v>5.6919109922643492E-2</v>
      </c>
      <c r="AA2542" s="12">
        <f>AVERAGE((grand[[#This Row],[am]]/25),(grand[[#This Row],[pm]]/50))</f>
        <v>0.9365</v>
      </c>
      <c r="AB2542" s="3">
        <f>grand[[#This Row],[ carcass weight]]/grand[[#This Row],[total weight]]</f>
        <v>0.59997134944131414</v>
      </c>
      <c r="AC2542" s="6">
        <f>SUM(grand[[#This Row],[am]:[meat transportation]])/100</f>
        <v>0.90050000000000008</v>
      </c>
      <c r="AD2542" s="9" t="s">
        <v>113</v>
      </c>
      <c r="AE2542" s="4"/>
      <c r="AF2542" s="4" t="s">
        <v>211</v>
      </c>
      <c r="AG2542" s="4"/>
      <c r="AH2542" s="4"/>
      <c r="AI2542" s="4"/>
      <c r="AJ2542" s="2">
        <v>17</v>
      </c>
      <c r="AK2542" s="12">
        <f>grand[[#This Row],[accepted as exception]]/grand[[#This Row],[number]]</f>
        <v>0.36170212765957449</v>
      </c>
      <c r="AL2542" s="2">
        <f>1950+8</f>
        <v>1958</v>
      </c>
    </row>
    <row r="2543" spans="1:38" hidden="1" x14ac:dyDescent="0.2">
      <c r="A2543" s="11">
        <v>44266</v>
      </c>
      <c r="B2543" s="53" t="s">
        <v>2626</v>
      </c>
      <c r="C2543" s="52" t="str">
        <f>IF(MID(B2543,4,2)="09","Ramadan",IF(AND(MID(B2543,4,2)="12",VALUE(LEFT(B2543,2))&lt;=9),"Adha Season","Normal"))</f>
        <v>Normal</v>
      </c>
      <c r="D2543" s="1" t="s">
        <v>45</v>
      </c>
      <c r="F2543" s="4" t="s">
        <v>46</v>
      </c>
      <c r="G2543" s="4">
        <v>40</v>
      </c>
      <c r="H2543" s="4">
        <v>36</v>
      </c>
      <c r="I2543" s="2">
        <f>grand[[#This Row],[number]]-grand[[#This Row],[received]]</f>
        <v>4</v>
      </c>
      <c r="J2543" s="30" t="s">
        <v>275</v>
      </c>
      <c r="K2543" s="9">
        <v>17308</v>
      </c>
      <c r="L2543" s="9">
        <v>15801</v>
      </c>
      <c r="M2543" s="2">
        <f>K2543-L2543</f>
        <v>1507</v>
      </c>
      <c r="N2543" s="9">
        <v>10384.1</v>
      </c>
      <c r="O2543" s="2"/>
      <c r="P2543" s="7">
        <f>grand[[#This Row],[total weight]]/grand[[#This Row],[received]]</f>
        <v>480.77777777777777</v>
      </c>
      <c r="Q2543" s="7">
        <f>grand[[#This Row],[receiving weight]]/grand[[#This Row],[received]]</f>
        <v>438.91666666666669</v>
      </c>
      <c r="R2543" s="7">
        <f>grand[[#This Row],[transportation loss ]]/grand[[#This Row],[received]]</f>
        <v>41.861111111111114</v>
      </c>
      <c r="S2543" s="7">
        <f>grand[[#This Row],[ carcass weight]]/grand[[#This Row],[received]]</f>
        <v>288.44722222222225</v>
      </c>
      <c r="T2543" s="7">
        <f>grand[[#This Row],[ kidneys fat quantity]]/grand[[#This Row],[received]]</f>
        <v>0</v>
      </c>
      <c r="U2543" s="4">
        <v>25</v>
      </c>
      <c r="V2543" s="4">
        <v>0</v>
      </c>
      <c r="W2543" s="4">
        <v>49.42</v>
      </c>
      <c r="X2543" s="4">
        <v>10</v>
      </c>
      <c r="Y2543" s="8">
        <v>8.5</v>
      </c>
      <c r="Z2543" s="3">
        <f>grand[[#This Row],[av. Transportation loss]]/grand[[#This Row],[av.total weight]]</f>
        <v>8.7069563207765197E-2</v>
      </c>
      <c r="AA2543" s="12">
        <f>AVERAGE((grand[[#This Row],[am]]/25),(grand[[#This Row],[pm]]/50))</f>
        <v>0.99419999999999997</v>
      </c>
      <c r="AB2543" s="3">
        <f>grand[[#This Row],[ carcass weight]]/grand[[#This Row],[total weight]]</f>
        <v>0.59995955627455511</v>
      </c>
      <c r="AC2543" s="6">
        <f>SUM(grand[[#This Row],[am]:[meat transportation]])/100</f>
        <v>0.92920000000000003</v>
      </c>
      <c r="AD2543" s="9" t="s">
        <v>81</v>
      </c>
      <c r="AE2543" s="2"/>
      <c r="AF2543" s="4" t="s">
        <v>276</v>
      </c>
      <c r="AG2543" s="2"/>
      <c r="AH2543" s="2"/>
      <c r="AI2543" s="2"/>
      <c r="AJ2543" s="2">
        <v>16</v>
      </c>
      <c r="AK2543" s="12">
        <f>grand[[#This Row],[accepted as exception]]/grand[[#This Row],[number]]</f>
        <v>0.4</v>
      </c>
      <c r="AL2543" s="2">
        <f>1994+10</f>
        <v>2004</v>
      </c>
    </row>
    <row r="2544" spans="1:38" hidden="1" x14ac:dyDescent="0.2">
      <c r="A2544" s="11">
        <v>44273</v>
      </c>
      <c r="B2544" s="53" t="s">
        <v>2629</v>
      </c>
      <c r="C2544" s="52" t="str">
        <f>IF(MID(B2544,4,2)="09","Ramadan",IF(AND(MID(B2544,4,2)="12",VALUE(LEFT(B2544,2))&lt;=9),"Adha Season","Normal"))</f>
        <v>Normal</v>
      </c>
      <c r="D2544" s="1" t="s">
        <v>45</v>
      </c>
      <c r="F2544" s="4" t="s">
        <v>47</v>
      </c>
      <c r="G2544" s="4">
        <v>30</v>
      </c>
      <c r="H2544" s="4">
        <v>26</v>
      </c>
      <c r="I2544" s="2">
        <f>grand[[#This Row],[number]]-grand[[#This Row],[received]]</f>
        <v>4</v>
      </c>
      <c r="J2544" s="30" t="s">
        <v>1126</v>
      </c>
      <c r="K2544" s="9">
        <v>11347</v>
      </c>
      <c r="L2544" s="9">
        <v>10849</v>
      </c>
      <c r="M2544" s="2">
        <f>K2544-L2544</f>
        <v>498</v>
      </c>
      <c r="N2544" s="9">
        <v>6808</v>
      </c>
      <c r="O2544" s="2"/>
      <c r="P2544" s="7">
        <f>grand[[#This Row],[total weight]]/grand[[#This Row],[received]]</f>
        <v>436.42307692307691</v>
      </c>
      <c r="Q2544" s="7">
        <f>grand[[#This Row],[receiving weight]]/grand[[#This Row],[received]]</f>
        <v>417.26923076923077</v>
      </c>
      <c r="R2544" s="7">
        <f>grand[[#This Row],[transportation loss ]]/grand[[#This Row],[received]]</f>
        <v>19.153846153846153</v>
      </c>
      <c r="S2544" s="7">
        <f>grand[[#This Row],[ carcass weight]]/grand[[#This Row],[received]]</f>
        <v>261.84615384615387</v>
      </c>
      <c r="T2544" s="7">
        <f>grand[[#This Row],[ kidneys fat quantity]]/grand[[#This Row],[received]]</f>
        <v>0</v>
      </c>
      <c r="U2544" s="4">
        <v>25</v>
      </c>
      <c r="V2544" s="4">
        <v>0</v>
      </c>
      <c r="W2544" s="4">
        <v>48.77</v>
      </c>
      <c r="X2544" s="4">
        <v>10</v>
      </c>
      <c r="Y2544" s="8">
        <v>8.5</v>
      </c>
      <c r="Z2544" s="3">
        <f>grand[[#This Row],[av. Transportation loss]]/grand[[#This Row],[av.total weight]]</f>
        <v>4.3888252401515816E-2</v>
      </c>
      <c r="AA2544" s="12">
        <f>AVERAGE((grand[[#This Row],[am]]/25),(grand[[#This Row],[pm]]/50))</f>
        <v>0.98770000000000002</v>
      </c>
      <c r="AB2544" s="3">
        <f>grand[[#This Row],[ carcass weight]]/grand[[#This Row],[total weight]]</f>
        <v>0.59998237419582268</v>
      </c>
      <c r="AC2544" s="6">
        <f>SUM(grand[[#This Row],[am]:[meat transportation]])/100</f>
        <v>0.92270000000000008</v>
      </c>
      <c r="AD2544" s="9" t="s">
        <v>166</v>
      </c>
      <c r="AE2544" s="2"/>
      <c r="AF2544" s="4" t="s">
        <v>279</v>
      </c>
      <c r="AG2544" s="2"/>
      <c r="AH2544" s="2"/>
      <c r="AI2544" s="2"/>
      <c r="AJ2544" s="2">
        <v>12</v>
      </c>
      <c r="AK2544" s="12">
        <f>grand[[#This Row],[accepted as exception]]/grand[[#This Row],[number]]</f>
        <v>0.4</v>
      </c>
      <c r="AL2544" s="2">
        <f>848+853+19</f>
        <v>1720</v>
      </c>
    </row>
    <row r="2545" spans="1:38" hidden="1" x14ac:dyDescent="0.2">
      <c r="A2545" s="11">
        <v>44355</v>
      </c>
      <c r="B2545" s="53" t="s">
        <v>2660</v>
      </c>
      <c r="C2545" s="52" t="str">
        <f>IF(MID(B2545,4,2)="09","Ramadan",IF(AND(MID(B2545,4,2)="12",VALUE(LEFT(B2545,2))&lt;=9),"Adha Season","Normal"))</f>
        <v>Normal</v>
      </c>
      <c r="D2545" s="1" t="s">
        <v>45</v>
      </c>
      <c r="F2545" s="4" t="s">
        <v>42</v>
      </c>
      <c r="G2545" s="4">
        <v>35</v>
      </c>
      <c r="H2545" s="4">
        <v>31</v>
      </c>
      <c r="I2545" s="2">
        <f>grand[[#This Row],[number]]-grand[[#This Row],[received]]</f>
        <v>4</v>
      </c>
      <c r="J2545" s="30" t="s">
        <v>300</v>
      </c>
      <c r="K2545" s="9">
        <v>13730</v>
      </c>
      <c r="L2545" s="9">
        <v>13088</v>
      </c>
      <c r="M2545" s="2">
        <f>K2545-L2545</f>
        <v>642</v>
      </c>
      <c r="N2545" s="9">
        <v>8237.5</v>
      </c>
      <c r="O2545" s="2"/>
      <c r="P2545" s="7">
        <f>grand[[#This Row],[total weight]]/grand[[#This Row],[received]]</f>
        <v>442.90322580645159</v>
      </c>
      <c r="Q2545" s="7">
        <f>grand[[#This Row],[receiving weight]]/grand[[#This Row],[received]]</f>
        <v>422.19354838709677</v>
      </c>
      <c r="R2545" s="7">
        <f>grand[[#This Row],[transportation loss ]]/grand[[#This Row],[received]]</f>
        <v>20.70967741935484</v>
      </c>
      <c r="S2545" s="7">
        <f>grand[[#This Row],[ carcass weight]]/grand[[#This Row],[received]]</f>
        <v>265.72580645161293</v>
      </c>
      <c r="T2545" s="7">
        <f>grand[[#This Row],[ kidneys fat quantity]]/grand[[#This Row],[received]]</f>
        <v>0</v>
      </c>
      <c r="U2545" s="4">
        <v>25</v>
      </c>
      <c r="V2545" s="4">
        <v>0</v>
      </c>
      <c r="W2545" s="4">
        <v>49.16</v>
      </c>
      <c r="X2545" s="4">
        <v>9.6999999999999993</v>
      </c>
      <c r="Y2545" s="8">
        <v>8.5</v>
      </c>
      <c r="Z2545" s="3">
        <f>grand[[#This Row],[av. Transportation loss]]/grand[[#This Row],[av.total weight]]</f>
        <v>4.6758922068463223E-2</v>
      </c>
      <c r="AA2545" s="12">
        <f>AVERAGE((grand[[#This Row],[am]]/25),(grand[[#This Row],[pm]]/50))</f>
        <v>0.99160000000000004</v>
      </c>
      <c r="AB2545" s="3">
        <f>grand[[#This Row],[ carcass weight]]/grand[[#This Row],[total weight]]</f>
        <v>0.59996358339402767</v>
      </c>
      <c r="AC2545" s="6">
        <f>SUM(grand[[#This Row],[am]:[meat transportation]])/100</f>
        <v>0.92359999999999998</v>
      </c>
      <c r="AD2545" s="2"/>
      <c r="AE2545" s="2"/>
      <c r="AF2545" s="2"/>
      <c r="AG2545" s="2"/>
      <c r="AH2545" s="2"/>
      <c r="AI2545" s="2"/>
      <c r="AJ2545" s="2">
        <v>5</v>
      </c>
      <c r="AK2545" s="12">
        <f>grand[[#This Row],[accepted as exception]]/grand[[#This Row],[number]]</f>
        <v>0.14285714285714285</v>
      </c>
      <c r="AL2545" s="2">
        <f>468+1409+73</f>
        <v>1950</v>
      </c>
    </row>
    <row r="2546" spans="1:38" hidden="1" x14ac:dyDescent="0.2">
      <c r="A2546" s="11">
        <v>44369</v>
      </c>
      <c r="B2546" s="53" t="s">
        <v>2666</v>
      </c>
      <c r="C2546" s="52" t="str">
        <f>IF(MID(B2546,4,2)="09","Ramadan",IF(AND(MID(B2546,4,2)="12",VALUE(LEFT(B2546,2))&lt;=9),"Adha Season","Normal"))</f>
        <v>Normal</v>
      </c>
      <c r="D2546" s="1" t="s">
        <v>45</v>
      </c>
      <c r="F2546" s="4" t="s">
        <v>42</v>
      </c>
      <c r="G2546" s="4">
        <v>26</v>
      </c>
      <c r="H2546" s="4">
        <v>22</v>
      </c>
      <c r="I2546" s="2">
        <f>grand[[#This Row],[number]]-grand[[#This Row],[received]]</f>
        <v>4</v>
      </c>
      <c r="J2546" s="30" t="s">
        <v>239</v>
      </c>
      <c r="K2546" s="9">
        <v>9213</v>
      </c>
      <c r="L2546" s="9">
        <v>9012</v>
      </c>
      <c r="M2546" s="2">
        <f>K2546-L2546</f>
        <v>201</v>
      </c>
      <c r="N2546" s="9">
        <v>5527.7</v>
      </c>
      <c r="O2546" s="2"/>
      <c r="P2546" s="7">
        <f>grand[[#This Row],[total weight]]/grand[[#This Row],[received]]</f>
        <v>418.77272727272725</v>
      </c>
      <c r="Q2546" s="7">
        <f>grand[[#This Row],[receiving weight]]/grand[[#This Row],[received]]</f>
        <v>409.63636363636363</v>
      </c>
      <c r="R2546" s="7">
        <f>grand[[#This Row],[transportation loss ]]/grand[[#This Row],[received]]</f>
        <v>9.1363636363636367</v>
      </c>
      <c r="S2546" s="7">
        <f>grand[[#This Row],[ carcass weight]]/grand[[#This Row],[received]]</f>
        <v>251.2590909090909</v>
      </c>
      <c r="T2546" s="7">
        <f>grand[[#This Row],[ kidneys fat quantity]]/grand[[#This Row],[received]]</f>
        <v>0</v>
      </c>
      <c r="U2546" s="4">
        <v>25</v>
      </c>
      <c r="V2546" s="4">
        <v>0</v>
      </c>
      <c r="W2546" s="4">
        <v>49.91</v>
      </c>
      <c r="X2546" s="4">
        <v>10</v>
      </c>
      <c r="Y2546" s="8">
        <v>8.5</v>
      </c>
      <c r="Z2546" s="3">
        <f>grand[[#This Row],[av. Transportation loss]]/grand[[#This Row],[av.total weight]]</f>
        <v>2.1816997720612179E-2</v>
      </c>
      <c r="AA2546" s="12">
        <f>AVERAGE((grand[[#This Row],[am]]/25),(grand[[#This Row],[pm]]/50))</f>
        <v>0.99909999999999999</v>
      </c>
      <c r="AB2546" s="3">
        <f>grand[[#This Row],[ carcass weight]]/grand[[#This Row],[total weight]]</f>
        <v>0.59998914577227824</v>
      </c>
      <c r="AC2546" s="6">
        <f>SUM(grand[[#This Row],[am]:[meat transportation]])/100</f>
        <v>0.93409999999999993</v>
      </c>
      <c r="AD2546" s="2"/>
      <c r="AE2546" s="2"/>
      <c r="AF2546" s="2"/>
      <c r="AG2546" s="2"/>
      <c r="AH2546" s="2"/>
      <c r="AI2546" s="2"/>
      <c r="AJ2546" s="2">
        <v>16</v>
      </c>
      <c r="AK2546" s="12">
        <f>grand[[#This Row],[accepted as exception]]/grand[[#This Row],[number]]</f>
        <v>0.61538461538461542</v>
      </c>
      <c r="AL2546" s="2">
        <v>1948</v>
      </c>
    </row>
    <row r="2547" spans="1:38" hidden="1" x14ac:dyDescent="0.2">
      <c r="A2547" s="11">
        <v>44374</v>
      </c>
      <c r="B2547" s="53" t="s">
        <v>1560</v>
      </c>
      <c r="C2547" s="52" t="str">
        <f>IF(MID(B2547,4,2)="09","Ramadan",IF(AND(MID(B2547,4,2)="12",VALUE(LEFT(B2547,2))&lt;=9),"Adha Season","Normal"))</f>
        <v>Normal</v>
      </c>
      <c r="D2547" s="1" t="s">
        <v>45</v>
      </c>
      <c r="F2547" s="4" t="s">
        <v>297</v>
      </c>
      <c r="G2547" s="4">
        <v>38</v>
      </c>
      <c r="H2547" s="4">
        <v>34</v>
      </c>
      <c r="I2547" s="2">
        <f>grand[[#This Row],[number]]-grand[[#This Row],[received]]</f>
        <v>4</v>
      </c>
      <c r="J2547" s="30" t="s">
        <v>304</v>
      </c>
      <c r="K2547" s="9">
        <v>15533</v>
      </c>
      <c r="L2547" s="9">
        <v>15260</v>
      </c>
      <c r="M2547" s="2">
        <f>K2547-L2547</f>
        <v>273</v>
      </c>
      <c r="N2547" s="9">
        <v>9320.1</v>
      </c>
      <c r="O2547" s="2"/>
      <c r="P2547" s="7">
        <f>grand[[#This Row],[total weight]]/grand[[#This Row],[received]]</f>
        <v>456.85294117647061</v>
      </c>
      <c r="Q2547" s="7">
        <f>grand[[#This Row],[receiving weight]]/grand[[#This Row],[received]]</f>
        <v>448.8235294117647</v>
      </c>
      <c r="R2547" s="7">
        <f>grand[[#This Row],[transportation loss ]]/grand[[#This Row],[received]]</f>
        <v>8.0294117647058822</v>
      </c>
      <c r="S2547" s="7">
        <f>grand[[#This Row],[ carcass weight]]/grand[[#This Row],[received]]</f>
        <v>274.12058823529412</v>
      </c>
      <c r="T2547" s="7">
        <f>grand[[#This Row],[ kidneys fat quantity]]/grand[[#This Row],[received]]</f>
        <v>0</v>
      </c>
      <c r="U2547" s="4">
        <v>25</v>
      </c>
      <c r="V2547" s="4">
        <v>0</v>
      </c>
      <c r="W2547" s="4">
        <v>49.44</v>
      </c>
      <c r="X2547" s="4">
        <v>10</v>
      </c>
      <c r="Y2547" s="8">
        <v>8.5</v>
      </c>
      <c r="Z2547" s="3">
        <f>grand[[#This Row],[av. Transportation loss]]/grand[[#This Row],[av.total weight]]</f>
        <v>1.7575484452456061E-2</v>
      </c>
      <c r="AA2547" s="12">
        <f>AVERAGE((grand[[#This Row],[am]]/25),(grand[[#This Row],[pm]]/50))</f>
        <v>0.99439999999999995</v>
      </c>
      <c r="AB2547" s="3">
        <f>grand[[#This Row],[ carcass weight]]/grand[[#This Row],[total weight]]</f>
        <v>0.60001931371917849</v>
      </c>
      <c r="AC2547" s="6">
        <f>SUM(grand[[#This Row],[am]:[meat transportation]])/100</f>
        <v>0.9294</v>
      </c>
      <c r="AD2547" s="2"/>
      <c r="AE2547" s="2"/>
      <c r="AF2547" s="2"/>
      <c r="AG2547" s="2"/>
      <c r="AH2547" s="2"/>
      <c r="AI2547" s="2"/>
      <c r="AJ2547" s="2">
        <v>9</v>
      </c>
      <c r="AK2547" s="12">
        <f>grand[[#This Row],[accepted as exception]]/grand[[#This Row],[number]]</f>
        <v>0.23684210526315788</v>
      </c>
      <c r="AL2547" s="2">
        <f>1844</f>
        <v>1844</v>
      </c>
    </row>
    <row r="2548" spans="1:38" hidden="1" x14ac:dyDescent="0.2">
      <c r="A2548" s="11">
        <v>44380</v>
      </c>
      <c r="B2548" s="53" t="s">
        <v>2671</v>
      </c>
      <c r="C2548" s="52" t="str">
        <f>IF(MID(B2548,4,2)="09","Ramadan",IF(AND(MID(B2548,4,2)="12",VALUE(LEFT(B2548,2))&lt;=9),"Adha Season","Normal"))</f>
        <v>Normal</v>
      </c>
      <c r="D2548" s="1" t="s">
        <v>45</v>
      </c>
      <c r="F2548" s="4" t="s">
        <v>280</v>
      </c>
      <c r="G2548" s="4">
        <v>30</v>
      </c>
      <c r="H2548" s="4">
        <v>26</v>
      </c>
      <c r="I2548" s="2">
        <f>grand[[#This Row],[number]]-grand[[#This Row],[received]]</f>
        <v>4</v>
      </c>
      <c r="J2548" s="30" t="s">
        <v>306</v>
      </c>
      <c r="K2548" s="2">
        <v>11470</v>
      </c>
      <c r="L2548" s="2">
        <v>11085</v>
      </c>
      <c r="M2548" s="2">
        <f>K2548-L2548</f>
        <v>385</v>
      </c>
      <c r="N2548" s="2">
        <v>6882</v>
      </c>
      <c r="O2548" s="2"/>
      <c r="P2548" s="7">
        <f>grand[[#This Row],[total weight]]/grand[[#This Row],[received]]</f>
        <v>441.15384615384613</v>
      </c>
      <c r="Q2548" s="7">
        <f>grand[[#This Row],[receiving weight]]/grand[[#This Row],[received]]</f>
        <v>426.34615384615387</v>
      </c>
      <c r="R2548" s="7">
        <f>grand[[#This Row],[transportation loss ]]/grand[[#This Row],[received]]</f>
        <v>14.807692307692308</v>
      </c>
      <c r="S2548" s="7">
        <f>grand[[#This Row],[ carcass weight]]/grand[[#This Row],[received]]</f>
        <v>264.69230769230768</v>
      </c>
      <c r="T2548" s="7">
        <f>grand[[#This Row],[ kidneys fat quantity]]/grand[[#This Row],[received]]</f>
        <v>0</v>
      </c>
      <c r="U2548" s="4">
        <v>25</v>
      </c>
      <c r="V2548" s="4">
        <v>0</v>
      </c>
      <c r="W2548" s="4">
        <v>49.73</v>
      </c>
      <c r="X2548" s="4">
        <v>10</v>
      </c>
      <c r="Y2548" s="8">
        <v>8.5</v>
      </c>
      <c r="Z2548" s="3">
        <f>grand[[#This Row],[av. Transportation loss]]/grand[[#This Row],[av.total weight]]</f>
        <v>3.3565823888404539E-2</v>
      </c>
      <c r="AA2548" s="12">
        <f>AVERAGE((grand[[#This Row],[am]]/25),(grand[[#This Row],[pm]]/50))</f>
        <v>0.99729999999999996</v>
      </c>
      <c r="AB2548" s="3">
        <f>grand[[#This Row],[ carcass weight]]/grand[[#This Row],[total weight]]</f>
        <v>0.6</v>
      </c>
      <c r="AC2548" s="6">
        <f>SUM(grand[[#This Row],[am]:[meat transportation]])/100</f>
        <v>0.93229999999999991</v>
      </c>
      <c r="AD2548" s="2"/>
      <c r="AE2548" s="2"/>
      <c r="AF2548" s="2"/>
      <c r="AG2548" s="2"/>
      <c r="AH2548" s="2"/>
      <c r="AI2548" s="2"/>
      <c r="AJ2548" s="2">
        <v>6</v>
      </c>
      <c r="AK2548" s="12">
        <f>grand[[#This Row],[accepted as exception]]/grand[[#This Row],[number]]</f>
        <v>0.2</v>
      </c>
      <c r="AL2548" s="2">
        <f>1885+6</f>
        <v>1891</v>
      </c>
    </row>
    <row r="2549" spans="1:38" hidden="1" x14ac:dyDescent="0.2">
      <c r="A2549" s="11">
        <v>44441</v>
      </c>
      <c r="B2549" s="53" t="s">
        <v>2690</v>
      </c>
      <c r="C2549" s="52" t="str">
        <f>IF(MID(B2549,4,2)="09","Ramadan",IF(AND(MID(B2549,4,2)="12",VALUE(LEFT(B2549,2))&lt;=9),"Adha Season","Normal"))</f>
        <v>Normal</v>
      </c>
      <c r="D2549" s="1" t="s">
        <v>45</v>
      </c>
      <c r="F2549" s="4" t="s">
        <v>46</v>
      </c>
      <c r="G2549" s="4">
        <v>45</v>
      </c>
      <c r="H2549" s="4">
        <v>41</v>
      </c>
      <c r="I2549" s="2">
        <f>grand[[#This Row],[number]]-grand[[#This Row],[received]]</f>
        <v>4</v>
      </c>
      <c r="J2549" s="30" t="s">
        <v>319</v>
      </c>
      <c r="K2549" s="9">
        <v>16895</v>
      </c>
      <c r="L2549" s="9">
        <v>16334</v>
      </c>
      <c r="M2549" s="2">
        <f>K2549-L2549</f>
        <v>561</v>
      </c>
      <c r="N2549" s="9">
        <v>10149.799999999999</v>
      </c>
      <c r="O2549" s="9"/>
      <c r="P2549" s="7">
        <f>grand[[#This Row],[total weight]]/grand[[#This Row],[received]]</f>
        <v>412.07317073170731</v>
      </c>
      <c r="Q2549" s="7">
        <f>grand[[#This Row],[receiving weight]]/grand[[#This Row],[received]]</f>
        <v>398.39024390243901</v>
      </c>
      <c r="R2549" s="7">
        <f>grand[[#This Row],[transportation loss ]]/grand[[#This Row],[received]]</f>
        <v>13.682926829268293</v>
      </c>
      <c r="S2549" s="7">
        <f>grand[[#This Row],[ carcass weight]]/grand[[#This Row],[received]]</f>
        <v>247.55609756097559</v>
      </c>
      <c r="T2549" s="7">
        <f>grand[[#This Row],[ kidneys fat quantity]]/grand[[#This Row],[received]]</f>
        <v>0</v>
      </c>
      <c r="U2549" s="4">
        <v>25</v>
      </c>
      <c r="V2549" s="4">
        <v>0</v>
      </c>
      <c r="W2549" s="4">
        <v>50</v>
      </c>
      <c r="X2549" s="4">
        <v>10</v>
      </c>
      <c r="Y2549" s="8">
        <v>8.5</v>
      </c>
      <c r="Z2549" s="3">
        <f>grand[[#This Row],[av. Transportation loss]]/grand[[#This Row],[av.total weight]]</f>
        <v>3.3205090263391537E-2</v>
      </c>
      <c r="AA2549" s="12">
        <f>AVERAGE((grand[[#This Row],[am]]/25),(grand[[#This Row],[pm]]/50))</f>
        <v>1</v>
      </c>
      <c r="AB2549" s="3">
        <f>grand[[#This Row],[ carcass weight]]/grand[[#This Row],[total weight]]</f>
        <v>0.6007576205978099</v>
      </c>
      <c r="AC2549" s="6">
        <f>SUM(grand[[#This Row],[am]:[meat transportation]])/100</f>
        <v>0.93500000000000005</v>
      </c>
      <c r="AD2549" s="2"/>
      <c r="AE2549" s="2"/>
      <c r="AF2549" s="2"/>
      <c r="AG2549" s="2"/>
      <c r="AH2549" s="2"/>
      <c r="AI2549" s="2"/>
      <c r="AJ2549" s="2">
        <v>4</v>
      </c>
      <c r="AK2549" s="12">
        <f>grand[[#This Row],[accepted as exception]]/grand[[#This Row],[number]]</f>
        <v>8.8888888888888892E-2</v>
      </c>
      <c r="AL2549" s="2">
        <v>1591</v>
      </c>
    </row>
    <row r="2550" spans="1:38" hidden="1" x14ac:dyDescent="0.2">
      <c r="A2550" s="11">
        <v>44719</v>
      </c>
      <c r="B2550" s="53" t="s">
        <v>1647</v>
      </c>
      <c r="C2550" s="52" t="str">
        <f>IF(MID(B2550,4,2)="09","Ramadan",IF(AND(MID(B2550,4,2)="12",VALUE(LEFT(B2550,2))&lt;=9),"Adha Season","Normal"))</f>
        <v>Normal</v>
      </c>
      <c r="D2550" s="1" t="s">
        <v>45</v>
      </c>
      <c r="E2550" s="1" t="s">
        <v>481</v>
      </c>
      <c r="F2550" s="4" t="s">
        <v>39</v>
      </c>
      <c r="G2550" s="1">
        <v>35</v>
      </c>
      <c r="H2550" s="15">
        <v>31</v>
      </c>
      <c r="I2550" s="1">
        <f>grand[[#This Row],[number]]-grand[[#This Row],[received]]</f>
        <v>4</v>
      </c>
      <c r="J2550" s="30" t="s">
        <v>433</v>
      </c>
      <c r="K2550" s="9">
        <v>13960</v>
      </c>
      <c r="L2550" s="9">
        <v>13108</v>
      </c>
      <c r="M2550" s="2">
        <f>K2550-L2550</f>
        <v>852</v>
      </c>
      <c r="N2550" s="9">
        <v>8537.1</v>
      </c>
      <c r="O2550" s="9">
        <v>257</v>
      </c>
      <c r="P2550" s="7">
        <f>grand[[#This Row],[total weight]]/grand[[#This Row],[received]]</f>
        <v>450.32258064516128</v>
      </c>
      <c r="Q2550" s="7">
        <f>grand[[#This Row],[receiving weight]]/grand[[#This Row],[received]]</f>
        <v>422.83870967741933</v>
      </c>
      <c r="R2550" s="7">
        <f>grand[[#This Row],[transportation loss ]]/grand[[#This Row],[received]]</f>
        <v>27.483870967741936</v>
      </c>
      <c r="S2550" s="7">
        <f>grand[[#This Row],[ carcass weight]]/grand[[#This Row],[received]]</f>
        <v>275.39032258064515</v>
      </c>
      <c r="T2550" s="7">
        <f>grand[[#This Row],[ kidneys fat quantity]]/grand[[#This Row],[received]]</f>
        <v>8.2903225806451619</v>
      </c>
      <c r="U2550" s="15">
        <v>25</v>
      </c>
      <c r="V2550" s="15">
        <v>0</v>
      </c>
      <c r="W2550" s="15">
        <v>49.483870967741936</v>
      </c>
      <c r="X2550" s="15">
        <v>10</v>
      </c>
      <c r="Y2550" s="8">
        <v>8.5</v>
      </c>
      <c r="Z2550" s="18">
        <f>grand[[#This Row],[av. Transportation loss]]/grand[[#This Row],[av.total weight]]</f>
        <v>6.1031518624641838E-2</v>
      </c>
      <c r="AA2550" s="12">
        <f>AVERAGE((grand[[#This Row],[am]]/25),(grand[[#This Row],[pm]]/50))</f>
        <v>0.99483870967741939</v>
      </c>
      <c r="AB2550" s="3">
        <f>grand[[#This Row],[ carcass weight]]/grand[[#This Row],[total weight]]</f>
        <v>0.61154011461318059</v>
      </c>
      <c r="AC2550" s="19">
        <f>SUM(grand[[#This Row],[am]:[meat transportation]])/100</f>
        <v>0.92983870967741933</v>
      </c>
      <c r="AD2550" s="2" t="s">
        <v>71</v>
      </c>
      <c r="AJ2550" s="1">
        <v>2</v>
      </c>
      <c r="AK2550" s="20"/>
      <c r="AL2550" s="1">
        <v>1817</v>
      </c>
    </row>
    <row r="2551" spans="1:38" hidden="1" x14ac:dyDescent="0.2">
      <c r="A2551" s="11">
        <v>44770</v>
      </c>
      <c r="B2551" s="53" t="s">
        <v>1675</v>
      </c>
      <c r="C2551" s="52" t="str">
        <f>IF(MID(B2551,4,2)="09","Ramadan",IF(AND(MID(B2551,4,2)="12",VALUE(LEFT(B2551,2))&lt;=9),"Adha Season","Normal"))</f>
        <v>Normal</v>
      </c>
      <c r="D2551" s="1" t="s">
        <v>45</v>
      </c>
      <c r="F2551" s="4" t="s">
        <v>46</v>
      </c>
      <c r="G2551" s="1">
        <v>40</v>
      </c>
      <c r="H2551" s="15">
        <v>36</v>
      </c>
      <c r="I2551" s="1">
        <f>grand[[#This Row],[number]]-grand[[#This Row],[received]]</f>
        <v>4</v>
      </c>
      <c r="J2551" s="30" t="s">
        <v>1131</v>
      </c>
      <c r="K2551" s="2">
        <v>14685</v>
      </c>
      <c r="L2551" s="2">
        <v>13786</v>
      </c>
      <c r="M2551" s="2">
        <f>K2551-L2551</f>
        <v>899</v>
      </c>
      <c r="N2551" s="2">
        <v>8811.5</v>
      </c>
      <c r="O2551" s="2">
        <v>215</v>
      </c>
      <c r="P2551" s="7">
        <f>grand[[#This Row],[total weight]]/grand[[#This Row],[received]]</f>
        <v>407.91666666666669</v>
      </c>
      <c r="Q2551" s="7">
        <f>grand[[#This Row],[receiving weight]]/grand[[#This Row],[received]]</f>
        <v>382.94444444444446</v>
      </c>
      <c r="R2551" s="7">
        <f>grand[[#This Row],[transportation loss ]]/grand[[#This Row],[received]]</f>
        <v>24.972222222222221</v>
      </c>
      <c r="S2551" s="7">
        <f>grand[[#This Row],[ carcass weight]]/grand[[#This Row],[received]]</f>
        <v>244.76388888888889</v>
      </c>
      <c r="T2551" s="7">
        <f>grand[[#This Row],[ kidneys fat quantity]]/grand[[#This Row],[received]]</f>
        <v>5.9722222222222223</v>
      </c>
      <c r="U2551" s="15">
        <v>21.368421052631579</v>
      </c>
      <c r="V2551" s="15">
        <v>0</v>
      </c>
      <c r="W2551" s="15">
        <v>49.28947368421052</v>
      </c>
      <c r="X2551" s="15">
        <v>10</v>
      </c>
      <c r="Y2551" s="8">
        <v>8.5</v>
      </c>
      <c r="Z2551" s="20">
        <f>grand[[#This Row],[av. Transportation loss]]/grand[[#This Row],[av.total weight]]</f>
        <v>6.1218930881852228E-2</v>
      </c>
      <c r="AA2551" s="12">
        <f>AVERAGE((grand[[#This Row],[am]]/25),(grand[[#This Row],[pm]]/50))</f>
        <v>0.92026315789473678</v>
      </c>
      <c r="AB2551" s="12">
        <f>grand[[#This Row],[ carcass weight]]/grand[[#This Row],[total weight]]</f>
        <v>0.60003404834865504</v>
      </c>
      <c r="AC2551" s="22">
        <f>SUM(grand[[#This Row],[am]:[meat transportation]])/100</f>
        <v>0.89157894736842092</v>
      </c>
      <c r="AD2551" s="2"/>
      <c r="AJ2551" s="1">
        <v>6</v>
      </c>
      <c r="AK2551" s="20"/>
      <c r="AL2551" s="1">
        <f>1464+7</f>
        <v>1471</v>
      </c>
    </row>
    <row r="2552" spans="1:38" hidden="1" x14ac:dyDescent="0.2">
      <c r="A2552" s="11">
        <v>44773</v>
      </c>
      <c r="B2552" s="53" t="s">
        <v>1677</v>
      </c>
      <c r="C2552" s="52" t="str">
        <f>IF(MID(B2552,4,2)="09","Ramadan",IF(AND(MID(B2552,4,2)="12",VALUE(LEFT(B2552,2))&lt;=9),"Adha Season","Normal"))</f>
        <v>Normal</v>
      </c>
      <c r="D2552" s="1" t="s">
        <v>45</v>
      </c>
      <c r="F2552" s="4" t="s">
        <v>280</v>
      </c>
      <c r="G2552" s="1">
        <v>44</v>
      </c>
      <c r="H2552" s="15">
        <v>40</v>
      </c>
      <c r="I2552" s="1">
        <f>grand[[#This Row],[number]]-grand[[#This Row],[received]]</f>
        <v>4</v>
      </c>
      <c r="J2552" s="30" t="s">
        <v>458</v>
      </c>
      <c r="K2552" s="9">
        <v>18615</v>
      </c>
      <c r="L2552" s="9">
        <v>17785</v>
      </c>
      <c r="M2552" s="2">
        <f>K2552-L2552</f>
        <v>830</v>
      </c>
      <c r="N2552" s="9">
        <v>11418</v>
      </c>
      <c r="O2552" s="9">
        <v>322</v>
      </c>
      <c r="P2552" s="7">
        <f>grand[[#This Row],[total weight]]/grand[[#This Row],[received]]</f>
        <v>465.375</v>
      </c>
      <c r="Q2552" s="7">
        <f>grand[[#This Row],[receiving weight]]/grand[[#This Row],[received]]</f>
        <v>444.625</v>
      </c>
      <c r="R2552" s="7">
        <f>grand[[#This Row],[transportation loss ]]/grand[[#This Row],[received]]</f>
        <v>20.75</v>
      </c>
      <c r="S2552" s="7">
        <f>grand[[#This Row],[ carcass weight]]/grand[[#This Row],[received]]</f>
        <v>285.45</v>
      </c>
      <c r="T2552" s="7">
        <f>grand[[#This Row],[ kidneys fat quantity]]/grand[[#This Row],[received]]</f>
        <v>8.0500000000000007</v>
      </c>
      <c r="U2552" s="15">
        <v>24.875</v>
      </c>
      <c r="V2552" s="15">
        <v>0</v>
      </c>
      <c r="W2552" s="15">
        <v>48.150000000000006</v>
      </c>
      <c r="X2552" s="15">
        <v>10</v>
      </c>
      <c r="Y2552" s="8">
        <v>8.5</v>
      </c>
      <c r="Z2552" s="20">
        <f>grand[[#This Row],[av. Transportation loss]]/grand[[#This Row],[av.total weight]]</f>
        <v>4.4587698092935807E-2</v>
      </c>
      <c r="AA2552" s="12">
        <f>AVERAGE((grand[[#This Row],[am]]/25),(grand[[#This Row],[pm]]/50))</f>
        <v>0.97900000000000009</v>
      </c>
      <c r="AB2552" s="12">
        <f>grand[[#This Row],[ carcass weight]]/grand[[#This Row],[total weight]]</f>
        <v>0.61337630942788079</v>
      </c>
      <c r="AC2552" s="22">
        <f>SUM(grand[[#This Row],[am]:[meat transportation]])/100</f>
        <v>0.91525000000000001</v>
      </c>
      <c r="AD2552" s="9" t="s">
        <v>459</v>
      </c>
      <c r="AJ2552" s="1">
        <v>15</v>
      </c>
      <c r="AK2552" s="20"/>
      <c r="AL2552" s="1">
        <f>920+992+19</f>
        <v>1931</v>
      </c>
    </row>
    <row r="2553" spans="1:38" hidden="1" x14ac:dyDescent="0.2">
      <c r="A2553" s="11">
        <v>44882</v>
      </c>
      <c r="B2553" s="53" t="s">
        <v>1738</v>
      </c>
      <c r="C2553" s="52" t="str">
        <f>IF(MID(B2553,4,2)="09","Ramadan",IF(AND(MID(B2553,4,2)="12",VALUE(LEFT(B2553,2))&lt;=9),"Adha Season","Normal"))</f>
        <v>Normal</v>
      </c>
      <c r="D2553" s="1" t="s">
        <v>45</v>
      </c>
      <c r="F2553" s="4" t="s">
        <v>46</v>
      </c>
      <c r="G2553" s="1">
        <v>45</v>
      </c>
      <c r="H2553" s="15">
        <v>41</v>
      </c>
      <c r="I2553" s="1">
        <f>grand[[#This Row],[number]]-grand[[#This Row],[received]]</f>
        <v>4</v>
      </c>
      <c r="J2553" s="30" t="s">
        <v>490</v>
      </c>
      <c r="K2553" s="2">
        <v>17600</v>
      </c>
      <c r="L2553" s="2">
        <v>16410</v>
      </c>
      <c r="M2553" s="2">
        <f>K2553-L2553</f>
        <v>1190</v>
      </c>
      <c r="N2553" s="2">
        <v>10559.5</v>
      </c>
      <c r="O2553" s="2">
        <v>338</v>
      </c>
      <c r="P2553" s="7">
        <f>grand[[#This Row],[total weight]]/grand[[#This Row],[received]]</f>
        <v>429.26829268292681</v>
      </c>
      <c r="Q2553" s="7">
        <f>grand[[#This Row],[receiving weight]]/grand[[#This Row],[received]]</f>
        <v>400.2439024390244</v>
      </c>
      <c r="R2553" s="7">
        <f>grand[[#This Row],[transportation loss ]]/grand[[#This Row],[received]]</f>
        <v>29.024390243902438</v>
      </c>
      <c r="S2553" s="7">
        <f>grand[[#This Row],[ carcass weight]]/grand[[#This Row],[received]]</f>
        <v>257.54878048780489</v>
      </c>
      <c r="T2553" s="7">
        <f>grand[[#This Row],[ kidneys fat quantity]]/grand[[#This Row],[received]]</f>
        <v>8.2439024390243905</v>
      </c>
      <c r="U2553" s="15">
        <v>24.878048780487806</v>
      </c>
      <c r="V2553" s="15">
        <v>0</v>
      </c>
      <c r="W2553" s="15">
        <v>46.780487804878049</v>
      </c>
      <c r="X2553" s="15">
        <v>10</v>
      </c>
      <c r="Y2553" s="8">
        <v>8.5</v>
      </c>
      <c r="Z2553" s="20">
        <f>grand[[#This Row],[av. Transportation loss]]/grand[[#This Row],[av.total weight]]</f>
        <v>6.7613636363636362E-2</v>
      </c>
      <c r="AA2553" s="12">
        <f>AVERAGE((grand[[#This Row],[am]]/25),(grand[[#This Row],[pm]]/50))</f>
        <v>0.96536585365853655</v>
      </c>
      <c r="AB2553" s="12">
        <f>grand[[#This Row],[ carcass weight]]/grand[[#This Row],[total weight]]</f>
        <v>0.59997159090909091</v>
      </c>
      <c r="AC2553" s="22">
        <f>SUM(grand[[#This Row],[am]:[meat transportation]])/100</f>
        <v>0.90158536585365856</v>
      </c>
      <c r="AD2553" s="9" t="s">
        <v>427</v>
      </c>
      <c r="AJ2553" s="1">
        <v>26</v>
      </c>
      <c r="AK2553" s="20"/>
      <c r="AL2553" s="1">
        <v>1739</v>
      </c>
    </row>
    <row r="2554" spans="1:38" hidden="1" x14ac:dyDescent="0.2">
      <c r="A2554" s="11">
        <v>44892</v>
      </c>
      <c r="B2554" s="53" t="s">
        <v>1744</v>
      </c>
      <c r="C2554" s="52" t="str">
        <f>IF(MID(B2554,4,2)="09","Ramadan",IF(AND(MID(B2554,4,2)="12",VALUE(LEFT(B2554,2))&lt;=9),"Adha Season","Normal"))</f>
        <v>Normal</v>
      </c>
      <c r="D2554" s="1" t="s">
        <v>45</v>
      </c>
      <c r="F2554" s="4" t="s">
        <v>280</v>
      </c>
      <c r="G2554" s="1">
        <v>55</v>
      </c>
      <c r="H2554" s="15">
        <v>51</v>
      </c>
      <c r="I2554" s="1">
        <f>grand[[#This Row],[number]]-grand[[#This Row],[received]]</f>
        <v>4</v>
      </c>
      <c r="J2554" s="30" t="s">
        <v>491</v>
      </c>
      <c r="K2554" s="2">
        <v>24754</v>
      </c>
      <c r="L2554" s="2">
        <v>24019</v>
      </c>
      <c r="M2554" s="2">
        <f>K2554-L2554</f>
        <v>735</v>
      </c>
      <c r="N2554" s="2">
        <v>14851.5</v>
      </c>
      <c r="O2554" s="2">
        <v>529</v>
      </c>
      <c r="P2554" s="7">
        <f>grand[[#This Row],[total weight]]/grand[[#This Row],[received]]</f>
        <v>485.37254901960785</v>
      </c>
      <c r="Q2554" s="7">
        <f>grand[[#This Row],[receiving weight]]/grand[[#This Row],[received]]</f>
        <v>470.96078431372547</v>
      </c>
      <c r="R2554" s="7">
        <f>grand[[#This Row],[transportation loss ]]/grand[[#This Row],[received]]</f>
        <v>14.411764705882353</v>
      </c>
      <c r="S2554" s="7">
        <f>grand[[#This Row],[ carcass weight]]/grand[[#This Row],[received]]</f>
        <v>291.20588235294116</v>
      </c>
      <c r="T2554" s="7">
        <f>grand[[#This Row],[ kidneys fat quantity]]/grand[[#This Row],[received]]</f>
        <v>10.372549019607844</v>
      </c>
      <c r="U2554" s="15">
        <v>25</v>
      </c>
      <c r="V2554" s="15">
        <v>0</v>
      </c>
      <c r="W2554" s="15">
        <v>45.2156862745098</v>
      </c>
      <c r="X2554" s="15">
        <v>10</v>
      </c>
      <c r="Y2554" s="8">
        <v>8.5</v>
      </c>
      <c r="Z2554" s="20">
        <f>grand[[#This Row],[av. Transportation loss]]/grand[[#This Row],[av.total weight]]</f>
        <v>2.9692170962268723E-2</v>
      </c>
      <c r="AA2554" s="12">
        <f>AVERAGE((grand[[#This Row],[am]]/25),(grand[[#This Row],[pm]]/50))</f>
        <v>0.95215686274509803</v>
      </c>
      <c r="AB2554" s="12">
        <f>grand[[#This Row],[ carcass weight]]/grand[[#This Row],[total weight]]</f>
        <v>0.59996364223963805</v>
      </c>
      <c r="AC2554" s="22">
        <f>SUM(grand[[#This Row],[am]:[meat transportation]])/100</f>
        <v>0.88715686274509808</v>
      </c>
      <c r="AD2554" s="9" t="s">
        <v>89</v>
      </c>
      <c r="AJ2554" s="1">
        <v>28</v>
      </c>
      <c r="AK2554" s="20"/>
      <c r="AL2554" s="1">
        <v>1867</v>
      </c>
    </row>
    <row r="2555" spans="1:38" hidden="1" x14ac:dyDescent="0.2">
      <c r="A2555" s="11">
        <v>44999</v>
      </c>
      <c r="B2555" s="53" t="s">
        <v>1815</v>
      </c>
      <c r="C2555" s="52" t="str">
        <f>IF(MID(B2555,4,2)="09","Ramadan",IF(AND(MID(B2555,4,2)="12",VALUE(LEFT(B2555,2))&lt;=9),"Adha Season","Normal"))</f>
        <v>Normal</v>
      </c>
      <c r="D2555" s="1" t="s">
        <v>45</v>
      </c>
      <c r="E2555" s="1" t="s">
        <v>483</v>
      </c>
      <c r="F2555" s="4" t="s">
        <v>39</v>
      </c>
      <c r="G2555" s="1">
        <v>40</v>
      </c>
      <c r="H2555" s="1">
        <v>36</v>
      </c>
      <c r="I2555" s="1">
        <f>grand[[#This Row],[number]]-grand[[#This Row],[received]]</f>
        <v>4</v>
      </c>
      <c r="J2555" s="30" t="s">
        <v>553</v>
      </c>
      <c r="K2555" s="2">
        <v>15583</v>
      </c>
      <c r="L2555" s="2">
        <v>14707</v>
      </c>
      <c r="M2555" s="2">
        <f>K2555-L2555</f>
        <v>876</v>
      </c>
      <c r="N2555" s="2">
        <v>9420.5</v>
      </c>
      <c r="O2555" s="2">
        <v>341</v>
      </c>
      <c r="P2555" s="7">
        <f>grand[[#This Row],[total weight]]/grand[[#This Row],[received]]</f>
        <v>432.86111111111109</v>
      </c>
      <c r="Q2555" s="7">
        <f>grand[[#This Row],[receiving weight]]/grand[[#This Row],[received]]</f>
        <v>408.52777777777777</v>
      </c>
      <c r="R2555" s="7">
        <f>grand[[#This Row],[transportation loss ]]/grand[[#This Row],[received]]</f>
        <v>24.333333333333332</v>
      </c>
      <c r="S2555" s="7">
        <f>grand[[#This Row],[ carcass weight]]/grand[[#This Row],[received]]</f>
        <v>261.68055555555554</v>
      </c>
      <c r="T2555" s="7">
        <f>grand[[#This Row],[ kidneys fat quantity]]/grand[[#This Row],[received]]</f>
        <v>9.4722222222222214</v>
      </c>
      <c r="U2555" s="1">
        <v>25</v>
      </c>
      <c r="V2555" s="1">
        <v>0</v>
      </c>
      <c r="W2555" s="1">
        <v>47.888888888888886</v>
      </c>
      <c r="X2555" s="1">
        <v>10</v>
      </c>
      <c r="Y2555" s="1">
        <v>8.5</v>
      </c>
      <c r="Z2555" s="18">
        <f>grand[[#This Row],[av. Transportation loss]]/grand[[#This Row],[av.total weight]]</f>
        <v>5.6215106205480335E-2</v>
      </c>
      <c r="AA2555" s="12">
        <f>AVERAGE((grand[[#This Row],[am]]/25),(grand[[#This Row],[pm]]/50))</f>
        <v>0.97888888888888892</v>
      </c>
      <c r="AB2555" s="3">
        <f>grand[[#This Row],[ carcass weight]]/grand[[#This Row],[total weight]]</f>
        <v>0.60453699544375283</v>
      </c>
      <c r="AC2555" s="18">
        <f>SUM(grand[[#This Row],[am]:[meat transportation]])/100</f>
        <v>0.91388888888888886</v>
      </c>
      <c r="AJ2555" s="1">
        <v>2</v>
      </c>
      <c r="AK2555" s="1"/>
      <c r="AL2555" s="1">
        <v>1798</v>
      </c>
    </row>
    <row r="2556" spans="1:38" hidden="1" x14ac:dyDescent="0.2">
      <c r="A2556" s="11">
        <v>45162</v>
      </c>
      <c r="B2556" s="53" t="s">
        <v>2821</v>
      </c>
      <c r="C2556" s="52" t="str">
        <f>IF(MID(B2556,4,2)="09","Ramadan",IF(AND(MID(B2556,4,2)="12",VALUE(LEFT(B2556,2))&lt;=9),"Adha Season","Normal"))</f>
        <v>Normal</v>
      </c>
      <c r="D2556" s="1" t="s">
        <v>45</v>
      </c>
      <c r="E2556" s="1" t="s">
        <v>483</v>
      </c>
      <c r="F2556" s="4" t="s">
        <v>280</v>
      </c>
      <c r="G2556" s="1">
        <v>50</v>
      </c>
      <c r="H2556" s="1">
        <v>46</v>
      </c>
      <c r="I2556" s="1">
        <f>grand[[#This Row],[number]]-grand[[#This Row],[received]]</f>
        <v>4</v>
      </c>
      <c r="J2556" s="30" t="s">
        <v>1137</v>
      </c>
      <c r="K2556" s="2">
        <v>22100</v>
      </c>
      <c r="L2556" s="2">
        <v>22100</v>
      </c>
      <c r="M2556" s="2">
        <f>K2556-L2556</f>
        <v>0</v>
      </c>
      <c r="N2556" s="2">
        <v>13259.1</v>
      </c>
      <c r="O2556" s="2">
        <v>396</v>
      </c>
      <c r="P2556" s="7">
        <f>grand[[#This Row],[total weight]]/grand[[#This Row],[received]]</f>
        <v>480.43478260869563</v>
      </c>
      <c r="Q2556" s="7">
        <f>grand[[#This Row],[receiving weight]]/grand[[#This Row],[received]]</f>
        <v>480.43478260869563</v>
      </c>
      <c r="R2556" s="7">
        <f>grand[[#This Row],[transportation loss ]]/grand[[#This Row],[received]]</f>
        <v>0</v>
      </c>
      <c r="S2556" s="7">
        <f>grand[[#This Row],[ carcass weight]]/grand[[#This Row],[received]]</f>
        <v>288.24130434782609</v>
      </c>
      <c r="T2556" s="7">
        <f>grand[[#This Row],[ kidneys fat quantity]]/grand[[#This Row],[received]]</f>
        <v>8.6086956521739122</v>
      </c>
      <c r="U2556" s="1">
        <v>24.456521739130434</v>
      </c>
      <c r="V2556" s="1">
        <v>0</v>
      </c>
      <c r="W2556" s="1">
        <v>49.565217391304344</v>
      </c>
      <c r="X2556" s="1">
        <v>10</v>
      </c>
      <c r="Y2556" s="1">
        <v>8.5</v>
      </c>
      <c r="Z2556" s="18">
        <f>grand[[#This Row],[av. Transportation loss]]/grand[[#This Row],[av.total weight]]</f>
        <v>0</v>
      </c>
      <c r="AA2556" s="12">
        <f>AVERAGE((grand[[#This Row],[am]]/25),(grand[[#This Row],[pm]]/50))</f>
        <v>0.98478260869565215</v>
      </c>
      <c r="AB2556" s="3">
        <f>grand[[#This Row],[ carcass weight]]/grand[[#This Row],[total weight]]</f>
        <v>0.59995927601809962</v>
      </c>
      <c r="AC2556" s="18">
        <f>SUM(grand[[#This Row],[am]:[meat transportation]])/100</f>
        <v>0.92521739130434777</v>
      </c>
      <c r="AJ2556" s="1">
        <v>16</v>
      </c>
      <c r="AK2556" s="1"/>
      <c r="AL2556" s="1"/>
    </row>
    <row r="2557" spans="1:38" hidden="1" x14ac:dyDescent="0.2">
      <c r="A2557" s="11">
        <v>45225</v>
      </c>
      <c r="B2557" s="53" t="s">
        <v>1898</v>
      </c>
      <c r="C2557" s="52" t="str">
        <f>IF(MID(B2557,4,2)="09","Ramadan",IF(AND(MID(B2557,4,2)="12",VALUE(LEFT(B2557,2))&lt;=9),"Adha Season","Normal"))</f>
        <v>Normal</v>
      </c>
      <c r="D2557" s="1" t="s">
        <v>45</v>
      </c>
      <c r="E2557" s="1" t="s">
        <v>483</v>
      </c>
      <c r="F2557" s="4" t="s">
        <v>43</v>
      </c>
      <c r="G2557" s="1">
        <v>29</v>
      </c>
      <c r="H2557" s="1">
        <v>25</v>
      </c>
      <c r="I2557" s="1">
        <f>grand[[#This Row],[number]]-grand[[#This Row],[received]]</f>
        <v>4</v>
      </c>
      <c r="J2557" s="30" t="s">
        <v>595</v>
      </c>
      <c r="K2557" s="2">
        <v>13444</v>
      </c>
      <c r="L2557" s="2">
        <v>12894</v>
      </c>
      <c r="M2557" s="2">
        <f>K2557-L2557</f>
        <v>550</v>
      </c>
      <c r="N2557" s="2">
        <v>8066.1</v>
      </c>
      <c r="O2557" s="2">
        <v>282</v>
      </c>
      <c r="P2557" s="7">
        <f>grand[[#This Row],[total weight]]/grand[[#This Row],[received]]</f>
        <v>537.76</v>
      </c>
      <c r="Q2557" s="7">
        <f>grand[[#This Row],[receiving weight]]/grand[[#This Row],[received]]</f>
        <v>515.76</v>
      </c>
      <c r="R2557" s="7">
        <f>grand[[#This Row],[transportation loss ]]/grand[[#This Row],[received]]</f>
        <v>22</v>
      </c>
      <c r="S2557" s="7">
        <f>grand[[#This Row],[ carcass weight]]/grand[[#This Row],[received]]</f>
        <v>322.64400000000001</v>
      </c>
      <c r="T2557" s="7">
        <f>grand[[#This Row],[ kidneys fat quantity]]/grand[[#This Row],[received]]</f>
        <v>11.28</v>
      </c>
      <c r="U2557" s="1">
        <v>24.4</v>
      </c>
      <c r="V2557" s="1">
        <v>0</v>
      </c>
      <c r="W2557" s="1">
        <v>49.16</v>
      </c>
      <c r="X2557" s="1">
        <v>10</v>
      </c>
      <c r="Y2557" s="1">
        <v>8.5</v>
      </c>
      <c r="Z2557" s="18">
        <f>grand[[#This Row],[av. Transportation loss]]/grand[[#This Row],[av.total weight]]</f>
        <v>4.0910443320440346E-2</v>
      </c>
      <c r="AA2557" s="12">
        <f>AVERAGE((grand[[#This Row],[am]]/25),(grand[[#This Row],[pm]]/50))</f>
        <v>0.97960000000000003</v>
      </c>
      <c r="AB2557" s="3">
        <f>grand[[#This Row],[ carcass weight]]/grand[[#This Row],[total weight]]</f>
        <v>0.59997768521273431</v>
      </c>
      <c r="AC2557" s="18">
        <f>SUM(grand[[#This Row],[am]:[meat transportation]])/100</f>
        <v>0.92059999999999997</v>
      </c>
      <c r="AJ2557" s="1">
        <v>23</v>
      </c>
      <c r="AK2557" s="1"/>
      <c r="AL2557" s="1"/>
    </row>
    <row r="2558" spans="1:38" hidden="1" x14ac:dyDescent="0.2">
      <c r="A2558" s="11">
        <v>45235</v>
      </c>
      <c r="B2558" s="53" t="s">
        <v>1901</v>
      </c>
      <c r="C2558" s="52" t="str">
        <f>IF(MID(B2558,4,2)="09","Ramadan",IF(AND(MID(B2558,4,2)="12",VALUE(LEFT(B2558,2))&lt;=9),"Adha Season","Normal"))</f>
        <v>Normal</v>
      </c>
      <c r="D2558" s="1" t="s">
        <v>45</v>
      </c>
      <c r="E2558" s="1" t="s">
        <v>483</v>
      </c>
      <c r="F2558" s="4" t="s">
        <v>39</v>
      </c>
      <c r="G2558" s="1">
        <v>70</v>
      </c>
      <c r="H2558" s="1">
        <v>66</v>
      </c>
      <c r="I2558" s="1">
        <f>grand[[#This Row],[number]]-grand[[#This Row],[received]]</f>
        <v>4</v>
      </c>
      <c r="J2558" s="30" t="s">
        <v>599</v>
      </c>
      <c r="K2558" s="2">
        <v>28959</v>
      </c>
      <c r="L2558" s="2">
        <v>27612</v>
      </c>
      <c r="M2558" s="2">
        <f>K2558-L2558</f>
        <v>1347</v>
      </c>
      <c r="N2558" s="2">
        <v>17845.599999999999</v>
      </c>
      <c r="O2558" s="2">
        <v>595</v>
      </c>
      <c r="P2558" s="7">
        <f>grand[[#This Row],[total weight]]/grand[[#This Row],[received]]</f>
        <v>438.77272727272725</v>
      </c>
      <c r="Q2558" s="7">
        <f>grand[[#This Row],[receiving weight]]/grand[[#This Row],[received]]</f>
        <v>418.36363636363637</v>
      </c>
      <c r="R2558" s="7">
        <f>grand[[#This Row],[transportation loss ]]/grand[[#This Row],[received]]</f>
        <v>20.40909090909091</v>
      </c>
      <c r="S2558" s="7">
        <f>grand[[#This Row],[ carcass weight]]/grand[[#This Row],[received]]</f>
        <v>270.38787878787878</v>
      </c>
      <c r="T2558" s="7">
        <f>grand[[#This Row],[ kidneys fat quantity]]/grand[[#This Row],[received]]</f>
        <v>9.0151515151515156</v>
      </c>
      <c r="U2558" s="1">
        <v>25</v>
      </c>
      <c r="V2558" s="1">
        <v>0</v>
      </c>
      <c r="W2558" s="1">
        <v>49.242424242424242</v>
      </c>
      <c r="X2558" s="1">
        <v>10</v>
      </c>
      <c r="Y2558" s="1">
        <v>8.5</v>
      </c>
      <c r="Z2558" s="18">
        <f>grand[[#This Row],[av. Transportation loss]]/grand[[#This Row],[av.total weight]]</f>
        <v>4.6514037086915989E-2</v>
      </c>
      <c r="AA2558" s="12">
        <f>AVERAGE((grand[[#This Row],[am]]/25),(grand[[#This Row],[pm]]/50))</f>
        <v>0.99242424242424243</v>
      </c>
      <c r="AB2558" s="3">
        <f>grand[[#This Row],[ carcass weight]]/grand[[#This Row],[total weight]]</f>
        <v>0.61623674850650911</v>
      </c>
      <c r="AC2558" s="18">
        <f>SUM(grand[[#This Row],[am]:[meat transportation]])/100</f>
        <v>0.92742424242424248</v>
      </c>
      <c r="AJ2558" s="1">
        <v>14</v>
      </c>
      <c r="AK2558" s="1"/>
      <c r="AL2558" s="1"/>
    </row>
    <row r="2559" spans="1:38" hidden="1" x14ac:dyDescent="0.2">
      <c r="A2559" s="11">
        <v>45295</v>
      </c>
      <c r="B2559" s="53" t="s">
        <v>1926</v>
      </c>
      <c r="C2559" s="52" t="str">
        <f>IF(MID(B2559,4,2)="09","Ramadan",IF(AND(MID(B2559,4,2)="12",VALUE(LEFT(B2559,2))&lt;=9),"Adha Season","Normal"))</f>
        <v>Normal</v>
      </c>
      <c r="D2559" s="1" t="s">
        <v>45</v>
      </c>
      <c r="E2559" s="1" t="s">
        <v>483</v>
      </c>
      <c r="F2559" s="4" t="s">
        <v>280</v>
      </c>
      <c r="G2559" s="1">
        <v>49</v>
      </c>
      <c r="H2559" s="1">
        <v>45</v>
      </c>
      <c r="I2559" s="1">
        <f>grand[[#This Row],[number]]-grand[[#This Row],[received]]</f>
        <v>4</v>
      </c>
      <c r="J2559" s="30" t="s">
        <v>610</v>
      </c>
      <c r="K2559" s="2">
        <v>23377</v>
      </c>
      <c r="L2559" s="2">
        <v>22499</v>
      </c>
      <c r="M2559" s="2">
        <f>K2559-L2559</f>
        <v>878</v>
      </c>
      <c r="N2559" s="2">
        <v>14062</v>
      </c>
      <c r="O2559" s="2">
        <v>475</v>
      </c>
      <c r="P2559" s="7">
        <f>grand[[#This Row],[total weight]]/grand[[#This Row],[received]]</f>
        <v>519.48888888888894</v>
      </c>
      <c r="Q2559" s="7">
        <f>grand[[#This Row],[receiving weight]]/grand[[#This Row],[received]]</f>
        <v>499.97777777777776</v>
      </c>
      <c r="R2559" s="7">
        <f>grand[[#This Row],[transportation loss ]]/grand[[#This Row],[received]]</f>
        <v>19.511111111111113</v>
      </c>
      <c r="S2559" s="7">
        <f>grand[[#This Row],[ carcass weight]]/grand[[#This Row],[received]]</f>
        <v>312.48888888888888</v>
      </c>
      <c r="T2559" s="7">
        <f>grand[[#This Row],[ kidneys fat quantity]]/grand[[#This Row],[received]]</f>
        <v>10.555555555555555</v>
      </c>
      <c r="U2559" s="1">
        <v>25</v>
      </c>
      <c r="V2559" s="1">
        <v>0</v>
      </c>
      <c r="W2559" s="1">
        <v>48.68888888888889</v>
      </c>
      <c r="X2559" s="1">
        <v>10</v>
      </c>
      <c r="Y2559" s="1">
        <v>8.5</v>
      </c>
      <c r="Z2559" s="18">
        <f>grand[[#This Row],[av. Transportation loss]]/grand[[#This Row],[av.total weight]]</f>
        <v>3.7558283783205713E-2</v>
      </c>
      <c r="AA2559" s="12">
        <f>AVERAGE((grand[[#This Row],[am]]/25),(grand[[#This Row],[pm]]/50))</f>
        <v>0.98688888888888893</v>
      </c>
      <c r="AB2559" s="3">
        <f>grand[[#This Row],[ carcass weight]]/grand[[#This Row],[total weight]]</f>
        <v>0.60153141977157032</v>
      </c>
      <c r="AC2559" s="18">
        <f>SUM(grand[[#This Row],[am]:[meat transportation]])/100</f>
        <v>0.92188888888888898</v>
      </c>
      <c r="AJ2559" s="1">
        <v>37</v>
      </c>
      <c r="AK2559" s="1"/>
      <c r="AL2559" s="1"/>
    </row>
    <row r="2560" spans="1:38" hidden="1" x14ac:dyDescent="0.2">
      <c r="A2560" s="11">
        <v>45361</v>
      </c>
      <c r="B2560" s="53" t="s">
        <v>1952</v>
      </c>
      <c r="C2560" s="52" t="str">
        <f>IF(MID(B2560,4,2)="09","Ramadan",IF(AND(MID(B2560,4,2)="12",VALUE(LEFT(B2560,2))&lt;=9),"Adha Season","Normal"))</f>
        <v>Normal</v>
      </c>
      <c r="D2560" s="1" t="s">
        <v>45</v>
      </c>
      <c r="E2560" s="1" t="s">
        <v>483</v>
      </c>
      <c r="F2560" s="4" t="s">
        <v>43</v>
      </c>
      <c r="G2560" s="1">
        <v>23</v>
      </c>
      <c r="H2560" s="1">
        <v>19</v>
      </c>
      <c r="I2560" s="1">
        <f>grand[[#This Row],[number]]-grand[[#This Row],[received]]</f>
        <v>4</v>
      </c>
      <c r="J2560" s="30" t="s">
        <v>622</v>
      </c>
      <c r="K2560" s="2">
        <v>10304</v>
      </c>
      <c r="L2560" s="2">
        <v>9785</v>
      </c>
      <c r="M2560" s="2">
        <f>K2560-L2560</f>
        <v>519</v>
      </c>
      <c r="N2560" s="2">
        <v>6182.4</v>
      </c>
      <c r="O2560" s="2">
        <v>236</v>
      </c>
      <c r="P2560" s="7">
        <f>grand[[#This Row],[total weight]]/grand[[#This Row],[received]]</f>
        <v>542.31578947368416</v>
      </c>
      <c r="Q2560" s="7">
        <f>grand[[#This Row],[receiving weight]]/grand[[#This Row],[received]]</f>
        <v>515</v>
      </c>
      <c r="R2560" s="7">
        <f>grand[[#This Row],[transportation loss ]]/grand[[#This Row],[received]]</f>
        <v>27.315789473684209</v>
      </c>
      <c r="S2560" s="7">
        <f>grand[[#This Row],[ carcass weight]]/grand[[#This Row],[received]]</f>
        <v>325.38947368421049</v>
      </c>
      <c r="T2560" s="7">
        <f>grand[[#This Row],[ kidneys fat quantity]]/grand[[#This Row],[received]]</f>
        <v>12.421052631578947</v>
      </c>
      <c r="U2560" s="1">
        <v>25</v>
      </c>
      <c r="V2560" s="1">
        <v>0</v>
      </c>
      <c r="W2560" s="1">
        <v>47.78947368421052</v>
      </c>
      <c r="X2560" s="1">
        <v>10</v>
      </c>
      <c r="Y2560" s="1">
        <v>8.5</v>
      </c>
      <c r="Z2560" s="18">
        <f>grand[[#This Row],[av. Transportation loss]]/grand[[#This Row],[av.total weight]]</f>
        <v>5.0368788819875776E-2</v>
      </c>
      <c r="AA2560" s="12">
        <f>AVERAGE((grand[[#This Row],[am]]/25),(grand[[#This Row],[pm]]/50))</f>
        <v>0.97789473684210515</v>
      </c>
      <c r="AB2560" s="3">
        <f>grand[[#This Row],[ carcass weight]]/grand[[#This Row],[total weight]]</f>
        <v>0.6</v>
      </c>
      <c r="AC2560" s="18">
        <f>SUM(grand[[#This Row],[am]:[meat transportation]])/100</f>
        <v>0.9128947368421052</v>
      </c>
      <c r="AJ2560" s="1">
        <v>8</v>
      </c>
      <c r="AK2560" s="1"/>
      <c r="AL2560" s="1"/>
    </row>
    <row r="2561" spans="1:38" hidden="1" x14ac:dyDescent="0.2">
      <c r="A2561" s="11">
        <v>45603</v>
      </c>
      <c r="B2561" s="53" t="s">
        <v>2079</v>
      </c>
      <c r="C2561" s="52" t="str">
        <f>IF(MID(B2561,4,2)="09","Ramadan",IF(AND(MID(B2561,4,2)="12",VALUE(LEFT(B2561,2))&lt;=9),"Adha Season","Normal"))</f>
        <v>Normal</v>
      </c>
      <c r="D2561" s="1" t="s">
        <v>45</v>
      </c>
      <c r="E2561" s="1" t="s">
        <v>483</v>
      </c>
      <c r="F2561" s="4" t="s">
        <v>43</v>
      </c>
      <c r="G2561" s="1">
        <v>71</v>
      </c>
      <c r="H2561" s="1">
        <v>67</v>
      </c>
      <c r="I2561" s="1">
        <f>grand[[#This Row],[number]]-grand[[#This Row],[received]]</f>
        <v>4</v>
      </c>
      <c r="J2561" s="30" t="s">
        <v>651</v>
      </c>
      <c r="K2561" s="2">
        <v>34463</v>
      </c>
      <c r="L2561" s="2">
        <v>33520</v>
      </c>
      <c r="M2561" s="2">
        <f>K2561-L2561</f>
        <v>943</v>
      </c>
      <c r="N2561" s="2">
        <v>20678.099999999999</v>
      </c>
      <c r="O2561" s="2">
        <v>765</v>
      </c>
      <c r="P2561" s="7">
        <f>grand[[#This Row],[total weight]]/grand[[#This Row],[received]]</f>
        <v>514.37313432835822</v>
      </c>
      <c r="Q2561" s="7">
        <f>grand[[#This Row],[receiving weight]]/grand[[#This Row],[received]]</f>
        <v>500.29850746268659</v>
      </c>
      <c r="R2561" s="7">
        <f>grand[[#This Row],[transportation loss ]]/grand[[#This Row],[received]]</f>
        <v>14.074626865671641</v>
      </c>
      <c r="S2561" s="7">
        <f>grand[[#This Row],[ carcass weight]]/grand[[#This Row],[received]]</f>
        <v>308.62835820895521</v>
      </c>
      <c r="T2561" s="7">
        <f>grand[[#This Row],[ kidneys fat quantity]]/grand[[#This Row],[received]]</f>
        <v>11.417910447761194</v>
      </c>
      <c r="U2561" s="1">
        <v>24.850746268656717</v>
      </c>
      <c r="V2561" s="1">
        <v>0</v>
      </c>
      <c r="W2561" s="1">
        <v>44.417910447761194</v>
      </c>
      <c r="X2561" s="1">
        <v>10</v>
      </c>
      <c r="Y2561" s="1">
        <v>8.5</v>
      </c>
      <c r="Z2561" s="18">
        <f>grand[[#This Row],[av. Transportation loss]]/grand[[#This Row],[av.total weight]]</f>
        <v>2.7362678814960972E-2</v>
      </c>
      <c r="AA2561" s="12">
        <f>AVERAGE((grand[[#This Row],[am]]/25),(grand[[#This Row],[pm]]/50))</f>
        <v>0.94119402985074629</v>
      </c>
      <c r="AB2561" s="3">
        <f>grand[[#This Row],[ carcass weight]]/grand[[#This Row],[total weight]]</f>
        <v>0.60000870498795811</v>
      </c>
      <c r="AC2561" s="18">
        <f>SUM(grand[[#This Row],[am]:[meat transportation]])/100</f>
        <v>0.87768656716417903</v>
      </c>
      <c r="AJ2561" s="1">
        <v>48</v>
      </c>
      <c r="AK2561" s="1"/>
      <c r="AL2561" s="1"/>
    </row>
    <row r="2562" spans="1:38" hidden="1" x14ac:dyDescent="0.2">
      <c r="A2562" s="11">
        <v>46242</v>
      </c>
      <c r="B2562" s="53" t="str">
        <f>TEXT(grand[[#This Row],[date]],"[$-ar-SA,6]dd/mm/yyyy")</f>
        <v>24/02/1448</v>
      </c>
      <c r="C2562" s="52" t="str">
        <f>IF(MID(B2562,4,2)="09","Ramadan",IF(AND(MID(B2562,4,2)="12",VALUE(LEFT(B2562,2))&lt;=9),"Adha Season","Normal"))</f>
        <v>Normal</v>
      </c>
      <c r="D2562" s="1" t="s">
        <v>294</v>
      </c>
      <c r="F2562" s="4" t="s">
        <v>165</v>
      </c>
      <c r="G2562" s="1">
        <v>57</v>
      </c>
      <c r="H2562" s="1">
        <v>57</v>
      </c>
      <c r="I2562" s="1">
        <f>grand[[#This Row],[number]]-grand[[#This Row],[received]]</f>
        <v>0</v>
      </c>
      <c r="J2562" s="2"/>
      <c r="K2562" s="2">
        <v>3166</v>
      </c>
      <c r="L2562" s="2">
        <v>3166</v>
      </c>
      <c r="M2562" s="2">
        <f>K2562-L2562</f>
        <v>0</v>
      </c>
      <c r="N2562" s="2">
        <v>1736</v>
      </c>
      <c r="O2562" s="2">
        <v>0</v>
      </c>
      <c r="P2562" s="7">
        <f>grand[[#This Row],[total weight]]/grand[[#This Row],[received]]</f>
        <v>55.543859649122808</v>
      </c>
      <c r="Q2562" s="7">
        <f>grand[[#This Row],[receiving weight]]/grand[[#This Row],[received]]</f>
        <v>55.543859649122808</v>
      </c>
      <c r="R2562" s="7">
        <f>grand[[#This Row],[transportation loss ]]/grand[[#This Row],[received]]</f>
        <v>0</v>
      </c>
      <c r="S2562" s="7">
        <f>grand[[#This Row],[ carcass weight]]/grand[[#This Row],[received]]</f>
        <v>30.456140350877192</v>
      </c>
      <c r="T2562" s="7">
        <f>grand[[#This Row],[ kidneys fat quantity]]/grand[[#This Row],[received]]</f>
        <v>0</v>
      </c>
      <c r="U2562" s="1">
        <v>25</v>
      </c>
      <c r="V2562" s="1">
        <v>0</v>
      </c>
      <c r="W2562" s="1">
        <v>47.526315789473685</v>
      </c>
      <c r="X2562" s="1">
        <v>10</v>
      </c>
      <c r="Y2562" s="1">
        <v>8.5</v>
      </c>
      <c r="Z2562" s="18">
        <f>grand[[#This Row],[av. Transportation loss]]/grand[[#This Row],[av.total weight]]</f>
        <v>0</v>
      </c>
      <c r="AA2562" s="18">
        <f>AVERAGE((grand[[#This Row],[am]]/25),(grand[[#This Row],[pm]]/50))</f>
        <v>0.97526315789473683</v>
      </c>
      <c r="AB2562" s="3">
        <f>grand[[#This Row],[ carcass weight]]/grand[[#This Row],[total weight]]</f>
        <v>0.54832596336070749</v>
      </c>
      <c r="AC2562" s="18">
        <f>SUM(grand[[#This Row],[am]:[meat transportation]])/100</f>
        <v>0.91026315789473689</v>
      </c>
      <c r="AD2562" s="1" t="s">
        <v>3143</v>
      </c>
      <c r="AJ2562" s="1">
        <v>0</v>
      </c>
    </row>
    <row r="2563" spans="1:38" x14ac:dyDescent="0.2">
      <c r="A2563" s="11">
        <v>46242</v>
      </c>
      <c r="B2563" s="53" t="str">
        <f>TEXT(grand[[#This Row],[date]],"[$-ar-SA,6]dd/mm/yyyy")</f>
        <v>24/02/1448</v>
      </c>
      <c r="C2563" s="52" t="str">
        <f>IF(MID(B2563,4,2)="09","Ramadan",IF(AND(MID(B2563,4,2)="12",VALUE(LEFT(B2563,2))&lt;=9),"Adha Season","Normal"))</f>
        <v>Normal</v>
      </c>
      <c r="D2563" s="1" t="s">
        <v>45</v>
      </c>
      <c r="F2563" s="4" t="s">
        <v>165</v>
      </c>
      <c r="G2563" s="1">
        <v>60</v>
      </c>
      <c r="H2563" s="1">
        <v>59</v>
      </c>
      <c r="I2563" s="1">
        <f>grand[[#This Row],[number]]-grand[[#This Row],[received]]</f>
        <v>1</v>
      </c>
      <c r="J2563" s="9" t="s">
        <v>924</v>
      </c>
      <c r="K2563" s="2">
        <v>25678</v>
      </c>
      <c r="L2563" s="2">
        <v>25678</v>
      </c>
      <c r="M2563" s="2">
        <f>K2563-L2563</f>
        <v>0</v>
      </c>
      <c r="N2563" s="2">
        <v>15407</v>
      </c>
      <c r="O2563" s="2">
        <v>333</v>
      </c>
      <c r="P2563" s="7">
        <f>grand[[#This Row],[total weight]]/grand[[#This Row],[received]]</f>
        <v>435.22033898305085</v>
      </c>
      <c r="Q2563" s="7">
        <f>grand[[#This Row],[receiving weight]]/grand[[#This Row],[received]]</f>
        <v>435.22033898305085</v>
      </c>
      <c r="R2563" s="7">
        <f>grand[[#This Row],[transportation loss ]]/grand[[#This Row],[received]]</f>
        <v>0</v>
      </c>
      <c r="S2563" s="7">
        <f>grand[[#This Row],[ carcass weight]]/grand[[#This Row],[received]]</f>
        <v>261.13559322033899</v>
      </c>
      <c r="T2563" s="7">
        <f>grand[[#This Row],[ kidneys fat quantity]]/grand[[#This Row],[received]]</f>
        <v>5.6440677966101696</v>
      </c>
      <c r="U2563" s="1">
        <v>24.745762711864408</v>
      </c>
      <c r="V2563" s="1">
        <v>0</v>
      </c>
      <c r="W2563" s="1">
        <v>48.474576271186429</v>
      </c>
      <c r="X2563" s="1">
        <v>10</v>
      </c>
      <c r="Y2563" s="1">
        <v>8.5</v>
      </c>
      <c r="Z2563" s="18">
        <f>grand[[#This Row],[av. Transportation loss]]/grand[[#This Row],[av.total weight]]</f>
        <v>0</v>
      </c>
      <c r="AA2563" s="18">
        <f>AVERAGE((grand[[#This Row],[am]]/25),(grand[[#This Row],[pm]]/50))</f>
        <v>0.97966101694915242</v>
      </c>
      <c r="AB2563" s="3">
        <f>grand[[#This Row],[ carcass weight]]/grand[[#This Row],[total weight]]</f>
        <v>0.60000778876859573</v>
      </c>
      <c r="AC2563" s="18">
        <f>SUM(grand[[#This Row],[am]:[meat transportation]])/100</f>
        <v>0.91720338983050842</v>
      </c>
      <c r="AD2563" s="1" t="s">
        <v>3144</v>
      </c>
      <c r="AJ2563" s="1">
        <v>21</v>
      </c>
    </row>
    <row r="2564" spans="1:38" hidden="1" x14ac:dyDescent="0.2">
      <c r="A2564" s="11">
        <v>46243</v>
      </c>
      <c r="B2564" s="53" t="str">
        <f>TEXT(grand[[#This Row],[date]],"[$-ar-SA,6]dd/mm/yyyy")</f>
        <v>25/02/1448</v>
      </c>
      <c r="C2564" s="52" t="str">
        <f>IF(MID(B2564,4,2)="09","Ramadan",IF(AND(MID(B2564,4,2)="12",VALUE(LEFT(B2564,2))&lt;=9),"Adha Season","Normal"))</f>
        <v>Normal</v>
      </c>
      <c r="D2564" s="1" t="s">
        <v>45</v>
      </c>
      <c r="F2564" s="4" t="s">
        <v>3104</v>
      </c>
      <c r="G2564" s="1">
        <v>72</v>
      </c>
      <c r="H2564" s="1">
        <v>72</v>
      </c>
      <c r="I2564" s="1">
        <f>grand[[#This Row],[number]]-grand[[#This Row],[received]]</f>
        <v>0</v>
      </c>
      <c r="J2564" s="2"/>
      <c r="K2564" s="2">
        <v>33235</v>
      </c>
      <c r="L2564" s="2">
        <v>33235</v>
      </c>
      <c r="M2564" s="2">
        <f>K2564-L2564</f>
        <v>0</v>
      </c>
      <c r="N2564" s="2">
        <v>19940</v>
      </c>
      <c r="O2564" s="2">
        <v>469</v>
      </c>
      <c r="P2564" s="7">
        <f>grand[[#This Row],[total weight]]/grand[[#This Row],[received]]</f>
        <v>461.59722222222223</v>
      </c>
      <c r="Q2564" s="7">
        <f>grand[[#This Row],[receiving weight]]/grand[[#This Row],[received]]</f>
        <v>461.59722222222223</v>
      </c>
      <c r="R2564" s="7">
        <f>grand[[#This Row],[transportation loss ]]/grand[[#This Row],[received]]</f>
        <v>0</v>
      </c>
      <c r="S2564" s="7">
        <f>grand[[#This Row],[ carcass weight]]/grand[[#This Row],[received]]</f>
        <v>276.94444444444446</v>
      </c>
      <c r="T2564" s="7">
        <f>grand[[#This Row],[ kidneys fat quantity]]/grand[[#This Row],[received]]</f>
        <v>6.5138888888888893</v>
      </c>
      <c r="U2564" s="1">
        <v>24.861111111111111</v>
      </c>
      <c r="V2564" s="1">
        <v>0</v>
      </c>
      <c r="W2564" s="1">
        <v>48.222222222222214</v>
      </c>
      <c r="X2564" s="1">
        <v>10</v>
      </c>
      <c r="Y2564" s="1">
        <v>8.5</v>
      </c>
      <c r="Z2564" s="18">
        <f>grand[[#This Row],[av. Transportation loss]]/grand[[#This Row],[av.total weight]]</f>
        <v>0</v>
      </c>
      <c r="AA2564" s="18">
        <f>AVERAGE((grand[[#This Row],[am]]/25),(grand[[#This Row],[pm]]/50))</f>
        <v>0.97944444444444434</v>
      </c>
      <c r="AB2564" s="3">
        <f>grand[[#This Row],[ carcass weight]]/grand[[#This Row],[total weight]]</f>
        <v>0.59996991123815258</v>
      </c>
      <c r="AC2564" s="18">
        <f>SUM(grand[[#This Row],[am]:[meat transportation]])/100</f>
        <v>0.91583333333333328</v>
      </c>
      <c r="AD2564" s="1" t="s">
        <v>3145</v>
      </c>
      <c r="AJ2564" s="1">
        <v>11</v>
      </c>
    </row>
    <row r="2565" spans="1:38" hidden="1" x14ac:dyDescent="0.2">
      <c r="A2565" s="11">
        <v>46244</v>
      </c>
      <c r="B2565" s="53" t="str">
        <f>TEXT(grand[[#This Row],[date]],"[$-ar-SA,6]dd/mm/yyyy")</f>
        <v>26/02/1448</v>
      </c>
      <c r="C2565" s="52" t="str">
        <f>IF(MID(B2565,4,2)="09","Ramadan",IF(AND(MID(B2565,4,2)="12",VALUE(LEFT(B2565,2))&lt;=9),"Adha Season","Normal"))</f>
        <v>Normal</v>
      </c>
      <c r="D2565" s="1" t="s">
        <v>294</v>
      </c>
      <c r="F2565" s="4" t="s">
        <v>954</v>
      </c>
      <c r="G2565" s="1">
        <v>54</v>
      </c>
      <c r="H2565" s="1">
        <v>54</v>
      </c>
      <c r="I2565" s="1">
        <f>grand[[#This Row],[number]]-grand[[#This Row],[received]]</f>
        <v>0</v>
      </c>
      <c r="J2565" s="2"/>
      <c r="K2565" s="2">
        <v>2721</v>
      </c>
      <c r="L2565" s="2">
        <v>2721</v>
      </c>
      <c r="M2565" s="2">
        <f>K2565-L2565</f>
        <v>0</v>
      </c>
      <c r="N2565" s="2">
        <v>1564</v>
      </c>
      <c r="O2565" s="2">
        <v>0</v>
      </c>
      <c r="P2565" s="7">
        <f>grand[[#This Row],[total weight]]/grand[[#This Row],[received]]</f>
        <v>50.388888888888886</v>
      </c>
      <c r="Q2565" s="7">
        <f>grand[[#This Row],[receiving weight]]/grand[[#This Row],[received]]</f>
        <v>50.388888888888886</v>
      </c>
      <c r="R2565" s="7">
        <f>grand[[#This Row],[transportation loss ]]/grand[[#This Row],[received]]</f>
        <v>0</v>
      </c>
      <c r="S2565" s="7">
        <f>grand[[#This Row],[ carcass weight]]/grand[[#This Row],[received]]</f>
        <v>28.962962962962962</v>
      </c>
      <c r="T2565" s="7">
        <f>grand[[#This Row],[ kidneys fat quantity]]/grand[[#This Row],[received]]</f>
        <v>0</v>
      </c>
      <c r="U2565" s="1">
        <v>25</v>
      </c>
      <c r="V2565" s="1">
        <v>0</v>
      </c>
      <c r="W2565" s="1">
        <v>42.462962962962962</v>
      </c>
      <c r="X2565" s="1">
        <v>10</v>
      </c>
      <c r="Y2565" s="1">
        <v>8.5</v>
      </c>
      <c r="Z2565" s="18">
        <f>grand[[#This Row],[av. Transportation loss]]/grand[[#This Row],[av.total weight]]</f>
        <v>0</v>
      </c>
      <c r="AA2565" s="18">
        <f>AVERAGE((grand[[#This Row],[am]]/25),(grand[[#This Row],[pm]]/50))</f>
        <v>0.92462962962962969</v>
      </c>
      <c r="AB2565" s="3">
        <f>grand[[#This Row],[ carcass weight]]/grand[[#This Row],[total weight]]</f>
        <v>0.57478868063212052</v>
      </c>
      <c r="AC2565" s="18">
        <f>SUM(grand[[#This Row],[am]:[meat transportation]])/100</f>
        <v>0.85962962962962963</v>
      </c>
      <c r="AD2565" s="1" t="s">
        <v>3108</v>
      </c>
      <c r="AJ2565" s="1">
        <v>0</v>
      </c>
    </row>
    <row r="2566" spans="1:38" x14ac:dyDescent="0.2">
      <c r="A2566" s="11">
        <v>46244</v>
      </c>
      <c r="B2566" s="53" t="str">
        <f>TEXT(grand[[#This Row],[date]],"[$-ar-SA,6]dd/mm/yyyy")</f>
        <v>26/02/1448</v>
      </c>
      <c r="C2566" s="52" t="str">
        <f>IF(MID(B2566,4,2)="09","Ramadan",IF(AND(MID(B2566,4,2)="12",VALUE(LEFT(B2566,2))&lt;=9),"Adha Season","Normal"))</f>
        <v>Normal</v>
      </c>
      <c r="D2566" s="1" t="s">
        <v>45</v>
      </c>
      <c r="F2566" s="4" t="s">
        <v>954</v>
      </c>
      <c r="G2566" s="1">
        <v>64</v>
      </c>
      <c r="H2566" s="1">
        <v>63</v>
      </c>
      <c r="I2566" s="1">
        <f>grand[[#This Row],[number]]-grand[[#This Row],[received]]</f>
        <v>1</v>
      </c>
      <c r="J2566" s="9" t="s">
        <v>3171</v>
      </c>
      <c r="K2566" s="2">
        <v>25856</v>
      </c>
      <c r="L2566" s="2">
        <v>25856</v>
      </c>
      <c r="M2566" s="2">
        <f>K2566-L2566</f>
        <v>0</v>
      </c>
      <c r="N2566" s="2">
        <v>15561</v>
      </c>
      <c r="O2566" s="2">
        <v>460</v>
      </c>
      <c r="P2566" s="7">
        <f>grand[[#This Row],[total weight]]/grand[[#This Row],[received]]</f>
        <v>410.41269841269843</v>
      </c>
      <c r="Q2566" s="7">
        <f>grand[[#This Row],[receiving weight]]/grand[[#This Row],[received]]</f>
        <v>410.41269841269843</v>
      </c>
      <c r="R2566" s="7">
        <f>grand[[#This Row],[transportation loss ]]/grand[[#This Row],[received]]</f>
        <v>0</v>
      </c>
      <c r="S2566" s="7">
        <f>grand[[#This Row],[ carcass weight]]/grand[[#This Row],[received]]</f>
        <v>247</v>
      </c>
      <c r="T2566" s="7">
        <f>grand[[#This Row],[ kidneys fat quantity]]/grand[[#This Row],[received]]</f>
        <v>7.3015873015873014</v>
      </c>
      <c r="U2566" s="1">
        <v>25</v>
      </c>
      <c r="V2566" s="1">
        <v>0</v>
      </c>
      <c r="W2566" s="1">
        <v>46.174603174603178</v>
      </c>
      <c r="X2566" s="1">
        <v>10</v>
      </c>
      <c r="Y2566" s="1">
        <v>8.5</v>
      </c>
      <c r="Z2566" s="18">
        <f>grand[[#This Row],[av. Transportation loss]]/grand[[#This Row],[av.total weight]]</f>
        <v>0</v>
      </c>
      <c r="AA2566" s="18">
        <f>AVERAGE((grand[[#This Row],[am]]/25),(grand[[#This Row],[pm]]/50))</f>
        <v>0.96174603174603179</v>
      </c>
      <c r="AB2566" s="3">
        <f>grand[[#This Row],[ carcass weight]]/grand[[#This Row],[total weight]]</f>
        <v>0.60183323019801982</v>
      </c>
      <c r="AC2566" s="18">
        <f>SUM(grand[[#This Row],[am]:[meat transportation]])/100</f>
        <v>0.89674603174603174</v>
      </c>
      <c r="AD2566" s="1" t="s">
        <v>3109</v>
      </c>
      <c r="AJ2566" s="1">
        <v>1</v>
      </c>
    </row>
    <row r="2567" spans="1:38" hidden="1" x14ac:dyDescent="0.2">
      <c r="A2567" s="11">
        <v>46245</v>
      </c>
      <c r="B2567" s="53" t="str">
        <f>TEXT(grand[[#This Row],[date]],"[$-ar-SA,6]dd/mm/yyyy")</f>
        <v>27/02/1448</v>
      </c>
      <c r="C2567" s="52" t="str">
        <f>IF(MID(B2567,4,2)="09","Ramadan",IF(AND(MID(B2567,4,2)="12",VALUE(LEFT(B2567,2))&lt;=9),"Adha Season","Normal"))</f>
        <v>Normal</v>
      </c>
      <c r="D2567" s="1" t="s">
        <v>45</v>
      </c>
      <c r="F2567" s="4" t="s">
        <v>815</v>
      </c>
      <c r="G2567" s="1">
        <v>60</v>
      </c>
      <c r="H2567" s="1">
        <v>60</v>
      </c>
      <c r="I2567" s="1">
        <f>grand[[#This Row],[number]]-grand[[#This Row],[received]]</f>
        <v>0</v>
      </c>
      <c r="J2567" s="2"/>
      <c r="K2567" s="2">
        <v>32241</v>
      </c>
      <c r="L2567" s="2">
        <v>32241</v>
      </c>
      <c r="M2567" s="2">
        <f>K2567-L2567</f>
        <v>0</v>
      </c>
      <c r="N2567" s="2">
        <v>19647</v>
      </c>
      <c r="O2567" s="2">
        <v>440</v>
      </c>
      <c r="P2567" s="7">
        <f>grand[[#This Row],[total weight]]/grand[[#This Row],[received]]</f>
        <v>537.35</v>
      </c>
      <c r="Q2567" s="7">
        <f>grand[[#This Row],[receiving weight]]/grand[[#This Row],[received]]</f>
        <v>537.35</v>
      </c>
      <c r="R2567" s="7">
        <f>grand[[#This Row],[transportation loss ]]/grand[[#This Row],[received]]</f>
        <v>0</v>
      </c>
      <c r="S2567" s="7">
        <f>grand[[#This Row],[ carcass weight]]/grand[[#This Row],[received]]</f>
        <v>327.45</v>
      </c>
      <c r="T2567" s="7">
        <f>grand[[#This Row],[ kidneys fat quantity]]/grand[[#This Row],[received]]</f>
        <v>7.333333333333333</v>
      </c>
      <c r="U2567" s="1">
        <v>25</v>
      </c>
      <c r="V2567" s="1">
        <v>2</v>
      </c>
      <c r="W2567" s="1">
        <v>45.81666666666667</v>
      </c>
      <c r="X2567" s="1">
        <v>10</v>
      </c>
      <c r="Y2567" s="1">
        <v>8.5</v>
      </c>
      <c r="Z2567" s="18">
        <f>grand[[#This Row],[av. Transportation loss]]/grand[[#This Row],[av.total weight]]</f>
        <v>0</v>
      </c>
      <c r="AA2567" s="18">
        <f>AVERAGE((grand[[#This Row],[am]]/25),(grand[[#This Row],[pm]]/50))</f>
        <v>0.95816666666666672</v>
      </c>
      <c r="AB2567" s="3">
        <f>grand[[#This Row],[ carcass weight]]/grand[[#This Row],[total weight]]</f>
        <v>0.60937936168232998</v>
      </c>
      <c r="AC2567" s="18">
        <f>SUM(grand[[#This Row],[am]:[meat transportation]])/100</f>
        <v>0.91316666666666668</v>
      </c>
      <c r="AD2567" s="1" t="s">
        <v>3111</v>
      </c>
      <c r="AJ2567" s="1">
        <v>0</v>
      </c>
    </row>
    <row r="2568" spans="1:38" hidden="1" x14ac:dyDescent="0.2">
      <c r="A2568" s="11">
        <v>46245</v>
      </c>
      <c r="B2568" s="53" t="str">
        <f>TEXT(grand[[#This Row],[date]],"[$-ar-SA,6]dd/mm/yyyy")</f>
        <v>27/02/1448</v>
      </c>
      <c r="C2568" s="52" t="str">
        <f>IF(MID(B2568,4,2)="09","Ramadan",IF(AND(MID(B2568,4,2)="12",VALUE(LEFT(B2568,2))&lt;=9),"Adha Season","Normal"))</f>
        <v>Normal</v>
      </c>
      <c r="D2568" s="2" t="s">
        <v>350</v>
      </c>
      <c r="F2568" s="4" t="s">
        <v>1161</v>
      </c>
      <c r="G2568" s="1">
        <v>31</v>
      </c>
      <c r="H2568" s="1">
        <v>31</v>
      </c>
      <c r="I2568" s="1">
        <f>grand[[#This Row],[number]]-grand[[#This Row],[received]]</f>
        <v>0</v>
      </c>
      <c r="J2568" s="2"/>
      <c r="K2568" s="2">
        <v>755</v>
      </c>
      <c r="L2568" s="2">
        <v>755</v>
      </c>
      <c r="M2568" s="2">
        <f>K2568-L2568</f>
        <v>0</v>
      </c>
      <c r="N2568" s="2">
        <v>411</v>
      </c>
      <c r="O2568" s="2">
        <v>0</v>
      </c>
      <c r="P2568" s="7">
        <f>grand[[#This Row],[total weight]]/grand[[#This Row],[received]]</f>
        <v>24.35483870967742</v>
      </c>
      <c r="Q2568" s="7">
        <f>grand[[#This Row],[receiving weight]]/grand[[#This Row],[received]]</f>
        <v>24.35483870967742</v>
      </c>
      <c r="R2568" s="7">
        <f>grand[[#This Row],[transportation loss ]]/grand[[#This Row],[received]]</f>
        <v>0</v>
      </c>
      <c r="S2568" s="7">
        <f>grand[[#This Row],[ carcass weight]]/grand[[#This Row],[received]]</f>
        <v>13.258064516129032</v>
      </c>
      <c r="T2568" s="7">
        <f>grand[[#This Row],[ kidneys fat quantity]]/grand[[#This Row],[received]]</f>
        <v>0</v>
      </c>
      <c r="U2568" s="1">
        <v>25</v>
      </c>
      <c r="V2568" s="1">
        <v>0</v>
      </c>
      <c r="W2568" s="1">
        <v>49.129032258064512</v>
      </c>
      <c r="X2568" s="1">
        <v>10</v>
      </c>
      <c r="Y2568" s="1">
        <v>8.5</v>
      </c>
      <c r="Z2568" s="18">
        <f>grand[[#This Row],[av. Transportation loss]]/grand[[#This Row],[av.total weight]]</f>
        <v>0</v>
      </c>
      <c r="AA2568" s="18">
        <f>AVERAGE((grand[[#This Row],[am]]/25),(grand[[#This Row],[pm]]/50))</f>
        <v>0.99129032258064509</v>
      </c>
      <c r="AB2568" s="3">
        <f>grand[[#This Row],[ carcass weight]]/grand[[#This Row],[total weight]]</f>
        <v>0.54437086092715237</v>
      </c>
      <c r="AC2568" s="18">
        <f>SUM(grand[[#This Row],[am]:[meat transportation]])/100</f>
        <v>0.92629032258064514</v>
      </c>
      <c r="AD2568" s="1" t="s">
        <v>81</v>
      </c>
      <c r="AJ2568" s="1">
        <v>0</v>
      </c>
    </row>
    <row r="2569" spans="1:38" x14ac:dyDescent="0.2">
      <c r="A2569" s="11">
        <v>46245</v>
      </c>
      <c r="B2569" s="53" t="str">
        <f>TEXT(grand[[#This Row],[date]],"[$-ar-SA,6]dd/mm/yyyy")</f>
        <v>27/02/1448</v>
      </c>
      <c r="C2569" s="52" t="str">
        <f>IF(MID(B2569,4,2)="09","Ramadan",IF(AND(MID(B2569,4,2)="12",VALUE(LEFT(B2569,2))&lt;=9),"Adha Season","Normal"))</f>
        <v>Normal</v>
      </c>
      <c r="D2569" s="1" t="s">
        <v>45</v>
      </c>
      <c r="F2569" s="4" t="s">
        <v>986</v>
      </c>
      <c r="G2569" s="1">
        <v>56</v>
      </c>
      <c r="H2569" s="1">
        <v>52</v>
      </c>
      <c r="I2569" s="1">
        <f>grand[[#This Row],[number]]-grand[[#This Row],[received]]</f>
        <v>4</v>
      </c>
      <c r="J2569" s="9" t="s">
        <v>3202</v>
      </c>
      <c r="K2569" s="2">
        <v>21870</v>
      </c>
      <c r="L2569" s="2">
        <v>21870</v>
      </c>
      <c r="M2569" s="2">
        <f>K2569-L2569</f>
        <v>0</v>
      </c>
      <c r="N2569" s="2">
        <v>13123</v>
      </c>
      <c r="O2569" s="2">
        <v>275</v>
      </c>
      <c r="P2569" s="7">
        <f>grand[[#This Row],[total weight]]/grand[[#This Row],[received]]</f>
        <v>420.57692307692309</v>
      </c>
      <c r="Q2569" s="7">
        <f>grand[[#This Row],[receiving weight]]/grand[[#This Row],[received]]</f>
        <v>420.57692307692309</v>
      </c>
      <c r="R2569" s="7">
        <f>grand[[#This Row],[transportation loss ]]/grand[[#This Row],[received]]</f>
        <v>0</v>
      </c>
      <c r="S2569" s="7">
        <f>grand[[#This Row],[ carcass weight]]/grand[[#This Row],[received]]</f>
        <v>252.36538461538461</v>
      </c>
      <c r="T2569" s="7">
        <f>grand[[#This Row],[ kidneys fat quantity]]/grand[[#This Row],[received]]</f>
        <v>5.2884615384615383</v>
      </c>
      <c r="U2569" s="1">
        <v>24.71153846153846</v>
      </c>
      <c r="V2569" s="1">
        <v>0</v>
      </c>
      <c r="W2569" s="1">
        <v>46.91346153846154</v>
      </c>
      <c r="X2569" s="1">
        <v>10</v>
      </c>
      <c r="Y2569" s="1">
        <v>8.5</v>
      </c>
      <c r="Z2569" s="18">
        <f>grand[[#This Row],[av. Transportation loss]]/grand[[#This Row],[av.total weight]]</f>
        <v>0</v>
      </c>
      <c r="AA2569" s="18">
        <f>AVERAGE((grand[[#This Row],[am]]/25),(grand[[#This Row],[pm]]/50))</f>
        <v>0.96336538461538468</v>
      </c>
      <c r="AB2569" s="3">
        <f>grand[[#This Row],[ carcass weight]]/grand[[#This Row],[total weight]]</f>
        <v>0.60004572473708273</v>
      </c>
      <c r="AC2569" s="18">
        <f>SUM(grand[[#This Row],[am]:[meat transportation]])/100</f>
        <v>0.90125</v>
      </c>
      <c r="AD2569" s="1" t="s">
        <v>3110</v>
      </c>
      <c r="AJ2569" s="1">
        <v>9</v>
      </c>
    </row>
    <row r="2570" spans="1:38" hidden="1" x14ac:dyDescent="0.2">
      <c r="A2570" s="11">
        <v>46246</v>
      </c>
      <c r="B2570" s="53" t="str">
        <f>TEXT(grand[[#This Row],[date]],"[$-ar-SA,6]dd/mm/yyyy")</f>
        <v>28/02/1448</v>
      </c>
      <c r="C2570" s="52" t="str">
        <f>IF(MID(B2570,4,2)="09","Ramadan",IF(AND(MID(B2570,4,2)="12",VALUE(LEFT(B2570,2))&lt;=9),"Adha Season","Normal"))</f>
        <v>Normal</v>
      </c>
      <c r="D2570" s="1" t="s">
        <v>45</v>
      </c>
      <c r="F2570" s="4" t="s">
        <v>815</v>
      </c>
      <c r="G2570" s="1">
        <v>16</v>
      </c>
      <c r="H2570" s="1">
        <v>16</v>
      </c>
      <c r="I2570" s="1">
        <f>grand[[#This Row],[number]]-grand[[#This Row],[received]]</f>
        <v>0</v>
      </c>
      <c r="J2570" s="2"/>
      <c r="K2570" s="2">
        <v>8503</v>
      </c>
      <c r="L2570" s="2">
        <v>8503</v>
      </c>
      <c r="M2570" s="2">
        <f>K2570-L2570</f>
        <v>0</v>
      </c>
      <c r="N2570" s="2">
        <v>5377</v>
      </c>
      <c r="O2570" s="2">
        <v>98</v>
      </c>
      <c r="P2570" s="7">
        <f>grand[[#This Row],[total weight]]/grand[[#This Row],[received]]</f>
        <v>531.4375</v>
      </c>
      <c r="Q2570" s="7">
        <f>grand[[#This Row],[receiving weight]]/grand[[#This Row],[received]]</f>
        <v>531.4375</v>
      </c>
      <c r="R2570" s="7">
        <f>grand[[#This Row],[transportation loss ]]/grand[[#This Row],[received]]</f>
        <v>0</v>
      </c>
      <c r="S2570" s="7">
        <f>grand[[#This Row],[ carcass weight]]/grand[[#This Row],[received]]</f>
        <v>336.0625</v>
      </c>
      <c r="T2570" s="7">
        <f>grand[[#This Row],[ kidneys fat quantity]]/grand[[#This Row],[received]]</f>
        <v>6.125</v>
      </c>
      <c r="U2570" s="1">
        <v>25</v>
      </c>
      <c r="V2570" s="1">
        <v>0</v>
      </c>
      <c r="W2570" s="1">
        <v>41.8125</v>
      </c>
      <c r="X2570" s="1">
        <v>10</v>
      </c>
      <c r="Y2570" s="1">
        <v>8.5</v>
      </c>
      <c r="Z2570" s="18">
        <f>grand[[#This Row],[av. Transportation loss]]/grand[[#This Row],[av.total weight]]</f>
        <v>0</v>
      </c>
      <c r="AA2570" s="18">
        <f>AVERAGE((grand[[#This Row],[am]]/25),(grand[[#This Row],[pm]]/50))</f>
        <v>0.91812500000000008</v>
      </c>
      <c r="AB2570" s="3">
        <f>grand[[#This Row],[ carcass weight]]/grand[[#This Row],[total weight]]</f>
        <v>0.63236504763024814</v>
      </c>
      <c r="AC2570" s="18">
        <f>SUM(grand[[#This Row],[am]:[meat transportation]])/100</f>
        <v>0.85312500000000002</v>
      </c>
      <c r="AD2570" s="1" t="s">
        <v>3112</v>
      </c>
      <c r="AJ2570" s="1">
        <v>0</v>
      </c>
    </row>
    <row r="2571" spans="1:38" hidden="1" x14ac:dyDescent="0.2">
      <c r="A2571" s="11">
        <v>45995</v>
      </c>
      <c r="B2571" s="53" t="s">
        <v>2378</v>
      </c>
      <c r="C2571" s="52" t="str">
        <f>IF(MID(B2571,4,2)="09","Ramadan",IF(AND(MID(B2571,4,2)="12",VALUE(LEFT(B2571,2))&lt;=9),"Adha Season","Normal"))</f>
        <v>Normal</v>
      </c>
      <c r="D2571" s="1" t="s">
        <v>45</v>
      </c>
      <c r="E2571" s="1" t="s">
        <v>483</v>
      </c>
      <c r="F2571" s="4" t="s">
        <v>959</v>
      </c>
      <c r="G2571" s="1">
        <v>102</v>
      </c>
      <c r="H2571">
        <v>98</v>
      </c>
      <c r="I2571">
        <f>grand[[#This Row],[number]]-grand[[#This Row],[received]]</f>
        <v>4</v>
      </c>
      <c r="J2571" s="30"/>
      <c r="K2571" s="2">
        <v>44692</v>
      </c>
      <c r="L2571" s="2">
        <v>44692</v>
      </c>
      <c r="M2571" s="2">
        <f>K2571-L2571</f>
        <v>0</v>
      </c>
      <c r="N2571" s="2">
        <v>27408.5</v>
      </c>
      <c r="O2571" s="2">
        <v>920</v>
      </c>
      <c r="P2571" s="7">
        <f>grand[[#This Row],[total weight]]/grand[[#This Row],[received]]</f>
        <v>456.0408163265306</v>
      </c>
      <c r="Q2571" s="7">
        <f>grand[[#This Row],[receiving weight]]/grand[[#This Row],[received]]</f>
        <v>456.0408163265306</v>
      </c>
      <c r="R2571" s="7">
        <f>grand[[#This Row],[transportation loss ]]/grand[[#This Row],[received]]</f>
        <v>0</v>
      </c>
      <c r="S2571" s="7">
        <f>grand[[#This Row],[ carcass weight]]/grand[[#This Row],[received]]</f>
        <v>279.67857142857144</v>
      </c>
      <c r="T2571" s="7">
        <f>grand[[#This Row],[ kidneys fat quantity]]/grand[[#This Row],[received]]</f>
        <v>9.387755102040817</v>
      </c>
      <c r="U2571">
        <v>25</v>
      </c>
      <c r="V2571">
        <v>0</v>
      </c>
      <c r="W2571">
        <v>45.801020408163261</v>
      </c>
      <c r="X2571">
        <v>10</v>
      </c>
      <c r="Y2571">
        <v>8.5</v>
      </c>
      <c r="Z2571" s="18">
        <f>grand[[#This Row],[av. Transportation loss]]/grand[[#This Row],[av.total weight]]</f>
        <v>0</v>
      </c>
      <c r="AA2571" s="18">
        <f>AVERAGE((grand[[#This Row],[am]]/25),(grand[[#This Row],[pm]]/50))</f>
        <v>0.95801020408163262</v>
      </c>
      <c r="AB2571" s="3">
        <f>grand[[#This Row],[ carcass weight]]/grand[[#This Row],[total weight]]</f>
        <v>0.61327530654255791</v>
      </c>
      <c r="AC2571" s="18">
        <f>SUM(grand[[#This Row],[am]:[meat transportation]])/100</f>
        <v>0.89301020408163256</v>
      </c>
      <c r="AD2571" s="2" t="s">
        <v>871</v>
      </c>
      <c r="AE2571" s="2"/>
      <c r="AF2571" s="2"/>
      <c r="AG2571" s="2"/>
      <c r="AH2571" s="2"/>
      <c r="AI2571" s="2"/>
      <c r="AJ2571" s="2">
        <v>0</v>
      </c>
      <c r="AK2571" s="1"/>
      <c r="AL2571" s="1"/>
    </row>
    <row r="2572" spans="1:38" hidden="1" x14ac:dyDescent="0.2">
      <c r="A2572" s="11">
        <v>46001</v>
      </c>
      <c r="B2572" s="53" t="s">
        <v>2383</v>
      </c>
      <c r="C2572" s="52" t="str">
        <f>IF(MID(B2572,4,2)="09","Ramadan",IF(AND(MID(B2572,4,2)="12",VALUE(LEFT(B2572,2))&lt;=9),"Adha Season","Normal"))</f>
        <v>Normal</v>
      </c>
      <c r="D2572" s="1" t="s">
        <v>45</v>
      </c>
      <c r="E2572" s="1" t="s">
        <v>528</v>
      </c>
      <c r="F2572" s="4" t="s">
        <v>752</v>
      </c>
      <c r="G2572" s="1">
        <v>21</v>
      </c>
      <c r="H2572">
        <v>17</v>
      </c>
      <c r="I2572">
        <f>grand[[#This Row],[number]]-grand[[#This Row],[received]]</f>
        <v>4</v>
      </c>
      <c r="J2572" s="30"/>
      <c r="K2572" s="2">
        <v>9669.6202531645558</v>
      </c>
      <c r="L2572" s="2">
        <v>9669.6202531645558</v>
      </c>
      <c r="M2572" s="2">
        <f>K2572-L2572</f>
        <v>0</v>
      </c>
      <c r="N2572" s="2">
        <v>6111.2</v>
      </c>
      <c r="O2572" s="2">
        <v>0</v>
      </c>
      <c r="P2572" s="7">
        <f>grand[[#This Row],[total weight]]/grand[[#This Row],[received]]</f>
        <v>568.8011913626209</v>
      </c>
      <c r="Q2572" s="7">
        <f>grand[[#This Row],[receiving weight]]/grand[[#This Row],[received]]</f>
        <v>568.8011913626209</v>
      </c>
      <c r="R2572" s="7">
        <f>grand[[#This Row],[transportation loss ]]/grand[[#This Row],[received]]</f>
        <v>0</v>
      </c>
      <c r="S2572" s="7">
        <f>grand[[#This Row],[ carcass weight]]/grand[[#This Row],[received]]</f>
        <v>359.48235294117649</v>
      </c>
      <c r="T2572" s="7">
        <f>grand[[#This Row],[ kidneys fat quantity]]/grand[[#This Row],[received]]</f>
        <v>0</v>
      </c>
      <c r="U2572">
        <v>25</v>
      </c>
      <c r="V2572">
        <v>0</v>
      </c>
      <c r="W2572">
        <v>50</v>
      </c>
      <c r="X2572">
        <v>10</v>
      </c>
      <c r="Y2572">
        <v>8.5</v>
      </c>
      <c r="Z2572" s="18">
        <f>grand[[#This Row],[av. Transportation loss]]/grand[[#This Row],[av.total weight]]</f>
        <v>0</v>
      </c>
      <c r="AA2572" s="18">
        <f>AVERAGE((grand[[#This Row],[am]]/25),(grand[[#This Row],[pm]]/50))</f>
        <v>1</v>
      </c>
      <c r="AB2572" s="3">
        <f>grand[[#This Row],[ carcass weight]]/grand[[#This Row],[total weight]]</f>
        <v>0.63200000000000001</v>
      </c>
      <c r="AC2572" s="18">
        <f>SUM(grand[[#This Row],[am]:[meat transportation]])/100</f>
        <v>0.93500000000000005</v>
      </c>
      <c r="AD2572" s="2" t="s">
        <v>819</v>
      </c>
      <c r="AE2572" s="2"/>
      <c r="AF2572" s="2"/>
      <c r="AG2572" s="2"/>
      <c r="AH2572" s="2"/>
      <c r="AI2572" s="2"/>
      <c r="AJ2572" s="2">
        <v>0</v>
      </c>
      <c r="AK2572" s="1"/>
      <c r="AL2572" s="1"/>
    </row>
    <row r="2573" spans="1:38" hidden="1" x14ac:dyDescent="0.2">
      <c r="A2573" s="11">
        <v>46246</v>
      </c>
      <c r="B2573" s="53" t="str">
        <f>TEXT(grand[[#This Row],[date]],"[$-ar-SA,6]dd/mm/yyyy")</f>
        <v>28/02/1448</v>
      </c>
      <c r="C2573" s="52" t="str">
        <f>IF(MID(B2573,4,2)="09","Ramadan",IF(AND(MID(B2573,4,2)="12",VALUE(LEFT(B2573,2))&lt;=9),"Adha Season","Normal"))</f>
        <v>Normal</v>
      </c>
      <c r="D2573" s="1" t="s">
        <v>294</v>
      </c>
      <c r="F2573" s="4" t="s">
        <v>46</v>
      </c>
      <c r="G2573" s="1">
        <v>38</v>
      </c>
      <c r="H2573" s="1">
        <v>38</v>
      </c>
      <c r="I2573" s="1">
        <f>grand[[#This Row],[number]]-grand[[#This Row],[received]]</f>
        <v>0</v>
      </c>
      <c r="J2573" s="2"/>
      <c r="K2573" s="2">
        <v>2090</v>
      </c>
      <c r="L2573" s="2">
        <v>2090</v>
      </c>
      <c r="M2573" s="2">
        <f>K2573-L2573</f>
        <v>0</v>
      </c>
      <c r="N2573" s="2">
        <v>1139</v>
      </c>
      <c r="O2573" s="2">
        <v>0</v>
      </c>
      <c r="P2573" s="7">
        <f>grand[[#This Row],[total weight]]/grand[[#This Row],[received]]</f>
        <v>55</v>
      </c>
      <c r="Q2573" s="7">
        <f>grand[[#This Row],[receiving weight]]/grand[[#This Row],[received]]</f>
        <v>55</v>
      </c>
      <c r="R2573" s="7">
        <f>grand[[#This Row],[transportation loss ]]/grand[[#This Row],[received]]</f>
        <v>0</v>
      </c>
      <c r="S2573" s="7">
        <f>grand[[#This Row],[ carcass weight]]/grand[[#This Row],[received]]</f>
        <v>29.973684210526315</v>
      </c>
      <c r="T2573" s="7">
        <f>grand[[#This Row],[ kidneys fat quantity]]/grand[[#This Row],[received]]</f>
        <v>0</v>
      </c>
      <c r="U2573" s="1">
        <v>25</v>
      </c>
      <c r="V2573" s="1">
        <v>0</v>
      </c>
      <c r="W2573" s="1">
        <v>47.513157894736835</v>
      </c>
      <c r="X2573" s="1">
        <v>10</v>
      </c>
      <c r="Y2573" s="1">
        <v>8.5</v>
      </c>
      <c r="Z2573" s="18">
        <f>grand[[#This Row],[av. Transportation loss]]/grand[[#This Row],[av.total weight]]</f>
        <v>0</v>
      </c>
      <c r="AA2573" s="18">
        <f>AVERAGE((grand[[#This Row],[am]]/25),(grand[[#This Row],[pm]]/50))</f>
        <v>0.97513157894736835</v>
      </c>
      <c r="AB2573" s="3">
        <f>grand[[#This Row],[ carcass weight]]/grand[[#This Row],[total weight]]</f>
        <v>0.54497607655502389</v>
      </c>
      <c r="AC2573" s="18">
        <f>SUM(grand[[#This Row],[am]:[meat transportation]])/100</f>
        <v>0.9101315789473684</v>
      </c>
      <c r="AD2573" s="1" t="s">
        <v>270</v>
      </c>
      <c r="AJ2573" s="1">
        <v>0</v>
      </c>
    </row>
    <row r="2574" spans="1:38" hidden="1" x14ac:dyDescent="0.2">
      <c r="A2574" s="11">
        <v>46247</v>
      </c>
      <c r="B2574" s="53" t="str">
        <f>TEXT(grand[[#This Row],[date]],"[$-ar-SA,6]dd/mm/yyyy")</f>
        <v>29/02/1448</v>
      </c>
      <c r="C2574" s="52" t="str">
        <f>IF(MID(B2574,4,2)="09","Ramadan",IF(AND(MID(B2574,4,2)="12",VALUE(LEFT(B2574,2))&lt;=9),"Adha Season","Normal"))</f>
        <v>Normal</v>
      </c>
      <c r="D2574" s="1" t="s">
        <v>294</v>
      </c>
      <c r="F2574" s="4" t="s">
        <v>165</v>
      </c>
      <c r="G2574" s="1">
        <v>60</v>
      </c>
      <c r="H2574" s="1">
        <v>60</v>
      </c>
      <c r="I2574" s="1">
        <f>grand[[#This Row],[number]]-grand[[#This Row],[received]]</f>
        <v>0</v>
      </c>
      <c r="J2574" s="2"/>
      <c r="K2574" s="2">
        <v>3314</v>
      </c>
      <c r="L2574" s="2">
        <v>3314</v>
      </c>
      <c r="M2574" s="2">
        <f>K2574-L2574</f>
        <v>0</v>
      </c>
      <c r="N2574" s="2">
        <v>1972</v>
      </c>
      <c r="O2574" s="2">
        <v>0</v>
      </c>
      <c r="P2574" s="7">
        <f>grand[[#This Row],[total weight]]/grand[[#This Row],[received]]</f>
        <v>55.233333333333334</v>
      </c>
      <c r="Q2574" s="7">
        <f>grand[[#This Row],[receiving weight]]/grand[[#This Row],[received]]</f>
        <v>55.233333333333334</v>
      </c>
      <c r="R2574" s="7">
        <f>grand[[#This Row],[transportation loss ]]/grand[[#This Row],[received]]</f>
        <v>0</v>
      </c>
      <c r="S2574" s="7">
        <f>grand[[#This Row],[ carcass weight]]/grand[[#This Row],[received]]</f>
        <v>32.866666666666667</v>
      </c>
      <c r="T2574" s="7">
        <f>grand[[#This Row],[ kidneys fat quantity]]/grand[[#This Row],[received]]</f>
        <v>0</v>
      </c>
      <c r="U2574" s="1">
        <v>25</v>
      </c>
      <c r="V2574" s="1">
        <v>0</v>
      </c>
      <c r="W2574" s="1">
        <v>47.633333333333333</v>
      </c>
      <c r="X2574" s="1">
        <v>10</v>
      </c>
      <c r="Y2574" s="1">
        <v>8.5</v>
      </c>
      <c r="Z2574" s="18">
        <f>grand[[#This Row],[av. Transportation loss]]/grand[[#This Row],[av.total weight]]</f>
        <v>0</v>
      </c>
      <c r="AA2574" s="18">
        <f>AVERAGE((grand[[#This Row],[am]]/25),(grand[[#This Row],[pm]]/50))</f>
        <v>0.97633333333333328</v>
      </c>
      <c r="AB2574" s="3">
        <f>grand[[#This Row],[ carcass weight]]/grand[[#This Row],[total weight]]</f>
        <v>0.59505129752564878</v>
      </c>
      <c r="AC2574" s="18">
        <f>SUM(grand[[#This Row],[am]:[meat transportation]])/100</f>
        <v>0.91133333333333322</v>
      </c>
      <c r="AD2574" s="1" t="s">
        <v>3113</v>
      </c>
      <c r="AJ2574" s="1">
        <v>0</v>
      </c>
    </row>
    <row r="2575" spans="1:38" hidden="1" x14ac:dyDescent="0.2">
      <c r="A2575" s="11">
        <v>46247</v>
      </c>
      <c r="B2575" s="53" t="str">
        <f>TEXT(grand[[#This Row],[date]],"[$-ar-SA,6]dd/mm/yyyy")</f>
        <v>29/02/1448</v>
      </c>
      <c r="C2575" s="52" t="str">
        <f>IF(MID(B2575,4,2)="09","Ramadan",IF(AND(MID(B2575,4,2)="12",VALUE(LEFT(B2575,2))&lt;=9),"Adha Season","Normal"))</f>
        <v>Normal</v>
      </c>
      <c r="D2575" s="1" t="s">
        <v>45</v>
      </c>
      <c r="F2575" s="4" t="s">
        <v>3104</v>
      </c>
      <c r="G2575" s="1">
        <v>52</v>
      </c>
      <c r="H2575" s="1">
        <v>52</v>
      </c>
      <c r="I2575" s="1">
        <f>grand[[#This Row],[number]]-grand[[#This Row],[received]]</f>
        <v>0</v>
      </c>
      <c r="J2575" s="2"/>
      <c r="K2575" s="2">
        <v>23738</v>
      </c>
      <c r="L2575" s="2">
        <v>23738</v>
      </c>
      <c r="M2575" s="2">
        <f>K2575-L2575</f>
        <v>0</v>
      </c>
      <c r="N2575" s="2">
        <v>14379</v>
      </c>
      <c r="O2575" s="2">
        <v>338</v>
      </c>
      <c r="P2575" s="7">
        <f>grand[[#This Row],[total weight]]/grand[[#This Row],[received]]</f>
        <v>456.5</v>
      </c>
      <c r="Q2575" s="7">
        <f>grand[[#This Row],[receiving weight]]/grand[[#This Row],[received]]</f>
        <v>456.5</v>
      </c>
      <c r="R2575" s="7">
        <f>grand[[#This Row],[transportation loss ]]/grand[[#This Row],[received]]</f>
        <v>0</v>
      </c>
      <c r="S2575" s="7">
        <f>grand[[#This Row],[ carcass weight]]/grand[[#This Row],[received]]</f>
        <v>276.51923076923077</v>
      </c>
      <c r="T2575" s="7">
        <f>grand[[#This Row],[ kidneys fat quantity]]/grand[[#This Row],[received]]</f>
        <v>6.5</v>
      </c>
      <c r="U2575" s="1">
        <v>24.807692307692307</v>
      </c>
      <c r="V2575" s="1">
        <v>0</v>
      </c>
      <c r="W2575" s="1">
        <v>49.249999999999993</v>
      </c>
      <c r="X2575" s="1">
        <v>10</v>
      </c>
      <c r="Y2575" s="1">
        <v>8.5</v>
      </c>
      <c r="Z2575" s="18">
        <f>grand[[#This Row],[av. Transportation loss]]/grand[[#This Row],[av.total weight]]</f>
        <v>0</v>
      </c>
      <c r="AA2575" s="18">
        <f>AVERAGE((grand[[#This Row],[am]]/25),(grand[[#This Row],[pm]]/50))</f>
        <v>0.98865384615384611</v>
      </c>
      <c r="AB2575" s="3">
        <f>grand[[#This Row],[ carcass weight]]/grand[[#This Row],[total weight]]</f>
        <v>0.6057376358581178</v>
      </c>
      <c r="AC2575" s="18">
        <f>SUM(grand[[#This Row],[am]:[meat transportation]])/100</f>
        <v>0.92557692307692296</v>
      </c>
      <c r="AD2575" s="1" t="s">
        <v>3115</v>
      </c>
      <c r="AJ2575" s="1">
        <v>2</v>
      </c>
    </row>
    <row r="2576" spans="1:38" x14ac:dyDescent="0.2">
      <c r="A2576" s="11">
        <v>46247</v>
      </c>
      <c r="B2576" s="53" t="str">
        <f>TEXT(grand[[#This Row],[date]],"[$-ar-SA,6]dd/mm/yyyy")</f>
        <v>29/02/1448</v>
      </c>
      <c r="C2576" s="52" t="str">
        <f>IF(MID(B2576,4,2)="09","Ramadan",IF(AND(MID(B2576,4,2)="12",VALUE(LEFT(B2576,2))&lt;=9),"Adha Season","Normal"))</f>
        <v>Normal</v>
      </c>
      <c r="D2576" s="1" t="s">
        <v>45</v>
      </c>
      <c r="F2576" s="4" t="s">
        <v>165</v>
      </c>
      <c r="G2576" s="1">
        <v>50</v>
      </c>
      <c r="H2576" s="1">
        <v>48</v>
      </c>
      <c r="I2576" s="1">
        <f>grand[[#This Row],[number]]-grand[[#This Row],[received]]</f>
        <v>2</v>
      </c>
      <c r="J2576" s="9" t="s">
        <v>3186</v>
      </c>
      <c r="K2576" s="2">
        <v>20801</v>
      </c>
      <c r="L2576" s="2">
        <v>20801</v>
      </c>
      <c r="M2576" s="2">
        <f>K2576-L2576</f>
        <v>0</v>
      </c>
      <c r="N2576" s="2">
        <v>12481</v>
      </c>
      <c r="O2576" s="2">
        <v>280</v>
      </c>
      <c r="P2576" s="7">
        <f>grand[[#This Row],[total weight]]/grand[[#This Row],[received]]</f>
        <v>433.35416666666669</v>
      </c>
      <c r="Q2576" s="7">
        <f>grand[[#This Row],[receiving weight]]/grand[[#This Row],[received]]</f>
        <v>433.35416666666669</v>
      </c>
      <c r="R2576" s="7">
        <f>grand[[#This Row],[transportation loss ]]/grand[[#This Row],[received]]</f>
        <v>0</v>
      </c>
      <c r="S2576" s="7">
        <f>grand[[#This Row],[ carcass weight]]/grand[[#This Row],[received]]</f>
        <v>260.02083333333331</v>
      </c>
      <c r="T2576" s="7">
        <f>grand[[#This Row],[ kidneys fat quantity]]/grand[[#This Row],[received]]</f>
        <v>5.833333333333333</v>
      </c>
      <c r="U2576" s="1">
        <v>24.583333333333336</v>
      </c>
      <c r="V2576" s="1">
        <v>0</v>
      </c>
      <c r="W2576" s="1">
        <v>48.624999999999993</v>
      </c>
      <c r="X2576" s="1">
        <v>10</v>
      </c>
      <c r="Y2576" s="1">
        <v>8.5</v>
      </c>
      <c r="Z2576" s="18">
        <f>grand[[#This Row],[av. Transportation loss]]/grand[[#This Row],[av.total weight]]</f>
        <v>0</v>
      </c>
      <c r="AA2576" s="18">
        <f>AVERAGE((grand[[#This Row],[am]]/25),(grand[[#This Row],[pm]]/50))</f>
        <v>0.97791666666666655</v>
      </c>
      <c r="AB2576" s="3">
        <f>grand[[#This Row],[ carcass weight]]/grand[[#This Row],[total weight]]</f>
        <v>0.600019229844719</v>
      </c>
      <c r="AC2576" s="18">
        <f>SUM(grand[[#This Row],[am]:[meat transportation]])/100</f>
        <v>0.91708333333333325</v>
      </c>
      <c r="AD2576" s="1" t="s">
        <v>3114</v>
      </c>
      <c r="AJ2576" s="1">
        <v>8</v>
      </c>
    </row>
    <row r="2577" spans="1:38" hidden="1" x14ac:dyDescent="0.2">
      <c r="A2577" s="11">
        <v>46249</v>
      </c>
      <c r="B2577" s="53" t="str">
        <f>TEXT(grand[[#This Row],[date]],"[$-ar-SA,6]dd/mm/yyyy")</f>
        <v>02/03/1448</v>
      </c>
      <c r="C2577" s="52" t="str">
        <f>IF(MID(B2577,4,2)="09","Ramadan",IF(AND(MID(B2577,4,2)="12",VALUE(LEFT(B2577,2))&lt;=9),"Adha Season","Normal"))</f>
        <v>Normal</v>
      </c>
      <c r="D2577" s="1" t="s">
        <v>294</v>
      </c>
      <c r="F2577" s="4" t="s">
        <v>165</v>
      </c>
      <c r="G2577" s="1">
        <v>56</v>
      </c>
      <c r="H2577" s="1">
        <v>56</v>
      </c>
      <c r="I2577" s="1">
        <f>grand[[#This Row],[number]]-grand[[#This Row],[received]]</f>
        <v>0</v>
      </c>
      <c r="J2577" s="2"/>
      <c r="K2577" s="2">
        <v>2994</v>
      </c>
      <c r="L2577" s="2">
        <v>2994</v>
      </c>
      <c r="M2577" s="2">
        <f>K2577-L2577</f>
        <v>0</v>
      </c>
      <c r="N2577" s="2">
        <v>1708</v>
      </c>
      <c r="O2577" s="2">
        <v>0</v>
      </c>
      <c r="P2577" s="7">
        <f>grand[[#This Row],[total weight]]/grand[[#This Row],[received]]</f>
        <v>53.464285714285715</v>
      </c>
      <c r="Q2577" s="7">
        <f>grand[[#This Row],[receiving weight]]/grand[[#This Row],[received]]</f>
        <v>53.464285714285715</v>
      </c>
      <c r="R2577" s="7">
        <f>grand[[#This Row],[transportation loss ]]/grand[[#This Row],[received]]</f>
        <v>0</v>
      </c>
      <c r="S2577" s="7">
        <f>grand[[#This Row],[ carcass weight]]/grand[[#This Row],[received]]</f>
        <v>30.5</v>
      </c>
      <c r="T2577" s="7">
        <f>grand[[#This Row],[ kidneys fat quantity]]/grand[[#This Row],[received]]</f>
        <v>0</v>
      </c>
      <c r="U2577" s="1">
        <v>25</v>
      </c>
      <c r="V2577" s="1">
        <v>0</v>
      </c>
      <c r="W2577" s="1">
        <v>46.160714285714285</v>
      </c>
      <c r="X2577" s="1">
        <v>10</v>
      </c>
      <c r="Y2577" s="1">
        <v>8.5</v>
      </c>
      <c r="Z2577" s="18">
        <f>grand[[#This Row],[av. Transportation loss]]/grand[[#This Row],[av.total weight]]</f>
        <v>0</v>
      </c>
      <c r="AA2577" s="18">
        <f>AVERAGE((grand[[#This Row],[am]]/25),(grand[[#This Row],[pm]]/50))</f>
        <v>0.96160714285714288</v>
      </c>
      <c r="AB2577" s="3">
        <f>grand[[#This Row],[ carcass weight]]/grand[[#This Row],[total weight]]</f>
        <v>0.57047428189712757</v>
      </c>
      <c r="AC2577" s="18">
        <f>SUM(grand[[#This Row],[am]:[meat transportation]])/100</f>
        <v>0.89660714285714282</v>
      </c>
      <c r="AD2577" s="1" t="s">
        <v>188</v>
      </c>
      <c r="AJ2577" s="1">
        <v>0</v>
      </c>
    </row>
    <row r="2578" spans="1:38" hidden="1" x14ac:dyDescent="0.2">
      <c r="A2578" s="11">
        <v>46249</v>
      </c>
      <c r="B2578" s="53" t="str">
        <f>TEXT(grand[[#This Row],[date]],"[$-ar-SA,6]dd/mm/yyyy")</f>
        <v>02/03/1448</v>
      </c>
      <c r="C2578" s="52" t="str">
        <f>IF(MID(B2578,4,2)="09","Ramadan",IF(AND(MID(B2578,4,2)="12",VALUE(LEFT(B2578,2))&lt;=9),"Adha Season","Normal"))</f>
        <v>Normal</v>
      </c>
      <c r="D2578" s="1" t="s">
        <v>45</v>
      </c>
      <c r="F2578" s="4" t="s">
        <v>815</v>
      </c>
      <c r="G2578" s="1">
        <v>60</v>
      </c>
      <c r="H2578" s="1">
        <v>60</v>
      </c>
      <c r="I2578" s="1">
        <f>grand[[#This Row],[number]]-grand[[#This Row],[received]]</f>
        <v>0</v>
      </c>
      <c r="J2578" s="2"/>
      <c r="K2578" s="2">
        <v>31940</v>
      </c>
      <c r="L2578" s="2">
        <v>31940</v>
      </c>
      <c r="M2578" s="2">
        <f>K2578-L2578</f>
        <v>0</v>
      </c>
      <c r="N2578" s="2">
        <v>19491</v>
      </c>
      <c r="O2578" s="2">
        <v>446</v>
      </c>
      <c r="P2578" s="7">
        <f>grand[[#This Row],[total weight]]/grand[[#This Row],[received]]</f>
        <v>532.33333333333337</v>
      </c>
      <c r="Q2578" s="7">
        <f>grand[[#This Row],[receiving weight]]/grand[[#This Row],[received]]</f>
        <v>532.33333333333337</v>
      </c>
      <c r="R2578" s="7">
        <f>grand[[#This Row],[transportation loss ]]/grand[[#This Row],[received]]</f>
        <v>0</v>
      </c>
      <c r="S2578" s="7">
        <f>grand[[#This Row],[ carcass weight]]/grand[[#This Row],[received]]</f>
        <v>324.85000000000002</v>
      </c>
      <c r="T2578" s="7">
        <f>grand[[#This Row],[ kidneys fat quantity]]/grand[[#This Row],[received]]</f>
        <v>7.4333333333333336</v>
      </c>
      <c r="U2578" s="1">
        <v>25</v>
      </c>
      <c r="V2578" s="1">
        <v>2</v>
      </c>
      <c r="W2578" s="1">
        <v>44.325000000000003</v>
      </c>
      <c r="X2578" s="1">
        <v>10</v>
      </c>
      <c r="Y2578" s="1">
        <v>8.5</v>
      </c>
      <c r="Z2578" s="18">
        <f>grand[[#This Row],[av. Transportation loss]]/grand[[#This Row],[av.total weight]]</f>
        <v>0</v>
      </c>
      <c r="AA2578" s="18">
        <f>AVERAGE((grand[[#This Row],[am]]/25),(grand[[#This Row],[pm]]/50))</f>
        <v>0.94325000000000003</v>
      </c>
      <c r="AB2578" s="3">
        <f>grand[[#This Row],[ carcass weight]]/grand[[#This Row],[total weight]]</f>
        <v>0.61023794614902938</v>
      </c>
      <c r="AC2578" s="18">
        <f>SUM(grand[[#This Row],[am]:[meat transportation]])/100</f>
        <v>0.89824999999999999</v>
      </c>
      <c r="AD2578" s="1" t="s">
        <v>3116</v>
      </c>
      <c r="AJ2578" s="1">
        <v>0</v>
      </c>
    </row>
    <row r="2579" spans="1:38" x14ac:dyDescent="0.2">
      <c r="A2579" s="11">
        <v>46249</v>
      </c>
      <c r="B2579" s="53" t="str">
        <f>TEXT(grand[[#This Row],[date]],"[$-ar-SA,6]dd/mm/yyyy")</f>
        <v>02/03/1448</v>
      </c>
      <c r="C2579" s="52" t="str">
        <f>IF(MID(B2579,4,2)="09","Ramadan",IF(AND(MID(B2579,4,2)="12",VALUE(LEFT(B2579,2))&lt;=9),"Adha Season","Normal"))</f>
        <v>Normal</v>
      </c>
      <c r="D2579" s="1" t="s">
        <v>45</v>
      </c>
      <c r="F2579" s="4" t="s">
        <v>165</v>
      </c>
      <c r="G2579" s="1">
        <v>49</v>
      </c>
      <c r="H2579" s="1">
        <v>48</v>
      </c>
      <c r="I2579" s="1">
        <f>grand[[#This Row],[number]]-grand[[#This Row],[received]]</f>
        <v>1</v>
      </c>
      <c r="J2579" s="9" t="s">
        <v>924</v>
      </c>
      <c r="K2579" s="2">
        <v>20098</v>
      </c>
      <c r="L2579" s="2">
        <v>20098</v>
      </c>
      <c r="M2579" s="2">
        <f>K2579-L2579</f>
        <v>0</v>
      </c>
      <c r="N2579" s="2">
        <v>12059</v>
      </c>
      <c r="O2579" s="2">
        <v>306</v>
      </c>
      <c r="P2579" s="7">
        <f>grand[[#This Row],[total weight]]/grand[[#This Row],[received]]</f>
        <v>418.70833333333331</v>
      </c>
      <c r="Q2579" s="7">
        <f>grand[[#This Row],[receiving weight]]/grand[[#This Row],[received]]</f>
        <v>418.70833333333331</v>
      </c>
      <c r="R2579" s="7">
        <f>grand[[#This Row],[transportation loss ]]/grand[[#This Row],[received]]</f>
        <v>0</v>
      </c>
      <c r="S2579" s="7">
        <f>grand[[#This Row],[ carcass weight]]/grand[[#This Row],[received]]</f>
        <v>251.22916666666666</v>
      </c>
      <c r="T2579" s="7">
        <f>grand[[#This Row],[ kidneys fat quantity]]/grand[[#This Row],[received]]</f>
        <v>6.375</v>
      </c>
      <c r="U2579" s="1">
        <v>24.270833333333336</v>
      </c>
      <c r="V2579" s="1">
        <v>0</v>
      </c>
      <c r="W2579" s="1">
        <v>49.000000000000007</v>
      </c>
      <c r="X2579" s="1">
        <v>10</v>
      </c>
      <c r="Y2579" s="1">
        <v>8.5</v>
      </c>
      <c r="Z2579" s="18">
        <f>grand[[#This Row],[av. Transportation loss]]/grand[[#This Row],[av.total weight]]</f>
        <v>0</v>
      </c>
      <c r="AA2579" s="18">
        <f>AVERAGE((grand[[#This Row],[am]]/25),(grand[[#This Row],[pm]]/50))</f>
        <v>0.97541666666666682</v>
      </c>
      <c r="AB2579" s="3">
        <f>grand[[#This Row],[ carcass weight]]/grand[[#This Row],[total weight]]</f>
        <v>0.6000099512389292</v>
      </c>
      <c r="AC2579" s="18">
        <f>SUM(grand[[#This Row],[am]:[meat transportation]])/100</f>
        <v>0.91770833333333346</v>
      </c>
      <c r="AD2579" s="1" t="s">
        <v>3117</v>
      </c>
      <c r="AJ2579" s="1">
        <v>12</v>
      </c>
    </row>
    <row r="2580" spans="1:38" hidden="1" x14ac:dyDescent="0.2">
      <c r="A2580" s="11">
        <v>46251</v>
      </c>
      <c r="B2580" s="53" t="str">
        <f>TEXT(grand[[#This Row],[date]],"[$-ar-SA,6]dd/mm/yyyy")</f>
        <v>04/03/1448</v>
      </c>
      <c r="C2580" s="52" t="str">
        <f>IF(MID(B2580,4,2)="09","Ramadan",IF(AND(MID(B2580,4,2)="12",VALUE(LEFT(B2580,2))&lt;=9),"Adha Season","Normal"))</f>
        <v>Normal</v>
      </c>
      <c r="D2580" s="1" t="s">
        <v>45</v>
      </c>
      <c r="F2580" s="4" t="s">
        <v>954</v>
      </c>
      <c r="G2580" s="1">
        <v>56</v>
      </c>
      <c r="H2580" s="1">
        <v>56</v>
      </c>
      <c r="I2580" s="1">
        <f>grand[[#This Row],[number]]-grand[[#This Row],[received]]</f>
        <v>0</v>
      </c>
      <c r="J2580" s="2"/>
      <c r="K2580" s="2">
        <v>24574</v>
      </c>
      <c r="L2580" s="2">
        <v>24574</v>
      </c>
      <c r="M2580" s="2">
        <f>K2580-L2580</f>
        <v>0</v>
      </c>
      <c r="N2580" s="2">
        <v>14965</v>
      </c>
      <c r="O2580" s="2">
        <v>426</v>
      </c>
      <c r="P2580" s="7">
        <f>grand[[#This Row],[total weight]]/grand[[#This Row],[received]]</f>
        <v>438.82142857142856</v>
      </c>
      <c r="Q2580" s="7">
        <f>grand[[#This Row],[receiving weight]]/grand[[#This Row],[received]]</f>
        <v>438.82142857142856</v>
      </c>
      <c r="R2580" s="7">
        <f>grand[[#This Row],[transportation loss ]]/grand[[#This Row],[received]]</f>
        <v>0</v>
      </c>
      <c r="S2580" s="7">
        <f>grand[[#This Row],[ carcass weight]]/grand[[#This Row],[received]]</f>
        <v>267.23214285714283</v>
      </c>
      <c r="T2580" s="7">
        <f>grand[[#This Row],[ kidneys fat quantity]]/grand[[#This Row],[received]]</f>
        <v>7.6071428571428568</v>
      </c>
      <c r="U2580" s="1">
        <v>25</v>
      </c>
      <c r="V2580" s="1">
        <v>0</v>
      </c>
      <c r="W2580" s="1">
        <v>45.205357142857146</v>
      </c>
      <c r="X2580" s="1">
        <v>10</v>
      </c>
      <c r="Y2580" s="1">
        <v>8.5</v>
      </c>
      <c r="Z2580" s="18">
        <f>grand[[#This Row],[av. Transportation loss]]/grand[[#This Row],[av.total weight]]</f>
        <v>0</v>
      </c>
      <c r="AA2580" s="18">
        <f>AVERAGE((grand[[#This Row],[am]]/25),(grand[[#This Row],[pm]]/50))</f>
        <v>0.95205357142857139</v>
      </c>
      <c r="AB2580" s="3">
        <f>grand[[#This Row],[ carcass weight]]/grand[[#This Row],[total weight]]</f>
        <v>0.6089769675266542</v>
      </c>
      <c r="AC2580" s="18">
        <f>SUM(grand[[#This Row],[am]:[meat transportation]])/100</f>
        <v>0.88705357142857144</v>
      </c>
      <c r="AD2580" s="1" t="s">
        <v>3119</v>
      </c>
      <c r="AJ2580" s="1">
        <v>0</v>
      </c>
    </row>
    <row r="2581" spans="1:38" hidden="1" x14ac:dyDescent="0.2">
      <c r="A2581" s="11">
        <v>46251</v>
      </c>
      <c r="B2581" s="53" t="str">
        <f>TEXT(grand[[#This Row],[date]],"[$-ar-SA,6]dd/mm/yyyy")</f>
        <v>04/03/1448</v>
      </c>
      <c r="C2581" s="52" t="str">
        <f>IF(MID(B2581,4,2)="09","Ramadan",IF(AND(MID(B2581,4,2)="12",VALUE(LEFT(B2581,2))&lt;=9),"Adha Season","Normal"))</f>
        <v>Normal</v>
      </c>
      <c r="D2581" s="1" t="s">
        <v>294</v>
      </c>
      <c r="F2581" s="4" t="s">
        <v>954</v>
      </c>
      <c r="G2581" s="1">
        <v>45</v>
      </c>
      <c r="H2581" s="1">
        <v>44</v>
      </c>
      <c r="I2581" s="1">
        <f>grand[[#This Row],[number]]-grand[[#This Row],[received]]</f>
        <v>1</v>
      </c>
      <c r="J2581" s="9" t="s">
        <v>3174</v>
      </c>
      <c r="K2581" s="2">
        <v>2271</v>
      </c>
      <c r="L2581" s="2">
        <v>2271</v>
      </c>
      <c r="M2581" s="2">
        <f>K2581-L2581</f>
        <v>0</v>
      </c>
      <c r="N2581" s="2">
        <v>1263</v>
      </c>
      <c r="O2581" s="2">
        <v>0</v>
      </c>
      <c r="P2581" s="7">
        <f>grand[[#This Row],[total weight]]/grand[[#This Row],[received]]</f>
        <v>51.613636363636367</v>
      </c>
      <c r="Q2581" s="7">
        <f>grand[[#This Row],[receiving weight]]/grand[[#This Row],[received]]</f>
        <v>51.613636363636367</v>
      </c>
      <c r="R2581" s="7">
        <f>grand[[#This Row],[transportation loss ]]/grand[[#This Row],[received]]</f>
        <v>0</v>
      </c>
      <c r="S2581" s="7">
        <f>grand[[#This Row],[ carcass weight]]/grand[[#This Row],[received]]</f>
        <v>28.704545454545453</v>
      </c>
      <c r="T2581" s="7">
        <f>grand[[#This Row],[ kidneys fat quantity]]/grand[[#This Row],[received]]</f>
        <v>0</v>
      </c>
      <c r="U2581" s="1">
        <v>25</v>
      </c>
      <c r="V2581" s="1">
        <v>0</v>
      </c>
      <c r="W2581" s="1">
        <v>39.32954545454546</v>
      </c>
      <c r="X2581" s="1">
        <v>10</v>
      </c>
      <c r="Y2581" s="1">
        <v>8.5</v>
      </c>
      <c r="Z2581" s="18">
        <f>grand[[#This Row],[av. Transportation loss]]/grand[[#This Row],[av.total weight]]</f>
        <v>0</v>
      </c>
      <c r="AA2581" s="18">
        <f>AVERAGE((grand[[#This Row],[am]]/25),(grand[[#This Row],[pm]]/50))</f>
        <v>0.89329545454545456</v>
      </c>
      <c r="AB2581" s="3">
        <f>grand[[#This Row],[ carcass weight]]/grand[[#This Row],[total weight]]</f>
        <v>0.5561426684280053</v>
      </c>
      <c r="AC2581" s="18">
        <f>SUM(grand[[#This Row],[am]:[meat transportation]])/100</f>
        <v>0.82829545454545472</v>
      </c>
      <c r="AD2581" s="1" t="s">
        <v>3118</v>
      </c>
      <c r="AJ2581" s="1">
        <v>0</v>
      </c>
    </row>
    <row r="2582" spans="1:38" hidden="1" x14ac:dyDescent="0.2">
      <c r="A2582" s="11">
        <v>46252</v>
      </c>
      <c r="B2582" s="53" t="str">
        <f>TEXT(grand[[#This Row],[date]],"[$-ar-SA,6]dd/mm/yyyy")</f>
        <v>05/03/1448</v>
      </c>
      <c r="C2582" s="52" t="str">
        <f>IF(MID(B2582,4,2)="09","Ramadan",IF(AND(MID(B2582,4,2)="12",VALUE(LEFT(B2582,2))&lt;=9),"Adha Season","Normal"))</f>
        <v>Normal</v>
      </c>
      <c r="D2582" s="2" t="s">
        <v>350</v>
      </c>
      <c r="F2582" s="4" t="s">
        <v>1161</v>
      </c>
      <c r="G2582" s="1">
        <v>31</v>
      </c>
      <c r="H2582" s="1">
        <v>31</v>
      </c>
      <c r="I2582" s="1">
        <f>grand[[#This Row],[number]]-grand[[#This Row],[received]]</f>
        <v>0</v>
      </c>
      <c r="J2582" s="2"/>
      <c r="K2582" s="2">
        <v>770</v>
      </c>
      <c r="L2582" s="2">
        <v>770</v>
      </c>
      <c r="M2582" s="2">
        <f>K2582-L2582</f>
        <v>0</v>
      </c>
      <c r="N2582" s="2">
        <v>425</v>
      </c>
      <c r="O2582" s="2">
        <v>0</v>
      </c>
      <c r="P2582" s="7">
        <f>grand[[#This Row],[total weight]]/grand[[#This Row],[received]]</f>
        <v>24.838709677419356</v>
      </c>
      <c r="Q2582" s="7">
        <f>grand[[#This Row],[receiving weight]]/grand[[#This Row],[received]]</f>
        <v>24.838709677419356</v>
      </c>
      <c r="R2582" s="7">
        <f>grand[[#This Row],[transportation loss ]]/grand[[#This Row],[received]]</f>
        <v>0</v>
      </c>
      <c r="S2582" s="7">
        <f>grand[[#This Row],[ carcass weight]]/grand[[#This Row],[received]]</f>
        <v>13.709677419354838</v>
      </c>
      <c r="T2582" s="7">
        <f>grand[[#This Row],[ kidneys fat quantity]]/grand[[#This Row],[received]]</f>
        <v>0</v>
      </c>
      <c r="U2582" s="1">
        <v>25</v>
      </c>
      <c r="V2582" s="1">
        <v>0</v>
      </c>
      <c r="W2582" s="1">
        <v>47.935483870967744</v>
      </c>
      <c r="X2582" s="1">
        <v>10</v>
      </c>
      <c r="Y2582" s="1">
        <v>8.5</v>
      </c>
      <c r="Z2582" s="18">
        <f>grand[[#This Row],[av. Transportation loss]]/grand[[#This Row],[av.total weight]]</f>
        <v>0</v>
      </c>
      <c r="AA2582" s="18">
        <f>AVERAGE((grand[[#This Row],[am]]/25),(grand[[#This Row],[pm]]/50))</f>
        <v>0.97935483870967743</v>
      </c>
      <c r="AB2582" s="3">
        <f>grand[[#This Row],[ carcass weight]]/grand[[#This Row],[total weight]]</f>
        <v>0.55194805194805197</v>
      </c>
      <c r="AC2582" s="18">
        <f>SUM(grand[[#This Row],[am]:[meat transportation]])/100</f>
        <v>0.91435483870967749</v>
      </c>
      <c r="AD2582" s="1" t="s">
        <v>3121</v>
      </c>
      <c r="AJ2582" s="1">
        <v>0</v>
      </c>
    </row>
    <row r="2583" spans="1:38" hidden="1" x14ac:dyDescent="0.2">
      <c r="A2583" s="11">
        <v>43972</v>
      </c>
      <c r="B2583" s="53" t="s">
        <v>1477</v>
      </c>
      <c r="C2583" s="52" t="str">
        <f>IF(MID(B2583,4,2)="09","Ramadan",IF(AND(MID(B2583,4,2)="12",VALUE(LEFT(B2583,2))&lt;=9),"Adha Season","Normal"))</f>
        <v>Ramadan</v>
      </c>
      <c r="D2583" s="1" t="s">
        <v>45</v>
      </c>
      <c r="F2583" s="4" t="s">
        <v>50</v>
      </c>
      <c r="G2583" s="4">
        <v>51</v>
      </c>
      <c r="H2583" s="4">
        <v>46</v>
      </c>
      <c r="I2583" s="2">
        <f>grand[[#This Row],[number]]-grand[[#This Row],[received]]</f>
        <v>5</v>
      </c>
      <c r="J2583" s="30" t="s">
        <v>130</v>
      </c>
      <c r="K2583" s="4">
        <v>18880</v>
      </c>
      <c r="L2583" s="4">
        <v>17290</v>
      </c>
      <c r="M2583" s="2">
        <f>K2583-L2583</f>
        <v>1590</v>
      </c>
      <c r="N2583" s="4">
        <v>11541.1</v>
      </c>
      <c r="O2583" s="4"/>
      <c r="P2583" s="7">
        <f>grand[[#This Row],[total weight]]/grand[[#This Row],[received]]</f>
        <v>410.43478260869563</v>
      </c>
      <c r="Q2583" s="7">
        <f>grand[[#This Row],[receiving weight]]/grand[[#This Row],[received]]</f>
        <v>375.86956521739131</v>
      </c>
      <c r="R2583" s="7">
        <f>grand[[#This Row],[transportation loss ]]/grand[[#This Row],[received]]</f>
        <v>34.565217391304351</v>
      </c>
      <c r="S2583" s="7">
        <f>grand[[#This Row],[ carcass weight]]/grand[[#This Row],[received]]</f>
        <v>250.89347826086959</v>
      </c>
      <c r="T2583" s="7">
        <f>grand[[#This Row],[ kidneys fat quantity]]/grand[[#This Row],[received]]</f>
        <v>0</v>
      </c>
      <c r="U2583" s="4">
        <v>25</v>
      </c>
      <c r="V2583" s="4">
        <v>0</v>
      </c>
      <c r="W2583" s="4">
        <v>49.9</v>
      </c>
      <c r="X2583" s="4">
        <v>10</v>
      </c>
      <c r="Y2583" s="8">
        <v>8.5</v>
      </c>
      <c r="Z2583" s="3">
        <f>grand[[#This Row],[av. Transportation loss]]/grand[[#This Row],[av.total weight]]</f>
        <v>8.4216101694915266E-2</v>
      </c>
      <c r="AA2583" s="12">
        <f>AVERAGE((grand[[#This Row],[am]]/25),(grand[[#This Row],[pm]]/50))</f>
        <v>0.999</v>
      </c>
      <c r="AB2583" s="3">
        <f>grand[[#This Row],[ carcass weight]]/grand[[#This Row],[total weight]]</f>
        <v>0.6112870762711865</v>
      </c>
      <c r="AC2583" s="6">
        <f>SUM(grand[[#This Row],[am]:[meat transportation]])/100</f>
        <v>0.93400000000000005</v>
      </c>
      <c r="AD2583" s="4" t="s">
        <v>113</v>
      </c>
      <c r="AE2583" s="4"/>
      <c r="AF2583" s="4"/>
      <c r="AG2583" s="4"/>
      <c r="AH2583" s="4"/>
      <c r="AI2583" s="4"/>
      <c r="AJ2583" s="2"/>
      <c r="AK2583" s="4"/>
    </row>
    <row r="2584" spans="1:38" hidden="1" x14ac:dyDescent="0.2">
      <c r="A2584" s="11">
        <v>44164</v>
      </c>
      <c r="B2584" s="53" t="s">
        <v>1525</v>
      </c>
      <c r="C2584" s="52" t="str">
        <f>IF(MID(B2584,4,2)="09","Ramadan",IF(AND(MID(B2584,4,2)="12",VALUE(LEFT(B2584,2))&lt;=9),"Adha Season","Normal"))</f>
        <v>Normal</v>
      </c>
      <c r="D2584" s="1" t="s">
        <v>45</v>
      </c>
      <c r="F2584" s="4" t="s">
        <v>50</v>
      </c>
      <c r="G2584" s="4">
        <v>47</v>
      </c>
      <c r="H2584" s="4">
        <v>42</v>
      </c>
      <c r="I2584" s="2">
        <f>grand[[#This Row],[number]]-grand[[#This Row],[received]]</f>
        <v>5</v>
      </c>
      <c r="J2584" s="30" t="s">
        <v>237</v>
      </c>
      <c r="K2584" s="4">
        <v>18493</v>
      </c>
      <c r="L2584" s="4">
        <v>17396</v>
      </c>
      <c r="M2584" s="2">
        <f>K2584-L2584</f>
        <v>1097</v>
      </c>
      <c r="N2584" s="4">
        <v>11422.3</v>
      </c>
      <c r="O2584" s="4"/>
      <c r="P2584" s="7">
        <f>grand[[#This Row],[total weight]]/grand[[#This Row],[received]]</f>
        <v>440.3095238095238</v>
      </c>
      <c r="Q2584" s="7">
        <f>grand[[#This Row],[receiving weight]]/grand[[#This Row],[received]]</f>
        <v>414.1904761904762</v>
      </c>
      <c r="R2584" s="7">
        <f>grand[[#This Row],[transportation loss ]]/grand[[#This Row],[received]]</f>
        <v>26.11904761904762</v>
      </c>
      <c r="S2584" s="7">
        <f>grand[[#This Row],[ carcass weight]]/grand[[#This Row],[received]]</f>
        <v>271.95952380952377</v>
      </c>
      <c r="T2584" s="7">
        <f>grand[[#This Row],[ kidneys fat quantity]]/grand[[#This Row],[received]]</f>
        <v>0</v>
      </c>
      <c r="U2584" s="4">
        <v>25</v>
      </c>
      <c r="V2584" s="4">
        <v>0</v>
      </c>
      <c r="W2584" s="4">
        <v>49.74</v>
      </c>
      <c r="X2584" s="4">
        <v>10</v>
      </c>
      <c r="Y2584" s="8">
        <v>8.5</v>
      </c>
      <c r="Z2584" s="3">
        <f>grand[[#This Row],[av. Transportation loss]]/grand[[#This Row],[av.total weight]]</f>
        <v>5.9319742605310123E-2</v>
      </c>
      <c r="AA2584" s="12">
        <f>AVERAGE((grand[[#This Row],[am]]/25),(grand[[#This Row],[pm]]/50))</f>
        <v>0.99740000000000006</v>
      </c>
      <c r="AB2584" s="3">
        <f>grand[[#This Row],[ carcass weight]]/grand[[#This Row],[total weight]]</f>
        <v>0.6176553290434218</v>
      </c>
      <c r="AC2584" s="6">
        <f>SUM(grand[[#This Row],[am]:[meat transportation]])/100</f>
        <v>0.93240000000000012</v>
      </c>
      <c r="AD2584" s="9" t="s">
        <v>81</v>
      </c>
      <c r="AE2584" s="4"/>
      <c r="AF2584" s="4" t="s">
        <v>71</v>
      </c>
      <c r="AG2584" s="4"/>
      <c r="AH2584" s="4"/>
      <c r="AI2584" s="4"/>
      <c r="AJ2584" s="2"/>
      <c r="AK2584" s="4"/>
      <c r="AL2584" s="2">
        <f>2204+13</f>
        <v>2217</v>
      </c>
    </row>
    <row r="2585" spans="1:38" hidden="1" x14ac:dyDescent="0.2">
      <c r="A2585" s="11">
        <v>44298</v>
      </c>
      <c r="B2585" s="53" t="s">
        <v>1547</v>
      </c>
      <c r="C2585" s="52" t="str">
        <f>IF(MID(B2585,4,2)="09","Ramadan",IF(AND(MID(B2585,4,2)="12",VALUE(LEFT(B2585,2))&lt;=9),"Adha Season","Normal"))</f>
        <v>Normal</v>
      </c>
      <c r="D2585" s="1" t="s">
        <v>45</v>
      </c>
      <c r="F2585" s="4" t="s">
        <v>47</v>
      </c>
      <c r="G2585" s="4">
        <v>58</v>
      </c>
      <c r="H2585" s="4">
        <v>53</v>
      </c>
      <c r="I2585" s="2">
        <f>grand[[#This Row],[number]]-grand[[#This Row],[received]]</f>
        <v>5</v>
      </c>
      <c r="J2585" s="30" t="s">
        <v>286</v>
      </c>
      <c r="K2585" s="9">
        <v>23695</v>
      </c>
      <c r="L2585" s="9">
        <v>23116</v>
      </c>
      <c r="M2585" s="2">
        <f>K2585-L2585</f>
        <v>579</v>
      </c>
      <c r="N2585" s="9">
        <v>14338.5</v>
      </c>
      <c r="O2585" s="2"/>
      <c r="P2585" s="7">
        <f>grand[[#This Row],[total weight]]/grand[[#This Row],[received]]</f>
        <v>447.07547169811323</v>
      </c>
      <c r="Q2585" s="7">
        <f>grand[[#This Row],[receiving weight]]/grand[[#This Row],[received]]</f>
        <v>436.15094339622641</v>
      </c>
      <c r="R2585" s="7">
        <f>grand[[#This Row],[transportation loss ]]/grand[[#This Row],[received]]</f>
        <v>10.924528301886792</v>
      </c>
      <c r="S2585" s="7">
        <f>grand[[#This Row],[ carcass weight]]/grand[[#This Row],[received]]</f>
        <v>270.53773584905662</v>
      </c>
      <c r="T2585" s="7">
        <f>grand[[#This Row],[ kidneys fat quantity]]/grand[[#This Row],[received]]</f>
        <v>0</v>
      </c>
      <c r="U2585" s="4">
        <v>25</v>
      </c>
      <c r="V2585" s="4">
        <v>0</v>
      </c>
      <c r="W2585" s="4">
        <v>49.91</v>
      </c>
      <c r="X2585" s="4">
        <v>10</v>
      </c>
      <c r="Y2585" s="8">
        <v>8.5</v>
      </c>
      <c r="Z2585" s="3">
        <f>grand[[#This Row],[av. Transportation loss]]/grand[[#This Row],[av.total weight]]</f>
        <v>2.4435534922979528E-2</v>
      </c>
      <c r="AA2585" s="12">
        <f>AVERAGE((grand[[#This Row],[am]]/25),(grand[[#This Row],[pm]]/50))</f>
        <v>0.99909999999999999</v>
      </c>
      <c r="AB2585" s="3">
        <f>grand[[#This Row],[ carcass weight]]/grand[[#This Row],[total weight]]</f>
        <v>0.60512766406414853</v>
      </c>
      <c r="AC2585" s="6">
        <f>SUM(grand[[#This Row],[am]:[meat transportation]])/100</f>
        <v>0.93409999999999993</v>
      </c>
      <c r="AD2585" s="9"/>
      <c r="AE2585" s="4"/>
      <c r="AF2585" s="4"/>
      <c r="AG2585" s="2"/>
      <c r="AH2585" s="2"/>
      <c r="AI2585" s="2"/>
      <c r="AJ2585" s="2">
        <v>6</v>
      </c>
      <c r="AK2585" s="12">
        <f>grand[[#This Row],[accepted as exception]]/grand[[#This Row],[number]]</f>
        <v>0.10344827586206896</v>
      </c>
      <c r="AL2585" s="2">
        <v>2089</v>
      </c>
    </row>
    <row r="2586" spans="1:38" hidden="1" x14ac:dyDescent="0.2">
      <c r="A2586" s="11">
        <v>44320</v>
      </c>
      <c r="B2586" s="53" t="s">
        <v>2647</v>
      </c>
      <c r="C2586" s="52" t="str">
        <f>IF(MID(B2586,4,2)="09","Ramadan",IF(AND(MID(B2586,4,2)="12",VALUE(LEFT(B2586,2))&lt;=9),"Adha Season","Normal"))</f>
        <v>Ramadan</v>
      </c>
      <c r="D2586" s="1" t="s">
        <v>45</v>
      </c>
      <c r="F2586" s="4" t="s">
        <v>280</v>
      </c>
      <c r="G2586" s="4">
        <v>29</v>
      </c>
      <c r="H2586" s="4">
        <v>24</v>
      </c>
      <c r="I2586" s="2">
        <f>grand[[#This Row],[number]]-grand[[#This Row],[received]]</f>
        <v>5</v>
      </c>
      <c r="J2586" s="30" t="s">
        <v>288</v>
      </c>
      <c r="K2586" s="9">
        <v>12565</v>
      </c>
      <c r="L2586" s="9">
        <v>11892</v>
      </c>
      <c r="M2586" s="2">
        <f>K2586-L2586</f>
        <v>673</v>
      </c>
      <c r="N2586" s="9">
        <v>7634.5</v>
      </c>
      <c r="O2586" s="2"/>
      <c r="P2586" s="7">
        <f>grand[[#This Row],[total weight]]/grand[[#This Row],[received]]</f>
        <v>523.54166666666663</v>
      </c>
      <c r="Q2586" s="7">
        <f>grand[[#This Row],[receiving weight]]/grand[[#This Row],[received]]</f>
        <v>495.5</v>
      </c>
      <c r="R2586" s="7">
        <f>grand[[#This Row],[transportation loss ]]/grand[[#This Row],[received]]</f>
        <v>28.041666666666668</v>
      </c>
      <c r="S2586" s="7">
        <f>grand[[#This Row],[ carcass weight]]/grand[[#This Row],[received]]</f>
        <v>318.10416666666669</v>
      </c>
      <c r="T2586" s="7">
        <f>grand[[#This Row],[ kidneys fat quantity]]/grand[[#This Row],[received]]</f>
        <v>0</v>
      </c>
      <c r="U2586" s="4">
        <v>24.8</v>
      </c>
      <c r="V2586" s="4">
        <v>0</v>
      </c>
      <c r="W2586" s="4">
        <v>50</v>
      </c>
      <c r="X2586" s="4">
        <v>10</v>
      </c>
      <c r="Y2586" s="8">
        <v>8.5</v>
      </c>
      <c r="Z2586" s="3">
        <f>grand[[#This Row],[av. Transportation loss]]/grand[[#This Row],[av.total weight]]</f>
        <v>5.3561480302427383E-2</v>
      </c>
      <c r="AA2586" s="12">
        <f>AVERAGE((grand[[#This Row],[am]]/25),(grand[[#This Row],[pm]]/50))</f>
        <v>0.996</v>
      </c>
      <c r="AB2586" s="3">
        <f>grand[[#This Row],[ carcass weight]]/grand[[#This Row],[total weight]]</f>
        <v>0.60760047751691204</v>
      </c>
      <c r="AC2586" s="6">
        <f>SUM(grand[[#This Row],[am]:[meat transportation]])/100</f>
        <v>0.93299999999999994</v>
      </c>
      <c r="AD2586" s="2"/>
      <c r="AE2586" s="2"/>
      <c r="AF2586" s="2"/>
      <c r="AG2586" s="2"/>
      <c r="AH2586" s="2"/>
      <c r="AI2586" s="2"/>
      <c r="AJ2586" s="2">
        <v>16</v>
      </c>
      <c r="AK2586" s="12">
        <f>grand[[#This Row],[accepted as exception]]/grand[[#This Row],[number]]</f>
        <v>0.55172413793103448</v>
      </c>
      <c r="AL2586" s="2">
        <f>2053+520</f>
        <v>2573</v>
      </c>
    </row>
    <row r="2587" spans="1:38" hidden="1" x14ac:dyDescent="0.2">
      <c r="A2587" s="11">
        <v>44324</v>
      </c>
      <c r="B2587" s="53" t="s">
        <v>2649</v>
      </c>
      <c r="C2587" s="52" t="str">
        <f>IF(MID(B2587,4,2)="09","Ramadan",IF(AND(MID(B2587,4,2)="12",VALUE(LEFT(B2587,2))&lt;=9),"Adha Season","Normal"))</f>
        <v>Ramadan</v>
      </c>
      <c r="D2587" s="1" t="s">
        <v>45</v>
      </c>
      <c r="F2587" s="4" t="s">
        <v>46</v>
      </c>
      <c r="G2587" s="4">
        <v>28</v>
      </c>
      <c r="H2587" s="4">
        <v>23</v>
      </c>
      <c r="I2587" s="2">
        <f>grand[[#This Row],[number]]-grand[[#This Row],[received]]</f>
        <v>5</v>
      </c>
      <c r="J2587" s="30" t="s">
        <v>289</v>
      </c>
      <c r="K2587" s="9">
        <v>12640</v>
      </c>
      <c r="L2587" s="9">
        <v>11491</v>
      </c>
      <c r="M2587" s="2">
        <f>K2587-L2587</f>
        <v>1149</v>
      </c>
      <c r="N2587" s="9">
        <v>7634.4</v>
      </c>
      <c r="O2587" s="2"/>
      <c r="P2587" s="7">
        <f>grand[[#This Row],[total weight]]/grand[[#This Row],[received]]</f>
        <v>549.56521739130437</v>
      </c>
      <c r="Q2587" s="7">
        <f>grand[[#This Row],[receiving weight]]/grand[[#This Row],[received]]</f>
        <v>499.60869565217394</v>
      </c>
      <c r="R2587" s="7">
        <f>grand[[#This Row],[transportation loss ]]/grand[[#This Row],[received]]</f>
        <v>49.956521739130437</v>
      </c>
      <c r="S2587" s="7">
        <f>grand[[#This Row],[ carcass weight]]/grand[[#This Row],[received]]</f>
        <v>331.9304347826087</v>
      </c>
      <c r="T2587" s="7">
        <f>grand[[#This Row],[ kidneys fat quantity]]/grand[[#This Row],[received]]</f>
        <v>0</v>
      </c>
      <c r="U2587" s="4">
        <v>23</v>
      </c>
      <c r="V2587" s="4">
        <v>0</v>
      </c>
      <c r="W2587" s="4">
        <v>48.83</v>
      </c>
      <c r="X2587" s="4">
        <v>10</v>
      </c>
      <c r="Y2587" s="8">
        <v>8.5</v>
      </c>
      <c r="Z2587" s="3">
        <f>grand[[#This Row],[av. Transportation loss]]/grand[[#This Row],[av.total weight]]</f>
        <v>9.0901898734177214E-2</v>
      </c>
      <c r="AA2587" s="12">
        <f>AVERAGE((grand[[#This Row],[am]]/25),(grand[[#This Row],[pm]]/50))</f>
        <v>0.94829999999999992</v>
      </c>
      <c r="AB2587" s="3">
        <f>grand[[#This Row],[ carcass weight]]/grand[[#This Row],[total weight]]</f>
        <v>0.60398734177215185</v>
      </c>
      <c r="AC2587" s="6">
        <f>SUM(grand[[#This Row],[am]:[meat transportation]])/100</f>
        <v>0.90329999999999999</v>
      </c>
      <c r="AD2587" s="2"/>
      <c r="AE2587" s="2"/>
      <c r="AF2587" s="2"/>
      <c r="AG2587" s="2"/>
      <c r="AH2587" s="2"/>
      <c r="AI2587" s="2"/>
      <c r="AJ2587" s="2">
        <v>7</v>
      </c>
      <c r="AK2587" s="12">
        <f>grand[[#This Row],[accepted as exception]]/grand[[#This Row],[number]]</f>
        <v>0.25</v>
      </c>
      <c r="AL2587" s="2">
        <f>1098+999+527+1</f>
        <v>2625</v>
      </c>
    </row>
    <row r="2588" spans="1:38" hidden="1" x14ac:dyDescent="0.2">
      <c r="A2588" s="11">
        <v>44353</v>
      </c>
      <c r="B2588" s="53" t="s">
        <v>1557</v>
      </c>
      <c r="C2588" s="52" t="str">
        <f>IF(MID(B2588,4,2)="09","Ramadan",IF(AND(MID(B2588,4,2)="12",VALUE(LEFT(B2588,2))&lt;=9),"Adha Season","Normal"))</f>
        <v>Normal</v>
      </c>
      <c r="D2588" s="1" t="s">
        <v>45</v>
      </c>
      <c r="F2588" s="4" t="s">
        <v>39</v>
      </c>
      <c r="G2588" s="4">
        <v>52</v>
      </c>
      <c r="H2588" s="4">
        <v>47</v>
      </c>
      <c r="I2588" s="2">
        <f>grand[[#This Row],[number]]-grand[[#This Row],[received]]</f>
        <v>5</v>
      </c>
      <c r="J2588" s="30" t="s">
        <v>299</v>
      </c>
      <c r="K2588" s="9">
        <v>20391</v>
      </c>
      <c r="L2588" s="9">
        <v>19685</v>
      </c>
      <c r="M2588" s="2">
        <f>K2588-L2588</f>
        <v>706</v>
      </c>
      <c r="N2588" s="9">
        <v>12778.7</v>
      </c>
      <c r="O2588" s="2"/>
      <c r="P2588" s="7">
        <f>grand[[#This Row],[total weight]]/grand[[#This Row],[received]]</f>
        <v>433.85106382978722</v>
      </c>
      <c r="Q2588" s="7">
        <f>grand[[#This Row],[receiving weight]]/grand[[#This Row],[received]]</f>
        <v>418.82978723404256</v>
      </c>
      <c r="R2588" s="7">
        <f>grand[[#This Row],[transportation loss ]]/grand[[#This Row],[received]]</f>
        <v>15.021276595744681</v>
      </c>
      <c r="S2588" s="7">
        <f>grand[[#This Row],[ carcass weight]]/grand[[#This Row],[received]]</f>
        <v>271.88723404255319</v>
      </c>
      <c r="T2588" s="7">
        <f>grand[[#This Row],[ kidneys fat quantity]]/grand[[#This Row],[received]]</f>
        <v>0</v>
      </c>
      <c r="U2588" s="4">
        <v>25</v>
      </c>
      <c r="V2588" s="4">
        <v>0</v>
      </c>
      <c r="W2588" s="4">
        <v>49.81</v>
      </c>
      <c r="X2588" s="4">
        <v>10</v>
      </c>
      <c r="Y2588" s="8">
        <v>8.5</v>
      </c>
      <c r="Z2588" s="3">
        <f>grand[[#This Row],[av. Transportation loss]]/grand[[#This Row],[av.total weight]]</f>
        <v>3.4623118042273554E-2</v>
      </c>
      <c r="AA2588" s="12">
        <f>AVERAGE((grand[[#This Row],[am]]/25),(grand[[#This Row],[pm]]/50))</f>
        <v>0.99809999999999999</v>
      </c>
      <c r="AB2588" s="3">
        <f>grand[[#This Row],[ carcass weight]]/grand[[#This Row],[total weight]]</f>
        <v>0.62668334068951992</v>
      </c>
      <c r="AC2588" s="6">
        <f>SUM(grand[[#This Row],[am]:[meat transportation]])/100</f>
        <v>0.93310000000000004</v>
      </c>
      <c r="AD2588" s="2"/>
      <c r="AE2588" s="2"/>
      <c r="AF2588" s="2"/>
      <c r="AG2588" s="2"/>
      <c r="AH2588" s="2"/>
      <c r="AI2588" s="2"/>
      <c r="AJ2588" s="2">
        <v>8</v>
      </c>
      <c r="AK2588" s="12">
        <f>grand[[#This Row],[accepted as exception]]/grand[[#This Row],[number]]</f>
        <v>0.15384615384615385</v>
      </c>
      <c r="AL2588" s="2">
        <v>2119</v>
      </c>
    </row>
    <row r="2589" spans="1:38" hidden="1" x14ac:dyDescent="0.2">
      <c r="A2589" s="11">
        <v>44373</v>
      </c>
      <c r="B2589" s="53" t="s">
        <v>2668</v>
      </c>
      <c r="C2589" s="52" t="str">
        <f>IF(MID(B2589,4,2)="09","Ramadan",IF(AND(MID(B2589,4,2)="12",VALUE(LEFT(B2589,2))&lt;=9),"Adha Season","Normal"))</f>
        <v>Normal</v>
      </c>
      <c r="D2589" s="1" t="s">
        <v>45</v>
      </c>
      <c r="F2589" s="4" t="s">
        <v>43</v>
      </c>
      <c r="G2589" s="4">
        <v>30</v>
      </c>
      <c r="H2589" s="4">
        <v>25</v>
      </c>
      <c r="I2589" s="2">
        <f>grand[[#This Row],[number]]-grand[[#This Row],[received]]</f>
        <v>5</v>
      </c>
      <c r="J2589" s="30" t="s">
        <v>303</v>
      </c>
      <c r="K2589" s="9">
        <v>11648</v>
      </c>
      <c r="L2589" s="9">
        <v>11274</v>
      </c>
      <c r="M2589" s="2">
        <f>K2589-L2589</f>
        <v>374</v>
      </c>
      <c r="N2589" s="9">
        <v>6988.7</v>
      </c>
      <c r="O2589" s="2"/>
      <c r="P2589" s="7">
        <f>grand[[#This Row],[total weight]]/grand[[#This Row],[received]]</f>
        <v>465.92</v>
      </c>
      <c r="Q2589" s="7">
        <f>grand[[#This Row],[receiving weight]]/grand[[#This Row],[received]]</f>
        <v>450.96</v>
      </c>
      <c r="R2589" s="7">
        <f>grand[[#This Row],[transportation loss ]]/grand[[#This Row],[received]]</f>
        <v>14.96</v>
      </c>
      <c r="S2589" s="7">
        <f>grand[[#This Row],[ carcass weight]]/grand[[#This Row],[received]]</f>
        <v>279.548</v>
      </c>
      <c r="T2589" s="7">
        <f>grand[[#This Row],[ kidneys fat quantity]]/grand[[#This Row],[received]]</f>
        <v>0</v>
      </c>
      <c r="U2589" s="4">
        <v>25</v>
      </c>
      <c r="V2589" s="4">
        <v>0</v>
      </c>
      <c r="W2589" s="4">
        <v>44.92</v>
      </c>
      <c r="X2589" s="4">
        <v>10</v>
      </c>
      <c r="Y2589" s="8">
        <v>8.5</v>
      </c>
      <c r="Z2589" s="3">
        <f>grand[[#This Row],[av. Transportation loss]]/grand[[#This Row],[av.total weight]]</f>
        <v>3.2108516483516487E-2</v>
      </c>
      <c r="AA2589" s="12">
        <f>AVERAGE((grand[[#This Row],[am]]/25),(grand[[#This Row],[pm]]/50))</f>
        <v>0.94920000000000004</v>
      </c>
      <c r="AB2589" s="3">
        <f>grand[[#This Row],[ carcass weight]]/grand[[#This Row],[total weight]]</f>
        <v>0.59999141483516483</v>
      </c>
      <c r="AC2589" s="6">
        <f>SUM(grand[[#This Row],[am]:[meat transportation]])/100</f>
        <v>0.88419999999999999</v>
      </c>
      <c r="AD2589" s="2"/>
      <c r="AE2589" s="2"/>
      <c r="AF2589" s="2"/>
      <c r="AG2589" s="2"/>
      <c r="AH2589" s="2"/>
      <c r="AI2589" s="2"/>
      <c r="AJ2589" s="2">
        <v>9</v>
      </c>
      <c r="AK2589" s="12">
        <f>grand[[#This Row],[accepted as exception]]/grand[[#This Row],[number]]</f>
        <v>0.3</v>
      </c>
      <c r="AL2589" s="2">
        <f>2441.5</f>
        <v>2441.5</v>
      </c>
    </row>
    <row r="2590" spans="1:38" hidden="1" x14ac:dyDescent="0.2">
      <c r="A2590" s="11">
        <v>44406</v>
      </c>
      <c r="B2590" s="53" t="s">
        <v>1573</v>
      </c>
      <c r="C2590" s="52" t="str">
        <f>IF(MID(B2590,4,2)="09","Ramadan",IF(AND(MID(B2590,4,2)="12",VALUE(LEFT(B2590,2))&lt;=9),"Adha Season","Normal"))</f>
        <v>Normal</v>
      </c>
      <c r="D2590" s="1" t="s">
        <v>45</v>
      </c>
      <c r="F2590" s="4" t="s">
        <v>46</v>
      </c>
      <c r="G2590" s="4">
        <v>50</v>
      </c>
      <c r="H2590" s="4">
        <v>45</v>
      </c>
      <c r="I2590" s="2">
        <f>grand[[#This Row],[number]]-grand[[#This Row],[received]]</f>
        <v>5</v>
      </c>
      <c r="J2590" s="30" t="s">
        <v>312</v>
      </c>
      <c r="K2590" s="2">
        <v>16733</v>
      </c>
      <c r="L2590" s="2">
        <v>16615</v>
      </c>
      <c r="M2590" s="2">
        <f>K2590-L2590</f>
        <v>118</v>
      </c>
      <c r="N2590" s="2">
        <v>10039.200000000001</v>
      </c>
      <c r="O2590" s="2"/>
      <c r="P2590" s="7">
        <f>grand[[#This Row],[total weight]]/grand[[#This Row],[received]]</f>
        <v>371.84444444444443</v>
      </c>
      <c r="Q2590" s="7">
        <f>grand[[#This Row],[receiving weight]]/grand[[#This Row],[received]]</f>
        <v>369.22222222222223</v>
      </c>
      <c r="R2590" s="7">
        <f>grand[[#This Row],[transportation loss ]]/grand[[#This Row],[received]]</f>
        <v>2.6222222222222222</v>
      </c>
      <c r="S2590" s="7">
        <f>grand[[#This Row],[ carcass weight]]/grand[[#This Row],[received]]</f>
        <v>223.09333333333336</v>
      </c>
      <c r="T2590" s="7">
        <f>grand[[#This Row],[ kidneys fat quantity]]/grand[[#This Row],[received]]</f>
        <v>0</v>
      </c>
      <c r="U2590" s="4">
        <v>25</v>
      </c>
      <c r="V2590" s="4">
        <v>0</v>
      </c>
      <c r="W2590" s="4">
        <v>49.63</v>
      </c>
      <c r="X2590" s="4">
        <v>10</v>
      </c>
      <c r="Y2590" s="8">
        <v>8.5</v>
      </c>
      <c r="Z2590" s="3">
        <f>grand[[#This Row],[av. Transportation loss]]/grand[[#This Row],[av.total weight]]</f>
        <v>7.051933305444332E-3</v>
      </c>
      <c r="AA2590" s="12">
        <f>AVERAGE((grand[[#This Row],[am]]/25),(grand[[#This Row],[pm]]/50))</f>
        <v>0.99629999999999996</v>
      </c>
      <c r="AB2590" s="3">
        <f>grand[[#This Row],[ carcass weight]]/grand[[#This Row],[total weight]]</f>
        <v>0.59996414271200627</v>
      </c>
      <c r="AC2590" s="6">
        <f>SUM(grand[[#This Row],[am]:[meat transportation]])/100</f>
        <v>0.93129999999999991</v>
      </c>
      <c r="AD2590" s="2"/>
      <c r="AE2590" s="2"/>
      <c r="AF2590" s="2"/>
      <c r="AG2590" s="2"/>
      <c r="AH2590" s="2"/>
      <c r="AI2590" s="2"/>
      <c r="AJ2590" s="2">
        <v>10</v>
      </c>
      <c r="AK2590" s="12">
        <f>grand[[#This Row],[accepted as exception]]/grand[[#This Row],[number]]</f>
        <v>0.2</v>
      </c>
      <c r="AL2590" s="2">
        <v>1780</v>
      </c>
    </row>
    <row r="2591" spans="1:38" hidden="1" x14ac:dyDescent="0.2">
      <c r="A2591" s="11">
        <v>44418</v>
      </c>
      <c r="B2591" s="53" t="s">
        <v>2680</v>
      </c>
      <c r="C2591" s="52" t="str">
        <f>IF(MID(B2591,4,2)="09","Ramadan",IF(AND(MID(B2591,4,2)="12",VALUE(LEFT(B2591,2))&lt;=9),"Adha Season","Normal"))</f>
        <v>Normal</v>
      </c>
      <c r="D2591" s="1" t="s">
        <v>45</v>
      </c>
      <c r="F2591" s="4" t="s">
        <v>46</v>
      </c>
      <c r="G2591" s="4">
        <v>41</v>
      </c>
      <c r="H2591" s="4">
        <v>36</v>
      </c>
      <c r="I2591" s="2">
        <f>grand[[#This Row],[number]]-grand[[#This Row],[received]]</f>
        <v>5</v>
      </c>
      <c r="J2591" s="30" t="s">
        <v>317</v>
      </c>
      <c r="K2591" s="2">
        <v>14544</v>
      </c>
      <c r="L2591" s="2">
        <v>13955</v>
      </c>
      <c r="M2591" s="2">
        <f>K2591-L2591</f>
        <v>589</v>
      </c>
      <c r="N2591" s="2">
        <v>8726.7000000000007</v>
      </c>
      <c r="O2591" s="2"/>
      <c r="P2591" s="7">
        <f>grand[[#This Row],[total weight]]/grand[[#This Row],[received]]</f>
        <v>404</v>
      </c>
      <c r="Q2591" s="7">
        <f>grand[[#This Row],[receiving weight]]/grand[[#This Row],[received]]</f>
        <v>387.63888888888891</v>
      </c>
      <c r="R2591" s="7">
        <f>grand[[#This Row],[transportation loss ]]/grand[[#This Row],[received]]</f>
        <v>16.361111111111111</v>
      </c>
      <c r="S2591" s="7">
        <f>grand[[#This Row],[ carcass weight]]/grand[[#This Row],[received]]</f>
        <v>242.40833333333336</v>
      </c>
      <c r="T2591" s="7">
        <f>grand[[#This Row],[ kidneys fat quantity]]/grand[[#This Row],[received]]</f>
        <v>0</v>
      </c>
      <c r="U2591" s="4">
        <v>25</v>
      </c>
      <c r="V2591" s="4">
        <v>0</v>
      </c>
      <c r="W2591" s="4">
        <v>49.94</v>
      </c>
      <c r="X2591" s="4">
        <v>10</v>
      </c>
      <c r="Y2591" s="8">
        <v>8.5</v>
      </c>
      <c r="Z2591" s="3">
        <f>grand[[#This Row],[av. Transportation loss]]/grand[[#This Row],[av.total weight]]</f>
        <v>4.0497799779978E-2</v>
      </c>
      <c r="AA2591" s="12">
        <f>AVERAGE((grand[[#This Row],[am]]/25),(grand[[#This Row],[pm]]/50))</f>
        <v>0.99939999999999996</v>
      </c>
      <c r="AB2591" s="3">
        <f>grand[[#This Row],[ carcass weight]]/grand[[#This Row],[total weight]]</f>
        <v>0.60002062706270631</v>
      </c>
      <c r="AC2591" s="6">
        <f>SUM(grand[[#This Row],[am]:[meat transportation]])/100</f>
        <v>0.93440000000000001</v>
      </c>
      <c r="AD2591" s="2"/>
      <c r="AE2591" s="2"/>
      <c r="AF2591" s="2"/>
      <c r="AG2591" s="2"/>
      <c r="AH2591" s="2"/>
      <c r="AI2591" s="2"/>
      <c r="AJ2591" s="2">
        <v>10</v>
      </c>
      <c r="AK2591" s="12">
        <f>grand[[#This Row],[accepted as exception]]/grand[[#This Row],[number]]</f>
        <v>0.24390243902439024</v>
      </c>
      <c r="AL2591" s="2">
        <f>2195</f>
        <v>2195</v>
      </c>
    </row>
    <row r="2592" spans="1:38" hidden="1" x14ac:dyDescent="0.2">
      <c r="A2592" s="11">
        <v>44478</v>
      </c>
      <c r="B2592" s="53" t="s">
        <v>2706</v>
      </c>
      <c r="C2592" s="52" t="str">
        <f>IF(MID(B2592,4,2)="09","Ramadan",IF(AND(MID(B2592,4,2)="12",VALUE(LEFT(B2592,2))&lt;=9),"Adha Season","Normal"))</f>
        <v>Normal</v>
      </c>
      <c r="D2592" s="1" t="s">
        <v>45</v>
      </c>
      <c r="F2592" s="4" t="s">
        <v>39</v>
      </c>
      <c r="G2592" s="4">
        <v>44</v>
      </c>
      <c r="H2592" s="4">
        <v>39</v>
      </c>
      <c r="I2592" s="2">
        <f>grand[[#This Row],[number]]-grand[[#This Row],[received]]</f>
        <v>5</v>
      </c>
      <c r="J2592" s="30" t="s">
        <v>325</v>
      </c>
      <c r="K2592" s="9">
        <v>16959</v>
      </c>
      <c r="L2592" s="9">
        <v>15826</v>
      </c>
      <c r="M2592" s="2">
        <f>K2592-L2592</f>
        <v>1133</v>
      </c>
      <c r="N2592" s="9">
        <v>10332.9</v>
      </c>
      <c r="O2592" s="9">
        <v>361</v>
      </c>
      <c r="P2592" s="7">
        <f>grand[[#This Row],[total weight]]/grand[[#This Row],[received]]</f>
        <v>434.84615384615387</v>
      </c>
      <c r="Q2592" s="7">
        <f>grand[[#This Row],[receiving weight]]/grand[[#This Row],[received]]</f>
        <v>405.79487179487177</v>
      </c>
      <c r="R2592" s="7">
        <f>grand[[#This Row],[transportation loss ]]/grand[[#This Row],[received]]</f>
        <v>29.051282051282051</v>
      </c>
      <c r="S2592" s="7">
        <f>grand[[#This Row],[ carcass weight]]/grand[[#This Row],[received]]</f>
        <v>264.94615384615383</v>
      </c>
      <c r="T2592" s="7">
        <f>grand[[#This Row],[ kidneys fat quantity]]/grand[[#This Row],[received]]</f>
        <v>9.2564102564102573</v>
      </c>
      <c r="U2592" s="4">
        <v>25</v>
      </c>
      <c r="V2592" s="4">
        <v>0</v>
      </c>
      <c r="W2592" s="4">
        <v>50</v>
      </c>
      <c r="X2592" s="4">
        <v>10</v>
      </c>
      <c r="Y2592" s="8">
        <v>8.5</v>
      </c>
      <c r="Z2592" s="3">
        <f>grand[[#This Row],[av. Transportation loss]]/grand[[#This Row],[av.total weight]]</f>
        <v>6.6808184444837548E-2</v>
      </c>
      <c r="AA2592" s="12">
        <f>AVERAGE((grand[[#This Row],[am]]/25),(grand[[#This Row],[pm]]/50))</f>
        <v>1</v>
      </c>
      <c r="AB2592" s="3">
        <f>grand[[#This Row],[ carcass weight]]/grand[[#This Row],[total weight]]</f>
        <v>0.60928710419246412</v>
      </c>
      <c r="AC2592" s="6">
        <f>SUM(grand[[#This Row],[am]:[meat transportation]])/100</f>
        <v>0.93500000000000005</v>
      </c>
      <c r="AD2592" s="2"/>
      <c r="AE2592" s="2"/>
      <c r="AF2592" s="2"/>
      <c r="AG2592" s="2"/>
      <c r="AH2592" s="2"/>
      <c r="AI2592" s="2"/>
      <c r="AJ2592" s="2">
        <v>2</v>
      </c>
      <c r="AK2592" s="12">
        <f>grand[[#This Row],[accepted as exception]]/grand[[#This Row],[number]]</f>
        <v>4.5454545454545456E-2</v>
      </c>
      <c r="AL2592" s="2">
        <v>2229</v>
      </c>
    </row>
    <row r="2593" spans="1:38" hidden="1" x14ac:dyDescent="0.2">
      <c r="A2593" s="11">
        <v>44488</v>
      </c>
      <c r="B2593" s="53" t="s">
        <v>2710</v>
      </c>
      <c r="C2593" s="52" t="str">
        <f>IF(MID(B2593,4,2)="09","Ramadan",IF(AND(MID(B2593,4,2)="12",VALUE(LEFT(B2593,2))&lt;=9),"Adha Season","Normal"))</f>
        <v>Normal</v>
      </c>
      <c r="D2593" s="1" t="s">
        <v>45</v>
      </c>
      <c r="F2593" s="4" t="s">
        <v>39</v>
      </c>
      <c r="G2593" s="4">
        <v>34</v>
      </c>
      <c r="H2593" s="4">
        <v>29</v>
      </c>
      <c r="I2593" s="2">
        <f>grand[[#This Row],[number]]-grand[[#This Row],[received]]</f>
        <v>5</v>
      </c>
      <c r="J2593" s="30" t="s">
        <v>326</v>
      </c>
      <c r="K2593" s="9">
        <v>12736</v>
      </c>
      <c r="L2593" s="9">
        <v>11808</v>
      </c>
      <c r="M2593" s="2">
        <f>K2593-L2593</f>
        <v>928</v>
      </c>
      <c r="N2593" s="9">
        <v>7842</v>
      </c>
      <c r="O2593" s="9">
        <v>0</v>
      </c>
      <c r="P2593" s="7">
        <f>grand[[#This Row],[total weight]]/grand[[#This Row],[received]]</f>
        <v>439.17241379310343</v>
      </c>
      <c r="Q2593" s="7">
        <f>grand[[#This Row],[receiving weight]]/grand[[#This Row],[received]]</f>
        <v>407.17241379310343</v>
      </c>
      <c r="R2593" s="7">
        <f>grand[[#This Row],[transportation loss ]]/grand[[#This Row],[received]]</f>
        <v>32</v>
      </c>
      <c r="S2593" s="7">
        <f>grand[[#This Row],[ carcass weight]]/grand[[#This Row],[received]]</f>
        <v>270.41379310344826</v>
      </c>
      <c r="T2593" s="7">
        <f>grand[[#This Row],[ kidneys fat quantity]]/grand[[#This Row],[received]]</f>
        <v>0</v>
      </c>
      <c r="U2593" s="4">
        <v>25</v>
      </c>
      <c r="V2593" s="4">
        <v>0</v>
      </c>
      <c r="W2593" s="4">
        <v>49.689655172413794</v>
      </c>
      <c r="X2593" s="4">
        <v>10</v>
      </c>
      <c r="Y2593" s="8">
        <v>8.5</v>
      </c>
      <c r="Z2593" s="3">
        <f>grand[[#This Row],[av. Transportation loss]]/grand[[#This Row],[av.total weight]]</f>
        <v>7.2864321608040197E-2</v>
      </c>
      <c r="AA2593" s="12">
        <f>AVERAGE((grand[[#This Row],[am]]/25),(grand[[#This Row],[pm]]/50))</f>
        <v>0.99689655172413794</v>
      </c>
      <c r="AB2593" s="3">
        <f>grand[[#This Row],[ carcass weight]]/grand[[#This Row],[total weight]]</f>
        <v>0.61573492462311563</v>
      </c>
      <c r="AC2593" s="6">
        <f>SUM(grand[[#This Row],[am]:[meat transportation]])/100</f>
        <v>0.93189655172413799</v>
      </c>
      <c r="AD2593" s="2"/>
      <c r="AE2593" s="2"/>
      <c r="AF2593" s="2"/>
      <c r="AG2593" s="2"/>
      <c r="AH2593" s="2"/>
      <c r="AI2593" s="2"/>
      <c r="AJ2593" s="2">
        <v>4</v>
      </c>
      <c r="AK2593" s="12">
        <f>grand[[#This Row],[accepted as exception]]/grand[[#This Row],[number]]</f>
        <v>0.11764705882352941</v>
      </c>
      <c r="AL2593" s="2">
        <f>5+1271+911</f>
        <v>2187</v>
      </c>
    </row>
    <row r="2594" spans="1:38" hidden="1" x14ac:dyDescent="0.2">
      <c r="A2594" s="11">
        <v>44656</v>
      </c>
      <c r="B2594" s="53" t="s">
        <v>1612</v>
      </c>
      <c r="C2594" s="52" t="str">
        <f>IF(MID(B2594,4,2)="09","Ramadan",IF(AND(MID(B2594,4,2)="12",VALUE(LEFT(B2594,2))&lt;=9),"Adha Season","Normal"))</f>
        <v>Ramadan</v>
      </c>
      <c r="D2594" s="1" t="s">
        <v>45</v>
      </c>
      <c r="E2594" s="1" t="s">
        <v>481</v>
      </c>
      <c r="F2594" s="4" t="s">
        <v>39</v>
      </c>
      <c r="G2594" s="1">
        <v>27</v>
      </c>
      <c r="H2594" s="15">
        <v>22</v>
      </c>
      <c r="I2594" s="1">
        <f>grand[[#This Row],[number]]-grand[[#This Row],[received]]</f>
        <v>5</v>
      </c>
      <c r="J2594" s="30" t="s">
        <v>484</v>
      </c>
      <c r="K2594" s="9">
        <v>10388</v>
      </c>
      <c r="L2594" s="9">
        <v>9688</v>
      </c>
      <c r="M2594" s="2">
        <f>K2594-L2594</f>
        <v>700</v>
      </c>
      <c r="N2594" s="9">
        <v>6250.5</v>
      </c>
      <c r="O2594" s="9">
        <v>192</v>
      </c>
      <c r="P2594" s="7">
        <f>grand[[#This Row],[total weight]]/grand[[#This Row],[received]]</f>
        <v>472.18181818181819</v>
      </c>
      <c r="Q2594" s="7">
        <f>grand[[#This Row],[receiving weight]]/grand[[#This Row],[received]]</f>
        <v>440.36363636363637</v>
      </c>
      <c r="R2594" s="7">
        <f>grand[[#This Row],[transportation loss ]]/grand[[#This Row],[received]]</f>
        <v>31.818181818181817</v>
      </c>
      <c r="S2594" s="7">
        <f>grand[[#This Row],[ carcass weight]]/grand[[#This Row],[received]]</f>
        <v>284.11363636363637</v>
      </c>
      <c r="T2594" s="7">
        <f>grand[[#This Row],[ kidneys fat quantity]]/grand[[#This Row],[received]]</f>
        <v>8.7272727272727266</v>
      </c>
      <c r="U2594" s="15">
        <v>25</v>
      </c>
      <c r="V2594" s="15">
        <v>0</v>
      </c>
      <c r="W2594" s="15">
        <v>49.909090909090907</v>
      </c>
      <c r="X2594" s="15">
        <v>10</v>
      </c>
      <c r="Y2594" s="8">
        <v>8.5</v>
      </c>
      <c r="Z2594" s="18">
        <f>grand[[#This Row],[av. Transportation loss]]/grand[[#This Row],[av.total weight]]</f>
        <v>6.7385444743935305E-2</v>
      </c>
      <c r="AA2594" s="12">
        <f>AVERAGE((grand[[#This Row],[am]]/25),(grand[[#This Row],[pm]]/50))</f>
        <v>0.99909090909090903</v>
      </c>
      <c r="AB2594" s="3">
        <f>grand[[#This Row],[ carcass weight]]/grand[[#This Row],[total weight]]</f>
        <v>0.60170388910281092</v>
      </c>
      <c r="AC2594" s="19">
        <f>SUM(grand[[#This Row],[am]:[meat transportation]])/100</f>
        <v>0.93409090909090908</v>
      </c>
      <c r="AD2594" s="2"/>
      <c r="AJ2594" s="1">
        <v>6</v>
      </c>
      <c r="AK2594" s="20"/>
      <c r="AL2594" s="1">
        <v>2321</v>
      </c>
    </row>
    <row r="2595" spans="1:38" hidden="1" x14ac:dyDescent="0.2">
      <c r="A2595" s="11">
        <v>44901</v>
      </c>
      <c r="B2595" s="53" t="s">
        <v>1749</v>
      </c>
      <c r="C2595" s="52" t="str">
        <f>IF(MID(B2595,4,2)="09","Ramadan",IF(AND(MID(B2595,4,2)="12",VALUE(LEFT(B2595,2))&lt;=9),"Adha Season","Normal"))</f>
        <v>Normal</v>
      </c>
      <c r="D2595" s="1" t="s">
        <v>45</v>
      </c>
      <c r="F2595" s="4" t="s">
        <v>39</v>
      </c>
      <c r="G2595" s="1">
        <v>45</v>
      </c>
      <c r="H2595" s="15">
        <v>40</v>
      </c>
      <c r="I2595" s="1">
        <f>grand[[#This Row],[number]]-grand[[#This Row],[received]]</f>
        <v>5</v>
      </c>
      <c r="J2595" s="30" t="s">
        <v>509</v>
      </c>
      <c r="K2595" s="2">
        <v>17726</v>
      </c>
      <c r="L2595" s="2">
        <v>16618</v>
      </c>
      <c r="M2595" s="2">
        <f>K2595-L2595</f>
        <v>1108</v>
      </c>
      <c r="N2595" s="2">
        <v>10799.4</v>
      </c>
      <c r="O2595" s="2">
        <v>346</v>
      </c>
      <c r="P2595" s="7">
        <f>grand[[#This Row],[total weight]]/grand[[#This Row],[received]]</f>
        <v>443.15</v>
      </c>
      <c r="Q2595" s="7">
        <f>grand[[#This Row],[receiving weight]]/grand[[#This Row],[received]]</f>
        <v>415.45</v>
      </c>
      <c r="R2595" s="7">
        <f>grand[[#This Row],[transportation loss ]]/grand[[#This Row],[received]]</f>
        <v>27.7</v>
      </c>
      <c r="S2595" s="7">
        <f>grand[[#This Row],[ carcass weight]]/grand[[#This Row],[received]]</f>
        <v>269.98500000000001</v>
      </c>
      <c r="T2595" s="7">
        <f>grand[[#This Row],[ kidneys fat quantity]]/grand[[#This Row],[received]]</f>
        <v>8.65</v>
      </c>
      <c r="U2595" s="15">
        <v>25</v>
      </c>
      <c r="V2595" s="15">
        <v>0</v>
      </c>
      <c r="W2595" s="15">
        <v>47.976190476190474</v>
      </c>
      <c r="X2595" s="15">
        <v>9.8809523809523796</v>
      </c>
      <c r="Y2595" s="8">
        <v>8.5</v>
      </c>
      <c r="Z2595" s="20">
        <f>grand[[#This Row],[av. Transportation loss]]/grand[[#This Row],[av.total weight]]</f>
        <v>6.2507051788333517E-2</v>
      </c>
      <c r="AA2595" s="12">
        <f>AVERAGE((grand[[#This Row],[am]]/25),(grand[[#This Row],[pm]]/50))</f>
        <v>0.97976190476190472</v>
      </c>
      <c r="AB2595" s="12">
        <f>grand[[#This Row],[ carcass weight]]/grand[[#This Row],[total weight]]</f>
        <v>0.60924066343224637</v>
      </c>
      <c r="AC2595" s="22">
        <f>SUM(grand[[#This Row],[am]:[meat transportation]])/100</f>
        <v>0.91357142857142859</v>
      </c>
      <c r="AD2595" s="9"/>
      <c r="AJ2595" s="1">
        <v>0</v>
      </c>
      <c r="AK2595" s="20"/>
      <c r="AL2595" s="16">
        <v>2146</v>
      </c>
    </row>
    <row r="2596" spans="1:38" hidden="1" x14ac:dyDescent="0.2">
      <c r="A2596" s="11">
        <v>44931</v>
      </c>
      <c r="B2596" s="53" t="s">
        <v>1769</v>
      </c>
      <c r="C2596" s="52" t="str">
        <f>IF(MID(B2596,4,2)="09","Ramadan",IF(AND(MID(B2596,4,2)="12",VALUE(LEFT(B2596,2))&lt;=9),"Adha Season","Normal"))</f>
        <v>Normal</v>
      </c>
      <c r="D2596" s="1" t="s">
        <v>45</v>
      </c>
      <c r="E2596" s="1" t="s">
        <v>483</v>
      </c>
      <c r="F2596" s="4" t="s">
        <v>39</v>
      </c>
      <c r="G2596" s="1">
        <v>60</v>
      </c>
      <c r="H2596" s="15">
        <v>55</v>
      </c>
      <c r="I2596" s="1">
        <f>grand[[#This Row],[number]]-grand[[#This Row],[received]]</f>
        <v>5</v>
      </c>
      <c r="J2596" s="30" t="s">
        <v>521</v>
      </c>
      <c r="K2596" s="2">
        <v>24125</v>
      </c>
      <c r="L2596" s="2">
        <v>23068</v>
      </c>
      <c r="M2596" s="2">
        <f>K2596-L2596</f>
        <v>1057</v>
      </c>
      <c r="N2596" s="2">
        <v>14701.7</v>
      </c>
      <c r="O2596" s="2">
        <v>490</v>
      </c>
      <c r="P2596" s="7">
        <f>grand[[#This Row],[total weight]]/grand[[#This Row],[received]]</f>
        <v>438.63636363636363</v>
      </c>
      <c r="Q2596" s="7">
        <f>grand[[#This Row],[receiving weight]]/grand[[#This Row],[received]]</f>
        <v>419.41818181818184</v>
      </c>
      <c r="R2596" s="7">
        <f>grand[[#This Row],[transportation loss ]]/grand[[#This Row],[received]]</f>
        <v>19.218181818181819</v>
      </c>
      <c r="S2596" s="7">
        <f>grand[[#This Row],[ carcass weight]]/grand[[#This Row],[received]]</f>
        <v>267.30363636363637</v>
      </c>
      <c r="T2596" s="7">
        <f>grand[[#This Row],[ kidneys fat quantity]]/grand[[#This Row],[received]]</f>
        <v>8.9090909090909083</v>
      </c>
      <c r="U2596" s="15">
        <v>24.90909090909091</v>
      </c>
      <c r="V2596" s="15">
        <v>0</v>
      </c>
      <c r="W2596" s="15">
        <v>48.199999999999996</v>
      </c>
      <c r="X2596" s="15">
        <v>10</v>
      </c>
      <c r="Y2596" s="8">
        <v>8.5</v>
      </c>
      <c r="Z2596" s="21">
        <f>grand[[#This Row],[av. Transportation loss]]/grand[[#This Row],[av.total weight]]</f>
        <v>4.3813471502590677E-2</v>
      </c>
      <c r="AA2596" s="12">
        <f>AVERAGE((grand[[#This Row],[am]]/25),(grand[[#This Row],[pm]]/50))</f>
        <v>0.98018181818181827</v>
      </c>
      <c r="AB2596" s="23">
        <f>grand[[#This Row],[ carcass weight]]/grand[[#This Row],[total weight]]</f>
        <v>0.60939689119170992</v>
      </c>
      <c r="AC2596" s="24">
        <f>SUM(grand[[#This Row],[am]:[meat transportation]])/100</f>
        <v>0.91609090909090907</v>
      </c>
      <c r="AD2596" s="2" t="s">
        <v>520</v>
      </c>
      <c r="AJ2596" s="1">
        <v>7</v>
      </c>
      <c r="AK2596" s="20"/>
      <c r="AL2596" s="1">
        <v>2221</v>
      </c>
    </row>
    <row r="2597" spans="1:38" hidden="1" x14ac:dyDescent="0.2">
      <c r="A2597" s="11">
        <v>46252</v>
      </c>
      <c r="B2597" s="53" t="str">
        <f>TEXT(grand[[#This Row],[date]],"[$-ar-SA,6]dd/mm/yyyy")</f>
        <v>05/03/1448</v>
      </c>
      <c r="C2597" s="52" t="str">
        <f>IF(MID(B2597,4,2)="09","Ramadan",IF(AND(MID(B2597,4,2)="12",VALUE(LEFT(B2597,2))&lt;=9),"Adha Season","Normal"))</f>
        <v>Normal</v>
      </c>
      <c r="D2597" s="1" t="s">
        <v>45</v>
      </c>
      <c r="F2597" s="4" t="s">
        <v>3104</v>
      </c>
      <c r="G2597" s="1">
        <v>56</v>
      </c>
      <c r="H2597" s="1">
        <v>56</v>
      </c>
      <c r="I2597" s="1">
        <f>grand[[#This Row],[number]]-grand[[#This Row],[received]]</f>
        <v>0</v>
      </c>
      <c r="J2597" s="2"/>
      <c r="K2597" s="2">
        <v>24991</v>
      </c>
      <c r="L2597" s="2">
        <v>24991</v>
      </c>
      <c r="M2597" s="2">
        <f>K2597-L2597</f>
        <v>0</v>
      </c>
      <c r="N2597" s="2">
        <v>15259</v>
      </c>
      <c r="O2597" s="2">
        <v>348</v>
      </c>
      <c r="P2597" s="7">
        <f>grand[[#This Row],[total weight]]/grand[[#This Row],[received]]</f>
        <v>446.26785714285717</v>
      </c>
      <c r="Q2597" s="7">
        <f>grand[[#This Row],[receiving weight]]/grand[[#This Row],[received]]</f>
        <v>446.26785714285717</v>
      </c>
      <c r="R2597" s="7">
        <f>grand[[#This Row],[transportation loss ]]/grand[[#This Row],[received]]</f>
        <v>0</v>
      </c>
      <c r="S2597" s="7">
        <f>grand[[#This Row],[ carcass weight]]/grand[[#This Row],[received]]</f>
        <v>272.48214285714283</v>
      </c>
      <c r="T2597" s="7">
        <f>grand[[#This Row],[ kidneys fat quantity]]/grand[[#This Row],[received]]</f>
        <v>6.2142857142857144</v>
      </c>
      <c r="U2597" s="1">
        <v>25</v>
      </c>
      <c r="V2597" s="1">
        <v>0</v>
      </c>
      <c r="W2597" s="1">
        <v>48.107142857142861</v>
      </c>
      <c r="X2597" s="1">
        <v>10</v>
      </c>
      <c r="Y2597" s="1">
        <v>8.5</v>
      </c>
      <c r="Z2597" s="18">
        <f>grand[[#This Row],[av. Transportation loss]]/grand[[#This Row],[av.total weight]]</f>
        <v>0</v>
      </c>
      <c r="AA2597" s="18">
        <f>AVERAGE((grand[[#This Row],[am]]/25),(grand[[#This Row],[pm]]/50))</f>
        <v>0.98107142857142859</v>
      </c>
      <c r="AB2597" s="3">
        <f>grand[[#This Row],[ carcass weight]]/grand[[#This Row],[total weight]]</f>
        <v>0.61057980873114326</v>
      </c>
      <c r="AC2597" s="18">
        <f>SUM(grand[[#This Row],[am]:[meat transportation]])/100</f>
        <v>0.91607142857142865</v>
      </c>
      <c r="AD2597" s="1" t="s">
        <v>3122</v>
      </c>
      <c r="AJ2597" s="1">
        <v>0</v>
      </c>
    </row>
    <row r="2598" spans="1:38" x14ac:dyDescent="0.2">
      <c r="A2598" s="11">
        <v>46252</v>
      </c>
      <c r="B2598" s="53" t="str">
        <f>TEXT(grand[[#This Row],[date]],"[$-ar-SA,6]dd/mm/yyyy")</f>
        <v>05/03/1448</v>
      </c>
      <c r="C2598" s="52" t="str">
        <f>IF(MID(B2598,4,2)="09","Ramadan",IF(AND(MID(B2598,4,2)="12",VALUE(LEFT(B2598,2))&lt;=9),"Adha Season","Normal"))</f>
        <v>Normal</v>
      </c>
      <c r="D2598" s="1" t="s">
        <v>45</v>
      </c>
      <c r="F2598" s="4" t="s">
        <v>815</v>
      </c>
      <c r="G2598" s="1">
        <v>60</v>
      </c>
      <c r="H2598" s="1">
        <v>58</v>
      </c>
      <c r="I2598" s="1">
        <f>grand[[#This Row],[number]]-grand[[#This Row],[received]]</f>
        <v>2</v>
      </c>
      <c r="J2598" s="9" t="s">
        <v>3177</v>
      </c>
      <c r="K2598" s="2">
        <v>30247</v>
      </c>
      <c r="L2598" s="2">
        <v>30247</v>
      </c>
      <c r="M2598" s="2">
        <f>K2598-L2598</f>
        <v>0</v>
      </c>
      <c r="N2598" s="2">
        <v>18576</v>
      </c>
      <c r="O2598" s="2">
        <v>432</v>
      </c>
      <c r="P2598" s="7">
        <f>grand[[#This Row],[total weight]]/grand[[#This Row],[received]]</f>
        <v>521.5</v>
      </c>
      <c r="Q2598" s="7">
        <f>grand[[#This Row],[receiving weight]]/grand[[#This Row],[received]]</f>
        <v>521.5</v>
      </c>
      <c r="R2598" s="7">
        <f>grand[[#This Row],[transportation loss ]]/grand[[#This Row],[received]]</f>
        <v>0</v>
      </c>
      <c r="S2598" s="7">
        <f>grand[[#This Row],[ carcass weight]]/grand[[#This Row],[received]]</f>
        <v>320.27586206896552</v>
      </c>
      <c r="T2598" s="7">
        <f>grand[[#This Row],[ kidneys fat quantity]]/grand[[#This Row],[received]]</f>
        <v>7.4482758620689653</v>
      </c>
      <c r="U2598" s="1">
        <v>24.913793103448281</v>
      </c>
      <c r="V2598" s="1">
        <v>2</v>
      </c>
      <c r="W2598" s="1">
        <v>44.206896551724135</v>
      </c>
      <c r="X2598" s="1">
        <v>10</v>
      </c>
      <c r="Y2598" s="1">
        <v>8.5</v>
      </c>
      <c r="Z2598" s="18">
        <f>grand[[#This Row],[av. Transportation loss]]/grand[[#This Row],[av.total weight]]</f>
        <v>0</v>
      </c>
      <c r="AA2598" s="18">
        <f>AVERAGE((grand[[#This Row],[am]]/25),(grand[[#This Row],[pm]]/50))</f>
        <v>0.94034482758620697</v>
      </c>
      <c r="AB2598" s="3">
        <f>grand[[#This Row],[ carcass weight]]/grand[[#This Row],[total weight]]</f>
        <v>0.61414355142658772</v>
      </c>
      <c r="AC2598" s="18">
        <f>SUM(grand[[#This Row],[am]:[meat transportation]])/100</f>
        <v>0.89620689655172414</v>
      </c>
      <c r="AD2598" s="1" t="s">
        <v>3120</v>
      </c>
      <c r="AJ2598" s="1">
        <v>1</v>
      </c>
    </row>
    <row r="2599" spans="1:38" hidden="1" x14ac:dyDescent="0.2">
      <c r="A2599" s="11">
        <v>46254</v>
      </c>
      <c r="B2599" s="53" t="str">
        <f>TEXT(grand[[#This Row],[date]],"[$-ar-SA,6]dd/mm/yyyy")</f>
        <v>07/03/1448</v>
      </c>
      <c r="C2599" s="52" t="str">
        <f>IF(MID(B2599,4,2)="09","Ramadan",IF(AND(MID(B2599,4,2)="12",VALUE(LEFT(B2599,2))&lt;=9),"Adha Season","Normal"))</f>
        <v>Normal</v>
      </c>
      <c r="D2599" s="1" t="s">
        <v>294</v>
      </c>
      <c r="F2599" s="4" t="s">
        <v>46</v>
      </c>
      <c r="G2599" s="1">
        <v>75</v>
      </c>
      <c r="H2599" s="1">
        <v>75</v>
      </c>
      <c r="I2599" s="1">
        <f>grand[[#This Row],[number]]-grand[[#This Row],[received]]</f>
        <v>0</v>
      </c>
      <c r="J2599" s="2"/>
      <c r="K2599" s="2">
        <v>4155</v>
      </c>
      <c r="L2599" s="2">
        <v>4155</v>
      </c>
      <c r="M2599" s="2">
        <f>K2599-L2599</f>
        <v>0</v>
      </c>
      <c r="N2599" s="2">
        <v>2330</v>
      </c>
      <c r="O2599" s="2">
        <v>0</v>
      </c>
      <c r="P2599" s="7">
        <f>grand[[#This Row],[total weight]]/grand[[#This Row],[received]]</f>
        <v>55.4</v>
      </c>
      <c r="Q2599" s="7">
        <f>grand[[#This Row],[receiving weight]]/grand[[#This Row],[received]]</f>
        <v>55.4</v>
      </c>
      <c r="R2599" s="7">
        <f>grand[[#This Row],[transportation loss ]]/grand[[#This Row],[received]]</f>
        <v>0</v>
      </c>
      <c r="S2599" s="7">
        <f>grand[[#This Row],[ carcass weight]]/grand[[#This Row],[received]]</f>
        <v>31.066666666666666</v>
      </c>
      <c r="T2599" s="7">
        <f>grand[[#This Row],[ kidneys fat quantity]]/grand[[#This Row],[received]]</f>
        <v>0</v>
      </c>
      <c r="U2599" s="1">
        <v>25</v>
      </c>
      <c r="V2599" s="1">
        <v>0</v>
      </c>
      <c r="W2599" s="1">
        <v>46.693333333333328</v>
      </c>
      <c r="X2599" s="1">
        <v>10</v>
      </c>
      <c r="Y2599" s="1">
        <v>8.5</v>
      </c>
      <c r="Z2599" s="18">
        <f>grand[[#This Row],[av. Transportation loss]]/grand[[#This Row],[av.total weight]]</f>
        <v>0</v>
      </c>
      <c r="AA2599" s="18">
        <f>AVERAGE((grand[[#This Row],[am]]/25),(grand[[#This Row],[pm]]/50))</f>
        <v>0.9669333333333332</v>
      </c>
      <c r="AB2599" s="3">
        <f>grand[[#This Row],[ carcass weight]]/grand[[#This Row],[total weight]]</f>
        <v>0.56077015643802652</v>
      </c>
      <c r="AC2599" s="18">
        <f>SUM(grand[[#This Row],[am]:[meat transportation]])/100</f>
        <v>0.90193333333333325</v>
      </c>
      <c r="AD2599" s="1" t="s">
        <v>825</v>
      </c>
      <c r="AJ2599" s="1">
        <v>0</v>
      </c>
    </row>
    <row r="2600" spans="1:38" hidden="1" x14ac:dyDescent="0.2">
      <c r="A2600" s="11">
        <v>46254</v>
      </c>
      <c r="B2600" s="53" t="str">
        <f>TEXT(grand[[#This Row],[date]],"[$-ar-SA,6]dd/mm/yyyy")</f>
        <v>07/03/1448</v>
      </c>
      <c r="C2600" s="52" t="str">
        <f>IF(MID(B2600,4,2)="09","Ramadan",IF(AND(MID(B2600,4,2)="12",VALUE(LEFT(B2600,2))&lt;=9),"Adha Season","Normal"))</f>
        <v>Normal</v>
      </c>
      <c r="D2600" s="1" t="s">
        <v>45</v>
      </c>
      <c r="F2600" s="4" t="s">
        <v>3104</v>
      </c>
      <c r="G2600" s="1">
        <v>52</v>
      </c>
      <c r="H2600" s="1">
        <v>52</v>
      </c>
      <c r="I2600" s="1">
        <f>grand[[#This Row],[number]]-grand[[#This Row],[received]]</f>
        <v>0</v>
      </c>
      <c r="J2600" s="2"/>
      <c r="K2600" s="2">
        <v>23102</v>
      </c>
      <c r="L2600" s="2">
        <v>23102</v>
      </c>
      <c r="M2600" s="2">
        <f>K2600-L2600</f>
        <v>0</v>
      </c>
      <c r="N2600" s="2">
        <v>13937</v>
      </c>
      <c r="O2600" s="2">
        <v>302</v>
      </c>
      <c r="P2600" s="7">
        <f>grand[[#This Row],[total weight]]/grand[[#This Row],[received]]</f>
        <v>444.26923076923077</v>
      </c>
      <c r="Q2600" s="7">
        <f>grand[[#This Row],[receiving weight]]/grand[[#This Row],[received]]</f>
        <v>444.26923076923077</v>
      </c>
      <c r="R2600" s="7">
        <f>grand[[#This Row],[transportation loss ]]/grand[[#This Row],[received]]</f>
        <v>0</v>
      </c>
      <c r="S2600" s="7">
        <f>grand[[#This Row],[ carcass weight]]/grand[[#This Row],[received]]</f>
        <v>268.01923076923077</v>
      </c>
      <c r="T2600" s="7">
        <f>grand[[#This Row],[ kidneys fat quantity]]/grand[[#This Row],[received]]</f>
        <v>5.8076923076923075</v>
      </c>
      <c r="U2600" s="1">
        <v>25</v>
      </c>
      <c r="V2600" s="1">
        <v>0</v>
      </c>
      <c r="W2600" s="1">
        <v>48.288461538461533</v>
      </c>
      <c r="X2600" s="1">
        <v>10</v>
      </c>
      <c r="Y2600" s="1">
        <v>8.5</v>
      </c>
      <c r="Z2600" s="18">
        <f>grand[[#This Row],[av. Transportation loss]]/grand[[#This Row],[av.total weight]]</f>
        <v>0</v>
      </c>
      <c r="AA2600" s="18">
        <f>AVERAGE((grand[[#This Row],[am]]/25),(grand[[#This Row],[pm]]/50))</f>
        <v>0.98288461538461536</v>
      </c>
      <c r="AB2600" s="3">
        <f>grand[[#This Row],[ carcass weight]]/grand[[#This Row],[total weight]]</f>
        <v>0.60328110120335898</v>
      </c>
      <c r="AC2600" s="18">
        <f>SUM(grand[[#This Row],[am]:[meat transportation]])/100</f>
        <v>0.9178846153846153</v>
      </c>
      <c r="AD2600" s="1" t="s">
        <v>3124</v>
      </c>
      <c r="AJ2600" s="1">
        <v>0</v>
      </c>
    </row>
    <row r="2601" spans="1:38" hidden="1" x14ac:dyDescent="0.2">
      <c r="A2601" s="11">
        <v>46254</v>
      </c>
      <c r="B2601" s="53" t="str">
        <f>TEXT(grand[[#This Row],[date]],"[$-ar-SA,6]dd/mm/yyyy")</f>
        <v>07/03/1448</v>
      </c>
      <c r="C2601" s="52" t="str">
        <f>IF(MID(B2601,4,2)="09","Ramadan",IF(AND(MID(B2601,4,2)="12",VALUE(LEFT(B2601,2))&lt;=9),"Adha Season","Normal"))</f>
        <v>Normal</v>
      </c>
      <c r="D2601" s="1" t="s">
        <v>45</v>
      </c>
      <c r="F2601" s="4" t="s">
        <v>165</v>
      </c>
      <c r="G2601" s="1">
        <v>50</v>
      </c>
      <c r="H2601" s="1">
        <v>50</v>
      </c>
      <c r="I2601" s="1">
        <f>grand[[#This Row],[number]]-grand[[#This Row],[received]]</f>
        <v>0</v>
      </c>
      <c r="J2601" s="2"/>
      <c r="K2601" s="2">
        <v>20743</v>
      </c>
      <c r="L2601" s="2">
        <v>20743</v>
      </c>
      <c r="M2601" s="2">
        <f>K2601-L2601</f>
        <v>0</v>
      </c>
      <c r="N2601" s="2">
        <v>12446</v>
      </c>
      <c r="O2601" s="2">
        <v>245</v>
      </c>
      <c r="P2601" s="7">
        <f>grand[[#This Row],[total weight]]/grand[[#This Row],[received]]</f>
        <v>414.86</v>
      </c>
      <c r="Q2601" s="7">
        <f>grand[[#This Row],[receiving weight]]/grand[[#This Row],[received]]</f>
        <v>414.86</v>
      </c>
      <c r="R2601" s="7">
        <f>grand[[#This Row],[transportation loss ]]/grand[[#This Row],[received]]</f>
        <v>0</v>
      </c>
      <c r="S2601" s="7">
        <f>grand[[#This Row],[ carcass weight]]/grand[[#This Row],[received]]</f>
        <v>248.92</v>
      </c>
      <c r="T2601" s="7">
        <f>grand[[#This Row],[ kidneys fat quantity]]/grand[[#This Row],[received]]</f>
        <v>4.9000000000000004</v>
      </c>
      <c r="U2601" s="1">
        <v>25</v>
      </c>
      <c r="V2601" s="1">
        <v>0</v>
      </c>
      <c r="W2601" s="1">
        <v>48.67</v>
      </c>
      <c r="X2601" s="1">
        <v>10</v>
      </c>
      <c r="Y2601" s="1">
        <v>8.5</v>
      </c>
      <c r="Z2601" s="18">
        <f>grand[[#This Row],[av. Transportation loss]]/grand[[#This Row],[av.total weight]]</f>
        <v>0</v>
      </c>
      <c r="AA2601" s="18">
        <f>AVERAGE((grand[[#This Row],[am]]/25),(grand[[#This Row],[pm]]/50))</f>
        <v>0.98670000000000002</v>
      </c>
      <c r="AB2601" s="3">
        <f>grand[[#This Row],[ carcass weight]]/grand[[#This Row],[total weight]]</f>
        <v>0.60000964180687466</v>
      </c>
      <c r="AC2601" s="18">
        <f>SUM(grand[[#This Row],[am]:[meat transportation]])/100</f>
        <v>0.92169999999999996</v>
      </c>
      <c r="AD2601" s="1" t="s">
        <v>3125</v>
      </c>
      <c r="AJ2601" s="1">
        <v>0</v>
      </c>
    </row>
    <row r="2602" spans="1:38" hidden="1" x14ac:dyDescent="0.2">
      <c r="A2602" s="11">
        <v>45974</v>
      </c>
      <c r="B2602" s="53" t="s">
        <v>2361</v>
      </c>
      <c r="C2602" s="52" t="str">
        <f>IF(MID(B2602,4,2)="09","Ramadan",IF(AND(MID(B2602,4,2)="12",VALUE(LEFT(B2602,2))&lt;=9),"Adha Season","Normal"))</f>
        <v>Normal</v>
      </c>
      <c r="D2602" s="1" t="s">
        <v>45</v>
      </c>
      <c r="E2602" s="1" t="s">
        <v>483</v>
      </c>
      <c r="F2602" s="4" t="s">
        <v>959</v>
      </c>
      <c r="G2602" s="1">
        <v>78</v>
      </c>
      <c r="H2602">
        <v>73</v>
      </c>
      <c r="I2602">
        <f>grand[[#This Row],[number]]-grand[[#This Row],[received]]</f>
        <v>5</v>
      </c>
      <c r="J2602" s="30"/>
      <c r="K2602" s="2">
        <v>35365</v>
      </c>
      <c r="L2602" s="2">
        <v>33806</v>
      </c>
      <c r="M2602" s="2">
        <f>K2602-L2602</f>
        <v>1559</v>
      </c>
      <c r="N2602" s="2">
        <v>21674.5</v>
      </c>
      <c r="O2602" s="2">
        <v>811</v>
      </c>
      <c r="P2602" s="7">
        <f>grand[[#This Row],[total weight]]/grand[[#This Row],[received]]</f>
        <v>484.45205479452056</v>
      </c>
      <c r="Q2602" s="7">
        <f>grand[[#This Row],[receiving weight]]/grand[[#This Row],[received]]</f>
        <v>463.09589041095893</v>
      </c>
      <c r="R2602" s="7">
        <f>grand[[#This Row],[transportation loss ]]/grand[[#This Row],[received]]</f>
        <v>21.356164383561644</v>
      </c>
      <c r="S2602" s="7">
        <f>grand[[#This Row],[ carcass weight]]/grand[[#This Row],[received]]</f>
        <v>296.91095890410958</v>
      </c>
      <c r="T2602" s="7">
        <f>grand[[#This Row],[ kidneys fat quantity]]/grand[[#This Row],[received]]</f>
        <v>11.109589041095891</v>
      </c>
      <c r="U2602">
        <v>25</v>
      </c>
      <c r="V2602">
        <v>0</v>
      </c>
      <c r="W2602">
        <v>48.726027397260275</v>
      </c>
      <c r="X2602">
        <v>10</v>
      </c>
      <c r="Y2602">
        <v>8.5</v>
      </c>
      <c r="Z2602" s="18">
        <f>grand[[#This Row],[av. Transportation loss]]/grand[[#This Row],[av.total weight]]</f>
        <v>4.4083133041142371E-2</v>
      </c>
      <c r="AA2602" s="18">
        <f>AVERAGE((grand[[#This Row],[am]]/25),(grand[[#This Row],[pm]]/50))</f>
        <v>0.98726027397260274</v>
      </c>
      <c r="AB2602" s="3">
        <f>grand[[#This Row],[ carcass weight]]/grand[[#This Row],[total weight]]</f>
        <v>0.61287996606814643</v>
      </c>
      <c r="AC2602" s="18">
        <f>SUM(grand[[#This Row],[am]:[meat transportation]])/100</f>
        <v>0.9222602739726028</v>
      </c>
      <c r="AD2602" s="2" t="s">
        <v>822</v>
      </c>
      <c r="AE2602" s="2"/>
      <c r="AF2602" s="2"/>
      <c r="AG2602" s="2"/>
      <c r="AH2602" s="2"/>
      <c r="AI2602" s="2"/>
      <c r="AJ2602" s="2">
        <v>0</v>
      </c>
      <c r="AK2602" s="1"/>
      <c r="AL2602" s="1"/>
    </row>
    <row r="2603" spans="1:38" hidden="1" x14ac:dyDescent="0.2">
      <c r="A2603" s="11">
        <v>45998</v>
      </c>
      <c r="B2603" s="53" t="s">
        <v>2380</v>
      </c>
      <c r="C2603" s="52" t="str">
        <f>IF(MID(B2603,4,2)="09","Ramadan",IF(AND(MID(B2603,4,2)="12",VALUE(LEFT(B2603,2))&lt;=9),"Adha Season","Normal"))</f>
        <v>Normal</v>
      </c>
      <c r="D2603" s="1" t="s">
        <v>45</v>
      </c>
      <c r="E2603" s="1" t="s">
        <v>483</v>
      </c>
      <c r="F2603" s="4" t="s">
        <v>46</v>
      </c>
      <c r="G2603" s="1">
        <v>20</v>
      </c>
      <c r="H2603">
        <v>15</v>
      </c>
      <c r="I2603">
        <f>grand[[#This Row],[number]]-grand[[#This Row],[received]]</f>
        <v>5</v>
      </c>
      <c r="J2603" s="30"/>
      <c r="K2603" s="2">
        <v>8421</v>
      </c>
      <c r="L2603" s="2">
        <v>8421</v>
      </c>
      <c r="M2603" s="2">
        <f>K2603-L2603</f>
        <v>0</v>
      </c>
      <c r="N2603" s="2">
        <v>5052.8</v>
      </c>
      <c r="O2603" s="2">
        <v>179</v>
      </c>
      <c r="P2603" s="7">
        <f>grand[[#This Row],[total weight]]/grand[[#This Row],[received]]</f>
        <v>561.4</v>
      </c>
      <c r="Q2603" s="7">
        <f>grand[[#This Row],[receiving weight]]/grand[[#This Row],[received]]</f>
        <v>561.4</v>
      </c>
      <c r="R2603" s="7">
        <f>grand[[#This Row],[transportation loss ]]/grand[[#This Row],[received]]</f>
        <v>0</v>
      </c>
      <c r="S2603" s="7">
        <f>grand[[#This Row],[ carcass weight]]/grand[[#This Row],[received]]</f>
        <v>336.85333333333335</v>
      </c>
      <c r="T2603" s="7">
        <f>grand[[#This Row],[ kidneys fat quantity]]/grand[[#This Row],[received]]</f>
        <v>11.933333333333334</v>
      </c>
      <c r="U2603">
        <v>25</v>
      </c>
      <c r="V2603">
        <v>0</v>
      </c>
      <c r="W2603">
        <v>47.06666666666667</v>
      </c>
      <c r="X2603">
        <v>10</v>
      </c>
      <c r="Y2603">
        <v>8.5</v>
      </c>
      <c r="Z2603" s="18">
        <f>grand[[#This Row],[av. Transportation loss]]/grand[[#This Row],[av.total weight]]</f>
        <v>0</v>
      </c>
      <c r="AA2603" s="18">
        <f>AVERAGE((grand[[#This Row],[am]]/25),(grand[[#This Row],[pm]]/50))</f>
        <v>0.97066666666666668</v>
      </c>
      <c r="AB2603" s="3">
        <f>grand[[#This Row],[ carcass weight]]/grand[[#This Row],[total weight]]</f>
        <v>0.60002375014843845</v>
      </c>
      <c r="AC2603" s="18">
        <f>SUM(grand[[#This Row],[am]:[meat transportation]])/100</f>
        <v>0.90566666666666662</v>
      </c>
      <c r="AD2603" s="2" t="s">
        <v>411</v>
      </c>
      <c r="AE2603" s="2"/>
      <c r="AF2603" s="2"/>
      <c r="AG2603" s="2"/>
      <c r="AH2603" s="2"/>
      <c r="AI2603" s="2"/>
      <c r="AJ2603" s="2">
        <v>15</v>
      </c>
      <c r="AK2603" s="1"/>
      <c r="AL2603" s="1"/>
    </row>
    <row r="2604" spans="1:38" hidden="1" x14ac:dyDescent="0.2">
      <c r="A2604" s="11">
        <v>46256</v>
      </c>
      <c r="B2604" s="53" t="str">
        <f>TEXT(grand[[#This Row],[date]],"[$-ar-SA,6]dd/mm/yyyy")</f>
        <v>09/03/1448</v>
      </c>
      <c r="C2604" s="52" t="str">
        <f>IF(MID(B2604,4,2)="09","Ramadan",IF(AND(MID(B2604,4,2)="12",VALUE(LEFT(B2604,2))&lt;=9),"Adha Season","Normal"))</f>
        <v>Normal</v>
      </c>
      <c r="D2604" s="1" t="s">
        <v>45</v>
      </c>
      <c r="F2604" s="4" t="s">
        <v>165</v>
      </c>
      <c r="G2604" s="1">
        <v>52</v>
      </c>
      <c r="H2604" s="1">
        <v>52</v>
      </c>
      <c r="I2604" s="1">
        <f>grand[[#This Row],[number]]-grand[[#This Row],[received]]</f>
        <v>0</v>
      </c>
      <c r="J2604" s="2"/>
      <c r="K2604" s="2">
        <v>21734</v>
      </c>
      <c r="L2604" s="2">
        <v>21734</v>
      </c>
      <c r="M2604" s="2">
        <f>K2604-L2604</f>
        <v>0</v>
      </c>
      <c r="N2604" s="2">
        <v>13041</v>
      </c>
      <c r="O2604" s="2">
        <v>208</v>
      </c>
      <c r="P2604" s="7">
        <f>grand[[#This Row],[total weight]]/grand[[#This Row],[received]]</f>
        <v>417.96153846153845</v>
      </c>
      <c r="Q2604" s="7">
        <f>grand[[#This Row],[receiving weight]]/grand[[#This Row],[received]]</f>
        <v>417.96153846153845</v>
      </c>
      <c r="R2604" s="7">
        <f>grand[[#This Row],[transportation loss ]]/grand[[#This Row],[received]]</f>
        <v>0</v>
      </c>
      <c r="S2604" s="7">
        <f>grand[[#This Row],[ carcass weight]]/grand[[#This Row],[received]]</f>
        <v>250.78846153846155</v>
      </c>
      <c r="T2604" s="7">
        <f>grand[[#This Row],[ kidneys fat quantity]]/grand[[#This Row],[received]]</f>
        <v>4</v>
      </c>
      <c r="U2604" s="1">
        <v>25</v>
      </c>
      <c r="V2604" s="1">
        <v>0</v>
      </c>
      <c r="W2604" s="1">
        <v>49.63461538461538</v>
      </c>
      <c r="X2604" s="1">
        <v>10</v>
      </c>
      <c r="Y2604" s="1">
        <v>8.5</v>
      </c>
      <c r="Z2604" s="18">
        <f>grand[[#This Row],[av. Transportation loss]]/grand[[#This Row],[av.total weight]]</f>
        <v>0</v>
      </c>
      <c r="AA2604" s="18">
        <f>AVERAGE((grand[[#This Row],[am]]/25),(grand[[#This Row],[pm]]/50))</f>
        <v>0.99634615384615377</v>
      </c>
      <c r="AB2604" s="3">
        <f>grand[[#This Row],[ carcass weight]]/grand[[#This Row],[total weight]]</f>
        <v>0.60002760651513753</v>
      </c>
      <c r="AC2604" s="18">
        <f>SUM(grand[[#This Row],[am]:[meat transportation]])/100</f>
        <v>0.93134615384615382</v>
      </c>
      <c r="AD2604" s="1" t="s">
        <v>3128</v>
      </c>
      <c r="AJ2604" s="1">
        <v>0</v>
      </c>
    </row>
    <row r="2605" spans="1:38" hidden="1" x14ac:dyDescent="0.2">
      <c r="A2605" s="11">
        <v>46256</v>
      </c>
      <c r="B2605" s="53" t="str">
        <f>TEXT(grand[[#This Row],[date]],"[$-ar-SA,6]dd/mm/yyyy")</f>
        <v>09/03/1448</v>
      </c>
      <c r="C2605" s="52" t="str">
        <f>IF(MID(B2605,4,2)="09","Ramadan",IF(AND(MID(B2605,4,2)="12",VALUE(LEFT(B2605,2))&lt;=9),"Adha Season","Normal"))</f>
        <v>Normal</v>
      </c>
      <c r="D2605" s="1" t="s">
        <v>294</v>
      </c>
      <c r="F2605" s="4" t="s">
        <v>165</v>
      </c>
      <c r="G2605" s="1">
        <v>37</v>
      </c>
      <c r="H2605" s="1">
        <v>36</v>
      </c>
      <c r="I2605" s="1">
        <f>grand[[#This Row],[number]]-grand[[#This Row],[received]]</f>
        <v>1</v>
      </c>
      <c r="J2605" s="9" t="s">
        <v>1065</v>
      </c>
      <c r="K2605" s="2">
        <v>2097</v>
      </c>
      <c r="L2605" s="2">
        <v>2097</v>
      </c>
      <c r="M2605" s="2">
        <f>K2605-L2605</f>
        <v>0</v>
      </c>
      <c r="N2605" s="2">
        <v>1237</v>
      </c>
      <c r="O2605" s="2">
        <v>0</v>
      </c>
      <c r="P2605" s="7">
        <f>grand[[#This Row],[total weight]]/grand[[#This Row],[received]]</f>
        <v>58.25</v>
      </c>
      <c r="Q2605" s="7">
        <f>grand[[#This Row],[receiving weight]]/grand[[#This Row],[received]]</f>
        <v>58.25</v>
      </c>
      <c r="R2605" s="7">
        <f>grand[[#This Row],[transportation loss ]]/grand[[#This Row],[received]]</f>
        <v>0</v>
      </c>
      <c r="S2605" s="7">
        <f>grand[[#This Row],[ carcass weight]]/grand[[#This Row],[received]]</f>
        <v>34.361111111111114</v>
      </c>
      <c r="T2605" s="7">
        <f>grand[[#This Row],[ kidneys fat quantity]]/grand[[#This Row],[received]]</f>
        <v>0</v>
      </c>
      <c r="U2605" s="1">
        <v>25</v>
      </c>
      <c r="V2605" s="1">
        <v>0</v>
      </c>
      <c r="W2605" s="1">
        <v>48.833333333333329</v>
      </c>
      <c r="X2605" s="1">
        <v>10</v>
      </c>
      <c r="Y2605" s="1">
        <v>8.5</v>
      </c>
      <c r="Z2605" s="18">
        <f>grand[[#This Row],[av. Transportation loss]]/grand[[#This Row],[av.total weight]]</f>
        <v>0</v>
      </c>
      <c r="AA2605" s="18">
        <f>AVERAGE((grand[[#This Row],[am]]/25),(grand[[#This Row],[pm]]/50))</f>
        <v>0.98833333333333329</v>
      </c>
      <c r="AB2605" s="3">
        <f>grand[[#This Row],[ carcass weight]]/grand[[#This Row],[total weight]]</f>
        <v>0.58989031950405346</v>
      </c>
      <c r="AC2605" s="18">
        <f>SUM(grand[[#This Row],[am]:[meat transportation]])/100</f>
        <v>0.92333333333333334</v>
      </c>
      <c r="AD2605" s="1" t="s">
        <v>3127</v>
      </c>
      <c r="AJ2605" s="1">
        <v>0</v>
      </c>
    </row>
    <row r="2606" spans="1:38" hidden="1" x14ac:dyDescent="0.2">
      <c r="A2606" s="11">
        <v>44310</v>
      </c>
      <c r="B2606" s="53" t="s">
        <v>2643</v>
      </c>
      <c r="C2606" s="52" t="str">
        <f>IF(MID(B2606,4,2)="09","Ramadan",IF(AND(MID(B2606,4,2)="12",VALUE(LEFT(B2606,2))&lt;=9),"Adha Season","Normal"))</f>
        <v>Ramadan</v>
      </c>
      <c r="D2606" s="1" t="s">
        <v>45</v>
      </c>
      <c r="F2606" s="4" t="s">
        <v>47</v>
      </c>
      <c r="G2606" s="4">
        <v>32</v>
      </c>
      <c r="H2606" s="4">
        <v>26</v>
      </c>
      <c r="I2606" s="2">
        <f>grand[[#This Row],[number]]-grand[[#This Row],[received]]</f>
        <v>6</v>
      </c>
      <c r="J2606" s="30" t="s">
        <v>1128</v>
      </c>
      <c r="K2606" s="9">
        <v>11424</v>
      </c>
      <c r="L2606" s="9">
        <v>10965</v>
      </c>
      <c r="M2606" s="2">
        <f>K2606-L2606</f>
        <v>459</v>
      </c>
      <c r="N2606" s="9">
        <v>6854</v>
      </c>
      <c r="O2606" s="2"/>
      <c r="P2606" s="7">
        <f>grand[[#This Row],[total weight]]/grand[[#This Row],[received]]</f>
        <v>439.38461538461536</v>
      </c>
      <c r="Q2606" s="7">
        <f>grand[[#This Row],[receiving weight]]/grand[[#This Row],[received]]</f>
        <v>421.73076923076923</v>
      </c>
      <c r="R2606" s="7">
        <f>grand[[#This Row],[transportation loss ]]/grand[[#This Row],[received]]</f>
        <v>17.653846153846153</v>
      </c>
      <c r="S2606" s="7">
        <f>grand[[#This Row],[ carcass weight]]/grand[[#This Row],[received]]</f>
        <v>263.61538461538464</v>
      </c>
      <c r="T2606" s="7">
        <f>grand[[#This Row],[ kidneys fat quantity]]/grand[[#This Row],[received]]</f>
        <v>0</v>
      </c>
      <c r="U2606" s="4">
        <v>25</v>
      </c>
      <c r="V2606" s="4">
        <v>0</v>
      </c>
      <c r="W2606" s="4">
        <v>49.92</v>
      </c>
      <c r="X2606" s="4">
        <v>10</v>
      </c>
      <c r="Y2606" s="8">
        <v>8.5</v>
      </c>
      <c r="Z2606" s="3">
        <f>grand[[#This Row],[av. Transportation loss]]/grand[[#This Row],[av.total weight]]</f>
        <v>4.0178571428571432E-2</v>
      </c>
      <c r="AA2606" s="12">
        <f>AVERAGE((grand[[#This Row],[am]]/25),(grand[[#This Row],[pm]]/50))</f>
        <v>0.99920000000000009</v>
      </c>
      <c r="AB2606" s="3">
        <f>grand[[#This Row],[ carcass weight]]/grand[[#This Row],[total weight]]</f>
        <v>0.59996498599439774</v>
      </c>
      <c r="AC2606" s="6">
        <f>SUM(grand[[#This Row],[am]:[meat transportation]])/100</f>
        <v>0.93420000000000003</v>
      </c>
      <c r="AD2606" s="2"/>
      <c r="AE2606" s="2"/>
      <c r="AF2606" s="2"/>
      <c r="AG2606" s="2"/>
      <c r="AH2606" s="2"/>
      <c r="AI2606" s="2"/>
      <c r="AJ2606" s="2">
        <v>6</v>
      </c>
      <c r="AK2606" s="12">
        <f>grand[[#This Row],[accepted as exception]]/grand[[#This Row],[number]]</f>
        <v>0.1875</v>
      </c>
      <c r="AL2606" s="2">
        <v>1808</v>
      </c>
    </row>
    <row r="2607" spans="1:38" hidden="1" x14ac:dyDescent="0.2">
      <c r="A2607" s="11">
        <v>44455</v>
      </c>
      <c r="B2607" s="53" t="s">
        <v>2696</v>
      </c>
      <c r="C2607" s="52" t="str">
        <f>IF(MID(B2607,4,2)="09","Ramadan",IF(AND(MID(B2607,4,2)="12",VALUE(LEFT(B2607,2))&lt;=9),"Adha Season","Normal"))</f>
        <v>Normal</v>
      </c>
      <c r="D2607" s="1" t="s">
        <v>45</v>
      </c>
      <c r="F2607" s="4" t="s">
        <v>46</v>
      </c>
      <c r="G2607" s="4">
        <v>48</v>
      </c>
      <c r="H2607" s="4">
        <v>42</v>
      </c>
      <c r="I2607" s="2">
        <f>grand[[#This Row],[number]]-grand[[#This Row],[received]]</f>
        <v>6</v>
      </c>
      <c r="J2607" s="30" t="s">
        <v>321</v>
      </c>
      <c r="K2607" s="9">
        <v>17784</v>
      </c>
      <c r="L2607" s="9">
        <v>17486</v>
      </c>
      <c r="M2607" s="2">
        <f>K2607-L2607</f>
        <v>298</v>
      </c>
      <c r="N2607" s="9">
        <v>10670.5</v>
      </c>
      <c r="O2607" s="9"/>
      <c r="P2607" s="7">
        <f>grand[[#This Row],[total weight]]/grand[[#This Row],[received]]</f>
        <v>423.42857142857144</v>
      </c>
      <c r="Q2607" s="7">
        <f>grand[[#This Row],[receiving weight]]/grand[[#This Row],[received]]</f>
        <v>416.33333333333331</v>
      </c>
      <c r="R2607" s="7">
        <f>grand[[#This Row],[transportation loss ]]/grand[[#This Row],[received]]</f>
        <v>7.0952380952380949</v>
      </c>
      <c r="S2607" s="7">
        <f>grand[[#This Row],[ carcass weight]]/grand[[#This Row],[received]]</f>
        <v>254.0595238095238</v>
      </c>
      <c r="T2607" s="7">
        <f>grand[[#This Row],[ kidneys fat quantity]]/grand[[#This Row],[received]]</f>
        <v>0</v>
      </c>
      <c r="U2607" s="4">
        <v>22</v>
      </c>
      <c r="V2607" s="4">
        <v>0</v>
      </c>
      <c r="W2607" s="4">
        <v>49.4</v>
      </c>
      <c r="X2607" s="4">
        <v>9.9</v>
      </c>
      <c r="Y2607" s="8">
        <v>8.5</v>
      </c>
      <c r="Z2607" s="3">
        <f>grand[[#This Row],[av. Transportation loss]]/grand[[#This Row],[av.total weight]]</f>
        <v>1.6756635177687808E-2</v>
      </c>
      <c r="AA2607" s="12">
        <f>AVERAGE((grand[[#This Row],[am]]/25),(grand[[#This Row],[pm]]/50))</f>
        <v>0.93399999999999994</v>
      </c>
      <c r="AB2607" s="3">
        <f>grand[[#This Row],[ carcass weight]]/grand[[#This Row],[total weight]]</f>
        <v>0.60000562303193883</v>
      </c>
      <c r="AC2607" s="6">
        <f>SUM(grand[[#This Row],[am]:[meat transportation]])/100</f>
        <v>0.89800000000000013</v>
      </c>
      <c r="AD2607" s="2"/>
      <c r="AE2607" s="2"/>
      <c r="AF2607" s="2"/>
      <c r="AG2607" s="2"/>
      <c r="AH2607" s="2"/>
      <c r="AI2607" s="2"/>
      <c r="AJ2607" s="2">
        <v>23</v>
      </c>
      <c r="AK2607" s="12">
        <f>grand[[#This Row],[accepted as exception]]/grand[[#This Row],[number]]</f>
        <v>0.47916666666666669</v>
      </c>
      <c r="AL2607" s="2">
        <v>2789</v>
      </c>
    </row>
    <row r="2608" spans="1:38" hidden="1" x14ac:dyDescent="0.2">
      <c r="A2608" s="11">
        <v>44868</v>
      </c>
      <c r="B2608" s="53" t="s">
        <v>1729</v>
      </c>
      <c r="C2608" s="52" t="str">
        <f>IF(MID(B2608,4,2)="09","Ramadan",IF(AND(MID(B2608,4,2)="12",VALUE(LEFT(B2608,2))&lt;=9),"Adha Season","Normal"))</f>
        <v>Normal</v>
      </c>
      <c r="D2608" s="1" t="s">
        <v>45</v>
      </c>
      <c r="F2608" s="4" t="s">
        <v>46</v>
      </c>
      <c r="G2608" s="1">
        <v>47</v>
      </c>
      <c r="H2608" s="15">
        <v>41</v>
      </c>
      <c r="I2608" s="1">
        <f>grand[[#This Row],[number]]-grand[[#This Row],[received]]</f>
        <v>6</v>
      </c>
      <c r="J2608" s="30" t="s">
        <v>492</v>
      </c>
      <c r="K2608" s="2">
        <v>20335</v>
      </c>
      <c r="L2608" s="2">
        <v>19085</v>
      </c>
      <c r="M2608" s="2">
        <f>K2608-L2608</f>
        <v>1250</v>
      </c>
      <c r="N2608" s="2">
        <v>12200.2</v>
      </c>
      <c r="O2608" s="2">
        <v>381</v>
      </c>
      <c r="P2608" s="7">
        <f>grand[[#This Row],[total weight]]/grand[[#This Row],[received]]</f>
        <v>495.97560975609758</v>
      </c>
      <c r="Q2608" s="7">
        <f>grand[[#This Row],[receiving weight]]/grand[[#This Row],[received]]</f>
        <v>465.48780487804879</v>
      </c>
      <c r="R2608" s="7">
        <f>grand[[#This Row],[transportation loss ]]/grand[[#This Row],[received]]</f>
        <v>30.487804878048781</v>
      </c>
      <c r="S2608" s="7">
        <f>grand[[#This Row],[ carcass weight]]/grand[[#This Row],[received]]</f>
        <v>297.56585365853658</v>
      </c>
      <c r="T2608" s="7">
        <f>grand[[#This Row],[ kidneys fat quantity]]/grand[[#This Row],[received]]</f>
        <v>9.2926829268292686</v>
      </c>
      <c r="U2608" s="15">
        <v>25</v>
      </c>
      <c r="V2608" s="15">
        <v>0</v>
      </c>
      <c r="W2608" s="15">
        <v>50</v>
      </c>
      <c r="X2608" s="15">
        <v>10</v>
      </c>
      <c r="Y2608" s="8">
        <v>8.5</v>
      </c>
      <c r="Z2608" s="20">
        <f>grand[[#This Row],[av. Transportation loss]]/grand[[#This Row],[av.total weight]]</f>
        <v>6.1470371281042532E-2</v>
      </c>
      <c r="AA2608" s="12">
        <f>AVERAGE((grand[[#This Row],[am]]/25),(grand[[#This Row],[pm]]/50))</f>
        <v>1</v>
      </c>
      <c r="AB2608" s="12">
        <f>grand[[#This Row],[ carcass weight]]/grand[[#This Row],[total weight]]</f>
        <v>0.59996065896238016</v>
      </c>
      <c r="AC2608" s="22">
        <f>SUM(grand[[#This Row],[am]:[meat transportation]])/100</f>
        <v>0.93500000000000005</v>
      </c>
      <c r="AD2608" s="2"/>
      <c r="AJ2608" s="1">
        <v>19</v>
      </c>
      <c r="AK2608" s="20"/>
      <c r="AL2608" s="1">
        <v>3115</v>
      </c>
    </row>
    <row r="2609" spans="1:38" hidden="1" x14ac:dyDescent="0.2">
      <c r="A2609" s="11">
        <v>44875</v>
      </c>
      <c r="B2609" s="53" t="s">
        <v>1734</v>
      </c>
      <c r="C2609" s="52" t="str">
        <f>IF(MID(B2609,4,2)="09","Ramadan",IF(AND(MID(B2609,4,2)="12",VALUE(LEFT(B2609,2))&lt;=9),"Adha Season","Normal"))</f>
        <v>Normal</v>
      </c>
      <c r="D2609" s="1" t="s">
        <v>45</v>
      </c>
      <c r="F2609" s="4" t="s">
        <v>46</v>
      </c>
      <c r="G2609" s="1">
        <v>59</v>
      </c>
      <c r="H2609" s="15">
        <v>53</v>
      </c>
      <c r="I2609" s="1">
        <f>grand[[#This Row],[number]]-grand[[#This Row],[received]]</f>
        <v>6</v>
      </c>
      <c r="J2609" s="30" t="s">
        <v>488</v>
      </c>
      <c r="K2609" s="2">
        <v>22823</v>
      </c>
      <c r="L2609" s="2">
        <v>21118</v>
      </c>
      <c r="M2609" s="2">
        <f>K2609-L2609</f>
        <v>1705</v>
      </c>
      <c r="N2609" s="2">
        <v>13692.7</v>
      </c>
      <c r="O2609" s="2">
        <v>387</v>
      </c>
      <c r="P2609" s="7">
        <f>grand[[#This Row],[total weight]]/grand[[#This Row],[received]]</f>
        <v>430.62264150943395</v>
      </c>
      <c r="Q2609" s="7">
        <f>grand[[#This Row],[receiving weight]]/grand[[#This Row],[received]]</f>
        <v>398.45283018867923</v>
      </c>
      <c r="R2609" s="7">
        <f>grand[[#This Row],[transportation loss ]]/grand[[#This Row],[received]]</f>
        <v>32.169811320754718</v>
      </c>
      <c r="S2609" s="7">
        <f>grand[[#This Row],[ carcass weight]]/grand[[#This Row],[received]]</f>
        <v>258.35283018867926</v>
      </c>
      <c r="T2609" s="7">
        <f>grand[[#This Row],[ kidneys fat quantity]]/grand[[#This Row],[received]]</f>
        <v>7.3018867924528301</v>
      </c>
      <c r="U2609" s="15">
        <v>25</v>
      </c>
      <c r="V2609" s="15">
        <v>0</v>
      </c>
      <c r="W2609" s="15">
        <v>49.452830188679243</v>
      </c>
      <c r="X2609" s="15">
        <v>10</v>
      </c>
      <c r="Y2609" s="8">
        <v>8.5</v>
      </c>
      <c r="Z2609" s="20">
        <f>grand[[#This Row],[av. Transportation loss]]/grand[[#This Row],[av.total weight]]</f>
        <v>7.4705341103273024E-2</v>
      </c>
      <c r="AA2609" s="12">
        <f>AVERAGE((grand[[#This Row],[am]]/25),(grand[[#This Row],[pm]]/50))</f>
        <v>0.99452830188679242</v>
      </c>
      <c r="AB2609" s="12">
        <f>grand[[#This Row],[ carcass weight]]/grand[[#This Row],[total weight]]</f>
        <v>0.5999518030057398</v>
      </c>
      <c r="AC2609" s="22">
        <f>SUM(grand[[#This Row],[am]:[meat transportation]])/100</f>
        <v>0.92952830188679247</v>
      </c>
      <c r="AD2609" s="9" t="s">
        <v>497</v>
      </c>
      <c r="AJ2609" s="1">
        <v>14</v>
      </c>
      <c r="AK2609" s="20"/>
      <c r="AL2609" s="1">
        <v>2969</v>
      </c>
    </row>
    <row r="2610" spans="1:38" hidden="1" x14ac:dyDescent="0.2">
      <c r="A2610" s="11">
        <v>45372</v>
      </c>
      <c r="B2610" s="53" t="s">
        <v>2878</v>
      </c>
      <c r="C2610" s="52" t="str">
        <f>IF(MID(B2610,4,2)="09","Ramadan",IF(AND(MID(B2610,4,2)="12",VALUE(LEFT(B2610,2))&lt;=9),"Adha Season","Normal"))</f>
        <v>Ramadan</v>
      </c>
      <c r="D2610" s="1" t="s">
        <v>45</v>
      </c>
      <c r="E2610" s="1" t="s">
        <v>483</v>
      </c>
      <c r="F2610" s="4" t="s">
        <v>39</v>
      </c>
      <c r="G2610" s="1">
        <v>50</v>
      </c>
      <c r="H2610" s="1">
        <v>44</v>
      </c>
      <c r="I2610" s="1">
        <f>grand[[#This Row],[number]]-grand[[#This Row],[received]]</f>
        <v>6</v>
      </c>
      <c r="J2610" s="30" t="s">
        <v>624</v>
      </c>
      <c r="K2610" s="2">
        <v>19825</v>
      </c>
      <c r="L2610" s="2">
        <v>18766</v>
      </c>
      <c r="M2610" s="2">
        <f>K2610-L2610</f>
        <v>1059</v>
      </c>
      <c r="N2610" s="2">
        <v>12227.4</v>
      </c>
      <c r="O2610" s="2">
        <v>440</v>
      </c>
      <c r="P2610" s="7">
        <f>grand[[#This Row],[total weight]]/grand[[#This Row],[received]]</f>
        <v>450.56818181818181</v>
      </c>
      <c r="Q2610" s="7">
        <f>grand[[#This Row],[receiving weight]]/grand[[#This Row],[received]]</f>
        <v>426.5</v>
      </c>
      <c r="R2610" s="7">
        <f>grand[[#This Row],[transportation loss ]]/grand[[#This Row],[received]]</f>
        <v>24.068181818181817</v>
      </c>
      <c r="S2610" s="7">
        <f>grand[[#This Row],[ carcass weight]]/grand[[#This Row],[received]]</f>
        <v>277.89545454545453</v>
      </c>
      <c r="T2610" s="7">
        <f>grand[[#This Row],[ kidneys fat quantity]]/grand[[#This Row],[received]]</f>
        <v>10</v>
      </c>
      <c r="U2610" s="1">
        <v>25</v>
      </c>
      <c r="V2610" s="1">
        <v>0</v>
      </c>
      <c r="W2610" s="1">
        <v>48.88636363636364</v>
      </c>
      <c r="X2610" s="1">
        <v>10</v>
      </c>
      <c r="Y2610" s="1">
        <v>8.5</v>
      </c>
      <c r="Z2610" s="18">
        <f>grand[[#This Row],[av. Transportation loss]]/grand[[#This Row],[av.total weight]]</f>
        <v>5.3417402269861282E-2</v>
      </c>
      <c r="AA2610" s="12">
        <f>AVERAGE((grand[[#This Row],[am]]/25),(grand[[#This Row],[pm]]/50))</f>
        <v>0.98886363636363639</v>
      </c>
      <c r="AB2610" s="3">
        <f>grand[[#This Row],[ carcass weight]]/grand[[#This Row],[total weight]]</f>
        <v>0.61676670870113492</v>
      </c>
      <c r="AC2610" s="18">
        <f>SUM(grand[[#This Row],[am]:[meat transportation]])/100</f>
        <v>0.92386363636363644</v>
      </c>
      <c r="AJ2610" s="1">
        <v>11</v>
      </c>
      <c r="AK2610" s="1"/>
      <c r="AL2610" s="1"/>
    </row>
    <row r="2611" spans="1:38" x14ac:dyDescent="0.2">
      <c r="A2611" s="11">
        <v>46256</v>
      </c>
      <c r="B2611" s="53" t="str">
        <f>TEXT(grand[[#This Row],[date]],"[$-ar-SA,6]dd/mm/yyyy")</f>
        <v>09/03/1448</v>
      </c>
      <c r="C2611" s="52" t="str">
        <f>IF(MID(B2611,4,2)="09","Ramadan",IF(AND(MID(B2611,4,2)="12",VALUE(LEFT(B2611,2))&lt;=9),"Adha Season","Normal"))</f>
        <v>Normal</v>
      </c>
      <c r="D2611" s="1" t="s">
        <v>45</v>
      </c>
      <c r="F2611" s="4" t="s">
        <v>815</v>
      </c>
      <c r="G2611" s="1">
        <v>60</v>
      </c>
      <c r="H2611" s="1">
        <v>58</v>
      </c>
      <c r="I2611" s="1">
        <f>grand[[#This Row],[number]]-grand[[#This Row],[received]]</f>
        <v>2</v>
      </c>
      <c r="J2611" s="9" t="s">
        <v>3203</v>
      </c>
      <c r="K2611" s="2">
        <v>29796</v>
      </c>
      <c r="L2611" s="2">
        <v>29796</v>
      </c>
      <c r="M2611" s="2">
        <f>K2611-L2611</f>
        <v>0</v>
      </c>
      <c r="N2611" s="2">
        <v>18262</v>
      </c>
      <c r="O2611" s="2">
        <v>383</v>
      </c>
      <c r="P2611" s="7">
        <f>grand[[#This Row],[total weight]]/grand[[#This Row],[received]]</f>
        <v>513.72413793103453</v>
      </c>
      <c r="Q2611" s="7">
        <f>grand[[#This Row],[receiving weight]]/grand[[#This Row],[received]]</f>
        <v>513.72413793103453</v>
      </c>
      <c r="R2611" s="7">
        <f>grand[[#This Row],[transportation loss ]]/grand[[#This Row],[received]]</f>
        <v>0</v>
      </c>
      <c r="S2611" s="7">
        <f>grand[[#This Row],[ carcass weight]]/grand[[#This Row],[received]]</f>
        <v>314.86206896551727</v>
      </c>
      <c r="T2611" s="7">
        <f>grand[[#This Row],[ kidneys fat quantity]]/grand[[#This Row],[received]]</f>
        <v>6.6034482758620694</v>
      </c>
      <c r="U2611" s="1">
        <v>24.913793103448281</v>
      </c>
      <c r="V2611" s="1">
        <v>2</v>
      </c>
      <c r="W2611" s="1">
        <v>43.043103448275858</v>
      </c>
      <c r="X2611" s="1">
        <v>10</v>
      </c>
      <c r="Y2611" s="1">
        <v>8.5</v>
      </c>
      <c r="Z2611" s="18">
        <f>grand[[#This Row],[av. Transportation loss]]/grand[[#This Row],[av.total weight]]</f>
        <v>0</v>
      </c>
      <c r="AA2611" s="18">
        <f>AVERAGE((grand[[#This Row],[am]]/25),(grand[[#This Row],[pm]]/50))</f>
        <v>0.92870689655172423</v>
      </c>
      <c r="AB2611" s="3">
        <f>grand[[#This Row],[ carcass weight]]/grand[[#This Row],[total weight]]</f>
        <v>0.61290106054503957</v>
      </c>
      <c r="AC2611" s="18">
        <f>SUM(grand[[#This Row],[am]:[meat transportation]])/100</f>
        <v>0.8845689655172414</v>
      </c>
      <c r="AD2611" s="1" t="s">
        <v>3126</v>
      </c>
      <c r="AJ2611" s="1">
        <v>1</v>
      </c>
    </row>
    <row r="2612" spans="1:38" hidden="1" x14ac:dyDescent="0.2">
      <c r="A2612" s="11">
        <v>46258</v>
      </c>
      <c r="B2612" s="53" t="str">
        <f>TEXT(grand[[#This Row],[date]],"[$-ar-SA,6]dd/mm/yyyy")</f>
        <v>11/03/1448</v>
      </c>
      <c r="C2612" s="52" t="str">
        <f>IF(MID(B2612,4,2)="09","Ramadan",IF(AND(MID(B2612,4,2)="12",VALUE(LEFT(B2612,2))&lt;=9),"Adha Season","Normal"))</f>
        <v>Normal</v>
      </c>
      <c r="D2612" s="1" t="s">
        <v>1079</v>
      </c>
      <c r="F2612" s="4" t="s">
        <v>954</v>
      </c>
      <c r="G2612" s="1">
        <v>60</v>
      </c>
      <c r="H2612" s="1">
        <v>59</v>
      </c>
      <c r="I2612" s="1">
        <f>grand[[#This Row],[number]]-grand[[#This Row],[received]]</f>
        <v>1</v>
      </c>
      <c r="J2612" s="9" t="s">
        <v>3176</v>
      </c>
      <c r="K2612" s="2">
        <v>2830</v>
      </c>
      <c r="L2612" s="2">
        <v>2830</v>
      </c>
      <c r="M2612" s="2">
        <f>K2612-L2612</f>
        <v>0</v>
      </c>
      <c r="N2612" s="2">
        <v>1524</v>
      </c>
      <c r="O2612" s="2">
        <v>0</v>
      </c>
      <c r="P2612" s="7">
        <f>grand[[#This Row],[total weight]]/grand[[#This Row],[received]]</f>
        <v>47.966101694915253</v>
      </c>
      <c r="Q2612" s="7">
        <f>grand[[#This Row],[receiving weight]]/grand[[#This Row],[received]]</f>
        <v>47.966101694915253</v>
      </c>
      <c r="R2612" s="7">
        <f>grand[[#This Row],[transportation loss ]]/grand[[#This Row],[received]]</f>
        <v>0</v>
      </c>
      <c r="S2612" s="7">
        <f>grand[[#This Row],[ carcass weight]]/grand[[#This Row],[received]]</f>
        <v>25.83050847457627</v>
      </c>
      <c r="T2612" s="7">
        <f>grand[[#This Row],[ kidneys fat quantity]]/grand[[#This Row],[received]]</f>
        <v>0</v>
      </c>
      <c r="U2612" s="1">
        <v>25</v>
      </c>
      <c r="V2612" s="1">
        <v>0</v>
      </c>
      <c r="W2612" s="1">
        <v>42.423728813559322</v>
      </c>
      <c r="X2612" s="1">
        <v>10</v>
      </c>
      <c r="Y2612" s="1">
        <v>8.5</v>
      </c>
      <c r="Z2612" s="18">
        <f>grand[[#This Row],[av. Transportation loss]]/grand[[#This Row],[av.total weight]]</f>
        <v>0</v>
      </c>
      <c r="AA2612" s="18">
        <f>AVERAGE((grand[[#This Row],[am]]/25),(grand[[#This Row],[pm]]/50))</f>
        <v>0.92423728813559314</v>
      </c>
      <c r="AB2612" s="3">
        <f>grand[[#This Row],[ carcass weight]]/grand[[#This Row],[total weight]]</f>
        <v>0.53851590106007063</v>
      </c>
      <c r="AC2612" s="18">
        <f>SUM(grand[[#This Row],[am]:[meat transportation]])/100</f>
        <v>0.85923728813559319</v>
      </c>
      <c r="AD2612" s="1" t="s">
        <v>3129</v>
      </c>
      <c r="AJ2612" s="1">
        <v>0</v>
      </c>
    </row>
    <row r="2613" spans="1:38" x14ac:dyDescent="0.2">
      <c r="A2613" s="11">
        <v>46258</v>
      </c>
      <c r="B2613" s="53" t="str">
        <f>TEXT(grand[[#This Row],[date]],"[$-ar-SA,6]dd/mm/yyyy")</f>
        <v>11/03/1448</v>
      </c>
      <c r="C2613" s="52" t="str">
        <f>IF(MID(B2613,4,2)="09","Ramadan",IF(AND(MID(B2613,4,2)="12",VALUE(LEFT(B2613,2))&lt;=9),"Adha Season","Normal"))</f>
        <v>Normal</v>
      </c>
      <c r="D2613" s="1" t="s">
        <v>45</v>
      </c>
      <c r="F2613" s="4" t="s">
        <v>884</v>
      </c>
      <c r="G2613" s="1">
        <v>48</v>
      </c>
      <c r="H2613" s="1">
        <v>47</v>
      </c>
      <c r="I2613" s="1">
        <f>grand[[#This Row],[number]]-grand[[#This Row],[received]]</f>
        <v>1</v>
      </c>
      <c r="J2613" s="9" t="s">
        <v>1189</v>
      </c>
      <c r="K2613" s="2">
        <v>21350</v>
      </c>
      <c r="L2613" s="2">
        <v>21350</v>
      </c>
      <c r="M2613" s="2">
        <f>K2613-L2613</f>
        <v>0</v>
      </c>
      <c r="N2613" s="2">
        <v>12856</v>
      </c>
      <c r="O2613" s="2">
        <v>308</v>
      </c>
      <c r="P2613" s="7">
        <f>grand[[#This Row],[total weight]]/grand[[#This Row],[received]]</f>
        <v>454.25531914893617</v>
      </c>
      <c r="Q2613" s="7">
        <f>grand[[#This Row],[receiving weight]]/grand[[#This Row],[received]]</f>
        <v>454.25531914893617</v>
      </c>
      <c r="R2613" s="7">
        <f>grand[[#This Row],[transportation loss ]]/grand[[#This Row],[received]]</f>
        <v>0</v>
      </c>
      <c r="S2613" s="7">
        <f>grand[[#This Row],[ carcass weight]]/grand[[#This Row],[received]]</f>
        <v>273.531914893617</v>
      </c>
      <c r="T2613" s="7">
        <f>grand[[#This Row],[ kidneys fat quantity]]/grand[[#This Row],[received]]</f>
        <v>6.5531914893617023</v>
      </c>
      <c r="U2613" s="1">
        <v>25</v>
      </c>
      <c r="V2613" s="1">
        <v>0</v>
      </c>
      <c r="W2613" s="1">
        <v>46.393617021276597</v>
      </c>
      <c r="X2613" s="1">
        <v>10</v>
      </c>
      <c r="Y2613" s="1">
        <v>8.5</v>
      </c>
      <c r="Z2613" s="18">
        <f>grand[[#This Row],[av. Transportation loss]]/grand[[#This Row],[av.total weight]]</f>
        <v>0</v>
      </c>
      <c r="AA2613" s="18">
        <f>AVERAGE((grand[[#This Row],[am]]/25),(grand[[#This Row],[pm]]/50))</f>
        <v>0.96393617021276601</v>
      </c>
      <c r="AB2613" s="3">
        <f>grand[[#This Row],[ carcass weight]]/grand[[#This Row],[total weight]]</f>
        <v>0.60215456674473067</v>
      </c>
      <c r="AC2613" s="18">
        <f>SUM(grand[[#This Row],[am]:[meat transportation]])/100</f>
        <v>0.89893617021276595</v>
      </c>
      <c r="AD2613" s="1" t="s">
        <v>3130</v>
      </c>
      <c r="AJ2613" s="1">
        <v>3</v>
      </c>
    </row>
    <row r="2614" spans="1:38" hidden="1" x14ac:dyDescent="0.2">
      <c r="A2614" s="11">
        <v>43888</v>
      </c>
      <c r="B2614" s="53" t="s">
        <v>1424</v>
      </c>
      <c r="C2614" s="52" t="str">
        <f>IF(MID(B2614,4,2)="09","Ramadan",IF(AND(MID(B2614,4,2)="12",VALUE(LEFT(B2614,2))&lt;=9),"Adha Season","Normal"))</f>
        <v>Normal</v>
      </c>
      <c r="D2614" s="1" t="s">
        <v>45</v>
      </c>
      <c r="F2614" s="4" t="s">
        <v>50</v>
      </c>
      <c r="G2614" s="4">
        <v>35</v>
      </c>
      <c r="H2614" s="4">
        <v>28</v>
      </c>
      <c r="I2614" s="2">
        <f>grand[[#This Row],[number]]-grand[[#This Row],[received]]</f>
        <v>7</v>
      </c>
      <c r="J2614" s="30" t="s">
        <v>64</v>
      </c>
      <c r="K2614" s="4">
        <v>11567</v>
      </c>
      <c r="L2614" s="4">
        <v>10844</v>
      </c>
      <c r="M2614" s="2">
        <f>K2614-L2614</f>
        <v>723</v>
      </c>
      <c r="N2614" s="4">
        <v>7247.5</v>
      </c>
      <c r="O2614" s="4"/>
      <c r="P2614" s="7">
        <f>grand[[#This Row],[total weight]]/grand[[#This Row],[received]]</f>
        <v>413.10714285714283</v>
      </c>
      <c r="Q2614" s="7">
        <f>grand[[#This Row],[receiving weight]]/grand[[#This Row],[received]]</f>
        <v>387.28571428571428</v>
      </c>
      <c r="R2614" s="7">
        <f>grand[[#This Row],[transportation loss ]]/grand[[#This Row],[received]]</f>
        <v>25.821428571428573</v>
      </c>
      <c r="S2614" s="7">
        <f>grand[[#This Row],[ carcass weight]]/grand[[#This Row],[received]]</f>
        <v>258.83928571428572</v>
      </c>
      <c r="T2614" s="7">
        <f>grand[[#This Row],[ kidneys fat quantity]]/grand[[#This Row],[received]]</f>
        <v>0</v>
      </c>
      <c r="U2614" s="4">
        <v>25</v>
      </c>
      <c r="V2614" s="4">
        <v>0</v>
      </c>
      <c r="W2614" s="4">
        <v>49.8</v>
      </c>
      <c r="X2614" s="4">
        <v>10</v>
      </c>
      <c r="Y2614" s="8">
        <v>8.5</v>
      </c>
      <c r="Z2614" s="3">
        <f>grand[[#This Row],[av. Transportation loss]]/grand[[#This Row],[av.total weight]]</f>
        <v>6.25054033024985E-2</v>
      </c>
      <c r="AA2614" s="12">
        <f>AVERAGE((grand[[#This Row],[am]]/25),(grand[[#This Row],[pm]]/50))</f>
        <v>0.998</v>
      </c>
      <c r="AB2614" s="3">
        <f>grand[[#This Row],[ carcass weight]]/grand[[#This Row],[total weight]]</f>
        <v>0.62656695772456128</v>
      </c>
      <c r="AC2614" s="6">
        <f>SUM(grand[[#This Row],[am]:[meat transportation]])/100</f>
        <v>0.93299999999999994</v>
      </c>
      <c r="AD2614" s="4"/>
      <c r="AE2614" s="4">
        <v>2</v>
      </c>
      <c r="AF2614" s="4"/>
      <c r="AG2614" s="4"/>
      <c r="AH2614" s="4"/>
      <c r="AI2614" s="4"/>
      <c r="AJ2614" s="2"/>
      <c r="AK2614" s="4"/>
    </row>
    <row r="2615" spans="1:38" hidden="1" x14ac:dyDescent="0.2">
      <c r="A2615" s="11">
        <v>44332</v>
      </c>
      <c r="B2615" s="53" t="s">
        <v>2651</v>
      </c>
      <c r="C2615" s="52" t="str">
        <f>IF(MID(B2615,4,2)="09","Ramadan",IF(AND(MID(B2615,4,2)="12",VALUE(LEFT(B2615,2))&lt;=9),"Adha Season","Normal"))</f>
        <v>Normal</v>
      </c>
      <c r="D2615" s="1" t="s">
        <v>45</v>
      </c>
      <c r="F2615" s="4" t="s">
        <v>47</v>
      </c>
      <c r="G2615" s="4">
        <v>40</v>
      </c>
      <c r="H2615" s="4">
        <v>33</v>
      </c>
      <c r="I2615" s="2">
        <f>grand[[#This Row],[number]]-grand[[#This Row],[received]]</f>
        <v>7</v>
      </c>
      <c r="J2615" s="30" t="s">
        <v>293</v>
      </c>
      <c r="K2615" s="9">
        <v>14370</v>
      </c>
      <c r="L2615" s="9">
        <v>13558</v>
      </c>
      <c r="M2615" s="2">
        <f>K2615-L2615</f>
        <v>812</v>
      </c>
      <c r="N2615" s="9">
        <v>8622</v>
      </c>
      <c r="O2615" s="2"/>
      <c r="P2615" s="7">
        <f>grand[[#This Row],[total weight]]/grand[[#This Row],[received]]</f>
        <v>435.45454545454544</v>
      </c>
      <c r="Q2615" s="7">
        <f>grand[[#This Row],[receiving weight]]/grand[[#This Row],[received]]</f>
        <v>410.84848484848487</v>
      </c>
      <c r="R2615" s="7">
        <f>grand[[#This Row],[transportation loss ]]/grand[[#This Row],[received]]</f>
        <v>24.606060606060606</v>
      </c>
      <c r="S2615" s="7">
        <f>grand[[#This Row],[ carcass weight]]/grand[[#This Row],[received]]</f>
        <v>261.27272727272725</v>
      </c>
      <c r="T2615" s="7">
        <f>grand[[#This Row],[ kidneys fat quantity]]/grand[[#This Row],[received]]</f>
        <v>0</v>
      </c>
      <c r="U2615" s="4">
        <v>25</v>
      </c>
      <c r="V2615" s="4">
        <v>0</v>
      </c>
      <c r="W2615" s="4">
        <v>49.94</v>
      </c>
      <c r="X2615" s="4">
        <v>10</v>
      </c>
      <c r="Y2615" s="8">
        <v>8.5</v>
      </c>
      <c r="Z2615" s="3">
        <f>grand[[#This Row],[av. Transportation loss]]/grand[[#This Row],[av.total weight]]</f>
        <v>5.6506610995128742E-2</v>
      </c>
      <c r="AA2615" s="12">
        <f>AVERAGE((grand[[#This Row],[am]]/25),(grand[[#This Row],[pm]]/50))</f>
        <v>0.99939999999999996</v>
      </c>
      <c r="AB2615" s="3">
        <f>grand[[#This Row],[ carcass weight]]/grand[[#This Row],[total weight]]</f>
        <v>0.6</v>
      </c>
      <c r="AC2615" s="6">
        <f>SUM(grand[[#This Row],[am]:[meat transportation]])/100</f>
        <v>0.93440000000000001</v>
      </c>
      <c r="AD2615" s="2"/>
      <c r="AE2615" s="2"/>
      <c r="AF2615" s="2"/>
      <c r="AG2615" s="2"/>
      <c r="AH2615" s="2"/>
      <c r="AI2615" s="2"/>
      <c r="AJ2615" s="2">
        <v>24</v>
      </c>
      <c r="AK2615" s="12">
        <f>grand[[#This Row],[accepted as exception]]/grand[[#This Row],[number]]</f>
        <v>0.6</v>
      </c>
      <c r="AL2615" s="2">
        <v>3092</v>
      </c>
    </row>
    <row r="2616" spans="1:38" hidden="1" x14ac:dyDescent="0.2">
      <c r="A2616" s="11">
        <v>44364</v>
      </c>
      <c r="B2616" s="53" t="s">
        <v>2664</v>
      </c>
      <c r="C2616" s="52" t="str">
        <f>IF(MID(B2616,4,2)="09","Ramadan",IF(AND(MID(B2616,4,2)="12",VALUE(LEFT(B2616,2))&lt;=9),"Adha Season","Normal"))</f>
        <v>Normal</v>
      </c>
      <c r="D2616" s="1" t="s">
        <v>45</v>
      </c>
      <c r="F2616" s="4" t="s">
        <v>46</v>
      </c>
      <c r="G2616" s="4">
        <v>40</v>
      </c>
      <c r="H2616" s="4">
        <v>33</v>
      </c>
      <c r="I2616" s="2">
        <f>grand[[#This Row],[number]]-grand[[#This Row],[received]]</f>
        <v>7</v>
      </c>
      <c r="J2616" s="30" t="s">
        <v>293</v>
      </c>
      <c r="K2616" s="9">
        <v>14748</v>
      </c>
      <c r="L2616" s="9">
        <v>13480</v>
      </c>
      <c r="M2616" s="2">
        <f>K2616-L2616</f>
        <v>1268</v>
      </c>
      <c r="N2616" s="9">
        <v>8848.6</v>
      </c>
      <c r="O2616" s="2"/>
      <c r="P2616" s="7">
        <f>grand[[#This Row],[total weight]]/grand[[#This Row],[received]]</f>
        <v>446.90909090909093</v>
      </c>
      <c r="Q2616" s="7">
        <f>grand[[#This Row],[receiving weight]]/grand[[#This Row],[received]]</f>
        <v>408.4848484848485</v>
      </c>
      <c r="R2616" s="7">
        <f>grand[[#This Row],[transportation loss ]]/grand[[#This Row],[received]]</f>
        <v>38.424242424242422</v>
      </c>
      <c r="S2616" s="7">
        <f>grand[[#This Row],[ carcass weight]]/grand[[#This Row],[received]]</f>
        <v>268.13939393939393</v>
      </c>
      <c r="T2616" s="7">
        <f>grand[[#This Row],[ kidneys fat quantity]]/grand[[#This Row],[received]]</f>
        <v>0</v>
      </c>
      <c r="U2616" s="4">
        <v>25</v>
      </c>
      <c r="V2616" s="4">
        <v>0</v>
      </c>
      <c r="W2616" s="4">
        <v>49.64</v>
      </c>
      <c r="X2616" s="4">
        <v>10</v>
      </c>
      <c r="Y2616" s="8">
        <v>8.5</v>
      </c>
      <c r="Z2616" s="3">
        <f>grand[[#This Row],[av. Transportation loss]]/grand[[#This Row],[av.total weight]]</f>
        <v>8.5977759696229991E-2</v>
      </c>
      <c r="AA2616" s="12">
        <f>AVERAGE((grand[[#This Row],[am]]/25),(grand[[#This Row],[pm]]/50))</f>
        <v>0.99639999999999995</v>
      </c>
      <c r="AB2616" s="3">
        <f>grand[[#This Row],[ carcass weight]]/grand[[#This Row],[total weight]]</f>
        <v>0.59998643883916469</v>
      </c>
      <c r="AC2616" s="6">
        <f>SUM(grand[[#This Row],[am]:[meat transportation]])/100</f>
        <v>0.93140000000000001</v>
      </c>
      <c r="AD2616" s="2"/>
      <c r="AE2616" s="2"/>
      <c r="AF2616" s="2"/>
      <c r="AG2616" s="2"/>
      <c r="AH2616" s="2"/>
      <c r="AI2616" s="2"/>
      <c r="AJ2616" s="2">
        <v>16</v>
      </c>
      <c r="AK2616" s="12">
        <f>grand[[#This Row],[accepted as exception]]/grand[[#This Row],[number]]</f>
        <v>0.4</v>
      </c>
      <c r="AL2616" s="2">
        <f>3605</f>
        <v>3605</v>
      </c>
    </row>
    <row r="2617" spans="1:38" hidden="1" x14ac:dyDescent="0.2">
      <c r="A2617" s="11">
        <v>44412</v>
      </c>
      <c r="B2617" s="53" t="s">
        <v>1575</v>
      </c>
      <c r="C2617" s="52" t="str">
        <f>IF(MID(B2617,4,2)="09","Ramadan",IF(AND(MID(B2617,4,2)="12",VALUE(LEFT(B2617,2))&lt;=9),"Adha Season","Normal"))</f>
        <v>Normal</v>
      </c>
      <c r="D2617" s="1" t="s">
        <v>45</v>
      </c>
      <c r="F2617" s="14" t="s">
        <v>280</v>
      </c>
      <c r="G2617" s="4">
        <v>22</v>
      </c>
      <c r="H2617" s="4">
        <v>15</v>
      </c>
      <c r="I2617" s="2">
        <f>grand[[#This Row],[number]]-grand[[#This Row],[received]]</f>
        <v>7</v>
      </c>
      <c r="J2617" s="30" t="s">
        <v>315</v>
      </c>
      <c r="K2617" s="2">
        <v>6900.6666670000004</v>
      </c>
      <c r="L2617" s="2">
        <v>6900.6666670000004</v>
      </c>
      <c r="M2617" s="2">
        <f>K2617-L2617</f>
        <v>0</v>
      </c>
      <c r="N2617" s="2">
        <v>4140.3999999999996</v>
      </c>
      <c r="O2617" s="2"/>
      <c r="P2617" s="7">
        <f>grand[[#This Row],[total weight]]/grand[[#This Row],[received]]</f>
        <v>460.04444446666668</v>
      </c>
      <c r="Q2617" s="7">
        <f>grand[[#This Row],[receiving weight]]/grand[[#This Row],[received]]</f>
        <v>460.04444446666668</v>
      </c>
      <c r="R2617" s="7">
        <f>grand[[#This Row],[transportation loss ]]/grand[[#This Row],[received]]</f>
        <v>0</v>
      </c>
      <c r="S2617" s="7">
        <f>grand[[#This Row],[ carcass weight]]/grand[[#This Row],[received]]</f>
        <v>276.02666666666664</v>
      </c>
      <c r="T2617" s="7">
        <f>grand[[#This Row],[ kidneys fat quantity]]/grand[[#This Row],[received]]</f>
        <v>0</v>
      </c>
      <c r="U2617" s="4">
        <v>25</v>
      </c>
      <c r="V2617" s="4">
        <v>0</v>
      </c>
      <c r="W2617" s="4">
        <v>47</v>
      </c>
      <c r="X2617" s="4">
        <v>10</v>
      </c>
      <c r="Y2617" s="8">
        <v>8.5</v>
      </c>
      <c r="Z2617" s="3">
        <f>grand[[#This Row],[av. Transportation loss]]/grand[[#This Row],[av.total weight]]</f>
        <v>0</v>
      </c>
      <c r="AA2617" s="12">
        <f>AVERAGE((grand[[#This Row],[am]]/25),(grand[[#This Row],[pm]]/50))</f>
        <v>0.97</v>
      </c>
      <c r="AB2617" s="3">
        <f>grand[[#This Row],[ carcass weight]]/grand[[#This Row],[total weight]]</f>
        <v>0.59999999997101716</v>
      </c>
      <c r="AC2617" s="6">
        <f>SUM(grand[[#This Row],[am]:[meat transportation]])/100</f>
        <v>0.90500000000000003</v>
      </c>
      <c r="AD2617" s="2"/>
      <c r="AE2617" s="2"/>
      <c r="AF2617" s="2"/>
      <c r="AG2617" s="2"/>
      <c r="AH2617" s="2"/>
      <c r="AI2617" s="2"/>
      <c r="AJ2617" s="2">
        <v>14</v>
      </c>
      <c r="AK2617" s="12">
        <f>grand[[#This Row],[accepted as exception]]/grand[[#This Row],[number]]</f>
        <v>0.63636363636363635</v>
      </c>
      <c r="AL2617" s="13">
        <f>23*S2617</f>
        <v>6348.6133333333328</v>
      </c>
    </row>
    <row r="2618" spans="1:38" hidden="1" x14ac:dyDescent="0.2">
      <c r="A2618" s="11">
        <v>44896</v>
      </c>
      <c r="B2618" s="53" t="s">
        <v>1746</v>
      </c>
      <c r="C2618" s="52" t="str">
        <f>IF(MID(B2618,4,2)="09","Ramadan",IF(AND(MID(B2618,4,2)="12",VALUE(LEFT(B2618,2))&lt;=9),"Adha Season","Normal"))</f>
        <v>Normal</v>
      </c>
      <c r="D2618" s="1" t="s">
        <v>45</v>
      </c>
      <c r="F2618" s="4" t="s">
        <v>46</v>
      </c>
      <c r="G2618" s="1">
        <v>30</v>
      </c>
      <c r="H2618" s="15">
        <v>23</v>
      </c>
      <c r="I2618" s="1">
        <f>grand[[#This Row],[number]]-grand[[#This Row],[received]]</f>
        <v>7</v>
      </c>
      <c r="J2618" s="30" t="s">
        <v>504</v>
      </c>
      <c r="K2618" s="2">
        <v>10748</v>
      </c>
      <c r="L2618" s="2">
        <v>10748</v>
      </c>
      <c r="M2618" s="2">
        <f>K2618-L2618</f>
        <v>0</v>
      </c>
      <c r="N2618" s="2">
        <v>6448.5</v>
      </c>
      <c r="O2618" s="2">
        <v>237</v>
      </c>
      <c r="P2618" s="7">
        <f>grand[[#This Row],[total weight]]/grand[[#This Row],[received]]</f>
        <v>467.30434782608694</v>
      </c>
      <c r="Q2618" s="7">
        <f>grand[[#This Row],[receiving weight]]/grand[[#This Row],[received]]</f>
        <v>467.30434782608694</v>
      </c>
      <c r="R2618" s="7">
        <f>grand[[#This Row],[transportation loss ]]/grand[[#This Row],[received]]</f>
        <v>0</v>
      </c>
      <c r="S2618" s="7">
        <f>grand[[#This Row],[ carcass weight]]/grand[[#This Row],[received]]</f>
        <v>280.36956521739131</v>
      </c>
      <c r="T2618" s="7">
        <f>grand[[#This Row],[ kidneys fat quantity]]/grand[[#This Row],[received]]</f>
        <v>10.304347826086957</v>
      </c>
      <c r="U2618" s="15">
        <v>25</v>
      </c>
      <c r="V2618" s="15">
        <v>0</v>
      </c>
      <c r="W2618" s="15">
        <v>46.222016651248843</v>
      </c>
      <c r="X2618" s="15">
        <v>10</v>
      </c>
      <c r="Y2618" s="8">
        <v>8.5</v>
      </c>
      <c r="Z2618" s="20">
        <f>grand[[#This Row],[av. Transportation loss]]/grand[[#This Row],[av.total weight]]</f>
        <v>0</v>
      </c>
      <c r="AA2618" s="12">
        <f>AVERAGE((grand[[#This Row],[am]]/25),(grand[[#This Row],[pm]]/50))</f>
        <v>0.96222016651248843</v>
      </c>
      <c r="AB2618" s="12">
        <f>grand[[#This Row],[ carcass weight]]/grand[[#This Row],[total weight]]</f>
        <v>0.59997208783029399</v>
      </c>
      <c r="AC2618" s="22">
        <f>SUM(grand[[#This Row],[am]:[meat transportation]])/100</f>
        <v>0.89722016651248848</v>
      </c>
      <c r="AD2618" s="9" t="s">
        <v>89</v>
      </c>
      <c r="AJ2618" s="1">
        <v>10</v>
      </c>
      <c r="AK2618" s="20"/>
      <c r="AL2618" s="1">
        <v>3316</v>
      </c>
    </row>
    <row r="2619" spans="1:38" hidden="1" x14ac:dyDescent="0.2">
      <c r="A2619" s="11">
        <v>45935</v>
      </c>
      <c r="B2619" s="53" t="s">
        <v>2328</v>
      </c>
      <c r="C2619" s="52" t="str">
        <f>IF(MID(B2619,4,2)="09","Ramadan",IF(AND(MID(B2619,4,2)="12",VALUE(LEFT(B2619,2))&lt;=9),"Adha Season","Normal"))</f>
        <v>Normal</v>
      </c>
      <c r="D2619" s="1" t="s">
        <v>45</v>
      </c>
      <c r="E2619" s="1" t="s">
        <v>809</v>
      </c>
      <c r="F2619" s="4" t="s">
        <v>165</v>
      </c>
      <c r="G2619" s="1">
        <v>59</v>
      </c>
      <c r="H2619" s="1">
        <v>52</v>
      </c>
      <c r="I2619" s="1">
        <f>grand[[#This Row],[number]]-grand[[#This Row],[received]]</f>
        <v>7</v>
      </c>
      <c r="J2619" s="30"/>
      <c r="K2619" s="2">
        <v>23835</v>
      </c>
      <c r="L2619" s="2">
        <v>23380</v>
      </c>
      <c r="M2619" s="2">
        <f>K2619-L2619</f>
        <v>455</v>
      </c>
      <c r="N2619" s="2">
        <v>14313</v>
      </c>
      <c r="O2619" s="2">
        <v>513</v>
      </c>
      <c r="P2619" s="7">
        <f>grand[[#This Row],[total weight]]/grand[[#This Row],[received]]</f>
        <v>458.36538461538464</v>
      </c>
      <c r="Q2619" s="7">
        <f>grand[[#This Row],[receiving weight]]/grand[[#This Row],[received]]</f>
        <v>449.61538461538464</v>
      </c>
      <c r="R2619" s="7">
        <f>grand[[#This Row],[transportation loss ]]/grand[[#This Row],[received]]</f>
        <v>8.75</v>
      </c>
      <c r="S2619" s="7">
        <f>grand[[#This Row],[ carcass weight]]/grand[[#This Row],[received]]</f>
        <v>275.25</v>
      </c>
      <c r="T2619" s="7">
        <f>grand[[#This Row],[ kidneys fat quantity]]/grand[[#This Row],[received]]</f>
        <v>9.865384615384615</v>
      </c>
      <c r="U2619" s="1">
        <v>24.326923076923077</v>
      </c>
      <c r="V2619" s="1">
        <v>0</v>
      </c>
      <c r="W2619" s="1">
        <v>47.34615384615384</v>
      </c>
      <c r="X2619" s="1">
        <v>10</v>
      </c>
      <c r="Y2619" s="1">
        <v>8.5</v>
      </c>
      <c r="Z2619" s="18">
        <f>grand[[#This Row],[av. Transportation loss]]/grand[[#This Row],[av.total weight]]</f>
        <v>1.908957415565345E-2</v>
      </c>
      <c r="AA2619" s="18">
        <f>AVERAGE((grand[[#This Row],[am]]/25),(grand[[#This Row],[pm]]/50))</f>
        <v>0.96</v>
      </c>
      <c r="AB2619" s="3">
        <f>grand[[#This Row],[ carcass weight]]/grand[[#This Row],[total weight]]</f>
        <v>0.60050346129641285</v>
      </c>
      <c r="AC2619" s="18">
        <f>SUM(grand[[#This Row],[am]:[meat transportation]])/100</f>
        <v>0.90173076923076922</v>
      </c>
      <c r="AD2619" s="1" t="s">
        <v>806</v>
      </c>
      <c r="AJ2619" s="1">
        <v>18</v>
      </c>
      <c r="AK2619" s="1"/>
      <c r="AL2619" s="1"/>
    </row>
    <row r="2620" spans="1:38" hidden="1" x14ac:dyDescent="0.2">
      <c r="A2620" s="11">
        <v>45977</v>
      </c>
      <c r="B2620" s="53" t="s">
        <v>2363</v>
      </c>
      <c r="C2620" s="52" t="str">
        <f>IF(MID(B2620,4,2)="09","Ramadan",IF(AND(MID(B2620,4,2)="12",VALUE(LEFT(B2620,2))&lt;=9),"Adha Season","Normal"))</f>
        <v>Normal</v>
      </c>
      <c r="D2620" s="1" t="s">
        <v>45</v>
      </c>
      <c r="E2620" s="1" t="s">
        <v>483</v>
      </c>
      <c r="F2620" s="4" t="s">
        <v>46</v>
      </c>
      <c r="G2620" s="1">
        <v>29</v>
      </c>
      <c r="H2620">
        <v>22</v>
      </c>
      <c r="I2620">
        <f>grand[[#This Row],[number]]-grand[[#This Row],[received]]</f>
        <v>7</v>
      </c>
      <c r="J2620" s="30"/>
      <c r="K2620" s="2">
        <v>12176</v>
      </c>
      <c r="L2620" s="2">
        <v>14590</v>
      </c>
      <c r="M2620" s="2">
        <f>K2620-L2620</f>
        <v>-2414</v>
      </c>
      <c r="N2620" s="2">
        <v>7305.7</v>
      </c>
      <c r="O2620" s="2">
        <v>262</v>
      </c>
      <c r="P2620" s="7">
        <f>grand[[#This Row],[total weight]]/grand[[#This Row],[received]]</f>
        <v>553.4545454545455</v>
      </c>
      <c r="Q2620" s="7">
        <f>grand[[#This Row],[receiving weight]]/grand[[#This Row],[received]]</f>
        <v>663.18181818181813</v>
      </c>
      <c r="R2620" s="7">
        <f>grand[[#This Row],[transportation loss ]]/grand[[#This Row],[received]]</f>
        <v>-109.72727272727273</v>
      </c>
      <c r="S2620" s="7">
        <f>grand[[#This Row],[ carcass weight]]/grand[[#This Row],[received]]</f>
        <v>332.07727272727271</v>
      </c>
      <c r="T2620" s="7">
        <f>grand[[#This Row],[ kidneys fat quantity]]/grand[[#This Row],[received]]</f>
        <v>11.909090909090908</v>
      </c>
      <c r="U2620">
        <v>25</v>
      </c>
      <c r="V2620">
        <v>0</v>
      </c>
      <c r="W2620">
        <v>42.499999999999993</v>
      </c>
      <c r="X2620">
        <v>10</v>
      </c>
      <c r="Y2620">
        <v>8.5</v>
      </c>
      <c r="Z2620" s="18">
        <f>grand[[#This Row],[av. Transportation loss]]/grand[[#This Row],[av.total weight]]</f>
        <v>-0.19825886990801578</v>
      </c>
      <c r="AA2620" s="18">
        <f>AVERAGE((grand[[#This Row],[am]]/25),(grand[[#This Row],[pm]]/50))</f>
        <v>0.92499999999999993</v>
      </c>
      <c r="AB2620" s="3">
        <f>grand[[#This Row],[ carcass weight]]/grand[[#This Row],[total weight]]</f>
        <v>0.60000821287779238</v>
      </c>
      <c r="AC2620" s="18">
        <f>SUM(grand[[#This Row],[am]:[meat transportation]])/100</f>
        <v>0.86</v>
      </c>
      <c r="AD2620" s="2" t="s">
        <v>828</v>
      </c>
      <c r="AE2620" s="2"/>
      <c r="AF2620" s="2"/>
      <c r="AG2620" s="2"/>
      <c r="AH2620" s="2"/>
      <c r="AI2620" s="2"/>
      <c r="AJ2620" s="2">
        <v>7</v>
      </c>
      <c r="AK2620" s="1"/>
      <c r="AL2620" s="1"/>
    </row>
    <row r="2621" spans="1:38" hidden="1" x14ac:dyDescent="0.2">
      <c r="A2621" s="11">
        <v>44294</v>
      </c>
      <c r="B2621" s="53" t="s">
        <v>2638</v>
      </c>
      <c r="C2621" s="52" t="str">
        <f>IF(MID(B2621,4,2)="09","Ramadan",IF(AND(MID(B2621,4,2)="12",VALUE(LEFT(B2621,2))&lt;=9),"Adha Season","Normal"))</f>
        <v>Normal</v>
      </c>
      <c r="D2621" s="1" t="s">
        <v>45</v>
      </c>
      <c r="F2621" s="4" t="s">
        <v>165</v>
      </c>
      <c r="G2621" s="4">
        <v>55</v>
      </c>
      <c r="H2621" s="4">
        <v>47</v>
      </c>
      <c r="I2621" s="2">
        <f>grand[[#This Row],[number]]-grand[[#This Row],[received]]</f>
        <v>8</v>
      </c>
      <c r="J2621" s="30" t="s">
        <v>284</v>
      </c>
      <c r="K2621" s="9">
        <v>23482</v>
      </c>
      <c r="L2621" s="9">
        <v>22882</v>
      </c>
      <c r="M2621" s="2">
        <f>K2621-L2621</f>
        <v>600</v>
      </c>
      <c r="N2621" s="9">
        <v>14088.8</v>
      </c>
      <c r="O2621" s="2"/>
      <c r="P2621" s="7">
        <f>grand[[#This Row],[total weight]]/grand[[#This Row],[received]]</f>
        <v>499.61702127659572</v>
      </c>
      <c r="Q2621" s="7">
        <f>grand[[#This Row],[receiving weight]]/grand[[#This Row],[received]]</f>
        <v>486.85106382978722</v>
      </c>
      <c r="R2621" s="7">
        <f>grand[[#This Row],[transportation loss ]]/grand[[#This Row],[received]]</f>
        <v>12.76595744680851</v>
      </c>
      <c r="S2621" s="7">
        <f>grand[[#This Row],[ carcass weight]]/grand[[#This Row],[received]]</f>
        <v>299.76170212765953</v>
      </c>
      <c r="T2621" s="7">
        <f>grand[[#This Row],[ kidneys fat quantity]]/grand[[#This Row],[received]]</f>
        <v>0</v>
      </c>
      <c r="U2621" s="4">
        <v>25</v>
      </c>
      <c r="V2621" s="4">
        <v>0</v>
      </c>
      <c r="W2621" s="4">
        <v>49.55</v>
      </c>
      <c r="X2621" s="4">
        <v>10</v>
      </c>
      <c r="Y2621" s="8">
        <v>8.5</v>
      </c>
      <c r="Z2621" s="3">
        <f>grand[[#This Row],[av. Transportation loss]]/grand[[#This Row],[av.total weight]]</f>
        <v>2.5551486244783241E-2</v>
      </c>
      <c r="AA2621" s="12">
        <f>AVERAGE((grand[[#This Row],[am]]/25),(grand[[#This Row],[pm]]/50))</f>
        <v>0.99550000000000005</v>
      </c>
      <c r="AB2621" s="3">
        <f>grand[[#This Row],[ carcass weight]]/grand[[#This Row],[total weight]]</f>
        <v>0.59998296567583675</v>
      </c>
      <c r="AC2621" s="6">
        <f>SUM(grand[[#This Row],[am]:[meat transportation]])/100</f>
        <v>0.93049999999999999</v>
      </c>
      <c r="AD2621" s="9"/>
      <c r="AE2621" s="4"/>
      <c r="AF2621" s="4"/>
      <c r="AG2621" s="2"/>
      <c r="AH2621" s="2"/>
      <c r="AI2621" s="2"/>
      <c r="AJ2621" s="2">
        <v>16</v>
      </c>
      <c r="AK2621" s="12">
        <f>grand[[#This Row],[accepted as exception]]/grand[[#This Row],[number]]</f>
        <v>0.29090909090909089</v>
      </c>
      <c r="AL2621" s="2">
        <f>3808+11</f>
        <v>3819</v>
      </c>
    </row>
    <row r="2622" spans="1:38" hidden="1" x14ac:dyDescent="0.2">
      <c r="A2622" s="11">
        <v>45237</v>
      </c>
      <c r="B2622" s="53" t="s">
        <v>2842</v>
      </c>
      <c r="C2622" s="52" t="str">
        <f>IF(MID(B2622,4,2)="09","Ramadan",IF(AND(MID(B2622,4,2)="12",VALUE(LEFT(B2622,2))&lt;=9),"Adha Season","Normal"))</f>
        <v>Normal</v>
      </c>
      <c r="D2622" s="1" t="s">
        <v>45</v>
      </c>
      <c r="E2622" s="1" t="s">
        <v>483</v>
      </c>
      <c r="F2622" s="4" t="s">
        <v>43</v>
      </c>
      <c r="G2622" s="1">
        <v>40</v>
      </c>
      <c r="H2622" s="1">
        <v>32</v>
      </c>
      <c r="I2622" s="1">
        <f>grand[[#This Row],[number]]-grand[[#This Row],[received]]</f>
        <v>8</v>
      </c>
      <c r="J2622" s="30" t="s">
        <v>600</v>
      </c>
      <c r="K2622" s="2">
        <v>14523</v>
      </c>
      <c r="L2622" s="2">
        <v>14108</v>
      </c>
      <c r="M2622" s="2">
        <f>K2622-L2622</f>
        <v>415</v>
      </c>
      <c r="N2622" s="2">
        <v>8713.2999999999993</v>
      </c>
      <c r="O2622" s="2">
        <v>255</v>
      </c>
      <c r="P2622" s="7">
        <f>grand[[#This Row],[total weight]]/grand[[#This Row],[received]]</f>
        <v>453.84375</v>
      </c>
      <c r="Q2622" s="7">
        <f>grand[[#This Row],[receiving weight]]/grand[[#This Row],[received]]</f>
        <v>440.875</v>
      </c>
      <c r="R2622" s="7">
        <f>grand[[#This Row],[transportation loss ]]/grand[[#This Row],[received]]</f>
        <v>12.96875</v>
      </c>
      <c r="S2622" s="7">
        <f>grand[[#This Row],[ carcass weight]]/grand[[#This Row],[received]]</f>
        <v>272.29062499999998</v>
      </c>
      <c r="T2622" s="7">
        <f>grand[[#This Row],[ kidneys fat quantity]]/grand[[#This Row],[received]]</f>
        <v>7.96875</v>
      </c>
      <c r="U2622" s="1">
        <v>25</v>
      </c>
      <c r="V2622" s="1">
        <v>0</v>
      </c>
      <c r="W2622" s="1">
        <v>44.625</v>
      </c>
      <c r="X2622" s="1">
        <v>10</v>
      </c>
      <c r="Y2622" s="1">
        <v>8.5</v>
      </c>
      <c r="Z2622" s="18">
        <f>grand[[#This Row],[av. Transportation loss]]/grand[[#This Row],[av.total weight]]</f>
        <v>2.8575363216966191E-2</v>
      </c>
      <c r="AA2622" s="12">
        <f>AVERAGE((grand[[#This Row],[am]]/25),(grand[[#This Row],[pm]]/50))</f>
        <v>0.94625000000000004</v>
      </c>
      <c r="AB2622" s="3">
        <f>grand[[#This Row],[ carcass weight]]/grand[[#This Row],[total weight]]</f>
        <v>0.59996557185154575</v>
      </c>
      <c r="AC2622" s="18">
        <f>SUM(grand[[#This Row],[am]:[meat transportation]])/100</f>
        <v>0.88124999999999998</v>
      </c>
      <c r="AJ2622" s="1">
        <v>16</v>
      </c>
      <c r="AK2622" s="1"/>
      <c r="AL2622" s="1"/>
    </row>
    <row r="2623" spans="1:38" x14ac:dyDescent="0.2">
      <c r="A2623" s="11">
        <v>46258</v>
      </c>
      <c r="B2623" s="53" t="str">
        <f>TEXT(grand[[#This Row],[date]],"[$-ar-SA,6]dd/mm/yyyy")</f>
        <v>11/03/1448</v>
      </c>
      <c r="C2623" s="52" t="str">
        <f>IF(MID(B2623,4,2)="09","Ramadan",IF(AND(MID(B2623,4,2)="12",VALUE(LEFT(B2623,2))&lt;=9),"Adha Season","Normal"))</f>
        <v>Normal</v>
      </c>
      <c r="D2623" s="1" t="s">
        <v>45</v>
      </c>
      <c r="F2623" s="4" t="s">
        <v>746</v>
      </c>
      <c r="G2623" s="1">
        <v>24</v>
      </c>
      <c r="H2623" s="1">
        <v>20</v>
      </c>
      <c r="I2623" s="1">
        <f>grand[[#This Row],[number]]-grand[[#This Row],[received]]</f>
        <v>4</v>
      </c>
      <c r="J2623" s="9" t="s">
        <v>3204</v>
      </c>
      <c r="K2623" s="2">
        <v>9871</v>
      </c>
      <c r="L2623" s="2">
        <v>9871</v>
      </c>
      <c r="M2623" s="2">
        <f>K2623-L2623</f>
        <v>0</v>
      </c>
      <c r="N2623" s="2">
        <v>5923</v>
      </c>
      <c r="O2623" s="2">
        <v>173</v>
      </c>
      <c r="P2623" s="7">
        <f>grand[[#This Row],[total weight]]/grand[[#This Row],[received]]</f>
        <v>493.55</v>
      </c>
      <c r="Q2623" s="7">
        <f>grand[[#This Row],[receiving weight]]/grand[[#This Row],[received]]</f>
        <v>493.55</v>
      </c>
      <c r="R2623" s="7">
        <f>grand[[#This Row],[transportation loss ]]/grand[[#This Row],[received]]</f>
        <v>0</v>
      </c>
      <c r="S2623" s="7">
        <f>grand[[#This Row],[ carcass weight]]/grand[[#This Row],[received]]</f>
        <v>296.14999999999998</v>
      </c>
      <c r="T2623" s="7">
        <f>grand[[#This Row],[ kidneys fat quantity]]/grand[[#This Row],[received]]</f>
        <v>8.65</v>
      </c>
      <c r="U2623" s="1">
        <v>24.25</v>
      </c>
      <c r="V2623" s="1">
        <v>0</v>
      </c>
      <c r="W2623" s="1">
        <v>45.75</v>
      </c>
      <c r="X2623" s="1">
        <v>10</v>
      </c>
      <c r="Y2623" s="1">
        <v>8.5</v>
      </c>
      <c r="Z2623" s="18">
        <f>grand[[#This Row],[av. Transportation loss]]/grand[[#This Row],[av.total weight]]</f>
        <v>0</v>
      </c>
      <c r="AA2623" s="18">
        <f>AVERAGE((grand[[#This Row],[am]]/25),(grand[[#This Row],[pm]]/50))</f>
        <v>0.9425</v>
      </c>
      <c r="AB2623" s="3">
        <f>grand[[#This Row],[ carcass weight]]/grand[[#This Row],[total weight]]</f>
        <v>0.6000405227433897</v>
      </c>
      <c r="AC2623" s="18">
        <f>SUM(grand[[#This Row],[am]:[meat transportation]])/100</f>
        <v>0.88500000000000001</v>
      </c>
      <c r="AD2623" s="1" t="s">
        <v>62</v>
      </c>
      <c r="AJ2623" s="1">
        <v>9</v>
      </c>
    </row>
    <row r="2624" spans="1:38" hidden="1" x14ac:dyDescent="0.2">
      <c r="A2624" s="11">
        <v>45953</v>
      </c>
      <c r="B2624" s="53" t="s">
        <v>2344</v>
      </c>
      <c r="C2624" s="52" t="str">
        <f>IF(MID(B2624,4,2)="09","Ramadan",IF(AND(MID(B2624,4,2)="12",VALUE(LEFT(B2624,2))&lt;=9),"Adha Season","Normal"))</f>
        <v>Normal</v>
      </c>
      <c r="D2624" s="2" t="s">
        <v>294</v>
      </c>
      <c r="F2624" s="4" t="s">
        <v>772</v>
      </c>
      <c r="G2624" s="1">
        <v>61</v>
      </c>
      <c r="H2624" s="1">
        <v>53</v>
      </c>
      <c r="I2624" s="1">
        <f>grand[[#This Row],[number]]-grand[[#This Row],[received]]</f>
        <v>8</v>
      </c>
      <c r="J2624" s="30"/>
      <c r="K2624" s="2">
        <v>2253</v>
      </c>
      <c r="L2624" s="2">
        <v>2253</v>
      </c>
      <c r="M2624" s="2">
        <f>K2624-L2624</f>
        <v>0</v>
      </c>
      <c r="N2624" s="2">
        <v>1190.2</v>
      </c>
      <c r="O2624" s="2">
        <v>0</v>
      </c>
      <c r="P2624" s="7">
        <f>grand[[#This Row],[total weight]]/grand[[#This Row],[received]]</f>
        <v>42.509433962264154</v>
      </c>
      <c r="Q2624" s="7">
        <f>grand[[#This Row],[receiving weight]]/grand[[#This Row],[received]]</f>
        <v>42.509433962264154</v>
      </c>
      <c r="R2624" s="7">
        <f>grand[[#This Row],[transportation loss ]]/grand[[#This Row],[received]]</f>
        <v>0</v>
      </c>
      <c r="S2624" s="7">
        <f>grand[[#This Row],[ carcass weight]]/grand[[#This Row],[received]]</f>
        <v>22.456603773584906</v>
      </c>
      <c r="T2624" s="7">
        <f>grand[[#This Row],[ kidneys fat quantity]]/grand[[#This Row],[received]]</f>
        <v>0</v>
      </c>
      <c r="U2624" s="1">
        <v>25</v>
      </c>
      <c r="V2624" s="1">
        <v>0</v>
      </c>
      <c r="W2624" s="1">
        <v>48.584905660377359</v>
      </c>
      <c r="X2624" s="1">
        <v>10</v>
      </c>
      <c r="Y2624" s="1">
        <v>8.5</v>
      </c>
      <c r="Z2624" s="18">
        <f>grand[[#This Row],[av. Transportation loss]]/grand[[#This Row],[av.total weight]]</f>
        <v>0</v>
      </c>
      <c r="AA2624" s="18">
        <f>AVERAGE((grand[[#This Row],[am]]/25),(grand[[#This Row],[pm]]/50))</f>
        <v>0.98584905660377364</v>
      </c>
      <c r="AB2624" s="3">
        <f>grand[[#This Row],[ carcass weight]]/grand[[#This Row],[total weight]]</f>
        <v>0.52827341322680876</v>
      </c>
      <c r="AC2624" s="18">
        <f>SUM(grand[[#This Row],[am]:[meat transportation]])/100</f>
        <v>0.92084905660377359</v>
      </c>
      <c r="AD2624" s="1" t="s">
        <v>798</v>
      </c>
      <c r="AJ2624" s="1">
        <v>0</v>
      </c>
      <c r="AK2624" s="1"/>
      <c r="AL2624" s="1"/>
    </row>
    <row r="2625" spans="1:38" hidden="1" x14ac:dyDescent="0.2">
      <c r="A2625" s="11">
        <v>45980</v>
      </c>
      <c r="B2625" s="53" t="s">
        <v>2365</v>
      </c>
      <c r="C2625" s="52" t="str">
        <f>IF(MID(B2625,4,2)="09","Ramadan",IF(AND(MID(B2625,4,2)="12",VALUE(LEFT(B2625,2))&lt;=9),"Adha Season","Normal"))</f>
        <v>Normal</v>
      </c>
      <c r="D2625" s="2" t="s">
        <v>294</v>
      </c>
      <c r="F2625" s="4" t="s">
        <v>772</v>
      </c>
      <c r="G2625" s="1">
        <v>40</v>
      </c>
      <c r="H2625">
        <v>32</v>
      </c>
      <c r="I2625">
        <f>grand[[#This Row],[number]]-grand[[#This Row],[received]]</f>
        <v>8</v>
      </c>
      <c r="J2625" s="30"/>
      <c r="K2625" s="2">
        <v>1465</v>
      </c>
      <c r="L2625" s="2">
        <v>1465</v>
      </c>
      <c r="M2625" s="2">
        <f>K2625-L2625</f>
        <v>0</v>
      </c>
      <c r="N2625" s="2">
        <v>750.2</v>
      </c>
      <c r="O2625" s="2">
        <v>0</v>
      </c>
      <c r="P2625" s="7">
        <f>grand[[#This Row],[total weight]]/grand[[#This Row],[received]]</f>
        <v>45.78125</v>
      </c>
      <c r="Q2625" s="7">
        <f>grand[[#This Row],[receiving weight]]/grand[[#This Row],[received]]</f>
        <v>45.78125</v>
      </c>
      <c r="R2625" s="7">
        <f>grand[[#This Row],[transportation loss ]]/grand[[#This Row],[received]]</f>
        <v>0</v>
      </c>
      <c r="S2625" s="7">
        <f>grand[[#This Row],[ carcass weight]]/grand[[#This Row],[received]]</f>
        <v>23.443750000000001</v>
      </c>
      <c r="T2625" s="7">
        <f>grand[[#This Row],[ kidneys fat quantity]]/grand[[#This Row],[received]]</f>
        <v>0</v>
      </c>
      <c r="U2625">
        <v>25</v>
      </c>
      <c r="V2625">
        <v>2</v>
      </c>
      <c r="W2625">
        <v>50</v>
      </c>
      <c r="X2625">
        <v>10</v>
      </c>
      <c r="Y2625">
        <v>8.5</v>
      </c>
      <c r="Z2625" s="18">
        <f>grand[[#This Row],[av. Transportation loss]]/grand[[#This Row],[av.total weight]]</f>
        <v>0</v>
      </c>
      <c r="AA2625" s="18">
        <f>AVERAGE((grand[[#This Row],[am]]/25),(grand[[#This Row],[pm]]/50))</f>
        <v>1</v>
      </c>
      <c r="AB2625" s="3">
        <f>grand[[#This Row],[ carcass weight]]/grand[[#This Row],[total weight]]</f>
        <v>0.51208191126279867</v>
      </c>
      <c r="AC2625" s="18">
        <f>SUM(grand[[#This Row],[am]:[meat transportation]])/100</f>
        <v>0.95499999999999996</v>
      </c>
      <c r="AD2625" s="2" t="s">
        <v>819</v>
      </c>
      <c r="AE2625" s="2"/>
      <c r="AF2625" s="2"/>
      <c r="AG2625" s="2"/>
      <c r="AH2625" s="2"/>
      <c r="AI2625" s="2"/>
      <c r="AJ2625" s="2">
        <v>0</v>
      </c>
      <c r="AK2625" s="1"/>
      <c r="AL2625" s="1"/>
    </row>
    <row r="2626" spans="1:38" hidden="1" x14ac:dyDescent="0.2">
      <c r="A2626" s="11">
        <v>46014</v>
      </c>
      <c r="B2626" s="53" t="s">
        <v>2394</v>
      </c>
      <c r="C2626" s="52" t="str">
        <f>IF(MID(B2626,4,2)="09","Ramadan",IF(AND(MID(B2626,4,2)="12",VALUE(LEFT(B2626,2))&lt;=9),"Adha Season","Normal"))</f>
        <v>Normal</v>
      </c>
      <c r="D2626" s="1" t="s">
        <v>45</v>
      </c>
      <c r="E2626" s="1" t="s">
        <v>483</v>
      </c>
      <c r="F2626" s="4" t="s">
        <v>165</v>
      </c>
      <c r="G2626" s="1">
        <v>30</v>
      </c>
      <c r="H2626">
        <v>22</v>
      </c>
      <c r="I2626">
        <f>grand[[#This Row],[number]]-grand[[#This Row],[received]]</f>
        <v>8</v>
      </c>
      <c r="J2626" s="30"/>
      <c r="K2626" s="2">
        <v>11894</v>
      </c>
      <c r="L2626" s="2">
        <v>11894</v>
      </c>
      <c r="M2626" s="2">
        <f>K2626-L2626</f>
        <v>0</v>
      </c>
      <c r="N2626" s="2">
        <v>7136.5</v>
      </c>
      <c r="O2626" s="2">
        <v>286</v>
      </c>
      <c r="P2626" s="7">
        <f>grand[[#This Row],[total weight]]/grand[[#This Row],[received]]</f>
        <v>540.63636363636363</v>
      </c>
      <c r="Q2626" s="7">
        <f>grand[[#This Row],[receiving weight]]/grand[[#This Row],[received]]</f>
        <v>540.63636363636363</v>
      </c>
      <c r="R2626" s="7">
        <f>grand[[#This Row],[transportation loss ]]/grand[[#This Row],[received]]</f>
        <v>0</v>
      </c>
      <c r="S2626" s="7">
        <f>grand[[#This Row],[ carcass weight]]/grand[[#This Row],[received]]</f>
        <v>324.38636363636363</v>
      </c>
      <c r="T2626" s="7">
        <f>grand[[#This Row],[ kidneys fat quantity]]/grand[[#This Row],[received]]</f>
        <v>13</v>
      </c>
      <c r="U2626">
        <v>23.863636363636363</v>
      </c>
      <c r="V2626">
        <v>0</v>
      </c>
      <c r="W2626">
        <v>44.81818181818182</v>
      </c>
      <c r="X2626">
        <v>10</v>
      </c>
      <c r="Y2626">
        <v>8.5</v>
      </c>
      <c r="Z2626" s="18">
        <f>grand[[#This Row],[av. Transportation loss]]/grand[[#This Row],[av.total weight]]</f>
        <v>0</v>
      </c>
      <c r="AA2626" s="18">
        <f>AVERAGE((grand[[#This Row],[am]]/25),(grand[[#This Row],[pm]]/50))</f>
        <v>0.92545454545454553</v>
      </c>
      <c r="AB2626" s="3">
        <f>grand[[#This Row],[ carcass weight]]/grand[[#This Row],[total weight]]</f>
        <v>0.60000840760047081</v>
      </c>
      <c r="AC2626" s="18">
        <f>SUM(grand[[#This Row],[am]:[meat transportation]])/100</f>
        <v>0.87181818181818183</v>
      </c>
      <c r="AD2626" s="2" t="s">
        <v>845</v>
      </c>
      <c r="AE2626" s="2"/>
      <c r="AF2626" s="2"/>
      <c r="AG2626" s="2"/>
      <c r="AH2626" s="2"/>
      <c r="AI2626" s="2"/>
      <c r="AJ2626" s="2">
        <v>18</v>
      </c>
      <c r="AK2626" s="1"/>
      <c r="AL2626" s="1"/>
    </row>
    <row r="2627" spans="1:38" hidden="1" x14ac:dyDescent="0.2">
      <c r="A2627" s="11">
        <v>46259</v>
      </c>
      <c r="B2627" s="53" t="str">
        <f>TEXT(grand[[#This Row],[date]],"[$-ar-SA,6]dd/mm/yyyy")</f>
        <v>12/03/1448</v>
      </c>
      <c r="C2627" s="52" t="str">
        <f>IF(MID(B2627,4,2)="09","Ramadan",IF(AND(MID(B2627,4,2)="12",VALUE(LEFT(B2627,2))&lt;=9),"Adha Season","Normal"))</f>
        <v>Normal</v>
      </c>
      <c r="D2627" s="2" t="s">
        <v>350</v>
      </c>
      <c r="F2627" s="4" t="s">
        <v>1161</v>
      </c>
      <c r="G2627" s="1">
        <v>32</v>
      </c>
      <c r="H2627" s="1">
        <v>32</v>
      </c>
      <c r="I2627" s="1">
        <f>grand[[#This Row],[number]]-grand[[#This Row],[received]]</f>
        <v>0</v>
      </c>
      <c r="J2627" s="2"/>
      <c r="K2627" s="2">
        <v>770</v>
      </c>
      <c r="L2627" s="2">
        <v>770</v>
      </c>
      <c r="M2627" s="2">
        <f>K2627-L2627</f>
        <v>0</v>
      </c>
      <c r="N2627" s="2">
        <v>397</v>
      </c>
      <c r="O2627" s="2">
        <v>0</v>
      </c>
      <c r="P2627" s="7">
        <f>grand[[#This Row],[total weight]]/grand[[#This Row],[received]]</f>
        <v>24.0625</v>
      </c>
      <c r="Q2627" s="7">
        <f>grand[[#This Row],[receiving weight]]/grand[[#This Row],[received]]</f>
        <v>24.0625</v>
      </c>
      <c r="R2627" s="7">
        <f>grand[[#This Row],[transportation loss ]]/grand[[#This Row],[received]]</f>
        <v>0</v>
      </c>
      <c r="S2627" s="7">
        <f>grand[[#This Row],[ carcass weight]]/grand[[#This Row],[received]]</f>
        <v>12.40625</v>
      </c>
      <c r="T2627" s="7">
        <f>grand[[#This Row],[ kidneys fat quantity]]/grand[[#This Row],[received]]</f>
        <v>0</v>
      </c>
      <c r="U2627" s="1">
        <v>22.5</v>
      </c>
      <c r="V2627" s="1">
        <v>0</v>
      </c>
      <c r="W2627" s="1">
        <v>49.125</v>
      </c>
      <c r="X2627" s="1">
        <v>10</v>
      </c>
      <c r="Y2627" s="1">
        <v>8.5</v>
      </c>
      <c r="Z2627" s="18">
        <f>grand[[#This Row],[av. Transportation loss]]/grand[[#This Row],[av.total weight]]</f>
        <v>0</v>
      </c>
      <c r="AA2627" s="18">
        <f>AVERAGE((grand[[#This Row],[am]]/25),(grand[[#This Row],[pm]]/50))</f>
        <v>0.94125000000000003</v>
      </c>
      <c r="AB2627" s="3">
        <f>grand[[#This Row],[ carcass weight]]/grand[[#This Row],[total weight]]</f>
        <v>0.51558441558441559</v>
      </c>
      <c r="AC2627" s="18">
        <f>SUM(grand[[#This Row],[am]:[meat transportation]])/100</f>
        <v>0.90125</v>
      </c>
      <c r="AD2627" s="1" t="s">
        <v>81</v>
      </c>
      <c r="AJ2627" s="1">
        <v>16</v>
      </c>
    </row>
    <row r="2628" spans="1:38" hidden="1" x14ac:dyDescent="0.2">
      <c r="A2628" s="11">
        <v>44248</v>
      </c>
      <c r="B2628" s="53" t="s">
        <v>1537</v>
      </c>
      <c r="C2628" s="52" t="str">
        <f>IF(MID(B2628,4,2)="09","Ramadan",IF(AND(MID(B2628,4,2)="12",VALUE(LEFT(B2628,2))&lt;=9),"Adha Season","Normal"))</f>
        <v>Normal</v>
      </c>
      <c r="D2628" s="1" t="s">
        <v>45</v>
      </c>
      <c r="F2628" s="4" t="s">
        <v>46</v>
      </c>
      <c r="G2628" s="4">
        <v>45</v>
      </c>
      <c r="H2628" s="4">
        <v>36</v>
      </c>
      <c r="I2628" s="2">
        <f>grand[[#This Row],[number]]-grand[[#This Row],[received]]</f>
        <v>9</v>
      </c>
      <c r="J2628" s="30" t="s">
        <v>1124</v>
      </c>
      <c r="K2628" s="9">
        <v>17661</v>
      </c>
      <c r="L2628" s="9">
        <v>16031</v>
      </c>
      <c r="M2628" s="2">
        <f>K2628-L2628</f>
        <v>1630</v>
      </c>
      <c r="N2628" s="9">
        <v>10719.2</v>
      </c>
      <c r="O2628" s="4"/>
      <c r="P2628" s="7">
        <f>grand[[#This Row],[total weight]]/grand[[#This Row],[received]]</f>
        <v>490.58333333333331</v>
      </c>
      <c r="Q2628" s="7">
        <f>grand[[#This Row],[receiving weight]]/grand[[#This Row],[received]]</f>
        <v>445.30555555555554</v>
      </c>
      <c r="R2628" s="7">
        <f>grand[[#This Row],[transportation loss ]]/grand[[#This Row],[received]]</f>
        <v>45.277777777777779</v>
      </c>
      <c r="S2628" s="7">
        <f>grand[[#This Row],[ carcass weight]]/grand[[#This Row],[received]]</f>
        <v>297.75555555555559</v>
      </c>
      <c r="T2628" s="7">
        <f>grand[[#This Row],[ kidneys fat quantity]]/grand[[#This Row],[received]]</f>
        <v>0</v>
      </c>
      <c r="U2628" s="4">
        <v>25</v>
      </c>
      <c r="V2628" s="4">
        <v>0</v>
      </c>
      <c r="W2628" s="4">
        <v>49.19</v>
      </c>
      <c r="X2628" s="4">
        <v>10</v>
      </c>
      <c r="Y2628" s="8">
        <v>8.5</v>
      </c>
      <c r="Z2628" s="3">
        <f>grand[[#This Row],[av. Transportation loss]]/grand[[#This Row],[av.total weight]]</f>
        <v>9.2293754600532255E-2</v>
      </c>
      <c r="AA2628" s="12">
        <f>AVERAGE((grand[[#This Row],[am]]/25),(grand[[#This Row],[pm]]/50))</f>
        <v>0.9919</v>
      </c>
      <c r="AB2628" s="3">
        <f>grand[[#This Row],[ carcass weight]]/grand[[#This Row],[total weight]]</f>
        <v>0.60694184927240813</v>
      </c>
      <c r="AC2628" s="6">
        <f>SUM(grand[[#This Row],[am]:[meat transportation]])/100</f>
        <v>0.92689999999999995</v>
      </c>
      <c r="AD2628" s="9" t="s">
        <v>264</v>
      </c>
      <c r="AE2628" s="4"/>
      <c r="AF2628" s="4" t="s">
        <v>97</v>
      </c>
      <c r="AG2628" s="4"/>
      <c r="AH2628" s="4"/>
      <c r="AI2628" s="4"/>
      <c r="AJ2628" s="2">
        <v>21</v>
      </c>
      <c r="AK2628" s="12">
        <f>grand[[#This Row],[accepted as exception]]/grand[[#This Row],[number]]</f>
        <v>0.46666666666666667</v>
      </c>
      <c r="AL2628" s="2">
        <f>4399+8</f>
        <v>4407</v>
      </c>
    </row>
    <row r="2629" spans="1:38" hidden="1" x14ac:dyDescent="0.2">
      <c r="A2629" s="11">
        <v>43942</v>
      </c>
      <c r="B2629" s="53" t="s">
        <v>1462</v>
      </c>
      <c r="C2629" s="52" t="str">
        <f>IF(MID(B2629,4,2)="09","Ramadan",IF(AND(MID(B2629,4,2)="12",VALUE(LEFT(B2629,2))&lt;=9),"Adha Season","Normal"))</f>
        <v>Normal</v>
      </c>
      <c r="D2629" s="1" t="s">
        <v>45</v>
      </c>
      <c r="F2629" s="4" t="s">
        <v>46</v>
      </c>
      <c r="G2629" s="4">
        <v>40</v>
      </c>
      <c r="H2629" s="4">
        <v>30</v>
      </c>
      <c r="I2629" s="2">
        <f>grand[[#This Row],[number]]-grand[[#This Row],[received]]</f>
        <v>10</v>
      </c>
      <c r="J2629" s="30" t="s">
        <v>1113</v>
      </c>
      <c r="K2629" s="4">
        <v>15577</v>
      </c>
      <c r="L2629" s="4">
        <v>14662</v>
      </c>
      <c r="M2629" s="2">
        <f>K2629-L2629</f>
        <v>915</v>
      </c>
      <c r="N2629" s="4">
        <v>9365.9</v>
      </c>
      <c r="O2629" s="4"/>
      <c r="P2629" s="7">
        <f>grand[[#This Row],[total weight]]/grand[[#This Row],[received]]</f>
        <v>519.23333333333335</v>
      </c>
      <c r="Q2629" s="7">
        <f>grand[[#This Row],[receiving weight]]/grand[[#This Row],[received]]</f>
        <v>488.73333333333335</v>
      </c>
      <c r="R2629" s="7">
        <f>grand[[#This Row],[transportation loss ]]/grand[[#This Row],[received]]</f>
        <v>30.5</v>
      </c>
      <c r="S2629" s="7">
        <f>grand[[#This Row],[ carcass weight]]/grand[[#This Row],[received]]</f>
        <v>312.19666666666666</v>
      </c>
      <c r="T2629" s="7">
        <f>grand[[#This Row],[ kidneys fat quantity]]/grand[[#This Row],[received]]</f>
        <v>0</v>
      </c>
      <c r="U2629" s="4">
        <v>24.8</v>
      </c>
      <c r="V2629" s="4">
        <v>0</v>
      </c>
      <c r="W2629" s="4">
        <v>49.5</v>
      </c>
      <c r="X2629" s="4">
        <v>10</v>
      </c>
      <c r="Y2629" s="8">
        <v>8.5</v>
      </c>
      <c r="Z2629" s="3">
        <f>grand[[#This Row],[av. Transportation loss]]/grand[[#This Row],[av.total weight]]</f>
        <v>5.8740450664441161E-2</v>
      </c>
      <c r="AA2629" s="12">
        <f>AVERAGE((grand[[#This Row],[am]]/25),(grand[[#This Row],[pm]]/50))</f>
        <v>0.99099999999999999</v>
      </c>
      <c r="AB2629" s="3">
        <f>grand[[#This Row],[ carcass weight]]/grand[[#This Row],[total weight]]</f>
        <v>0.60126468511266606</v>
      </c>
      <c r="AC2629" s="6">
        <f>SUM(grand[[#This Row],[am]:[meat transportation]])/100</f>
        <v>0.92799999999999994</v>
      </c>
      <c r="AD2629" s="4" t="s">
        <v>81</v>
      </c>
      <c r="AE2629" s="4">
        <v>2</v>
      </c>
      <c r="AF2629" s="4"/>
      <c r="AG2629" s="4"/>
      <c r="AH2629" s="4">
        <v>1</v>
      </c>
      <c r="AI2629" s="4"/>
      <c r="AJ2629" s="2">
        <v>1</v>
      </c>
      <c r="AK2629" s="4"/>
    </row>
    <row r="2630" spans="1:38" hidden="1" x14ac:dyDescent="0.2">
      <c r="A2630" s="11">
        <v>45953</v>
      </c>
      <c r="B2630" s="53" t="s">
        <v>2344</v>
      </c>
      <c r="C2630" s="52" t="str">
        <f>IF(MID(B2630,4,2)="09","Ramadan",IF(AND(MID(B2630,4,2)="12",VALUE(LEFT(B2630,2))&lt;=9),"Adha Season","Normal"))</f>
        <v>Normal</v>
      </c>
      <c r="D2630" s="1" t="s">
        <v>45</v>
      </c>
      <c r="E2630" s="1" t="s">
        <v>809</v>
      </c>
      <c r="F2630" s="4" t="s">
        <v>757</v>
      </c>
      <c r="G2630" s="1">
        <v>82</v>
      </c>
      <c r="H2630" s="1">
        <v>72</v>
      </c>
      <c r="I2630" s="1">
        <f>grand[[#This Row],[number]]-grand[[#This Row],[received]]</f>
        <v>10</v>
      </c>
      <c r="J2630" s="30"/>
      <c r="K2630" s="2">
        <v>33900</v>
      </c>
      <c r="L2630" s="2">
        <v>33900</v>
      </c>
      <c r="M2630" s="2">
        <f>K2630-L2630</f>
        <v>0</v>
      </c>
      <c r="N2630" s="2">
        <v>20361.400000000001</v>
      </c>
      <c r="O2630" s="2">
        <v>665</v>
      </c>
      <c r="P2630" s="7">
        <f>grand[[#This Row],[total weight]]/grand[[#This Row],[received]]</f>
        <v>470.83333333333331</v>
      </c>
      <c r="Q2630" s="7">
        <f>grand[[#This Row],[receiving weight]]/grand[[#This Row],[received]]</f>
        <v>470.83333333333331</v>
      </c>
      <c r="R2630" s="7">
        <f>grand[[#This Row],[transportation loss ]]/grand[[#This Row],[received]]</f>
        <v>0</v>
      </c>
      <c r="S2630" s="7">
        <f>grand[[#This Row],[ carcass weight]]/grand[[#This Row],[received]]</f>
        <v>282.79722222222222</v>
      </c>
      <c r="T2630" s="7">
        <f>grand[[#This Row],[ kidneys fat quantity]]/grand[[#This Row],[received]]</f>
        <v>9.2361111111111107</v>
      </c>
      <c r="U2630" s="1">
        <v>24.513888888888889</v>
      </c>
      <c r="V2630" s="1">
        <v>0</v>
      </c>
      <c r="W2630" s="1">
        <v>47.208333333333336</v>
      </c>
      <c r="X2630" s="1">
        <v>10</v>
      </c>
      <c r="Y2630" s="1">
        <v>8.5</v>
      </c>
      <c r="Z2630" s="18">
        <f>grand[[#This Row],[av. Transportation loss]]/grand[[#This Row],[av.total weight]]</f>
        <v>0</v>
      </c>
      <c r="AA2630" s="18">
        <f>AVERAGE((grand[[#This Row],[am]]/25),(grand[[#This Row],[pm]]/50))</f>
        <v>0.96236111111111122</v>
      </c>
      <c r="AB2630" s="3">
        <f>grand[[#This Row],[ carcass weight]]/grand[[#This Row],[total weight]]</f>
        <v>0.60063126843657821</v>
      </c>
      <c r="AC2630" s="18">
        <f>SUM(grand[[#This Row],[am]:[meat transportation]])/100</f>
        <v>0.90222222222222226</v>
      </c>
      <c r="AD2630" s="1" t="s">
        <v>797</v>
      </c>
      <c r="AJ2630" s="1">
        <v>25</v>
      </c>
      <c r="AK2630" s="1"/>
      <c r="AL2630" s="1"/>
    </row>
    <row r="2631" spans="1:38" hidden="1" x14ac:dyDescent="0.2">
      <c r="A2631" s="11">
        <v>46259</v>
      </c>
      <c r="B2631" s="53" t="str">
        <f>TEXT(grand[[#This Row],[date]],"[$-ar-SA,6]dd/mm/yyyy")</f>
        <v>12/03/1448</v>
      </c>
      <c r="C2631" s="52" t="str">
        <f>IF(MID(B2631,4,2)="09","Ramadan",IF(AND(MID(B2631,4,2)="12",VALUE(LEFT(B2631,2))&lt;=9),"Adha Season","Normal"))</f>
        <v>Normal</v>
      </c>
      <c r="D2631" s="1" t="s">
        <v>45</v>
      </c>
      <c r="F2631" s="4" t="s">
        <v>815</v>
      </c>
      <c r="G2631" s="1">
        <v>65</v>
      </c>
      <c r="H2631" s="1">
        <v>65</v>
      </c>
      <c r="I2631" s="1">
        <f>grand[[#This Row],[number]]-grand[[#This Row],[received]]</f>
        <v>0</v>
      </c>
      <c r="J2631" s="2"/>
      <c r="K2631" s="2">
        <v>33282</v>
      </c>
      <c r="L2631" s="2">
        <v>33282</v>
      </c>
      <c r="M2631" s="2">
        <f>K2631-L2631</f>
        <v>0</v>
      </c>
      <c r="N2631" s="2">
        <v>20647</v>
      </c>
      <c r="O2631" s="2">
        <v>454</v>
      </c>
      <c r="P2631" s="7">
        <f>grand[[#This Row],[total weight]]/grand[[#This Row],[received]]</f>
        <v>512.03076923076924</v>
      </c>
      <c r="Q2631" s="7">
        <f>grand[[#This Row],[receiving weight]]/grand[[#This Row],[received]]</f>
        <v>512.03076923076924</v>
      </c>
      <c r="R2631" s="7">
        <f>grand[[#This Row],[transportation loss ]]/grand[[#This Row],[received]]</f>
        <v>0</v>
      </c>
      <c r="S2631" s="7">
        <f>grand[[#This Row],[ carcass weight]]/grand[[#This Row],[received]]</f>
        <v>317.64615384615382</v>
      </c>
      <c r="T2631" s="7">
        <f>grand[[#This Row],[ kidneys fat quantity]]/grand[[#This Row],[received]]</f>
        <v>6.9846153846153847</v>
      </c>
      <c r="U2631" s="1">
        <v>25</v>
      </c>
      <c r="V2631" s="1">
        <v>2</v>
      </c>
      <c r="W2631" s="1">
        <v>45.161538461538463</v>
      </c>
      <c r="X2631" s="1">
        <v>10</v>
      </c>
      <c r="Y2631" s="1">
        <v>8.5</v>
      </c>
      <c r="Z2631" s="18">
        <f>grand[[#This Row],[av. Transportation loss]]/grand[[#This Row],[av.total weight]]</f>
        <v>0</v>
      </c>
      <c r="AA2631" s="18">
        <f>AVERAGE((grand[[#This Row],[am]]/25),(grand[[#This Row],[pm]]/50))</f>
        <v>0.95161538461538464</v>
      </c>
      <c r="AB2631" s="3">
        <f>grand[[#This Row],[ carcass weight]]/grand[[#This Row],[total weight]]</f>
        <v>0.62036536265849407</v>
      </c>
      <c r="AC2631" s="18">
        <f>SUM(grand[[#This Row],[am]:[meat transportation]])/100</f>
        <v>0.90661538461538471</v>
      </c>
      <c r="AD2631" s="1" t="s">
        <v>3132</v>
      </c>
      <c r="AJ2631" s="1">
        <v>0</v>
      </c>
    </row>
    <row r="2632" spans="1:38" hidden="1" x14ac:dyDescent="0.2">
      <c r="A2632" s="11">
        <v>45123</v>
      </c>
      <c r="B2632" s="53" t="s">
        <v>2812</v>
      </c>
      <c r="C2632" s="52" t="str">
        <f>IF(MID(B2632,4,2)="09","Ramadan",IF(AND(MID(B2632,4,2)="12",VALUE(LEFT(B2632,2))&lt;=9),"Adha Season","Normal"))</f>
        <v>Normal</v>
      </c>
      <c r="D2632" s="1" t="s">
        <v>45</v>
      </c>
      <c r="E2632" s="1" t="s">
        <v>528</v>
      </c>
      <c r="F2632" s="4" t="s">
        <v>46</v>
      </c>
      <c r="G2632" s="1">
        <v>28</v>
      </c>
      <c r="H2632" s="1">
        <v>17</v>
      </c>
      <c r="I2632" s="1">
        <f>grand[[#This Row],[number]]-grand[[#This Row],[received]]</f>
        <v>11</v>
      </c>
      <c r="J2632" s="30" t="s">
        <v>574</v>
      </c>
      <c r="K2632" s="2">
        <v>12886</v>
      </c>
      <c r="L2632" s="2">
        <v>12886</v>
      </c>
      <c r="M2632" s="2">
        <f>K2632-L2632</f>
        <v>0</v>
      </c>
      <c r="N2632" s="2">
        <v>7743.1</v>
      </c>
      <c r="O2632" s="2">
        <v>124</v>
      </c>
      <c r="P2632" s="7">
        <f>grand[[#This Row],[total weight]]/grand[[#This Row],[received]]</f>
        <v>758</v>
      </c>
      <c r="Q2632" s="7">
        <f>grand[[#This Row],[receiving weight]]/grand[[#This Row],[received]]</f>
        <v>758</v>
      </c>
      <c r="R2632" s="7">
        <f>grand[[#This Row],[transportation loss ]]/grand[[#This Row],[received]]</f>
        <v>0</v>
      </c>
      <c r="S2632" s="7">
        <f>grand[[#This Row],[ carcass weight]]/grand[[#This Row],[received]]</f>
        <v>455.47647058823532</v>
      </c>
      <c r="T2632" s="7">
        <f>grand[[#This Row],[ kidneys fat quantity]]/grand[[#This Row],[received]]</f>
        <v>7.2941176470588234</v>
      </c>
      <c r="U2632" s="1">
        <v>25</v>
      </c>
      <c r="V2632" s="1">
        <v>0</v>
      </c>
      <c r="W2632" s="1">
        <v>44.235294117647058</v>
      </c>
      <c r="X2632" s="1">
        <v>10</v>
      </c>
      <c r="Y2632" s="1">
        <v>8.5</v>
      </c>
      <c r="Z2632" s="18">
        <f>grand[[#This Row],[av. Transportation loss]]/grand[[#This Row],[av.total weight]]</f>
        <v>0</v>
      </c>
      <c r="AA2632" s="12">
        <f>AVERAGE((grand[[#This Row],[am]]/25),(grand[[#This Row],[pm]]/50))</f>
        <v>0.94235294117647062</v>
      </c>
      <c r="AB2632" s="3">
        <f>grand[[#This Row],[ carcass weight]]/grand[[#This Row],[total weight]]</f>
        <v>0.60089244140928144</v>
      </c>
      <c r="AC2632" s="18">
        <f>SUM(grand[[#This Row],[am]:[meat transportation]])/100</f>
        <v>0.87735294117647056</v>
      </c>
      <c r="AJ2632" s="1">
        <v>13</v>
      </c>
      <c r="AK2632" s="1"/>
      <c r="AL2632" s="1"/>
    </row>
    <row r="2633" spans="1:38" x14ac:dyDescent="0.2">
      <c r="A2633" s="11">
        <v>46259</v>
      </c>
      <c r="B2633" s="53" t="str">
        <f>TEXT(grand[[#This Row],[date]],"[$-ar-SA,6]dd/mm/yyyy")</f>
        <v>12/03/1448</v>
      </c>
      <c r="C2633" s="52" t="str">
        <f>IF(MID(B2633,4,2)="09","Ramadan",IF(AND(MID(B2633,4,2)="12",VALUE(LEFT(B2633,2))&lt;=9),"Adha Season","Normal"))</f>
        <v>Normal</v>
      </c>
      <c r="D2633" s="1" t="s">
        <v>45</v>
      </c>
      <c r="F2633" s="4" t="s">
        <v>3104</v>
      </c>
      <c r="G2633" s="1">
        <v>62</v>
      </c>
      <c r="H2633" s="1">
        <v>59</v>
      </c>
      <c r="I2633" s="1">
        <f>grand[[#This Row],[number]]-grand[[#This Row],[received]]</f>
        <v>3</v>
      </c>
      <c r="J2633" s="9" t="s">
        <v>3205</v>
      </c>
      <c r="K2633" s="2">
        <v>26394</v>
      </c>
      <c r="L2633" s="2">
        <v>26394</v>
      </c>
      <c r="M2633" s="2">
        <f>K2633-L2633</f>
        <v>0</v>
      </c>
      <c r="N2633" s="2">
        <v>15778</v>
      </c>
      <c r="O2633" s="2">
        <v>354</v>
      </c>
      <c r="P2633" s="7">
        <f>grand[[#This Row],[total weight]]/grand[[#This Row],[received]]</f>
        <v>447.35593220338984</v>
      </c>
      <c r="Q2633" s="7">
        <f>grand[[#This Row],[receiving weight]]/grand[[#This Row],[received]]</f>
        <v>447.35593220338984</v>
      </c>
      <c r="R2633" s="7">
        <f>grand[[#This Row],[transportation loss ]]/grand[[#This Row],[received]]</f>
        <v>0</v>
      </c>
      <c r="S2633" s="7">
        <f>grand[[#This Row],[ carcass weight]]/grand[[#This Row],[received]]</f>
        <v>267.42372881355931</v>
      </c>
      <c r="T2633" s="7">
        <f>grand[[#This Row],[ kidneys fat quantity]]/grand[[#This Row],[received]]</f>
        <v>6</v>
      </c>
      <c r="U2633" s="1">
        <v>24.745762711864408</v>
      </c>
      <c r="V2633" s="1">
        <v>0</v>
      </c>
      <c r="W2633" s="1">
        <v>46.20338983050847</v>
      </c>
      <c r="X2633" s="1">
        <v>10</v>
      </c>
      <c r="Y2633" s="1">
        <v>8.5</v>
      </c>
      <c r="Z2633" s="18">
        <f>grand[[#This Row],[av. Transportation loss]]/grand[[#This Row],[av.total weight]]</f>
        <v>0</v>
      </c>
      <c r="AA2633" s="18">
        <f>AVERAGE((grand[[#This Row],[am]]/25),(grand[[#This Row],[pm]]/50))</f>
        <v>0.95694915254237278</v>
      </c>
      <c r="AB2633" s="3">
        <f>grand[[#This Row],[ carcass weight]]/grand[[#This Row],[total weight]]</f>
        <v>0.5977873759187694</v>
      </c>
      <c r="AC2633" s="18">
        <f>SUM(grand[[#This Row],[am]:[meat transportation]])/100</f>
        <v>0.89449152542372867</v>
      </c>
      <c r="AD2633" s="1" t="s">
        <v>3131</v>
      </c>
      <c r="AJ2633" s="1">
        <v>3</v>
      </c>
    </row>
    <row r="2634" spans="1:38" x14ac:dyDescent="0.2">
      <c r="A2634" s="11">
        <v>46260</v>
      </c>
      <c r="B2634" s="53" t="str">
        <f>TEXT(grand[[#This Row],[date]],"[$-ar-SA,6]dd/mm/yyyy")</f>
        <v>13/03/1448</v>
      </c>
      <c r="C2634" s="52" t="str">
        <f>IF(MID(B2634,4,2)="09","Ramadan",IF(AND(MID(B2634,4,2)="12",VALUE(LEFT(B2634,2))&lt;=9),"Adha Season","Normal"))</f>
        <v>Normal</v>
      </c>
      <c r="D2634" s="1" t="s">
        <v>45</v>
      </c>
      <c r="F2634" s="4" t="s">
        <v>815</v>
      </c>
      <c r="G2634" s="1">
        <v>50</v>
      </c>
      <c r="H2634" s="1">
        <v>49</v>
      </c>
      <c r="I2634" s="1">
        <f>grand[[#This Row],[number]]-grand[[#This Row],[received]]</f>
        <v>1</v>
      </c>
      <c r="J2634" s="9" t="s">
        <v>3187</v>
      </c>
      <c r="K2634" s="2">
        <v>24715</v>
      </c>
      <c r="L2634" s="2">
        <v>24715</v>
      </c>
      <c r="M2634" s="2">
        <f>K2634-L2634</f>
        <v>0</v>
      </c>
      <c r="N2634" s="2">
        <v>14690</v>
      </c>
      <c r="O2634" s="2">
        <v>299</v>
      </c>
      <c r="P2634" s="7">
        <f>grand[[#This Row],[total weight]]/grand[[#This Row],[received]]</f>
        <v>504.38775510204084</v>
      </c>
      <c r="Q2634" s="7">
        <f>grand[[#This Row],[receiving weight]]/grand[[#This Row],[received]]</f>
        <v>504.38775510204084</v>
      </c>
      <c r="R2634" s="7">
        <f>grand[[#This Row],[transportation loss ]]/grand[[#This Row],[received]]</f>
        <v>0</v>
      </c>
      <c r="S2634" s="7">
        <f>grand[[#This Row],[ carcass weight]]/grand[[#This Row],[received]]</f>
        <v>299.79591836734693</v>
      </c>
      <c r="T2634" s="7">
        <f>grand[[#This Row],[ kidneys fat quantity]]/grand[[#This Row],[received]]</f>
        <v>6.1020408163265305</v>
      </c>
      <c r="U2634" s="1">
        <v>25</v>
      </c>
      <c r="V2634" s="1">
        <v>2</v>
      </c>
      <c r="W2634" s="1">
        <v>45.336734693877553</v>
      </c>
      <c r="X2634" s="1">
        <v>10</v>
      </c>
      <c r="Y2634" s="1">
        <v>8.5</v>
      </c>
      <c r="Z2634" s="18">
        <f>grand[[#This Row],[av. Transportation loss]]/grand[[#This Row],[av.total weight]]</f>
        <v>0</v>
      </c>
      <c r="AA2634" s="18">
        <f>AVERAGE((grand[[#This Row],[am]]/25),(grand[[#This Row],[pm]]/50))</f>
        <v>0.95336734693877556</v>
      </c>
      <c r="AB2634" s="3">
        <f>grand[[#This Row],[ carcass weight]]/grand[[#This Row],[total weight]]</f>
        <v>0.59437588509002626</v>
      </c>
      <c r="AC2634" s="18">
        <f>SUM(grand[[#This Row],[am]:[meat transportation]])/100</f>
        <v>0.90836734693877563</v>
      </c>
      <c r="AD2634" s="1" t="s">
        <v>3133</v>
      </c>
      <c r="AJ2634" s="1">
        <v>0</v>
      </c>
    </row>
    <row r="2635" spans="1:38" hidden="1" x14ac:dyDescent="0.2">
      <c r="A2635" s="11">
        <v>46261</v>
      </c>
      <c r="B2635" s="53" t="str">
        <f>TEXT(grand[[#This Row],[date]],"[$-ar-SA,6]dd/mm/yyyy")</f>
        <v>14/03/1448</v>
      </c>
      <c r="C2635" s="52" t="str">
        <f>IF(MID(B2635,4,2)="09","Ramadan",IF(AND(MID(B2635,4,2)="12",VALUE(LEFT(B2635,2))&lt;=9),"Adha Season","Normal"))</f>
        <v>Normal</v>
      </c>
      <c r="D2635" s="1" t="s">
        <v>294</v>
      </c>
      <c r="F2635" s="4" t="s">
        <v>46</v>
      </c>
      <c r="G2635" s="1">
        <v>71</v>
      </c>
      <c r="H2635" s="1">
        <v>71</v>
      </c>
      <c r="I2635" s="1">
        <f>grand[[#This Row],[number]]-grand[[#This Row],[received]]</f>
        <v>0</v>
      </c>
      <c r="J2635" s="2"/>
      <c r="K2635" s="2">
        <v>3842</v>
      </c>
      <c r="L2635" s="2">
        <v>3842</v>
      </c>
      <c r="M2635" s="2">
        <f>K2635-L2635</f>
        <v>0</v>
      </c>
      <c r="N2635" s="2">
        <v>2105</v>
      </c>
      <c r="O2635" s="2">
        <v>0</v>
      </c>
      <c r="P2635" s="7">
        <f>grand[[#This Row],[total weight]]/grand[[#This Row],[received]]</f>
        <v>54.112676056338032</v>
      </c>
      <c r="Q2635" s="7">
        <f>grand[[#This Row],[receiving weight]]/grand[[#This Row],[received]]</f>
        <v>54.112676056338032</v>
      </c>
      <c r="R2635" s="7">
        <f>grand[[#This Row],[transportation loss ]]/grand[[#This Row],[received]]</f>
        <v>0</v>
      </c>
      <c r="S2635" s="7">
        <f>grand[[#This Row],[ carcass weight]]/grand[[#This Row],[received]]</f>
        <v>29.64788732394366</v>
      </c>
      <c r="T2635" s="7">
        <f>grand[[#This Row],[ kidneys fat quantity]]/grand[[#This Row],[received]]</f>
        <v>0</v>
      </c>
      <c r="U2635" s="1">
        <v>25</v>
      </c>
      <c r="V2635" s="1">
        <v>0</v>
      </c>
      <c r="W2635" s="1">
        <v>47.591549295774648</v>
      </c>
      <c r="X2635" s="1">
        <v>10</v>
      </c>
      <c r="Y2635" s="1">
        <v>8.5</v>
      </c>
      <c r="Z2635" s="18">
        <f>grand[[#This Row],[av. Transportation loss]]/grand[[#This Row],[av.total weight]]</f>
        <v>0</v>
      </c>
      <c r="AA2635" s="18">
        <f>AVERAGE((grand[[#This Row],[am]]/25),(grand[[#This Row],[pm]]/50))</f>
        <v>0.97591549295774649</v>
      </c>
      <c r="AB2635" s="3">
        <f>grand[[#This Row],[ carcass weight]]/grand[[#This Row],[total weight]]</f>
        <v>0.54789172306090583</v>
      </c>
      <c r="AC2635" s="18">
        <f>SUM(grand[[#This Row],[am]:[meat transportation]])/100</f>
        <v>0.91091549295774654</v>
      </c>
      <c r="AD2635" s="1" t="s">
        <v>3134</v>
      </c>
      <c r="AJ2635" s="1">
        <v>0</v>
      </c>
    </row>
    <row r="2636" spans="1:38" hidden="1" x14ac:dyDescent="0.2">
      <c r="A2636" s="11">
        <v>45367</v>
      </c>
      <c r="B2636" s="53" t="s">
        <v>2877</v>
      </c>
      <c r="C2636" s="52" t="str">
        <f>IF(MID(B2636,4,2)="09","Ramadan",IF(AND(MID(B2636,4,2)="12",VALUE(LEFT(B2636,2))&lt;=9),"Adha Season","Normal"))</f>
        <v>Ramadan</v>
      </c>
      <c r="D2636" s="1" t="s">
        <v>45</v>
      </c>
      <c r="E2636" s="1" t="s">
        <v>483</v>
      </c>
      <c r="F2636" s="4" t="s">
        <v>280</v>
      </c>
      <c r="G2636" s="1">
        <v>58</v>
      </c>
      <c r="H2636" s="1">
        <v>44</v>
      </c>
      <c r="I2636" s="1">
        <f>grand[[#This Row],[number]]-grand[[#This Row],[received]]</f>
        <v>14</v>
      </c>
      <c r="J2636" s="30" t="s">
        <v>623</v>
      </c>
      <c r="K2636" s="2">
        <v>21050</v>
      </c>
      <c r="L2636" s="2">
        <v>20310</v>
      </c>
      <c r="M2636" s="2">
        <f>K2636-L2636</f>
        <v>740</v>
      </c>
      <c r="N2636" s="2">
        <v>12647.5</v>
      </c>
      <c r="O2636" s="2">
        <v>483</v>
      </c>
      <c r="P2636" s="7">
        <f>grand[[#This Row],[total weight]]/grand[[#This Row],[received]]</f>
        <v>478.40909090909093</v>
      </c>
      <c r="Q2636" s="7">
        <f>grand[[#This Row],[receiving weight]]/grand[[#This Row],[received]]</f>
        <v>461.59090909090907</v>
      </c>
      <c r="R2636" s="7">
        <f>grand[[#This Row],[transportation loss ]]/grand[[#This Row],[received]]</f>
        <v>16.818181818181817</v>
      </c>
      <c r="S2636" s="7">
        <f>grand[[#This Row],[ carcass weight]]/grand[[#This Row],[received]]</f>
        <v>287.44318181818181</v>
      </c>
      <c r="T2636" s="7">
        <f>grand[[#This Row],[ kidneys fat quantity]]/grand[[#This Row],[received]]</f>
        <v>10.977272727272727</v>
      </c>
      <c r="U2636" s="1">
        <v>24.09090909090909</v>
      </c>
      <c r="V2636" s="1">
        <v>0</v>
      </c>
      <c r="W2636" s="1">
        <v>47.795454545454547</v>
      </c>
      <c r="X2636" s="1">
        <v>10</v>
      </c>
      <c r="Y2636" s="1">
        <v>8.5</v>
      </c>
      <c r="Z2636" s="18">
        <f>grand[[#This Row],[av. Transportation loss]]/grand[[#This Row],[av.total weight]]</f>
        <v>3.5154394299287406E-2</v>
      </c>
      <c r="AA2636" s="12">
        <f>AVERAGE((grand[[#This Row],[am]]/25),(grand[[#This Row],[pm]]/50))</f>
        <v>0.95977272727272722</v>
      </c>
      <c r="AB2636" s="3">
        <f>grand[[#This Row],[ carcass weight]]/grand[[#This Row],[total weight]]</f>
        <v>0.60083135391923992</v>
      </c>
      <c r="AC2636" s="18">
        <f>SUM(grand[[#This Row],[am]:[meat transportation]])/100</f>
        <v>0.90386363636363642</v>
      </c>
      <c r="AJ2636" s="1">
        <v>31</v>
      </c>
      <c r="AK2636" s="1"/>
      <c r="AL2636" s="1"/>
    </row>
    <row r="2637" spans="1:38" x14ac:dyDescent="0.2">
      <c r="A2637" s="11">
        <v>46261</v>
      </c>
      <c r="B2637" s="53" t="str">
        <f>TEXT(grand[[#This Row],[date]],"[$-ar-SA,6]dd/mm/yyyy")</f>
        <v>14/03/1448</v>
      </c>
      <c r="C2637" s="52" t="str">
        <f>IF(MID(B2637,4,2)="09","Ramadan",IF(AND(MID(B2637,4,2)="12",VALUE(LEFT(B2637,2))&lt;=9),"Adha Season","Normal"))</f>
        <v>Normal</v>
      </c>
      <c r="D2637" s="1" t="s">
        <v>45</v>
      </c>
      <c r="F2637" s="4" t="s">
        <v>165</v>
      </c>
      <c r="G2637" s="1">
        <v>55</v>
      </c>
      <c r="H2637" s="1">
        <v>54</v>
      </c>
      <c r="I2637" s="1">
        <f>grand[[#This Row],[number]]-grand[[#This Row],[received]]</f>
        <v>1</v>
      </c>
      <c r="J2637" s="9" t="s">
        <v>1189</v>
      </c>
      <c r="K2637" s="2">
        <v>21668</v>
      </c>
      <c r="L2637" s="2">
        <v>21668</v>
      </c>
      <c r="M2637" s="2">
        <f>K2637-L2637</f>
        <v>0</v>
      </c>
      <c r="N2637" s="2">
        <v>13001</v>
      </c>
      <c r="O2637" s="2">
        <v>273</v>
      </c>
      <c r="P2637" s="7">
        <f>grand[[#This Row],[total weight]]/grand[[#This Row],[received]]</f>
        <v>401.25925925925924</v>
      </c>
      <c r="Q2637" s="7">
        <f>grand[[#This Row],[receiving weight]]/grand[[#This Row],[received]]</f>
        <v>401.25925925925924</v>
      </c>
      <c r="R2637" s="7">
        <f>grand[[#This Row],[transportation loss ]]/grand[[#This Row],[received]]</f>
        <v>0</v>
      </c>
      <c r="S2637" s="7">
        <f>grand[[#This Row],[ carcass weight]]/grand[[#This Row],[received]]</f>
        <v>240.75925925925927</v>
      </c>
      <c r="T2637" s="7">
        <f>grand[[#This Row],[ kidneys fat quantity]]/grand[[#This Row],[received]]</f>
        <v>5.0555555555555554</v>
      </c>
      <c r="U2637" s="1">
        <v>25</v>
      </c>
      <c r="V2637" s="1">
        <v>0</v>
      </c>
      <c r="W2637" s="1">
        <v>48.935185185185183</v>
      </c>
      <c r="X2637" s="1">
        <v>10</v>
      </c>
      <c r="Y2637" s="1">
        <v>8.5</v>
      </c>
      <c r="Z2637" s="18">
        <f>grand[[#This Row],[av. Transportation loss]]/grand[[#This Row],[av.total weight]]</f>
        <v>0</v>
      </c>
      <c r="AA2637" s="18">
        <f>AVERAGE((grand[[#This Row],[am]]/25),(grand[[#This Row],[pm]]/50))</f>
        <v>0.98935185185185182</v>
      </c>
      <c r="AB2637" s="3">
        <f>grand[[#This Row],[ carcass weight]]/grand[[#This Row],[total weight]]</f>
        <v>0.60000923020121844</v>
      </c>
      <c r="AC2637" s="18">
        <f>SUM(grand[[#This Row],[am]:[meat transportation]])/100</f>
        <v>0.92435185185185187</v>
      </c>
      <c r="AD2637" s="1" t="s">
        <v>3135</v>
      </c>
      <c r="AJ2637" s="1">
        <v>0</v>
      </c>
    </row>
    <row r="2638" spans="1:38" hidden="1" x14ac:dyDescent="0.2">
      <c r="A2638" s="11">
        <v>46263</v>
      </c>
      <c r="B2638" s="53" t="str">
        <f>TEXT(grand[[#This Row],[date]],"[$-ar-SA,6]dd/mm/yyyy")</f>
        <v>16/03/1448</v>
      </c>
      <c r="C2638" s="52" t="str">
        <f>IF(MID(B2638,4,2)="09","Ramadan",IF(AND(MID(B2638,4,2)="12",VALUE(LEFT(B2638,2))&lt;=9),"Adha Season","Normal"))</f>
        <v>Normal</v>
      </c>
      <c r="D2638" s="1" t="s">
        <v>294</v>
      </c>
      <c r="F2638" s="4" t="s">
        <v>165</v>
      </c>
      <c r="G2638" s="1">
        <v>55</v>
      </c>
      <c r="H2638" s="1">
        <v>55</v>
      </c>
      <c r="I2638" s="1">
        <f>grand[[#This Row],[number]]-grand[[#This Row],[received]]</f>
        <v>0</v>
      </c>
      <c r="J2638" s="2"/>
      <c r="K2638" s="2">
        <v>2977</v>
      </c>
      <c r="L2638" s="2">
        <v>2977</v>
      </c>
      <c r="M2638" s="2">
        <f>K2638-L2638</f>
        <v>0</v>
      </c>
      <c r="N2638" s="2">
        <v>1655</v>
      </c>
      <c r="O2638" s="2">
        <v>0</v>
      </c>
      <c r="P2638" s="7">
        <f>grand[[#This Row],[total weight]]/grand[[#This Row],[received]]</f>
        <v>54.127272727272725</v>
      </c>
      <c r="Q2638" s="7">
        <f>grand[[#This Row],[receiving weight]]/grand[[#This Row],[received]]</f>
        <v>54.127272727272725</v>
      </c>
      <c r="R2638" s="7">
        <f>grand[[#This Row],[transportation loss ]]/grand[[#This Row],[received]]</f>
        <v>0</v>
      </c>
      <c r="S2638" s="7">
        <f>grand[[#This Row],[ carcass weight]]/grand[[#This Row],[received]]</f>
        <v>30.09090909090909</v>
      </c>
      <c r="T2638" s="7">
        <f>grand[[#This Row],[ kidneys fat quantity]]/grand[[#This Row],[received]]</f>
        <v>0</v>
      </c>
      <c r="U2638" s="1">
        <v>25</v>
      </c>
      <c r="V2638" s="1">
        <v>0</v>
      </c>
      <c r="W2638" s="1">
        <v>44.381818181818183</v>
      </c>
      <c r="X2638" s="1">
        <v>10</v>
      </c>
      <c r="Y2638" s="1">
        <v>8.5</v>
      </c>
      <c r="Z2638" s="18">
        <f>grand[[#This Row],[av. Transportation loss]]/grand[[#This Row],[av.total weight]]</f>
        <v>0</v>
      </c>
      <c r="AA2638" s="18">
        <f>AVERAGE((grand[[#This Row],[am]]/25),(grand[[#This Row],[pm]]/50))</f>
        <v>0.94381818181818189</v>
      </c>
      <c r="AB2638" s="3">
        <f>grand[[#This Row],[ carcass weight]]/grand[[#This Row],[total weight]]</f>
        <v>0.55592878736983542</v>
      </c>
      <c r="AC2638" s="18">
        <f>SUM(grand[[#This Row],[am]:[meat transportation]])/100</f>
        <v>0.87881818181818172</v>
      </c>
      <c r="AD2638" s="1" t="s">
        <v>398</v>
      </c>
      <c r="AJ2638" s="1">
        <v>0</v>
      </c>
    </row>
    <row r="2639" spans="1:38" hidden="1" x14ac:dyDescent="0.2">
      <c r="A2639" s="11">
        <v>46009</v>
      </c>
      <c r="B2639" s="53" t="s">
        <v>2390</v>
      </c>
      <c r="C2639" s="52" t="str">
        <f>IF(MID(B2639,4,2)="09","Ramadan",IF(AND(MID(B2639,4,2)="12",VALUE(LEFT(B2639,2))&lt;=9),"Adha Season","Normal"))</f>
        <v>Normal</v>
      </c>
      <c r="D2639" s="1" t="s">
        <v>45</v>
      </c>
      <c r="E2639" s="1" t="s">
        <v>483</v>
      </c>
      <c r="F2639" s="4" t="s">
        <v>746</v>
      </c>
      <c r="G2639" s="1">
        <v>67</v>
      </c>
      <c r="H2639">
        <v>49</v>
      </c>
      <c r="I2639">
        <f>grand[[#This Row],[number]]-grand[[#This Row],[received]]</f>
        <v>18</v>
      </c>
      <c r="J2639" s="30"/>
      <c r="K2639" s="2">
        <v>23782</v>
      </c>
      <c r="L2639" s="2">
        <v>23782</v>
      </c>
      <c r="M2639" s="2">
        <f>K2639-L2639</f>
        <v>0</v>
      </c>
      <c r="N2639" s="2">
        <v>14268.9</v>
      </c>
      <c r="O2639" s="2">
        <v>493</v>
      </c>
      <c r="P2639" s="7">
        <f>grand[[#This Row],[total weight]]/grand[[#This Row],[received]]</f>
        <v>485.34693877551018</v>
      </c>
      <c r="Q2639" s="7">
        <f>grand[[#This Row],[receiving weight]]/grand[[#This Row],[received]]</f>
        <v>485.34693877551018</v>
      </c>
      <c r="R2639" s="7">
        <f>grand[[#This Row],[transportation loss ]]/grand[[#This Row],[received]]</f>
        <v>0</v>
      </c>
      <c r="S2639" s="7">
        <f>grand[[#This Row],[ carcass weight]]/grand[[#This Row],[received]]</f>
        <v>291.20204081632653</v>
      </c>
      <c r="T2639" s="7">
        <f>grand[[#This Row],[ kidneys fat quantity]]/grand[[#This Row],[received]]</f>
        <v>10.061224489795919</v>
      </c>
      <c r="U2639">
        <v>23.469387755102041</v>
      </c>
      <c r="V2639">
        <v>0</v>
      </c>
      <c r="W2639">
        <v>45.8061224489796</v>
      </c>
      <c r="X2639">
        <v>10</v>
      </c>
      <c r="Y2639">
        <v>8.5</v>
      </c>
      <c r="Z2639" s="18">
        <f>grand[[#This Row],[av. Transportation loss]]/grand[[#This Row],[av.total weight]]</f>
        <v>0</v>
      </c>
      <c r="AA2639" s="18">
        <f>AVERAGE((grand[[#This Row],[am]]/25),(grand[[#This Row],[pm]]/50))</f>
        <v>0.92744897959183681</v>
      </c>
      <c r="AB2639" s="3">
        <f>grand[[#This Row],[ carcass weight]]/grand[[#This Row],[total weight]]</f>
        <v>0.59998738541754271</v>
      </c>
      <c r="AC2639" s="18">
        <f>SUM(grand[[#This Row],[am]:[meat transportation]])/100</f>
        <v>0.87775510204081642</v>
      </c>
      <c r="AD2639" s="2" t="s">
        <v>834</v>
      </c>
      <c r="AE2639" s="2"/>
      <c r="AF2639" s="2"/>
      <c r="AG2639" s="2"/>
      <c r="AH2639" s="2"/>
      <c r="AI2639" s="2"/>
      <c r="AJ2639" s="2">
        <v>35</v>
      </c>
      <c r="AK2639" s="1"/>
      <c r="AL2639" s="1"/>
    </row>
    <row r="2640" spans="1:38" hidden="1" x14ac:dyDescent="0.2">
      <c r="A2640" s="11">
        <v>44411</v>
      </c>
      <c r="B2640" s="53" t="s">
        <v>2678</v>
      </c>
      <c r="C2640" s="52" t="str">
        <f>IF(MID(B2640,4,2)="09","Ramadan",IF(AND(MID(B2640,4,2)="12",VALUE(LEFT(B2640,2))&lt;=9),"Adha Season","Normal"))</f>
        <v>Normal</v>
      </c>
      <c r="D2640" s="1" t="s">
        <v>45</v>
      </c>
      <c r="F2640" s="14" t="s">
        <v>314</v>
      </c>
      <c r="G2640" s="4">
        <v>42</v>
      </c>
      <c r="H2640" s="4">
        <v>23</v>
      </c>
      <c r="I2640" s="2">
        <f>grand[[#This Row],[number]]-grand[[#This Row],[received]]</f>
        <v>19</v>
      </c>
      <c r="J2640" s="30" t="s">
        <v>315</v>
      </c>
      <c r="K2640" s="2">
        <v>10743.333329999999</v>
      </c>
      <c r="L2640" s="2">
        <v>10743.333329999999</v>
      </c>
      <c r="M2640" s="2">
        <f>K2640-L2640</f>
        <v>0</v>
      </c>
      <c r="N2640" s="2">
        <v>6446</v>
      </c>
      <c r="O2640" s="2"/>
      <c r="P2640" s="7">
        <f>grand[[#This Row],[total weight]]/grand[[#This Row],[received]]</f>
        <v>467.10144913043479</v>
      </c>
      <c r="Q2640" s="7">
        <f>grand[[#This Row],[receiving weight]]/grand[[#This Row],[received]]</f>
        <v>467.10144913043479</v>
      </c>
      <c r="R2640" s="7">
        <f>grand[[#This Row],[transportation loss ]]/grand[[#This Row],[received]]</f>
        <v>0</v>
      </c>
      <c r="S2640" s="7">
        <f>grand[[#This Row],[ carcass weight]]/grand[[#This Row],[received]]</f>
        <v>280.26086956521738</v>
      </c>
      <c r="T2640" s="7">
        <f>grand[[#This Row],[ kidneys fat quantity]]/grand[[#This Row],[received]]</f>
        <v>0</v>
      </c>
      <c r="U2640" s="4">
        <v>25</v>
      </c>
      <c r="V2640" s="4">
        <v>0</v>
      </c>
      <c r="W2640" s="4">
        <v>47</v>
      </c>
      <c r="X2640" s="4">
        <v>10</v>
      </c>
      <c r="Y2640" s="8">
        <v>8.5</v>
      </c>
      <c r="Z2640" s="3">
        <f>grand[[#This Row],[av. Transportation loss]]/grand[[#This Row],[av.total weight]]</f>
        <v>0</v>
      </c>
      <c r="AA2640" s="12">
        <f>AVERAGE((grand[[#This Row],[am]]/25),(grand[[#This Row],[pm]]/50))</f>
        <v>0.97</v>
      </c>
      <c r="AB2640" s="3">
        <f>grand[[#This Row],[ carcass weight]]/grand[[#This Row],[total weight]]</f>
        <v>0.60000000018616195</v>
      </c>
      <c r="AC2640" s="6">
        <f>SUM(grand[[#This Row],[am]:[meat transportation]])/100</f>
        <v>0.90500000000000003</v>
      </c>
      <c r="AD2640" s="2"/>
      <c r="AE2640" s="2"/>
      <c r="AF2640" s="2"/>
      <c r="AG2640" s="2"/>
      <c r="AH2640" s="2"/>
      <c r="AI2640" s="2"/>
      <c r="AJ2640" s="2">
        <v>23</v>
      </c>
      <c r="AK2640" s="12">
        <f>grand[[#This Row],[accepted as exception]]/grand[[#This Row],[number]]</f>
        <v>0.54761904761904767</v>
      </c>
      <c r="AL2640" s="13">
        <f>23*S2640</f>
        <v>6446</v>
      </c>
    </row>
    <row r="2641" spans="1:38" hidden="1" x14ac:dyDescent="0.2">
      <c r="A2641" s="11">
        <v>46263</v>
      </c>
      <c r="B2641" s="53" t="str">
        <f>TEXT(grand[[#This Row],[date]],"[$-ar-SA,6]dd/mm/yyyy")</f>
        <v>16/03/1448</v>
      </c>
      <c r="C2641" s="52" t="str">
        <f>IF(MID(B2641,4,2)="09","Ramadan",IF(AND(MID(B2641,4,2)="12",VALUE(LEFT(B2641,2))&lt;=9),"Adha Season","Normal"))</f>
        <v>Normal</v>
      </c>
      <c r="D2641" s="1" t="s">
        <v>45</v>
      </c>
      <c r="F2641" s="4" t="s">
        <v>3136</v>
      </c>
      <c r="G2641" s="1">
        <v>63</v>
      </c>
      <c r="H2641" s="1">
        <v>63</v>
      </c>
      <c r="I2641" s="1">
        <f>grand[[#This Row],[number]]-grand[[#This Row],[received]]</f>
        <v>0</v>
      </c>
      <c r="J2641" s="2"/>
      <c r="K2641" s="2">
        <v>29015</v>
      </c>
      <c r="L2641" s="2">
        <v>29015</v>
      </c>
      <c r="M2641" s="2">
        <f>K2641-L2641</f>
        <v>0</v>
      </c>
      <c r="N2641" s="2">
        <v>17833</v>
      </c>
      <c r="O2641" s="2">
        <v>401</v>
      </c>
      <c r="P2641" s="7">
        <f>grand[[#This Row],[total weight]]/grand[[#This Row],[received]]</f>
        <v>460.55555555555554</v>
      </c>
      <c r="Q2641" s="7">
        <f>grand[[#This Row],[receiving weight]]/grand[[#This Row],[received]]</f>
        <v>460.55555555555554</v>
      </c>
      <c r="R2641" s="7">
        <f>grand[[#This Row],[transportation loss ]]/grand[[#This Row],[received]]</f>
        <v>0</v>
      </c>
      <c r="S2641" s="7">
        <f>grand[[#This Row],[ carcass weight]]/grand[[#This Row],[received]]</f>
        <v>283.06349206349205</v>
      </c>
      <c r="T2641" s="7">
        <f>grand[[#This Row],[ kidneys fat quantity]]/grand[[#This Row],[received]]</f>
        <v>6.3650793650793647</v>
      </c>
      <c r="U2641" s="1">
        <v>25</v>
      </c>
      <c r="V2641" s="1">
        <v>2</v>
      </c>
      <c r="W2641" s="1">
        <v>44.317460317460323</v>
      </c>
      <c r="X2641" s="1">
        <v>10</v>
      </c>
      <c r="Y2641" s="1">
        <v>8.5</v>
      </c>
      <c r="Z2641" s="18">
        <f>grand[[#This Row],[av. Transportation loss]]/grand[[#This Row],[av.total weight]]</f>
        <v>0</v>
      </c>
      <c r="AA2641" s="18">
        <f>AVERAGE((grand[[#This Row],[am]]/25),(grand[[#This Row],[pm]]/50))</f>
        <v>0.94317460317460322</v>
      </c>
      <c r="AB2641" s="3">
        <f>grand[[#This Row],[ carcass weight]]/grand[[#This Row],[total weight]]</f>
        <v>0.61461313113906602</v>
      </c>
      <c r="AC2641" s="18">
        <f>SUM(grand[[#This Row],[am]:[meat transportation]])/100</f>
        <v>0.89817460317460329</v>
      </c>
      <c r="AD2641" s="1" t="s">
        <v>3137</v>
      </c>
      <c r="AJ2641" s="1">
        <v>0</v>
      </c>
    </row>
    <row r="2642" spans="1:38" hidden="1" x14ac:dyDescent="0.2">
      <c r="A2642" s="11">
        <v>44567</v>
      </c>
      <c r="B2642" s="53" t="s">
        <v>2744</v>
      </c>
      <c r="C2642" s="52" t="str">
        <f>IF(MID(B2642,4,2)="09","Ramadan",IF(AND(MID(B2642,4,2)="12",VALUE(LEFT(B2642,2))&lt;=9),"Adha Season","Normal"))</f>
        <v>Normal</v>
      </c>
      <c r="D2642" s="1" t="s">
        <v>45</v>
      </c>
      <c r="F2642" s="4" t="s">
        <v>46</v>
      </c>
      <c r="G2642" s="1">
        <v>48</v>
      </c>
      <c r="H2642" s="15">
        <v>27</v>
      </c>
      <c r="I2642" s="1">
        <f>grand[[#This Row],[number]]-grand[[#This Row],[received]]</f>
        <v>21</v>
      </c>
      <c r="J2642" s="30" t="s">
        <v>1130</v>
      </c>
      <c r="K2642" s="9">
        <v>11822</v>
      </c>
      <c r="L2642" s="9">
        <v>11822</v>
      </c>
      <c r="M2642" s="2">
        <f>K2642-L2642</f>
        <v>0</v>
      </c>
      <c r="N2642" s="9">
        <v>7093.3</v>
      </c>
      <c r="O2642" s="9">
        <v>215</v>
      </c>
      <c r="P2642" s="7">
        <f>grand[[#This Row],[total weight]]/grand[[#This Row],[received]]</f>
        <v>437.85185185185185</v>
      </c>
      <c r="Q2642" s="7">
        <f>grand[[#This Row],[receiving weight]]/grand[[#This Row],[received]]</f>
        <v>437.85185185185185</v>
      </c>
      <c r="R2642" s="7">
        <f>grand[[#This Row],[transportation loss ]]/grand[[#This Row],[received]]</f>
        <v>0</v>
      </c>
      <c r="S2642" s="7">
        <f>grand[[#This Row],[ carcass weight]]/grand[[#This Row],[received]]</f>
        <v>262.71481481481482</v>
      </c>
      <c r="T2642" s="7">
        <f>grand[[#This Row],[ kidneys fat quantity]]/grand[[#This Row],[received]]</f>
        <v>7.9629629629629628</v>
      </c>
      <c r="U2642" s="15">
        <v>25</v>
      </c>
      <c r="V2642" s="15">
        <v>0</v>
      </c>
      <c r="W2642" s="15">
        <v>49.629629629629633</v>
      </c>
      <c r="X2642" s="15">
        <v>10</v>
      </c>
      <c r="Y2642" s="8">
        <v>8.5</v>
      </c>
      <c r="Z2642" s="18">
        <f>grand[[#This Row],[av. Transportation loss]]/grand[[#This Row],[av.total weight]]</f>
        <v>0</v>
      </c>
      <c r="AA2642" s="12">
        <f>AVERAGE((grand[[#This Row],[am]]/25),(grand[[#This Row],[pm]]/50))</f>
        <v>0.99629629629629635</v>
      </c>
      <c r="AB2642" s="3">
        <f>grand[[#This Row],[ carcass weight]]/grand[[#This Row],[total weight]]</f>
        <v>0.60000845880561671</v>
      </c>
      <c r="AC2642" s="19">
        <f>SUM(grand[[#This Row],[am]:[meat transportation]])/100</f>
        <v>0.93129629629629629</v>
      </c>
      <c r="AD2642" s="9" t="s">
        <v>353</v>
      </c>
      <c r="AF2642" s="1" t="s">
        <v>97</v>
      </c>
      <c r="AJ2642" s="1">
        <v>18</v>
      </c>
      <c r="AK2642" s="20">
        <f>grand[[#This Row],[accepted as exception]]/grand[[#This Row],[number]]</f>
        <v>0.375</v>
      </c>
      <c r="AL2642" s="1">
        <v>9726</v>
      </c>
    </row>
    <row r="2643" spans="1:38" hidden="1" x14ac:dyDescent="0.2">
      <c r="A2643" s="11">
        <v>45945</v>
      </c>
      <c r="B2643" s="53" t="s">
        <v>2337</v>
      </c>
      <c r="C2643" s="52" t="str">
        <f>IF(MID(B2643,4,2)="09","Ramadan",IF(AND(MID(B2643,4,2)="12",VALUE(LEFT(B2643,2))&lt;=9),"Adha Season","Normal"))</f>
        <v>Normal</v>
      </c>
      <c r="D2643" s="2" t="s">
        <v>350</v>
      </c>
      <c r="F2643" s="4" t="s">
        <v>918</v>
      </c>
      <c r="G2643" s="1">
        <v>24</v>
      </c>
      <c r="H2643" s="1">
        <v>0</v>
      </c>
      <c r="I2643" s="1">
        <f>grand[[#This Row],[number]]-grand[[#This Row],[received]]</f>
        <v>24</v>
      </c>
      <c r="J2643" s="30"/>
      <c r="K2643" s="2">
        <f>grand[[#This Row],[ carcass weight]]*100/63.2</f>
        <v>0</v>
      </c>
      <c r="L2643" s="2">
        <f>grand[[#This Row],[total weight]]</f>
        <v>0</v>
      </c>
      <c r="M2643" s="2">
        <f>K2643-L2643</f>
        <v>0</v>
      </c>
      <c r="N2643" s="2">
        <v>0</v>
      </c>
      <c r="O2643" s="2">
        <v>0</v>
      </c>
      <c r="P2643" s="7"/>
      <c r="Q2643" s="7"/>
      <c r="R2643" s="7"/>
      <c r="S2643" s="7"/>
      <c r="T2643" s="7"/>
      <c r="V2643" s="1">
        <v>0</v>
      </c>
      <c r="Y2643" s="8"/>
      <c r="Z2643" s="18"/>
      <c r="AA2643" s="18"/>
      <c r="AB2643" s="3"/>
      <c r="AC2643" s="18"/>
      <c r="AJ2643" s="1">
        <v>0</v>
      </c>
      <c r="AK2643" s="1"/>
      <c r="AL2643" s="1"/>
    </row>
    <row r="2644" spans="1:38" hidden="1" x14ac:dyDescent="0.2">
      <c r="A2644" s="11">
        <v>45948</v>
      </c>
      <c r="B2644" s="53" t="s">
        <v>2339</v>
      </c>
      <c r="C2644" s="52" t="str">
        <f>IF(MID(B2644,4,2)="09","Ramadan",IF(AND(MID(B2644,4,2)="12",VALUE(LEFT(B2644,2))&lt;=9),"Adha Season","Normal"))</f>
        <v>Normal</v>
      </c>
      <c r="D2644" s="1" t="s">
        <v>45</v>
      </c>
      <c r="E2644" s="1" t="s">
        <v>809</v>
      </c>
      <c r="F2644" s="4" t="s">
        <v>746</v>
      </c>
      <c r="G2644" s="1">
        <v>74</v>
      </c>
      <c r="H2644" s="1">
        <v>42</v>
      </c>
      <c r="I2644" s="1">
        <f>grand[[#This Row],[number]]-grand[[#This Row],[received]]</f>
        <v>32</v>
      </c>
      <c r="J2644" s="30"/>
      <c r="K2644" s="2">
        <v>19230</v>
      </c>
      <c r="L2644" s="2">
        <v>19230</v>
      </c>
      <c r="M2644" s="2">
        <f>K2644-L2644</f>
        <v>0</v>
      </c>
      <c r="N2644" s="2">
        <v>11538.7</v>
      </c>
      <c r="O2644" s="2">
        <v>382</v>
      </c>
      <c r="P2644" s="7">
        <f>grand[[#This Row],[total weight]]/grand[[#This Row],[received]]</f>
        <v>457.85714285714283</v>
      </c>
      <c r="Q2644" s="7">
        <f>grand[[#This Row],[receiving weight]]/grand[[#This Row],[received]]</f>
        <v>457.85714285714283</v>
      </c>
      <c r="R2644" s="7">
        <f>grand[[#This Row],[transportation loss ]]/grand[[#This Row],[received]]</f>
        <v>0</v>
      </c>
      <c r="S2644" s="7">
        <f>grand[[#This Row],[ carcass weight]]/grand[[#This Row],[received]]</f>
        <v>274.73095238095237</v>
      </c>
      <c r="T2644" s="7">
        <f>grand[[#This Row],[ kidneys fat quantity]]/grand[[#This Row],[received]]</f>
        <v>9.0952380952380949</v>
      </c>
      <c r="U2644" s="1">
        <v>24.404761904761905</v>
      </c>
      <c r="V2644" s="1">
        <v>0</v>
      </c>
      <c r="W2644" s="1">
        <v>49.333333333333329</v>
      </c>
      <c r="X2644" s="1">
        <v>10</v>
      </c>
      <c r="Y2644" s="1">
        <v>8.5</v>
      </c>
      <c r="Z2644" s="18">
        <f>grand[[#This Row],[av. Transportation loss]]/grand[[#This Row],[av.total weight]]</f>
        <v>0</v>
      </c>
      <c r="AA2644" s="18">
        <f>AVERAGE((grand[[#This Row],[am]]/25),(grand[[#This Row],[pm]]/50))</f>
        <v>0.98142857142857132</v>
      </c>
      <c r="AB2644" s="3">
        <f>grand[[#This Row],[ carcass weight]]/grand[[#This Row],[total weight]]</f>
        <v>0.6000364014560583</v>
      </c>
      <c r="AC2644" s="18">
        <f>SUM(grand[[#This Row],[am]:[meat transportation]])/100</f>
        <v>0.92238095238095241</v>
      </c>
      <c r="AD2644" s="1" t="s">
        <v>788</v>
      </c>
      <c r="AJ2644" s="1">
        <v>13</v>
      </c>
      <c r="AK2644" s="1"/>
      <c r="AL2644" s="1"/>
    </row>
    <row r="2645" spans="1:38" hidden="1" x14ac:dyDescent="0.2">
      <c r="A2645" s="11">
        <v>46263</v>
      </c>
      <c r="B2645" s="53" t="str">
        <f>TEXT(grand[[#This Row],[date]],"[$-ar-SA,6]dd/mm/yyyy")</f>
        <v>16/03/1448</v>
      </c>
      <c r="C2645" s="52" t="str">
        <f>IF(MID(B2645,4,2)="09","Ramadan",IF(AND(MID(B2645,4,2)="12",VALUE(LEFT(B2645,2))&lt;=9),"Adha Season","Normal"))</f>
        <v>Normal</v>
      </c>
      <c r="D2645" s="1" t="s">
        <v>45</v>
      </c>
      <c r="F2645" s="4" t="s">
        <v>165</v>
      </c>
      <c r="G2645" s="1">
        <v>60</v>
      </c>
      <c r="H2645" s="1">
        <v>60</v>
      </c>
      <c r="I2645" s="1">
        <f>grand[[#This Row],[number]]-grand[[#This Row],[received]]</f>
        <v>0</v>
      </c>
      <c r="J2645" s="2"/>
      <c r="K2645" s="2">
        <v>24015</v>
      </c>
      <c r="L2645" s="2">
        <v>24015</v>
      </c>
      <c r="M2645" s="2">
        <f>K2645-L2645</f>
        <v>0</v>
      </c>
      <c r="N2645" s="2">
        <v>14409</v>
      </c>
      <c r="O2645" s="2">
        <v>304</v>
      </c>
      <c r="P2645" s="7">
        <f>grand[[#This Row],[total weight]]/grand[[#This Row],[received]]</f>
        <v>400.25</v>
      </c>
      <c r="Q2645" s="7">
        <f>grand[[#This Row],[receiving weight]]/grand[[#This Row],[received]]</f>
        <v>400.25</v>
      </c>
      <c r="R2645" s="7">
        <f>grand[[#This Row],[transportation loss ]]/grand[[#This Row],[received]]</f>
        <v>0</v>
      </c>
      <c r="S2645" s="7">
        <f>grand[[#This Row],[ carcass weight]]/grand[[#This Row],[received]]</f>
        <v>240.15</v>
      </c>
      <c r="T2645" s="7">
        <f>grand[[#This Row],[ kidneys fat quantity]]/grand[[#This Row],[received]]</f>
        <v>5.0666666666666664</v>
      </c>
      <c r="U2645" s="1">
        <v>25</v>
      </c>
      <c r="V2645" s="1">
        <v>0</v>
      </c>
      <c r="W2645" s="1">
        <v>49.533333333333331</v>
      </c>
      <c r="X2645" s="1">
        <v>10</v>
      </c>
      <c r="Y2645" s="1">
        <v>8.5</v>
      </c>
      <c r="Z2645" s="18">
        <f>grand[[#This Row],[av. Transportation loss]]/grand[[#This Row],[av.total weight]]</f>
        <v>0</v>
      </c>
      <c r="AA2645" s="18">
        <f>AVERAGE((grand[[#This Row],[am]]/25),(grand[[#This Row],[pm]]/50))</f>
        <v>0.99533333333333329</v>
      </c>
      <c r="AB2645" s="3">
        <f>grand[[#This Row],[ carcass weight]]/grand[[#This Row],[total weight]]</f>
        <v>0.6</v>
      </c>
      <c r="AC2645" s="18">
        <f>SUM(grand[[#This Row],[am]:[meat transportation]])/100</f>
        <v>0.93033333333333335</v>
      </c>
      <c r="AD2645" s="1" t="s">
        <v>736</v>
      </c>
      <c r="AJ2645" s="1">
        <v>0</v>
      </c>
    </row>
    <row r="2646" spans="1:38" hidden="1" x14ac:dyDescent="0.2">
      <c r="A2646" s="11">
        <v>45967</v>
      </c>
      <c r="B2646" s="53" t="s">
        <v>2355</v>
      </c>
      <c r="C2646" s="52" t="str">
        <f>IF(MID(B2646,4,2)="09","Ramadan",IF(AND(MID(B2646,4,2)="12",VALUE(LEFT(B2646,2))&lt;=9),"Adha Season","Normal"))</f>
        <v>Normal</v>
      </c>
      <c r="D2646" s="1" t="s">
        <v>45</v>
      </c>
      <c r="E2646" s="1" t="s">
        <v>528</v>
      </c>
      <c r="F2646" s="4" t="s">
        <v>770</v>
      </c>
      <c r="G2646" s="1">
        <v>46</v>
      </c>
      <c r="H2646">
        <v>1</v>
      </c>
      <c r="I2646">
        <f>grand[[#This Row],[number]]-grand[[#This Row],[received]]</f>
        <v>45</v>
      </c>
      <c r="J2646" s="30"/>
      <c r="K2646" s="2">
        <v>21016.139240506327</v>
      </c>
      <c r="L2646" s="2">
        <v>21016.139240506327</v>
      </c>
      <c r="M2646" s="2">
        <f>K2646-L2646</f>
        <v>0</v>
      </c>
      <c r="N2646" s="2">
        <v>13282.2</v>
      </c>
      <c r="O2646" s="2">
        <v>0</v>
      </c>
      <c r="P2646" s="7">
        <f>grand[[#This Row],[total weight]]/grand[[#This Row],[received]]</f>
        <v>21016.139240506327</v>
      </c>
      <c r="Q2646" s="7">
        <f>grand[[#This Row],[receiving weight]]/grand[[#This Row],[received]]</f>
        <v>21016.139240506327</v>
      </c>
      <c r="R2646" s="7">
        <f>grand[[#This Row],[transportation loss ]]/grand[[#This Row],[received]]</f>
        <v>0</v>
      </c>
      <c r="S2646" s="7">
        <f>grand[[#This Row],[ carcass weight]]/grand[[#This Row],[received]]</f>
        <v>13282.2</v>
      </c>
      <c r="T2646" s="7">
        <f>grand[[#This Row],[ kidneys fat quantity]]/grand[[#This Row],[received]]</f>
        <v>0</v>
      </c>
      <c r="U2646">
        <v>25</v>
      </c>
      <c r="V2646">
        <v>4</v>
      </c>
      <c r="W2646">
        <v>50</v>
      </c>
      <c r="X2646">
        <v>10</v>
      </c>
      <c r="Y2646" s="1">
        <v>8.5</v>
      </c>
      <c r="Z2646" s="18">
        <f>grand[[#This Row],[av. Transportation loss]]/grand[[#This Row],[av.total weight]]</f>
        <v>0</v>
      </c>
      <c r="AA2646" s="18">
        <f>AVERAGE((grand[[#This Row],[am]]/25),(grand[[#This Row],[pm]]/50))</f>
        <v>1</v>
      </c>
      <c r="AB2646" s="3">
        <f>grand[[#This Row],[ carcass weight]]/grand[[#This Row],[total weight]]</f>
        <v>0.63200000000000012</v>
      </c>
      <c r="AC2646" s="18">
        <f>SUM(grand[[#This Row],[am]:[meat transportation]])/100</f>
        <v>0.97499999999999998</v>
      </c>
      <c r="AD2646" s="2"/>
      <c r="AE2646" s="2"/>
      <c r="AF2646" s="2"/>
      <c r="AG2646" s="2"/>
      <c r="AH2646" s="2"/>
      <c r="AI2646" s="2"/>
      <c r="AJ2646" s="2"/>
      <c r="AK2646" s="1"/>
      <c r="AL2646" s="1"/>
    </row>
    <row r="2647" spans="1:38" x14ac:dyDescent="0.2">
      <c r="A2647" s="2" t="s">
        <v>957</v>
      </c>
      <c r="B2647" s="2"/>
      <c r="C2647" s="2"/>
      <c r="F2647" s="4"/>
      <c r="G2647" s="1">
        <f>SUBTOTAL(109,grand[number])</f>
        <v>5450</v>
      </c>
      <c r="J2647" s="4"/>
      <c r="K2647" s="2"/>
      <c r="L2647" s="2"/>
      <c r="M2647" s="2"/>
      <c r="N2647" s="63">
        <f>SUBTOTAL(109,grand[[ carcass weight]])</f>
        <v>1498634.3</v>
      </c>
      <c r="O2647" s="2"/>
      <c r="P2647" s="2"/>
      <c r="Q2647" s="2"/>
      <c r="R2647" s="2"/>
      <c r="S2647" s="2"/>
      <c r="T2647" s="2"/>
      <c r="AB2647" s="2"/>
      <c r="AL2647" s="2">
        <f>SUBTOTAL(109,grand[total rejected weight])</f>
        <v>0</v>
      </c>
    </row>
    <row r="2649" spans="1:38" x14ac:dyDescent="0.2">
      <c r="N2649" s="1">
        <v>22821269.442552835</v>
      </c>
    </row>
  </sheetData>
  <pageMargins left="0.25" right="0.25" top="0.75" bottom="0.75" header="0.3" footer="0.3"/>
  <pageSetup paperSize="9" scale="42" fitToHeight="0" orientation="landscape" r:id="rId1"/>
  <legacyDrawing r:id="rId2"/>
  <tableParts count="1">
    <tablePart r:id="rId3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BB2CD2-119F-45EA-B7AB-46FA885D3959}">
  <dimension ref="A1:AS52"/>
  <sheetViews>
    <sheetView topLeftCell="AL35" workbookViewId="0">
      <selection activeCell="H2" sqref="H2:AQ52"/>
    </sheetView>
  </sheetViews>
  <sheetFormatPr defaultRowHeight="15" x14ac:dyDescent="0.2"/>
  <cols>
    <col min="1" max="1" width="49.234375" bestFit="1" customWidth="1"/>
    <col min="2" max="2" width="11.296875" bestFit="1" customWidth="1"/>
    <col min="3" max="4" width="14.9296875" bestFit="1" customWidth="1"/>
    <col min="5" max="5" width="13.85546875" bestFit="1" customWidth="1"/>
    <col min="6" max="6" width="64.43359375" bestFit="1" customWidth="1"/>
    <col min="7" max="7" width="49.234375" bestFit="1" customWidth="1"/>
    <col min="8" max="8" width="7.12890625" bestFit="1" customWidth="1"/>
    <col min="9" max="10" width="7.12890625" customWidth="1"/>
    <col min="11" max="11" width="25.421875" bestFit="1" customWidth="1"/>
    <col min="12" max="12" width="7.93359375" bestFit="1" customWidth="1"/>
    <col min="13" max="13" width="12.64453125" bestFit="1" customWidth="1"/>
    <col min="14" max="14" width="9.953125" bestFit="1" customWidth="1"/>
    <col min="15" max="15" width="10.4921875" bestFit="1" customWidth="1"/>
    <col min="16" max="16" width="10.35546875" bestFit="1" customWidth="1"/>
    <col min="17" max="17" width="17.890625" bestFit="1" customWidth="1"/>
    <col min="18" max="18" width="13.31640625" bestFit="1" customWidth="1"/>
    <col min="19" max="19" width="16.94921875" bestFit="1" customWidth="1"/>
    <col min="20" max="20" width="19.50390625" bestFit="1" customWidth="1"/>
    <col min="21" max="21" width="15.46875" bestFit="1" customWidth="1"/>
    <col min="22" max="22" width="19.7734375" bestFit="1" customWidth="1"/>
    <col min="23" max="23" width="15.6015625" bestFit="1" customWidth="1"/>
    <col min="24" max="24" width="18.96484375" bestFit="1" customWidth="1"/>
    <col min="25" max="25" width="21.5234375" bestFit="1" customWidth="1"/>
    <col min="26" max="26" width="17.484375" bestFit="1" customWidth="1"/>
    <col min="27" max="27" width="14.2578125" bestFit="1" customWidth="1"/>
    <col min="28" max="28" width="11.8359375" bestFit="1" customWidth="1"/>
    <col min="29" max="29" width="23.13671875" bestFit="1" customWidth="1"/>
    <col min="30" max="30" width="11.8359375" bestFit="1" customWidth="1"/>
    <col min="31" max="31" width="12.10546875" bestFit="1" customWidth="1"/>
    <col min="32" max="32" width="20.3125" bestFit="1" customWidth="1"/>
    <col min="33" max="33" width="12.64453125" bestFit="1" customWidth="1"/>
    <col min="34" max="34" width="13.5859375" bestFit="1" customWidth="1"/>
    <col min="35" max="35" width="16.6796875" bestFit="1" customWidth="1"/>
    <col min="36" max="36" width="22.46484375" bestFit="1" customWidth="1"/>
    <col min="37" max="37" width="80.7109375" bestFit="1" customWidth="1"/>
    <col min="38" max="38" width="19.50390625" bestFit="1" customWidth="1"/>
    <col min="39" max="39" width="11.02734375" bestFit="1" customWidth="1"/>
    <col min="40" max="40" width="22.59765625" bestFit="1" customWidth="1"/>
    <col min="41" max="41" width="14.125" bestFit="1" customWidth="1"/>
    <col min="42" max="42" width="9.14453125" bestFit="1" customWidth="1"/>
    <col min="43" max="43" width="21.1171875" bestFit="1" customWidth="1"/>
    <col min="44" max="44" width="30.53515625" bestFit="1" customWidth="1"/>
    <col min="45" max="45" width="20.84765625" bestFit="1" customWidth="1"/>
  </cols>
  <sheetData>
    <row r="1" spans="1:45" x14ac:dyDescent="0.2">
      <c r="A1" t="s">
        <v>2962</v>
      </c>
      <c r="B1" t="s">
        <v>2963</v>
      </c>
      <c r="C1" t="s">
        <v>2964</v>
      </c>
      <c r="D1" t="s">
        <v>2965</v>
      </c>
      <c r="E1" t="s">
        <v>2966</v>
      </c>
      <c r="F1" t="s">
        <v>2967</v>
      </c>
      <c r="G1" t="s">
        <v>2968</v>
      </c>
      <c r="H1" t="s">
        <v>2969</v>
      </c>
      <c r="I1" t="s">
        <v>3103</v>
      </c>
      <c r="J1" t="s">
        <v>3102</v>
      </c>
      <c r="K1" t="s">
        <v>2970</v>
      </c>
      <c r="L1" t="s">
        <v>539</v>
      </c>
      <c r="M1" t="s">
        <v>946</v>
      </c>
      <c r="N1" t="s">
        <v>944</v>
      </c>
      <c r="O1" t="s">
        <v>2971</v>
      </c>
      <c r="P1" t="s">
        <v>2972</v>
      </c>
      <c r="Q1" t="s">
        <v>2973</v>
      </c>
      <c r="R1" t="s">
        <v>2974</v>
      </c>
      <c r="S1" t="s">
        <v>2975</v>
      </c>
      <c r="T1" t="s">
        <v>2976</v>
      </c>
      <c r="U1" t="s">
        <v>2977</v>
      </c>
      <c r="V1" t="s">
        <v>2978</v>
      </c>
      <c r="W1" t="s">
        <v>2979</v>
      </c>
      <c r="X1" t="s">
        <v>2980</v>
      </c>
      <c r="Y1" t="s">
        <v>2981</v>
      </c>
      <c r="Z1" t="s">
        <v>2982</v>
      </c>
      <c r="AA1" t="s">
        <v>2983</v>
      </c>
      <c r="AB1" t="s">
        <v>2984</v>
      </c>
      <c r="AC1" t="s">
        <v>2985</v>
      </c>
      <c r="AD1" t="s">
        <v>2986</v>
      </c>
      <c r="AE1" t="s">
        <v>2987</v>
      </c>
      <c r="AF1" t="s">
        <v>2988</v>
      </c>
      <c r="AG1" t="s">
        <v>2989</v>
      </c>
      <c r="AH1" t="s">
        <v>2990</v>
      </c>
      <c r="AI1" t="s">
        <v>2991</v>
      </c>
      <c r="AJ1" t="s">
        <v>2992</v>
      </c>
      <c r="AK1" t="s">
        <v>2993</v>
      </c>
      <c r="AL1" t="s">
        <v>2994</v>
      </c>
      <c r="AM1" t="s">
        <v>2995</v>
      </c>
      <c r="AN1" t="s">
        <v>2996</v>
      </c>
      <c r="AO1" t="s">
        <v>2997</v>
      </c>
      <c r="AP1" t="s">
        <v>2998</v>
      </c>
      <c r="AQ1" t="s">
        <v>2999</v>
      </c>
      <c r="AR1" t="s">
        <v>3000</v>
      </c>
      <c r="AS1" t="s">
        <v>3001</v>
      </c>
    </row>
    <row r="2" spans="1:45" x14ac:dyDescent="0.2">
      <c r="A2" t="s">
        <v>3002</v>
      </c>
      <c r="B2" t="s">
        <v>3003</v>
      </c>
      <c r="C2" s="54">
        <v>46239.919692256946</v>
      </c>
      <c r="D2" s="54">
        <v>46239.586921296293</v>
      </c>
      <c r="E2" s="54">
        <v>46239.586957349537</v>
      </c>
      <c r="F2" t="s">
        <v>3004</v>
      </c>
      <c r="G2" t="s">
        <v>3002</v>
      </c>
      <c r="H2">
        <v>46204</v>
      </c>
      <c r="K2" t="s">
        <v>1079</v>
      </c>
      <c r="M2" t="s">
        <v>165</v>
      </c>
      <c r="N2">
        <v>56</v>
      </c>
      <c r="O2">
        <v>56</v>
      </c>
      <c r="R2">
        <v>2885</v>
      </c>
      <c r="S2">
        <v>2885</v>
      </c>
      <c r="U2">
        <v>1544</v>
      </c>
      <c r="V2">
        <v>0</v>
      </c>
      <c r="AB2">
        <v>25</v>
      </c>
      <c r="AC2">
        <v>0</v>
      </c>
      <c r="AD2">
        <v>45.232142857142854</v>
      </c>
      <c r="AE2">
        <v>10</v>
      </c>
      <c r="AF2">
        <v>8.5</v>
      </c>
      <c r="AG2">
        <v>0.95232142857142843</v>
      </c>
      <c r="AH2">
        <v>0.88732142857142859</v>
      </c>
      <c r="AI2">
        <v>0</v>
      </c>
      <c r="AK2" t="s">
        <v>1095</v>
      </c>
      <c r="AQ2">
        <v>0</v>
      </c>
    </row>
    <row r="3" spans="1:45" x14ac:dyDescent="0.2">
      <c r="A3" t="s">
        <v>3005</v>
      </c>
      <c r="B3" t="s">
        <v>3003</v>
      </c>
      <c r="C3" s="54">
        <v>46239.919698645834</v>
      </c>
      <c r="D3" s="54">
        <v>46239.586608796293</v>
      </c>
      <c r="E3" s="54">
        <v>46239.586830474538</v>
      </c>
      <c r="F3" t="s">
        <v>3004</v>
      </c>
      <c r="G3" t="s">
        <v>3005</v>
      </c>
      <c r="H3">
        <v>46204</v>
      </c>
      <c r="K3" t="s">
        <v>3006</v>
      </c>
      <c r="M3" t="s">
        <v>746</v>
      </c>
      <c r="N3">
        <v>64</v>
      </c>
      <c r="O3">
        <v>64</v>
      </c>
      <c r="R3">
        <v>34302</v>
      </c>
      <c r="S3">
        <v>34302</v>
      </c>
      <c r="U3">
        <v>20579.7</v>
      </c>
      <c r="V3">
        <v>678</v>
      </c>
      <c r="AB3">
        <v>23.75</v>
      </c>
      <c r="AC3">
        <v>0</v>
      </c>
      <c r="AD3">
        <v>46.71875</v>
      </c>
      <c r="AE3">
        <v>10</v>
      </c>
      <c r="AF3">
        <v>8.5</v>
      </c>
      <c r="AG3">
        <v>0.94218749999999996</v>
      </c>
      <c r="AH3">
        <v>0.88968749999999996</v>
      </c>
      <c r="AI3">
        <v>0</v>
      </c>
      <c r="AK3" t="s">
        <v>1095</v>
      </c>
      <c r="AQ3">
        <v>38</v>
      </c>
    </row>
    <row r="4" spans="1:45" x14ac:dyDescent="0.2">
      <c r="A4" t="s">
        <v>3007</v>
      </c>
      <c r="B4" t="s">
        <v>3003</v>
      </c>
      <c r="C4" s="54">
        <v>46239.919701412036</v>
      </c>
      <c r="D4" s="54">
        <v>46239.60125</v>
      </c>
      <c r="E4" s="54">
        <v>46239.601336874999</v>
      </c>
      <c r="F4" t="s">
        <v>3004</v>
      </c>
      <c r="G4" t="s">
        <v>3007</v>
      </c>
      <c r="H4">
        <v>46214</v>
      </c>
      <c r="K4" t="s">
        <v>3006</v>
      </c>
      <c r="M4" t="s">
        <v>165</v>
      </c>
      <c r="N4">
        <v>48</v>
      </c>
      <c r="O4">
        <v>48</v>
      </c>
      <c r="R4">
        <v>19810</v>
      </c>
      <c r="S4">
        <v>19810</v>
      </c>
      <c r="U4">
        <v>11886</v>
      </c>
      <c r="V4">
        <v>246</v>
      </c>
      <c r="AB4">
        <v>25</v>
      </c>
      <c r="AC4">
        <v>0</v>
      </c>
      <c r="AD4">
        <v>47.500000000000007</v>
      </c>
      <c r="AE4">
        <v>10</v>
      </c>
      <c r="AF4">
        <v>8.5</v>
      </c>
      <c r="AG4">
        <v>0.9750000000000002</v>
      </c>
      <c r="AH4">
        <v>0.91</v>
      </c>
      <c r="AI4">
        <v>0</v>
      </c>
      <c r="AK4" t="s">
        <v>3008</v>
      </c>
      <c r="AQ4">
        <v>10</v>
      </c>
    </row>
    <row r="5" spans="1:45" x14ac:dyDescent="0.2">
      <c r="A5" t="s">
        <v>3009</v>
      </c>
      <c r="B5" t="s">
        <v>3003</v>
      </c>
      <c r="C5" s="54">
        <v>46239.919703831016</v>
      </c>
      <c r="D5" s="54">
        <v>46239.601550925923</v>
      </c>
      <c r="E5" s="54">
        <v>46239.601587592595</v>
      </c>
      <c r="F5" t="s">
        <v>3004</v>
      </c>
      <c r="G5" t="s">
        <v>3009</v>
      </c>
      <c r="H5">
        <v>46214</v>
      </c>
      <c r="K5" t="s">
        <v>1079</v>
      </c>
      <c r="M5" t="s">
        <v>165</v>
      </c>
      <c r="N5">
        <v>36</v>
      </c>
      <c r="O5">
        <v>36</v>
      </c>
      <c r="R5">
        <v>1939</v>
      </c>
      <c r="S5">
        <v>1939</v>
      </c>
      <c r="U5">
        <v>1128</v>
      </c>
      <c r="V5">
        <v>0</v>
      </c>
      <c r="AB5">
        <v>25</v>
      </c>
      <c r="AC5">
        <v>0</v>
      </c>
      <c r="AD5">
        <v>47.791666666666671</v>
      </c>
      <c r="AE5">
        <v>10</v>
      </c>
      <c r="AF5">
        <v>8.5</v>
      </c>
      <c r="AG5">
        <v>0.97791666666666677</v>
      </c>
      <c r="AH5">
        <v>0.91291666666666671</v>
      </c>
      <c r="AI5">
        <v>0</v>
      </c>
      <c r="AK5" t="s">
        <v>3010</v>
      </c>
      <c r="AQ5">
        <v>0</v>
      </c>
    </row>
    <row r="6" spans="1:45" x14ac:dyDescent="0.2">
      <c r="A6" t="s">
        <v>3011</v>
      </c>
      <c r="B6" t="s">
        <v>3003</v>
      </c>
      <c r="C6" s="54">
        <v>46239.926030671297</v>
      </c>
      <c r="D6" s="54">
        <v>46239.926004837966</v>
      </c>
      <c r="E6" s="54">
        <v>46239.926004768517</v>
      </c>
      <c r="F6" t="s">
        <v>3004</v>
      </c>
      <c r="G6" t="s">
        <v>3011</v>
      </c>
      <c r="H6">
        <v>46215</v>
      </c>
      <c r="K6" t="s">
        <v>3012</v>
      </c>
      <c r="M6" t="s">
        <v>3013</v>
      </c>
      <c r="N6">
        <v>65</v>
      </c>
      <c r="O6">
        <v>65</v>
      </c>
      <c r="R6">
        <v>34384</v>
      </c>
      <c r="S6">
        <v>0</v>
      </c>
      <c r="U6">
        <v>21450</v>
      </c>
      <c r="V6">
        <v>381</v>
      </c>
      <c r="AB6">
        <v>20</v>
      </c>
      <c r="AC6">
        <v>0</v>
      </c>
      <c r="AD6">
        <v>47.830769230769235</v>
      </c>
      <c r="AE6">
        <v>10</v>
      </c>
      <c r="AF6">
        <v>8.5</v>
      </c>
      <c r="AG6">
        <v>0.87830769230769234</v>
      </c>
      <c r="AH6">
        <v>0.86330769230769233</v>
      </c>
      <c r="AI6">
        <v>1</v>
      </c>
      <c r="AK6" t="s">
        <v>3014</v>
      </c>
      <c r="AQ6">
        <v>65</v>
      </c>
    </row>
    <row r="7" spans="1:45" x14ac:dyDescent="0.2">
      <c r="A7" t="s">
        <v>3015</v>
      </c>
      <c r="B7" t="s">
        <v>3003</v>
      </c>
      <c r="C7" s="54">
        <v>46239.919709131944</v>
      </c>
      <c r="D7" s="54">
        <v>46239.602326388886</v>
      </c>
      <c r="E7" s="54">
        <v>46239.602363414349</v>
      </c>
      <c r="F7" t="s">
        <v>3004</v>
      </c>
      <c r="G7" t="s">
        <v>3015</v>
      </c>
      <c r="H7">
        <v>46216</v>
      </c>
      <c r="K7" t="s">
        <v>3016</v>
      </c>
      <c r="M7" t="s">
        <v>954</v>
      </c>
      <c r="N7">
        <v>64</v>
      </c>
      <c r="O7">
        <v>64</v>
      </c>
      <c r="R7">
        <v>27707</v>
      </c>
      <c r="S7">
        <v>27707</v>
      </c>
      <c r="U7">
        <v>16960</v>
      </c>
      <c r="V7">
        <v>467</v>
      </c>
      <c r="AB7">
        <v>25</v>
      </c>
      <c r="AC7">
        <v>0</v>
      </c>
      <c r="AD7">
        <v>47.828125</v>
      </c>
      <c r="AE7">
        <v>10</v>
      </c>
      <c r="AF7">
        <v>8.5</v>
      </c>
      <c r="AG7">
        <v>0.97828124999999999</v>
      </c>
      <c r="AH7">
        <v>0.91328125000000004</v>
      </c>
      <c r="AI7">
        <v>0</v>
      </c>
      <c r="AK7" t="s">
        <v>3017</v>
      </c>
      <c r="AQ7">
        <v>0</v>
      </c>
    </row>
    <row r="8" spans="1:45" x14ac:dyDescent="0.2">
      <c r="A8" t="s">
        <v>3018</v>
      </c>
      <c r="B8" t="s">
        <v>3003</v>
      </c>
      <c r="C8" s="54">
        <v>46239.919711527778</v>
      </c>
      <c r="D8" s="54">
        <v>46239.602569444447</v>
      </c>
      <c r="E8" s="54">
        <v>46239.602607534725</v>
      </c>
      <c r="F8" t="s">
        <v>3004</v>
      </c>
      <c r="G8" t="s">
        <v>3018</v>
      </c>
      <c r="H8">
        <v>46216</v>
      </c>
      <c r="K8" t="s">
        <v>1079</v>
      </c>
      <c r="M8" t="s">
        <v>165</v>
      </c>
      <c r="N8">
        <v>60</v>
      </c>
      <c r="O8">
        <v>60</v>
      </c>
      <c r="R8">
        <v>3090</v>
      </c>
      <c r="S8">
        <v>3090</v>
      </c>
      <c r="U8">
        <v>1673</v>
      </c>
      <c r="V8">
        <v>0</v>
      </c>
      <c r="AB8">
        <v>25</v>
      </c>
      <c r="AC8">
        <v>0</v>
      </c>
      <c r="AD8">
        <v>47.85</v>
      </c>
      <c r="AE8">
        <v>10</v>
      </c>
      <c r="AF8">
        <v>8.5</v>
      </c>
      <c r="AG8">
        <v>0.97850000000000004</v>
      </c>
      <c r="AH8">
        <v>0.91349999999999998</v>
      </c>
      <c r="AI8">
        <v>0</v>
      </c>
      <c r="AK8" t="s">
        <v>3019</v>
      </c>
      <c r="AQ8">
        <v>0</v>
      </c>
    </row>
    <row r="9" spans="1:45" x14ac:dyDescent="0.2">
      <c r="A9" t="s">
        <v>3020</v>
      </c>
      <c r="B9" t="s">
        <v>3003</v>
      </c>
      <c r="C9" s="54">
        <v>46239.919714293981</v>
      </c>
      <c r="D9" s="54">
        <v>46239.603067129632</v>
      </c>
      <c r="E9" s="54">
        <v>46239.603089131946</v>
      </c>
      <c r="F9" t="s">
        <v>3004</v>
      </c>
      <c r="G9" t="s">
        <v>3020</v>
      </c>
      <c r="H9">
        <v>46217</v>
      </c>
      <c r="K9" t="s">
        <v>3016</v>
      </c>
      <c r="M9" t="s">
        <v>165</v>
      </c>
      <c r="N9">
        <v>55</v>
      </c>
      <c r="O9">
        <v>55</v>
      </c>
      <c r="R9">
        <v>23847</v>
      </c>
      <c r="S9">
        <v>23847</v>
      </c>
      <c r="U9">
        <v>14308</v>
      </c>
      <c r="V9">
        <v>319</v>
      </c>
      <c r="AB9">
        <v>24.81818181818182</v>
      </c>
      <c r="AC9">
        <v>0</v>
      </c>
      <c r="AD9">
        <v>48.709090909090911</v>
      </c>
      <c r="AE9">
        <v>10</v>
      </c>
      <c r="AF9">
        <v>8.5</v>
      </c>
      <c r="AG9">
        <v>0.98345454545454558</v>
      </c>
      <c r="AH9">
        <v>0.92027272727272735</v>
      </c>
      <c r="AI9">
        <v>0</v>
      </c>
      <c r="AK9" t="s">
        <v>3021</v>
      </c>
      <c r="AQ9">
        <v>10</v>
      </c>
    </row>
    <row r="10" spans="1:45" x14ac:dyDescent="0.2">
      <c r="A10" t="s">
        <v>3022</v>
      </c>
      <c r="B10" t="s">
        <v>3003</v>
      </c>
      <c r="C10" s="54">
        <v>46239.919716550925</v>
      </c>
      <c r="D10" s="54">
        <v>46239.604050925926</v>
      </c>
      <c r="E10" s="54">
        <v>46239.604080231482</v>
      </c>
      <c r="F10" t="s">
        <v>3004</v>
      </c>
      <c r="G10" t="s">
        <v>3022</v>
      </c>
      <c r="H10">
        <v>46218</v>
      </c>
      <c r="K10" t="s">
        <v>1079</v>
      </c>
      <c r="M10" t="s">
        <v>165</v>
      </c>
      <c r="N10">
        <v>56</v>
      </c>
      <c r="O10">
        <v>56</v>
      </c>
      <c r="R10">
        <v>2876</v>
      </c>
      <c r="S10">
        <v>2876</v>
      </c>
      <c r="U10">
        <v>1568</v>
      </c>
      <c r="V10">
        <v>0</v>
      </c>
      <c r="AB10">
        <v>25</v>
      </c>
      <c r="AC10">
        <v>0</v>
      </c>
      <c r="AD10">
        <v>46.375</v>
      </c>
      <c r="AE10">
        <v>10</v>
      </c>
      <c r="AF10">
        <v>8.5</v>
      </c>
      <c r="AG10">
        <v>0.96375</v>
      </c>
      <c r="AH10">
        <v>0.89875000000000005</v>
      </c>
      <c r="AI10">
        <v>0</v>
      </c>
      <c r="AK10" t="s">
        <v>3023</v>
      </c>
      <c r="AQ10">
        <v>0</v>
      </c>
    </row>
    <row r="11" spans="1:45" x14ac:dyDescent="0.2">
      <c r="A11" t="s">
        <v>3024</v>
      </c>
      <c r="B11" t="s">
        <v>3003</v>
      </c>
      <c r="C11" s="54">
        <v>46239.919718888887</v>
      </c>
      <c r="D11" s="54">
        <v>46239.603483796294</v>
      </c>
      <c r="E11" s="54">
        <v>46239.603521793979</v>
      </c>
      <c r="F11" t="s">
        <v>3004</v>
      </c>
      <c r="G11" t="s">
        <v>3024</v>
      </c>
      <c r="H11">
        <v>46218</v>
      </c>
      <c r="K11" t="s">
        <v>3016</v>
      </c>
      <c r="M11" t="s">
        <v>954</v>
      </c>
      <c r="N11">
        <v>60</v>
      </c>
      <c r="O11">
        <v>60</v>
      </c>
      <c r="R11">
        <v>26208</v>
      </c>
      <c r="S11">
        <v>26208</v>
      </c>
      <c r="U11">
        <v>15914</v>
      </c>
      <c r="V11">
        <v>490</v>
      </c>
      <c r="AB11">
        <v>25</v>
      </c>
      <c r="AC11">
        <v>0</v>
      </c>
      <c r="AD11">
        <v>48.816666666666663</v>
      </c>
      <c r="AE11">
        <v>10</v>
      </c>
      <c r="AF11">
        <v>8.5</v>
      </c>
      <c r="AG11">
        <v>0.98816666666666653</v>
      </c>
      <c r="AH11">
        <v>0.92316666666666658</v>
      </c>
      <c r="AI11">
        <v>0</v>
      </c>
      <c r="AK11" t="s">
        <v>3025</v>
      </c>
      <c r="AQ11">
        <v>0</v>
      </c>
    </row>
    <row r="12" spans="1:45" x14ac:dyDescent="0.2">
      <c r="A12" t="s">
        <v>3026</v>
      </c>
      <c r="B12" t="s">
        <v>3003</v>
      </c>
      <c r="C12" s="54">
        <v>46239.91972179398</v>
      </c>
      <c r="D12" s="54">
        <v>46239.605682870373</v>
      </c>
      <c r="E12" s="54">
        <v>46239.60571708333</v>
      </c>
      <c r="F12" t="s">
        <v>3004</v>
      </c>
      <c r="G12" t="s">
        <v>3026</v>
      </c>
      <c r="H12">
        <v>46219</v>
      </c>
      <c r="K12" t="s">
        <v>1079</v>
      </c>
      <c r="M12" t="s">
        <v>165</v>
      </c>
      <c r="N12">
        <v>56</v>
      </c>
      <c r="O12">
        <v>56</v>
      </c>
      <c r="R12">
        <v>3044</v>
      </c>
      <c r="S12">
        <v>3044</v>
      </c>
      <c r="U12">
        <v>1675</v>
      </c>
      <c r="V12">
        <v>0</v>
      </c>
      <c r="AB12">
        <v>25</v>
      </c>
      <c r="AC12">
        <v>0</v>
      </c>
      <c r="AD12">
        <v>45.294642857142854</v>
      </c>
      <c r="AE12">
        <v>10</v>
      </c>
      <c r="AF12">
        <v>8.5</v>
      </c>
      <c r="AG12">
        <v>0.95294642857142853</v>
      </c>
      <c r="AH12">
        <v>0.88794642857142869</v>
      </c>
      <c r="AI12">
        <v>0</v>
      </c>
      <c r="AK12" t="s">
        <v>3027</v>
      </c>
      <c r="AQ12">
        <v>0</v>
      </c>
    </row>
    <row r="13" spans="1:45" x14ac:dyDescent="0.2">
      <c r="A13" t="s">
        <v>3028</v>
      </c>
      <c r="B13" t="s">
        <v>3003</v>
      </c>
      <c r="C13" s="54">
        <v>46239.919724189815</v>
      </c>
      <c r="D13" s="54">
        <v>46239.605162037034</v>
      </c>
      <c r="E13" s="54">
        <v>46239.605194236108</v>
      </c>
      <c r="F13" t="s">
        <v>3004</v>
      </c>
      <c r="G13" t="s">
        <v>3028</v>
      </c>
      <c r="H13">
        <v>46219</v>
      </c>
      <c r="K13" t="s">
        <v>3006</v>
      </c>
      <c r="M13" t="s">
        <v>959</v>
      </c>
      <c r="N13">
        <v>96</v>
      </c>
      <c r="O13">
        <v>96</v>
      </c>
      <c r="R13">
        <v>40590</v>
      </c>
      <c r="S13">
        <v>40590</v>
      </c>
      <c r="U13">
        <v>24699</v>
      </c>
      <c r="V13">
        <v>668</v>
      </c>
      <c r="AB13">
        <v>25</v>
      </c>
      <c r="AC13">
        <v>0</v>
      </c>
      <c r="AD13">
        <v>49.166666666666664</v>
      </c>
      <c r="AE13">
        <v>10</v>
      </c>
      <c r="AF13">
        <v>8.5</v>
      </c>
      <c r="AG13">
        <v>0.99166666666666681</v>
      </c>
      <c r="AH13">
        <v>0.92666666666666653</v>
      </c>
      <c r="AI13">
        <v>0</v>
      </c>
      <c r="AK13" t="s">
        <v>3029</v>
      </c>
      <c r="AQ13">
        <v>0</v>
      </c>
    </row>
    <row r="14" spans="1:45" x14ac:dyDescent="0.2">
      <c r="A14" t="s">
        <v>3030</v>
      </c>
      <c r="B14" t="s">
        <v>3003</v>
      </c>
      <c r="C14" s="54">
        <v>46239.919726874999</v>
      </c>
      <c r="D14" s="54">
        <v>46239.605370370373</v>
      </c>
      <c r="E14" s="54">
        <v>46239.605397777777</v>
      </c>
      <c r="F14" t="s">
        <v>3004</v>
      </c>
      <c r="G14" t="s">
        <v>3030</v>
      </c>
      <c r="H14">
        <v>46219</v>
      </c>
      <c r="K14" t="s">
        <v>3031</v>
      </c>
      <c r="M14" t="s">
        <v>1161</v>
      </c>
      <c r="N14">
        <v>46</v>
      </c>
      <c r="O14">
        <v>46</v>
      </c>
      <c r="R14">
        <v>1125</v>
      </c>
      <c r="S14">
        <v>1125</v>
      </c>
      <c r="U14">
        <v>605</v>
      </c>
      <c r="V14">
        <v>0</v>
      </c>
      <c r="AB14">
        <v>25</v>
      </c>
      <c r="AC14">
        <v>0</v>
      </c>
      <c r="AD14">
        <v>49.717391304347821</v>
      </c>
      <c r="AE14">
        <v>10</v>
      </c>
      <c r="AF14">
        <v>8.5</v>
      </c>
      <c r="AG14">
        <v>0.99717391304347824</v>
      </c>
      <c r="AH14">
        <v>0.93217391304347841</v>
      </c>
      <c r="AI14">
        <v>0</v>
      </c>
      <c r="AK14" t="s">
        <v>987</v>
      </c>
      <c r="AQ14">
        <v>0</v>
      </c>
    </row>
    <row r="15" spans="1:45" x14ac:dyDescent="0.2">
      <c r="A15" t="s">
        <v>3032</v>
      </c>
      <c r="B15" t="s">
        <v>3003</v>
      </c>
      <c r="C15" s="54">
        <v>46239.919728923611</v>
      </c>
      <c r="D15" s="54">
        <v>46239.606435185182</v>
      </c>
      <c r="E15" s="54">
        <v>46239.606465370372</v>
      </c>
      <c r="F15" t="s">
        <v>3004</v>
      </c>
      <c r="G15" t="s">
        <v>3032</v>
      </c>
      <c r="H15">
        <v>46221</v>
      </c>
      <c r="K15" t="s">
        <v>1079</v>
      </c>
      <c r="M15" t="s">
        <v>165</v>
      </c>
      <c r="N15">
        <v>35</v>
      </c>
      <c r="O15">
        <v>35</v>
      </c>
      <c r="R15">
        <v>1968</v>
      </c>
      <c r="S15">
        <v>1968</v>
      </c>
      <c r="U15">
        <v>1083.4000000000001</v>
      </c>
      <c r="V15">
        <v>0</v>
      </c>
      <c r="AB15">
        <v>25</v>
      </c>
      <c r="AC15">
        <v>0</v>
      </c>
      <c r="AD15">
        <v>45.228571428571421</v>
      </c>
      <c r="AE15">
        <v>10</v>
      </c>
      <c r="AF15">
        <v>8.5</v>
      </c>
      <c r="AG15">
        <v>0.95228571428571429</v>
      </c>
      <c r="AH15">
        <v>0.88728571428571423</v>
      </c>
      <c r="AI15">
        <v>0</v>
      </c>
      <c r="AK15" t="s">
        <v>97</v>
      </c>
      <c r="AQ15">
        <v>0</v>
      </c>
    </row>
    <row r="16" spans="1:45" x14ac:dyDescent="0.2">
      <c r="A16" t="s">
        <v>3033</v>
      </c>
      <c r="B16" t="s">
        <v>3003</v>
      </c>
      <c r="C16" s="54">
        <v>46239.919731319445</v>
      </c>
      <c r="D16" s="54">
        <v>46239.606053240743</v>
      </c>
      <c r="E16" s="54">
        <v>46239.606091516202</v>
      </c>
      <c r="F16" t="s">
        <v>3004</v>
      </c>
      <c r="G16" t="s">
        <v>3033</v>
      </c>
      <c r="H16">
        <v>46221</v>
      </c>
      <c r="K16" t="s">
        <v>3006</v>
      </c>
      <c r="M16" t="s">
        <v>165</v>
      </c>
      <c r="N16">
        <v>58</v>
      </c>
      <c r="O16">
        <v>57</v>
      </c>
      <c r="R16">
        <v>25004</v>
      </c>
      <c r="S16">
        <v>25004</v>
      </c>
      <c r="U16">
        <v>15003</v>
      </c>
      <c r="V16">
        <v>378</v>
      </c>
      <c r="AB16">
        <v>24.912280701754383</v>
      </c>
      <c r="AC16">
        <v>0</v>
      </c>
      <c r="AD16">
        <v>49.070175438596486</v>
      </c>
      <c r="AE16">
        <v>10</v>
      </c>
      <c r="AF16">
        <v>8.5</v>
      </c>
      <c r="AG16">
        <v>0.98894736842105269</v>
      </c>
      <c r="AH16">
        <v>0.92482456140350877</v>
      </c>
      <c r="AI16">
        <v>0</v>
      </c>
      <c r="AK16" t="s">
        <v>3034</v>
      </c>
      <c r="AQ16">
        <v>8</v>
      </c>
    </row>
    <row r="17" spans="1:43" x14ac:dyDescent="0.2">
      <c r="A17" t="s">
        <v>3035</v>
      </c>
      <c r="B17" t="s">
        <v>3003</v>
      </c>
      <c r="C17" s="54">
        <v>46239.919733530092</v>
      </c>
      <c r="D17" s="54">
        <v>46239.606840277775</v>
      </c>
      <c r="E17" s="54">
        <v>46239.606861736109</v>
      </c>
      <c r="F17" t="s">
        <v>3004</v>
      </c>
      <c r="G17" t="s">
        <v>3035</v>
      </c>
      <c r="H17">
        <v>46222</v>
      </c>
      <c r="K17" t="s">
        <v>3006</v>
      </c>
      <c r="M17" t="s">
        <v>954</v>
      </c>
      <c r="N17">
        <v>68</v>
      </c>
      <c r="O17">
        <v>68</v>
      </c>
      <c r="R17">
        <v>28865</v>
      </c>
      <c r="S17">
        <v>28865</v>
      </c>
      <c r="U17">
        <v>17397</v>
      </c>
      <c r="V17">
        <v>505</v>
      </c>
      <c r="AB17">
        <v>25</v>
      </c>
      <c r="AC17">
        <v>0</v>
      </c>
      <c r="AD17">
        <v>48.433823529411768</v>
      </c>
      <c r="AE17">
        <v>10</v>
      </c>
      <c r="AF17">
        <v>8.5</v>
      </c>
      <c r="AG17">
        <v>0.98433823529411779</v>
      </c>
      <c r="AH17">
        <v>0.91933823529411773</v>
      </c>
      <c r="AI17">
        <v>0</v>
      </c>
      <c r="AK17" t="s">
        <v>3036</v>
      </c>
      <c r="AQ17">
        <v>0</v>
      </c>
    </row>
    <row r="18" spans="1:43" x14ac:dyDescent="0.2">
      <c r="A18" t="s">
        <v>3037</v>
      </c>
      <c r="B18" t="s">
        <v>3003</v>
      </c>
      <c r="C18" s="54">
        <v>46239.919736145835</v>
      </c>
      <c r="D18" s="54">
        <v>46239.588055555556</v>
      </c>
      <c r="E18" s="54">
        <v>46239.588085439813</v>
      </c>
      <c r="F18" t="s">
        <v>3004</v>
      </c>
      <c r="G18" t="s">
        <v>3037</v>
      </c>
      <c r="H18">
        <v>46205</v>
      </c>
      <c r="K18" t="s">
        <v>1079</v>
      </c>
      <c r="M18" t="s">
        <v>2917</v>
      </c>
      <c r="N18">
        <v>60</v>
      </c>
      <c r="O18">
        <v>60</v>
      </c>
      <c r="R18">
        <v>2950</v>
      </c>
      <c r="S18">
        <v>2950</v>
      </c>
      <c r="U18">
        <v>1595</v>
      </c>
      <c r="V18">
        <v>0</v>
      </c>
      <c r="AB18">
        <v>25</v>
      </c>
      <c r="AC18">
        <v>0</v>
      </c>
      <c r="AD18">
        <v>47.3</v>
      </c>
      <c r="AE18">
        <v>10</v>
      </c>
      <c r="AF18">
        <v>8.5</v>
      </c>
      <c r="AG18">
        <v>0.9730000000000002</v>
      </c>
      <c r="AH18">
        <v>0.90800000000000014</v>
      </c>
      <c r="AI18">
        <v>0</v>
      </c>
      <c r="AK18" t="s">
        <v>1003</v>
      </c>
      <c r="AQ18">
        <v>0</v>
      </c>
    </row>
    <row r="19" spans="1:43" x14ac:dyDescent="0.2">
      <c r="A19" t="s">
        <v>3038</v>
      </c>
      <c r="B19" t="s">
        <v>3003</v>
      </c>
      <c r="C19" s="54">
        <v>46239.91973854167</v>
      </c>
      <c r="D19" s="54">
        <v>46239.587488425925</v>
      </c>
      <c r="E19" s="54">
        <v>46239.587528877317</v>
      </c>
      <c r="F19" t="s">
        <v>3004</v>
      </c>
      <c r="G19" t="s">
        <v>3038</v>
      </c>
      <c r="H19">
        <v>46205</v>
      </c>
      <c r="K19" t="s">
        <v>3006</v>
      </c>
      <c r="M19" t="s">
        <v>2917</v>
      </c>
      <c r="N19">
        <v>47</v>
      </c>
      <c r="O19">
        <v>47</v>
      </c>
      <c r="R19">
        <v>21610</v>
      </c>
      <c r="S19">
        <v>21610</v>
      </c>
      <c r="U19">
        <v>12966</v>
      </c>
      <c r="V19">
        <v>403</v>
      </c>
      <c r="AB19">
        <v>25</v>
      </c>
      <c r="AC19">
        <v>0</v>
      </c>
      <c r="AD19">
        <v>49.276595744680854</v>
      </c>
      <c r="AE19">
        <v>10</v>
      </c>
      <c r="AF19">
        <v>8.5</v>
      </c>
      <c r="AG19">
        <v>0.99276595744680862</v>
      </c>
      <c r="AH19">
        <v>0.92776595744680868</v>
      </c>
      <c r="AI19">
        <v>0</v>
      </c>
      <c r="AK19" t="s">
        <v>3039</v>
      </c>
      <c r="AQ19">
        <v>6</v>
      </c>
    </row>
    <row r="20" spans="1:43" x14ac:dyDescent="0.2">
      <c r="A20" t="s">
        <v>3040</v>
      </c>
      <c r="B20" t="s">
        <v>3003</v>
      </c>
      <c r="C20" s="54">
        <v>46239.919741273145</v>
      </c>
      <c r="D20" s="54">
        <v>46239.588587962964</v>
      </c>
      <c r="E20" s="54">
        <v>46239.588621527779</v>
      </c>
      <c r="F20" t="s">
        <v>3004</v>
      </c>
      <c r="G20" t="s">
        <v>3040</v>
      </c>
      <c r="H20">
        <v>46205</v>
      </c>
      <c r="K20" t="s">
        <v>3006</v>
      </c>
      <c r="M20" t="s">
        <v>954</v>
      </c>
      <c r="N20">
        <v>52</v>
      </c>
      <c r="O20">
        <v>51</v>
      </c>
      <c r="R20">
        <v>22718</v>
      </c>
      <c r="S20">
        <v>22718</v>
      </c>
      <c r="U20">
        <v>13787</v>
      </c>
      <c r="V20">
        <v>401</v>
      </c>
      <c r="AB20">
        <v>25</v>
      </c>
      <c r="AC20">
        <v>0</v>
      </c>
      <c r="AD20">
        <v>49.588235294117645</v>
      </c>
      <c r="AE20">
        <v>10</v>
      </c>
      <c r="AF20">
        <v>8.5</v>
      </c>
      <c r="AG20">
        <v>0.99588235294117644</v>
      </c>
      <c r="AH20">
        <v>0.93088235294117649</v>
      </c>
      <c r="AI20">
        <v>0</v>
      </c>
      <c r="AK20" t="s">
        <v>1107</v>
      </c>
      <c r="AQ20">
        <v>0</v>
      </c>
    </row>
    <row r="21" spans="1:43" x14ac:dyDescent="0.2">
      <c r="A21" t="s">
        <v>3041</v>
      </c>
      <c r="B21" t="s">
        <v>3003</v>
      </c>
      <c r="C21" s="54">
        <v>46239.919743900464</v>
      </c>
      <c r="D21" s="54">
        <v>46239.607303240744</v>
      </c>
      <c r="E21" s="54">
        <v>46239.607343645832</v>
      </c>
      <c r="F21" t="s">
        <v>3004</v>
      </c>
      <c r="G21" t="s">
        <v>3041</v>
      </c>
      <c r="H21">
        <v>46223</v>
      </c>
      <c r="K21" t="s">
        <v>3006</v>
      </c>
      <c r="M21" t="s">
        <v>986</v>
      </c>
      <c r="N21">
        <v>70</v>
      </c>
      <c r="O21">
        <v>70</v>
      </c>
      <c r="R21">
        <v>33131</v>
      </c>
      <c r="S21">
        <v>33131</v>
      </c>
      <c r="U21">
        <v>19879</v>
      </c>
      <c r="V21">
        <v>569</v>
      </c>
      <c r="AB21">
        <v>25</v>
      </c>
      <c r="AC21">
        <v>0</v>
      </c>
      <c r="AD21">
        <v>45.8</v>
      </c>
      <c r="AE21">
        <v>10</v>
      </c>
      <c r="AF21">
        <v>8.5</v>
      </c>
      <c r="AG21">
        <v>0.95799999999999996</v>
      </c>
      <c r="AH21">
        <v>0.89300000000000002</v>
      </c>
      <c r="AI21">
        <v>0</v>
      </c>
      <c r="AK21" t="s">
        <v>3042</v>
      </c>
      <c r="AQ21">
        <v>9</v>
      </c>
    </row>
    <row r="22" spans="1:43" x14ac:dyDescent="0.2">
      <c r="A22" t="s">
        <v>3043</v>
      </c>
      <c r="B22" t="s">
        <v>3003</v>
      </c>
      <c r="C22" s="54">
        <v>46239.919746643522</v>
      </c>
      <c r="D22" s="54">
        <v>46239.607627314814</v>
      </c>
      <c r="E22" s="54">
        <v>46239.607661909722</v>
      </c>
      <c r="F22" t="s">
        <v>3004</v>
      </c>
      <c r="G22" t="s">
        <v>3043</v>
      </c>
      <c r="H22">
        <v>46223</v>
      </c>
      <c r="K22" t="s">
        <v>1079</v>
      </c>
      <c r="M22" t="s">
        <v>165</v>
      </c>
      <c r="N22">
        <v>70</v>
      </c>
      <c r="O22">
        <v>70</v>
      </c>
      <c r="R22">
        <v>3767</v>
      </c>
      <c r="S22">
        <v>3767</v>
      </c>
      <c r="U22">
        <v>2096</v>
      </c>
      <c r="V22">
        <v>0</v>
      </c>
      <c r="AB22">
        <v>25</v>
      </c>
      <c r="AC22">
        <v>0</v>
      </c>
      <c r="AD22">
        <v>46.192857142857143</v>
      </c>
      <c r="AE22">
        <v>10</v>
      </c>
      <c r="AF22">
        <v>8.5</v>
      </c>
      <c r="AG22">
        <v>0.96192857142857147</v>
      </c>
      <c r="AH22">
        <v>0.89692857142857152</v>
      </c>
      <c r="AI22">
        <v>0</v>
      </c>
      <c r="AK22" t="s">
        <v>3044</v>
      </c>
      <c r="AQ22">
        <v>0</v>
      </c>
    </row>
    <row r="23" spans="1:43" x14ac:dyDescent="0.2">
      <c r="A23" t="s">
        <v>3045</v>
      </c>
      <c r="B23" t="s">
        <v>3003</v>
      </c>
      <c r="C23" s="54">
        <v>46239.919749664354</v>
      </c>
      <c r="D23" s="54">
        <v>46239.608067129629</v>
      </c>
      <c r="E23" s="54">
        <v>46239.608102500002</v>
      </c>
      <c r="F23" t="s">
        <v>3004</v>
      </c>
      <c r="G23" t="s">
        <v>3045</v>
      </c>
      <c r="H23">
        <v>46224</v>
      </c>
      <c r="K23" t="s">
        <v>3046</v>
      </c>
      <c r="M23" t="s">
        <v>815</v>
      </c>
      <c r="N23">
        <v>50</v>
      </c>
      <c r="O23">
        <v>50</v>
      </c>
      <c r="R23">
        <v>26522</v>
      </c>
      <c r="S23">
        <v>26522</v>
      </c>
      <c r="U23">
        <v>16138</v>
      </c>
      <c r="V23">
        <v>330</v>
      </c>
      <c r="AB23">
        <v>25</v>
      </c>
      <c r="AC23">
        <v>0</v>
      </c>
      <c r="AD23">
        <v>43.960000000000008</v>
      </c>
      <c r="AE23">
        <v>10</v>
      </c>
      <c r="AF23">
        <v>8.5</v>
      </c>
      <c r="AG23">
        <v>0.93959999999999999</v>
      </c>
      <c r="AH23">
        <v>0.87460000000000004</v>
      </c>
      <c r="AI23">
        <v>0</v>
      </c>
      <c r="AK23" t="s">
        <v>3047</v>
      </c>
      <c r="AQ23">
        <v>0</v>
      </c>
    </row>
    <row r="24" spans="1:43" x14ac:dyDescent="0.2">
      <c r="A24" t="s">
        <v>3048</v>
      </c>
      <c r="B24" t="s">
        <v>3003</v>
      </c>
      <c r="C24" s="54">
        <v>46239.919752442132</v>
      </c>
      <c r="D24" s="54">
        <v>46239.608437499999</v>
      </c>
      <c r="E24" s="54">
        <v>46239.608459606483</v>
      </c>
      <c r="F24" t="s">
        <v>3004</v>
      </c>
      <c r="G24" t="s">
        <v>3048</v>
      </c>
      <c r="H24">
        <v>46224</v>
      </c>
      <c r="K24" t="s">
        <v>3006</v>
      </c>
      <c r="M24" t="s">
        <v>3049</v>
      </c>
      <c r="N24">
        <v>70</v>
      </c>
      <c r="O24">
        <v>70</v>
      </c>
      <c r="R24">
        <v>29315</v>
      </c>
      <c r="S24">
        <v>29315</v>
      </c>
      <c r="U24">
        <v>17619</v>
      </c>
      <c r="V24">
        <v>523</v>
      </c>
      <c r="AB24">
        <v>25</v>
      </c>
      <c r="AC24">
        <v>0</v>
      </c>
      <c r="AD24">
        <v>48.557142857142864</v>
      </c>
      <c r="AE24">
        <v>10</v>
      </c>
      <c r="AF24">
        <v>8.5</v>
      </c>
      <c r="AG24">
        <v>0.98557142857142865</v>
      </c>
      <c r="AH24">
        <v>0.9205714285714286</v>
      </c>
      <c r="AI24">
        <v>0</v>
      </c>
      <c r="AK24" t="s">
        <v>3050</v>
      </c>
      <c r="AQ24">
        <v>0</v>
      </c>
    </row>
    <row r="25" spans="1:43" x14ac:dyDescent="0.2">
      <c r="A25" t="s">
        <v>3051</v>
      </c>
      <c r="B25" t="s">
        <v>3003</v>
      </c>
      <c r="C25" s="54">
        <v>46239.919754872688</v>
      </c>
      <c r="D25" s="54">
        <v>46239.609212962961</v>
      </c>
      <c r="E25" s="54">
        <v>46239.609244108797</v>
      </c>
      <c r="F25" t="s">
        <v>3004</v>
      </c>
      <c r="G25" t="s">
        <v>3051</v>
      </c>
      <c r="H25">
        <v>46226</v>
      </c>
      <c r="K25" t="s">
        <v>3016</v>
      </c>
      <c r="M25" t="s">
        <v>165</v>
      </c>
      <c r="N25">
        <v>56</v>
      </c>
      <c r="O25">
        <v>56</v>
      </c>
      <c r="R25">
        <v>22646</v>
      </c>
      <c r="S25">
        <v>22646</v>
      </c>
      <c r="U25">
        <v>13588</v>
      </c>
      <c r="V25">
        <v>337</v>
      </c>
      <c r="AB25">
        <v>25</v>
      </c>
      <c r="AC25">
        <v>0</v>
      </c>
      <c r="AD25">
        <v>45.803571428571431</v>
      </c>
      <c r="AE25">
        <v>10</v>
      </c>
      <c r="AF25">
        <v>8.5</v>
      </c>
      <c r="AG25">
        <v>0.95803571428571421</v>
      </c>
      <c r="AH25">
        <v>0.89303571428571427</v>
      </c>
      <c r="AI25">
        <v>0</v>
      </c>
      <c r="AK25" t="s">
        <v>3052</v>
      </c>
      <c r="AQ25">
        <v>4</v>
      </c>
    </row>
    <row r="26" spans="1:43" x14ac:dyDescent="0.2">
      <c r="A26" t="s">
        <v>3053</v>
      </c>
      <c r="B26" t="s">
        <v>3003</v>
      </c>
      <c r="C26" s="54">
        <v>46239.919757002317</v>
      </c>
      <c r="D26" s="54">
        <v>46239.610081018516</v>
      </c>
      <c r="E26" s="54">
        <v>46239.610116261574</v>
      </c>
      <c r="F26" t="s">
        <v>3004</v>
      </c>
      <c r="G26" t="s">
        <v>3053</v>
      </c>
      <c r="H26">
        <v>46226</v>
      </c>
      <c r="K26" t="s">
        <v>1079</v>
      </c>
      <c r="M26" t="s">
        <v>165</v>
      </c>
      <c r="N26">
        <v>84</v>
      </c>
      <c r="O26">
        <v>84</v>
      </c>
      <c r="R26">
        <v>4222</v>
      </c>
      <c r="S26">
        <v>4222</v>
      </c>
      <c r="U26">
        <v>2320</v>
      </c>
      <c r="V26">
        <v>0</v>
      </c>
      <c r="AB26">
        <v>25</v>
      </c>
      <c r="AC26">
        <v>0</v>
      </c>
      <c r="AD26">
        <v>46.988095238095241</v>
      </c>
      <c r="AE26">
        <v>10</v>
      </c>
      <c r="AF26">
        <v>8.5</v>
      </c>
      <c r="AG26">
        <v>0.9698809523809524</v>
      </c>
      <c r="AH26">
        <v>0.90488095238095245</v>
      </c>
      <c r="AI26">
        <v>0</v>
      </c>
      <c r="AK26" t="s">
        <v>1095</v>
      </c>
      <c r="AQ26">
        <v>0</v>
      </c>
    </row>
    <row r="27" spans="1:43" x14ac:dyDescent="0.2">
      <c r="A27" t="s">
        <v>3054</v>
      </c>
      <c r="B27" t="s">
        <v>3003</v>
      </c>
      <c r="C27" s="54">
        <v>46239.91975976852</v>
      </c>
      <c r="D27" s="54">
        <v>46239.6096875</v>
      </c>
      <c r="E27" s="54">
        <v>46239.609715949075</v>
      </c>
      <c r="F27" t="s">
        <v>3004</v>
      </c>
      <c r="G27" t="s">
        <v>3054</v>
      </c>
      <c r="H27">
        <v>46226</v>
      </c>
      <c r="K27" t="s">
        <v>3016</v>
      </c>
      <c r="M27" t="s">
        <v>746</v>
      </c>
      <c r="N27">
        <v>46</v>
      </c>
      <c r="O27">
        <v>46</v>
      </c>
      <c r="R27">
        <v>20540</v>
      </c>
      <c r="S27">
        <v>20540</v>
      </c>
      <c r="U27">
        <v>12325</v>
      </c>
      <c r="V27">
        <v>426</v>
      </c>
      <c r="AB27">
        <v>25</v>
      </c>
      <c r="AC27">
        <v>0</v>
      </c>
      <c r="AD27">
        <v>47.130434782608688</v>
      </c>
      <c r="AE27">
        <v>10</v>
      </c>
      <c r="AF27">
        <v>8.5</v>
      </c>
      <c r="AG27">
        <v>0.97130434782608688</v>
      </c>
      <c r="AH27">
        <v>0.90630434782608693</v>
      </c>
      <c r="AI27">
        <v>0</v>
      </c>
      <c r="AK27" t="s">
        <v>3055</v>
      </c>
      <c r="AQ27">
        <v>7</v>
      </c>
    </row>
    <row r="28" spans="1:43" x14ac:dyDescent="0.2">
      <c r="A28" t="s">
        <v>3056</v>
      </c>
      <c r="B28" t="s">
        <v>3003</v>
      </c>
      <c r="C28" s="54">
        <v>46239.919762152778</v>
      </c>
      <c r="D28" s="54">
        <v>46239.610520833332</v>
      </c>
      <c r="E28" s="54">
        <v>46239.610553680555</v>
      </c>
      <c r="F28" t="s">
        <v>3004</v>
      </c>
      <c r="G28" t="s">
        <v>3056</v>
      </c>
      <c r="H28">
        <v>46226</v>
      </c>
      <c r="K28" t="s">
        <v>3031</v>
      </c>
      <c r="M28" t="s">
        <v>1161</v>
      </c>
      <c r="N28">
        <v>37</v>
      </c>
      <c r="O28">
        <v>37</v>
      </c>
      <c r="R28">
        <v>885</v>
      </c>
      <c r="S28">
        <v>885</v>
      </c>
      <c r="U28">
        <v>450</v>
      </c>
      <c r="V28">
        <v>0</v>
      </c>
      <c r="AB28">
        <v>25</v>
      </c>
      <c r="AC28">
        <v>0</v>
      </c>
      <c r="AD28">
        <v>48.945945945945944</v>
      </c>
      <c r="AE28">
        <v>10</v>
      </c>
      <c r="AF28">
        <v>8.5</v>
      </c>
      <c r="AG28">
        <v>0.98945945945945957</v>
      </c>
      <c r="AH28">
        <v>0.9244594594594594</v>
      </c>
      <c r="AI28">
        <v>0</v>
      </c>
      <c r="AK28" t="s">
        <v>2920</v>
      </c>
      <c r="AQ28">
        <v>0</v>
      </c>
    </row>
    <row r="29" spans="1:43" x14ac:dyDescent="0.2">
      <c r="A29" t="s">
        <v>3057</v>
      </c>
      <c r="B29" t="s">
        <v>3003</v>
      </c>
      <c r="C29" s="54">
        <v>46239.919764652775</v>
      </c>
      <c r="D29" s="54">
        <v>46239.611631944441</v>
      </c>
      <c r="E29" s="54">
        <v>46239.611640914351</v>
      </c>
      <c r="F29" t="s">
        <v>3004</v>
      </c>
      <c r="G29" t="s">
        <v>3057</v>
      </c>
      <c r="H29">
        <v>46228</v>
      </c>
      <c r="K29" t="s">
        <v>1079</v>
      </c>
      <c r="M29" t="s">
        <v>165</v>
      </c>
      <c r="N29">
        <v>54</v>
      </c>
      <c r="O29">
        <v>54</v>
      </c>
      <c r="R29">
        <v>2560</v>
      </c>
      <c r="S29">
        <v>2560</v>
      </c>
      <c r="U29">
        <v>1351</v>
      </c>
      <c r="V29">
        <v>0</v>
      </c>
      <c r="AB29">
        <v>25</v>
      </c>
      <c r="AC29">
        <v>0</v>
      </c>
      <c r="AD29">
        <v>46.50925925925926</v>
      </c>
      <c r="AE29">
        <v>10</v>
      </c>
      <c r="AF29">
        <v>8.5</v>
      </c>
      <c r="AG29">
        <v>0.96509259259259261</v>
      </c>
      <c r="AH29">
        <v>0.90009259259259267</v>
      </c>
      <c r="AI29">
        <v>0</v>
      </c>
      <c r="AK29" t="s">
        <v>3058</v>
      </c>
      <c r="AQ29">
        <v>0</v>
      </c>
    </row>
    <row r="30" spans="1:43" x14ac:dyDescent="0.2">
      <c r="A30" t="s">
        <v>3059</v>
      </c>
      <c r="B30" t="s">
        <v>3003</v>
      </c>
      <c r="C30" s="54">
        <v>46239.919767106483</v>
      </c>
      <c r="D30" s="54">
        <v>46239.611400462964</v>
      </c>
      <c r="E30" s="54">
        <v>46239.611398958332</v>
      </c>
      <c r="F30" t="s">
        <v>3004</v>
      </c>
      <c r="G30" t="s">
        <v>3059</v>
      </c>
      <c r="H30">
        <v>46228</v>
      </c>
      <c r="K30" t="s">
        <v>3006</v>
      </c>
      <c r="M30" t="s">
        <v>165</v>
      </c>
      <c r="N30">
        <v>62</v>
      </c>
      <c r="O30">
        <v>62</v>
      </c>
      <c r="R30">
        <v>27138</v>
      </c>
      <c r="S30">
        <v>27138</v>
      </c>
      <c r="U30">
        <v>16283</v>
      </c>
      <c r="V30">
        <v>382</v>
      </c>
      <c r="AB30">
        <v>25</v>
      </c>
      <c r="AC30">
        <v>0</v>
      </c>
      <c r="AD30">
        <v>48.088709677419352</v>
      </c>
      <c r="AE30">
        <v>10</v>
      </c>
      <c r="AF30">
        <v>8.5</v>
      </c>
      <c r="AG30">
        <v>0.98088709677419361</v>
      </c>
      <c r="AH30">
        <v>0.91588709677419355</v>
      </c>
      <c r="AI30">
        <v>0</v>
      </c>
      <c r="AK30" t="s">
        <v>3060</v>
      </c>
      <c r="AQ30">
        <v>7</v>
      </c>
    </row>
    <row r="31" spans="1:43" x14ac:dyDescent="0.2">
      <c r="A31" t="s">
        <v>3061</v>
      </c>
      <c r="B31" t="s">
        <v>3003</v>
      </c>
      <c r="C31" s="54">
        <v>46239.91976971065</v>
      </c>
      <c r="D31" s="54">
        <v>46239.611990740741</v>
      </c>
      <c r="E31" s="54">
        <v>46239.612020520835</v>
      </c>
      <c r="F31" t="s">
        <v>3004</v>
      </c>
      <c r="G31" t="s">
        <v>3061</v>
      </c>
      <c r="H31">
        <v>46229</v>
      </c>
      <c r="K31" t="s">
        <v>3062</v>
      </c>
      <c r="M31" t="s">
        <v>815</v>
      </c>
      <c r="N31">
        <v>70</v>
      </c>
      <c r="O31">
        <v>70</v>
      </c>
      <c r="R31">
        <v>37688</v>
      </c>
      <c r="S31">
        <v>37688</v>
      </c>
      <c r="U31">
        <v>23410</v>
      </c>
      <c r="V31">
        <v>433</v>
      </c>
      <c r="AB31">
        <v>24.928571428571431</v>
      </c>
      <c r="AC31">
        <v>0</v>
      </c>
      <c r="AD31">
        <v>44.957142857142863</v>
      </c>
      <c r="AE31">
        <v>10</v>
      </c>
      <c r="AF31">
        <v>8.5</v>
      </c>
      <c r="AG31">
        <v>0.94814285714285707</v>
      </c>
      <c r="AH31">
        <v>0.88385714285714301</v>
      </c>
      <c r="AI31">
        <v>0</v>
      </c>
      <c r="AK31" t="s">
        <v>3063</v>
      </c>
      <c r="AQ31">
        <v>15</v>
      </c>
    </row>
    <row r="32" spans="1:43" x14ac:dyDescent="0.2">
      <c r="A32" t="s">
        <v>3064</v>
      </c>
      <c r="B32" t="s">
        <v>3003</v>
      </c>
      <c r="C32" s="54">
        <v>46239.919772581015</v>
      </c>
      <c r="D32" s="54">
        <v>46239.648506944446</v>
      </c>
      <c r="E32" s="54">
        <v>46239.648542199073</v>
      </c>
      <c r="F32" t="s">
        <v>3004</v>
      </c>
      <c r="G32" t="s">
        <v>3064</v>
      </c>
      <c r="H32">
        <v>46230</v>
      </c>
      <c r="K32" t="s">
        <v>1079</v>
      </c>
      <c r="M32" t="s">
        <v>772</v>
      </c>
      <c r="N32">
        <v>50</v>
      </c>
      <c r="O32">
        <v>50</v>
      </c>
      <c r="R32">
        <v>2297</v>
      </c>
      <c r="S32">
        <v>2297</v>
      </c>
      <c r="U32">
        <v>1213</v>
      </c>
      <c r="V32">
        <v>0</v>
      </c>
      <c r="AB32">
        <v>25</v>
      </c>
      <c r="AC32">
        <v>0</v>
      </c>
      <c r="AD32">
        <v>46.98</v>
      </c>
      <c r="AE32">
        <v>10</v>
      </c>
      <c r="AF32">
        <v>8.5</v>
      </c>
      <c r="AG32">
        <v>0.9698</v>
      </c>
      <c r="AH32">
        <v>0.90480000000000005</v>
      </c>
      <c r="AI32">
        <v>0</v>
      </c>
      <c r="AK32" t="s">
        <v>3065</v>
      </c>
      <c r="AQ32">
        <v>0</v>
      </c>
    </row>
    <row r="33" spans="1:43" x14ac:dyDescent="0.2">
      <c r="A33" t="s">
        <v>3066</v>
      </c>
      <c r="B33" t="s">
        <v>3003</v>
      </c>
      <c r="C33" s="54">
        <v>46239.919775023147</v>
      </c>
      <c r="D33" s="54">
        <v>46239.648287037038</v>
      </c>
      <c r="E33" s="54">
        <v>46239.648317928244</v>
      </c>
      <c r="F33" t="s">
        <v>3004</v>
      </c>
      <c r="G33" t="s">
        <v>3066</v>
      </c>
      <c r="H33">
        <v>46230</v>
      </c>
      <c r="K33" t="s">
        <v>3006</v>
      </c>
      <c r="M33" t="s">
        <v>959</v>
      </c>
      <c r="N33">
        <v>64</v>
      </c>
      <c r="O33">
        <v>64</v>
      </c>
      <c r="R33">
        <v>26666</v>
      </c>
      <c r="S33">
        <v>26666</v>
      </c>
      <c r="U33">
        <v>16041</v>
      </c>
      <c r="V33">
        <v>424</v>
      </c>
      <c r="AB33">
        <v>25</v>
      </c>
      <c r="AC33">
        <v>0</v>
      </c>
      <c r="AD33">
        <v>48.109375</v>
      </c>
      <c r="AE33">
        <v>10</v>
      </c>
      <c r="AF33">
        <v>8.5</v>
      </c>
      <c r="AG33">
        <v>0.98109374999999999</v>
      </c>
      <c r="AH33">
        <v>0.91609375000000004</v>
      </c>
      <c r="AI33">
        <v>0</v>
      </c>
      <c r="AK33" t="s">
        <v>3067</v>
      </c>
      <c r="AQ33">
        <v>0</v>
      </c>
    </row>
    <row r="34" spans="1:43" x14ac:dyDescent="0.2">
      <c r="A34" t="s">
        <v>3068</v>
      </c>
      <c r="B34" t="s">
        <v>3003</v>
      </c>
      <c r="C34" s="54">
        <v>46239.919777766205</v>
      </c>
      <c r="D34" s="54">
        <v>46239.648900462962</v>
      </c>
      <c r="E34" s="54">
        <v>46239.648931377313</v>
      </c>
      <c r="F34" t="s">
        <v>3004</v>
      </c>
      <c r="G34" t="s">
        <v>3068</v>
      </c>
      <c r="H34">
        <v>46231</v>
      </c>
      <c r="K34" t="s">
        <v>3016</v>
      </c>
      <c r="M34" t="s">
        <v>2917</v>
      </c>
      <c r="N34">
        <v>64</v>
      </c>
      <c r="O34">
        <v>64</v>
      </c>
      <c r="R34">
        <v>32522</v>
      </c>
      <c r="S34">
        <v>32522</v>
      </c>
      <c r="U34">
        <v>19514</v>
      </c>
      <c r="V34">
        <v>642</v>
      </c>
      <c r="AB34">
        <v>23.4375</v>
      </c>
      <c r="AC34">
        <v>0</v>
      </c>
      <c r="AD34">
        <v>48.0625</v>
      </c>
      <c r="AE34">
        <v>10</v>
      </c>
      <c r="AF34">
        <v>8.5</v>
      </c>
      <c r="AG34">
        <v>0.94937499999999997</v>
      </c>
      <c r="AH34">
        <v>0.9</v>
      </c>
      <c r="AI34">
        <v>0</v>
      </c>
      <c r="AK34" t="s">
        <v>3069</v>
      </c>
      <c r="AQ34">
        <v>24</v>
      </c>
    </row>
    <row r="35" spans="1:43" x14ac:dyDescent="0.2">
      <c r="A35" t="s">
        <v>3070</v>
      </c>
      <c r="B35" t="s">
        <v>3003</v>
      </c>
      <c r="C35" s="54">
        <v>46239.919780856479</v>
      </c>
      <c r="D35" s="54">
        <v>46239.66642361111</v>
      </c>
      <c r="E35" s="54">
        <v>46239.666446840274</v>
      </c>
      <c r="F35" t="s">
        <v>3004</v>
      </c>
      <c r="G35" t="s">
        <v>3070</v>
      </c>
      <c r="H35">
        <v>46232</v>
      </c>
      <c r="K35" t="s">
        <v>3016</v>
      </c>
      <c r="M35" t="s">
        <v>986</v>
      </c>
      <c r="N35">
        <v>64</v>
      </c>
      <c r="O35">
        <v>60</v>
      </c>
      <c r="R35">
        <v>26271</v>
      </c>
      <c r="S35">
        <v>26271</v>
      </c>
      <c r="U35">
        <v>15787</v>
      </c>
      <c r="V35">
        <v>467</v>
      </c>
      <c r="AB35">
        <v>23.083333333333336</v>
      </c>
      <c r="AC35">
        <v>0</v>
      </c>
      <c r="AD35">
        <v>46.29999999999999</v>
      </c>
      <c r="AE35">
        <v>10</v>
      </c>
      <c r="AF35">
        <v>8.5</v>
      </c>
      <c r="AG35">
        <v>0.92466666666666653</v>
      </c>
      <c r="AH35">
        <v>0.87883333333333324</v>
      </c>
      <c r="AI35">
        <v>0</v>
      </c>
      <c r="AK35" t="s">
        <v>3071</v>
      </c>
      <c r="AQ35">
        <v>23</v>
      </c>
    </row>
    <row r="36" spans="1:43" x14ac:dyDescent="0.2">
      <c r="A36" t="s">
        <v>3072</v>
      </c>
      <c r="B36" t="s">
        <v>3003</v>
      </c>
      <c r="C36" s="54">
        <v>46239.919783472222</v>
      </c>
      <c r="D36" s="54">
        <v>46239.66673611111</v>
      </c>
      <c r="E36" s="54">
        <v>46239.666769502313</v>
      </c>
      <c r="F36" t="s">
        <v>3004</v>
      </c>
      <c r="G36" t="s">
        <v>3072</v>
      </c>
      <c r="H36">
        <v>46232</v>
      </c>
      <c r="K36" t="s">
        <v>1079</v>
      </c>
      <c r="M36" t="s">
        <v>165</v>
      </c>
      <c r="N36">
        <v>56</v>
      </c>
      <c r="O36">
        <v>56</v>
      </c>
      <c r="R36">
        <v>2966</v>
      </c>
      <c r="S36">
        <v>2966</v>
      </c>
      <c r="U36">
        <v>1657</v>
      </c>
      <c r="V36">
        <v>0</v>
      </c>
      <c r="AB36">
        <v>25</v>
      </c>
      <c r="AC36">
        <v>0</v>
      </c>
      <c r="AD36">
        <v>45.142857142857139</v>
      </c>
      <c r="AE36">
        <v>10</v>
      </c>
      <c r="AF36">
        <v>8.5</v>
      </c>
      <c r="AG36">
        <v>0.9514285714285714</v>
      </c>
      <c r="AH36">
        <v>0.88642857142857134</v>
      </c>
      <c r="AI36">
        <v>0</v>
      </c>
      <c r="AK36" t="s">
        <v>3073</v>
      </c>
      <c r="AQ36">
        <v>0</v>
      </c>
    </row>
    <row r="37" spans="1:43" x14ac:dyDescent="0.2">
      <c r="A37" t="s">
        <v>3074</v>
      </c>
      <c r="B37" t="s">
        <v>3003</v>
      </c>
      <c r="C37" s="54">
        <v>46239.91978585648</v>
      </c>
      <c r="D37" s="54">
        <v>46239.667025462964</v>
      </c>
      <c r="E37" s="54">
        <v>46239.667045740738</v>
      </c>
      <c r="F37" t="s">
        <v>3004</v>
      </c>
      <c r="G37" t="s">
        <v>3074</v>
      </c>
      <c r="H37">
        <v>46232</v>
      </c>
      <c r="K37" t="s">
        <v>3031</v>
      </c>
      <c r="M37" t="s">
        <v>1161</v>
      </c>
      <c r="N37">
        <v>35</v>
      </c>
      <c r="O37">
        <v>35</v>
      </c>
      <c r="R37">
        <v>810</v>
      </c>
      <c r="S37">
        <v>810</v>
      </c>
      <c r="U37">
        <v>435</v>
      </c>
      <c r="V37">
        <v>0</v>
      </c>
      <c r="AB37">
        <v>25</v>
      </c>
      <c r="AC37">
        <v>0</v>
      </c>
      <c r="AD37">
        <v>49.657142857142858</v>
      </c>
      <c r="AE37">
        <v>10</v>
      </c>
      <c r="AF37">
        <v>8.5</v>
      </c>
      <c r="AG37">
        <v>0.99657142857142866</v>
      </c>
      <c r="AH37">
        <v>0.93157142857142861</v>
      </c>
      <c r="AI37">
        <v>0</v>
      </c>
      <c r="AK37" t="s">
        <v>987</v>
      </c>
      <c r="AQ37">
        <v>0</v>
      </c>
    </row>
    <row r="38" spans="1:43" x14ac:dyDescent="0.2">
      <c r="A38" t="s">
        <v>3075</v>
      </c>
      <c r="B38" t="s">
        <v>3003</v>
      </c>
      <c r="C38" s="54">
        <v>46239.919788321757</v>
      </c>
      <c r="D38" s="54">
        <v>46239.66851851852</v>
      </c>
      <c r="E38" s="54">
        <v>46239.668549166665</v>
      </c>
      <c r="F38" t="s">
        <v>3004</v>
      </c>
      <c r="G38" t="s">
        <v>3075</v>
      </c>
      <c r="H38">
        <v>46233</v>
      </c>
      <c r="K38" t="s">
        <v>294</v>
      </c>
      <c r="M38" t="s">
        <v>2917</v>
      </c>
      <c r="N38">
        <v>70</v>
      </c>
      <c r="O38">
        <v>70</v>
      </c>
      <c r="R38">
        <v>4005</v>
      </c>
      <c r="S38">
        <v>4005</v>
      </c>
      <c r="U38">
        <v>2260</v>
      </c>
      <c r="V38">
        <v>0</v>
      </c>
      <c r="AB38">
        <v>25</v>
      </c>
      <c r="AC38">
        <v>0</v>
      </c>
      <c r="AD38">
        <v>45</v>
      </c>
      <c r="AE38">
        <v>10</v>
      </c>
      <c r="AF38">
        <v>8.5</v>
      </c>
      <c r="AG38">
        <v>0.95</v>
      </c>
      <c r="AH38">
        <v>0.88500000000000001</v>
      </c>
      <c r="AI38">
        <v>0</v>
      </c>
      <c r="AK38" t="s">
        <v>987</v>
      </c>
      <c r="AQ38">
        <v>0</v>
      </c>
    </row>
    <row r="39" spans="1:43" x14ac:dyDescent="0.2">
      <c r="A39" t="s">
        <v>3076</v>
      </c>
      <c r="B39" t="s">
        <v>3003</v>
      </c>
      <c r="C39" s="54">
        <v>46239.919790798609</v>
      </c>
      <c r="D39" s="54">
        <v>46239.668287037035</v>
      </c>
      <c r="E39" s="54">
        <v>46239.668325671293</v>
      </c>
      <c r="F39" t="s">
        <v>3004</v>
      </c>
      <c r="G39" t="s">
        <v>3076</v>
      </c>
      <c r="H39">
        <v>46233</v>
      </c>
      <c r="K39" t="s">
        <v>3016</v>
      </c>
      <c r="M39" t="s">
        <v>3077</v>
      </c>
      <c r="N39">
        <v>18</v>
      </c>
      <c r="O39">
        <v>18</v>
      </c>
      <c r="R39">
        <v>8077</v>
      </c>
      <c r="S39">
        <v>8077</v>
      </c>
      <c r="U39">
        <v>4864</v>
      </c>
      <c r="V39">
        <v>103</v>
      </c>
      <c r="AB39">
        <v>24.166666666666668</v>
      </c>
      <c r="AC39">
        <v>0</v>
      </c>
      <c r="AD39">
        <v>46.666666666666664</v>
      </c>
      <c r="AE39">
        <v>10</v>
      </c>
      <c r="AF39">
        <v>8.5</v>
      </c>
      <c r="AG39">
        <v>0.95</v>
      </c>
      <c r="AH39">
        <v>0.89333333333333331</v>
      </c>
      <c r="AI39">
        <v>0</v>
      </c>
      <c r="AK39" t="s">
        <v>3078</v>
      </c>
      <c r="AQ39">
        <v>3</v>
      </c>
    </row>
    <row r="40" spans="1:43" x14ac:dyDescent="0.2">
      <c r="A40" t="s">
        <v>3079</v>
      </c>
      <c r="B40" t="s">
        <v>3003</v>
      </c>
      <c r="C40" s="54">
        <v>46239.919793356479</v>
      </c>
      <c r="D40" s="54">
        <v>46239.667974537035</v>
      </c>
      <c r="E40" s="54">
        <v>46239.668010451387</v>
      </c>
      <c r="F40" t="s">
        <v>3004</v>
      </c>
      <c r="G40" t="s">
        <v>3079</v>
      </c>
      <c r="H40">
        <v>46233</v>
      </c>
      <c r="K40" t="s">
        <v>3016</v>
      </c>
      <c r="M40" t="s">
        <v>3080</v>
      </c>
      <c r="N40">
        <v>87</v>
      </c>
      <c r="O40">
        <v>87</v>
      </c>
      <c r="R40">
        <v>44255</v>
      </c>
      <c r="S40">
        <v>44255</v>
      </c>
      <c r="U40">
        <v>27607</v>
      </c>
      <c r="V40">
        <v>705</v>
      </c>
      <c r="AB40">
        <v>24.080459770114945</v>
      </c>
      <c r="AC40">
        <v>0</v>
      </c>
      <c r="AD40">
        <v>47.258620689655167</v>
      </c>
      <c r="AE40">
        <v>10</v>
      </c>
      <c r="AF40">
        <v>8.5</v>
      </c>
      <c r="AG40">
        <v>0.95419540229885058</v>
      </c>
      <c r="AH40">
        <v>0.89839080459770115</v>
      </c>
      <c r="AI40">
        <v>0</v>
      </c>
      <c r="AK40" t="s">
        <v>3081</v>
      </c>
      <c r="AQ40">
        <v>43</v>
      </c>
    </row>
    <row r="41" spans="1:43" x14ac:dyDescent="0.2">
      <c r="A41" t="s">
        <v>3082</v>
      </c>
      <c r="B41" t="s">
        <v>3003</v>
      </c>
      <c r="C41" s="54">
        <v>46239.919796180555</v>
      </c>
      <c r="D41" s="54">
        <v>46239.590011574073</v>
      </c>
      <c r="E41" s="54">
        <v>46239.590108668985</v>
      </c>
      <c r="F41" t="s">
        <v>3004</v>
      </c>
      <c r="G41" t="s">
        <v>3082</v>
      </c>
      <c r="H41">
        <v>46207</v>
      </c>
      <c r="K41" t="s">
        <v>1079</v>
      </c>
      <c r="M41" t="s">
        <v>165</v>
      </c>
      <c r="N41">
        <v>40</v>
      </c>
      <c r="O41">
        <v>40</v>
      </c>
      <c r="R41">
        <v>1995</v>
      </c>
      <c r="S41">
        <v>1995</v>
      </c>
      <c r="U41">
        <v>1028</v>
      </c>
      <c r="V41">
        <v>0</v>
      </c>
      <c r="AB41">
        <v>25</v>
      </c>
      <c r="AC41">
        <v>0</v>
      </c>
      <c r="AD41">
        <v>47.2</v>
      </c>
      <c r="AE41">
        <v>10</v>
      </c>
      <c r="AF41">
        <v>8.5</v>
      </c>
      <c r="AG41">
        <v>0.97199999999999998</v>
      </c>
      <c r="AH41">
        <v>0.90700000000000003</v>
      </c>
      <c r="AI41">
        <v>0</v>
      </c>
      <c r="AK41" t="s">
        <v>987</v>
      </c>
      <c r="AQ41">
        <v>0</v>
      </c>
    </row>
    <row r="42" spans="1:43" x14ac:dyDescent="0.2">
      <c r="A42" t="s">
        <v>3083</v>
      </c>
      <c r="B42" t="s">
        <v>3003</v>
      </c>
      <c r="C42" s="54">
        <v>46239.919799178242</v>
      </c>
      <c r="D42" s="54">
        <v>46239.589305555557</v>
      </c>
      <c r="E42" s="54">
        <v>46239.589381574071</v>
      </c>
      <c r="F42" t="s">
        <v>3004</v>
      </c>
      <c r="G42" t="s">
        <v>3083</v>
      </c>
      <c r="H42">
        <v>46207</v>
      </c>
      <c r="K42" t="s">
        <v>3006</v>
      </c>
      <c r="M42" t="s">
        <v>165</v>
      </c>
      <c r="N42">
        <v>60</v>
      </c>
      <c r="O42">
        <v>59</v>
      </c>
      <c r="R42">
        <v>24572</v>
      </c>
      <c r="S42">
        <v>24572</v>
      </c>
      <c r="U42">
        <v>14965</v>
      </c>
      <c r="V42">
        <v>304</v>
      </c>
      <c r="AB42">
        <v>24.915254237288135</v>
      </c>
      <c r="AC42">
        <v>0</v>
      </c>
      <c r="AD42">
        <v>47.983050847457626</v>
      </c>
      <c r="AE42">
        <v>10</v>
      </c>
      <c r="AF42">
        <v>8.5</v>
      </c>
      <c r="AG42">
        <v>0.97813559322033883</v>
      </c>
      <c r="AH42">
        <v>0.91398305084745757</v>
      </c>
      <c r="AI42">
        <v>0</v>
      </c>
      <c r="AK42" t="s">
        <v>3084</v>
      </c>
      <c r="AQ42">
        <v>10</v>
      </c>
    </row>
    <row r="43" spans="1:43" x14ac:dyDescent="0.2">
      <c r="A43" t="s">
        <v>3085</v>
      </c>
      <c r="B43" t="s">
        <v>3003</v>
      </c>
      <c r="C43" s="54">
        <v>46239.918752939811</v>
      </c>
      <c r="D43" s="54">
        <v>46239.590312499997</v>
      </c>
      <c r="E43" s="54">
        <v>46239.590334363427</v>
      </c>
      <c r="F43" t="s">
        <v>3004</v>
      </c>
      <c r="G43" t="s">
        <v>3085</v>
      </c>
      <c r="H43">
        <v>46207</v>
      </c>
      <c r="K43" t="s">
        <v>3031</v>
      </c>
      <c r="M43" t="s">
        <v>1161</v>
      </c>
      <c r="N43">
        <v>27</v>
      </c>
      <c r="O43">
        <v>27</v>
      </c>
      <c r="R43">
        <v>650</v>
      </c>
      <c r="S43">
        <v>650</v>
      </c>
      <c r="U43">
        <v>360</v>
      </c>
      <c r="V43">
        <v>0</v>
      </c>
      <c r="AB43">
        <v>25</v>
      </c>
      <c r="AC43">
        <v>0</v>
      </c>
      <c r="AD43">
        <v>48.518518518518519</v>
      </c>
      <c r="AE43">
        <v>10</v>
      </c>
      <c r="AF43">
        <v>8.5</v>
      </c>
      <c r="AG43">
        <v>0.98518518518518516</v>
      </c>
      <c r="AH43">
        <v>0.92018518518518533</v>
      </c>
      <c r="AI43">
        <v>0</v>
      </c>
      <c r="AK43" t="s">
        <v>769</v>
      </c>
      <c r="AQ43">
        <v>0</v>
      </c>
    </row>
    <row r="44" spans="1:43" x14ac:dyDescent="0.2">
      <c r="A44" t="s">
        <v>3086</v>
      </c>
      <c r="B44" t="s">
        <v>3003</v>
      </c>
      <c r="C44" s="54">
        <v>46239.919802581018</v>
      </c>
      <c r="D44" s="54">
        <v>46239.590636574074</v>
      </c>
      <c r="E44" s="54">
        <v>46239.59066277778</v>
      </c>
      <c r="F44" t="s">
        <v>3004</v>
      </c>
      <c r="G44" t="s">
        <v>3086</v>
      </c>
      <c r="H44">
        <v>46208</v>
      </c>
      <c r="K44" t="s">
        <v>3087</v>
      </c>
      <c r="M44" t="s">
        <v>815</v>
      </c>
      <c r="N44">
        <v>65</v>
      </c>
      <c r="O44">
        <v>64</v>
      </c>
      <c r="R44">
        <v>32555</v>
      </c>
      <c r="S44">
        <v>32555</v>
      </c>
      <c r="U44">
        <v>20319</v>
      </c>
      <c r="V44">
        <v>329</v>
      </c>
      <c r="AB44">
        <v>22.5</v>
      </c>
      <c r="AC44">
        <v>0</v>
      </c>
      <c r="AD44">
        <v>46.1484375</v>
      </c>
      <c r="AE44">
        <v>10</v>
      </c>
      <c r="AF44">
        <v>8.5</v>
      </c>
      <c r="AG44">
        <v>0.91148437500000001</v>
      </c>
      <c r="AH44">
        <v>0.87148437499999998</v>
      </c>
      <c r="AI44">
        <v>0</v>
      </c>
      <c r="AK44" t="s">
        <v>3088</v>
      </c>
      <c r="AQ44">
        <v>46</v>
      </c>
    </row>
    <row r="45" spans="1:43" x14ac:dyDescent="0.2">
      <c r="A45" t="s">
        <v>3089</v>
      </c>
      <c r="B45" t="s">
        <v>3003</v>
      </c>
      <c r="C45" s="54">
        <v>46239.919805300924</v>
      </c>
      <c r="D45" s="54">
        <v>46239.592291666668</v>
      </c>
      <c r="E45" s="54">
        <v>46239.592328854167</v>
      </c>
      <c r="F45" t="s">
        <v>3004</v>
      </c>
      <c r="G45" t="s">
        <v>3089</v>
      </c>
      <c r="H45">
        <v>46209</v>
      </c>
      <c r="K45" t="s">
        <v>3016</v>
      </c>
      <c r="M45" t="s">
        <v>2935</v>
      </c>
      <c r="N45">
        <v>62</v>
      </c>
      <c r="O45">
        <v>61</v>
      </c>
      <c r="R45">
        <v>24002</v>
      </c>
      <c r="S45">
        <v>24002</v>
      </c>
      <c r="U45">
        <v>13943</v>
      </c>
      <c r="V45">
        <v>0</v>
      </c>
      <c r="AB45">
        <v>25</v>
      </c>
      <c r="AC45">
        <v>0</v>
      </c>
      <c r="AD45">
        <v>44.737704918032783</v>
      </c>
      <c r="AE45">
        <v>10</v>
      </c>
      <c r="AF45">
        <v>8.5</v>
      </c>
      <c r="AG45">
        <v>0.94737704918032783</v>
      </c>
      <c r="AH45">
        <v>0.88237704918032789</v>
      </c>
      <c r="AI45">
        <v>0</v>
      </c>
      <c r="AK45" t="s">
        <v>3090</v>
      </c>
      <c r="AQ45">
        <v>6</v>
      </c>
    </row>
    <row r="46" spans="1:43" x14ac:dyDescent="0.2">
      <c r="A46" t="s">
        <v>3091</v>
      </c>
      <c r="B46" t="s">
        <v>3003</v>
      </c>
      <c r="C46" s="54">
        <v>46239.919808449071</v>
      </c>
      <c r="D46" s="54">
        <v>46239.597812499997</v>
      </c>
      <c r="E46" s="54">
        <v>46239.597858020832</v>
      </c>
      <c r="F46" t="s">
        <v>3004</v>
      </c>
      <c r="G46" t="s">
        <v>3091</v>
      </c>
      <c r="H46">
        <v>46209</v>
      </c>
      <c r="K46" t="s">
        <v>1079</v>
      </c>
      <c r="M46" t="s">
        <v>772</v>
      </c>
      <c r="N46">
        <v>35</v>
      </c>
      <c r="O46">
        <v>33</v>
      </c>
      <c r="R46">
        <v>1555</v>
      </c>
      <c r="S46">
        <v>1555</v>
      </c>
      <c r="U46">
        <v>848</v>
      </c>
      <c r="V46">
        <v>0</v>
      </c>
      <c r="AB46">
        <v>25</v>
      </c>
      <c r="AC46">
        <v>0</v>
      </c>
      <c r="AD46">
        <v>47.121212121212118</v>
      </c>
      <c r="AE46">
        <v>10</v>
      </c>
      <c r="AF46">
        <v>8.5</v>
      </c>
      <c r="AG46">
        <v>0.97121212121212108</v>
      </c>
      <c r="AH46">
        <v>0.90621212121212125</v>
      </c>
      <c r="AI46">
        <v>0</v>
      </c>
      <c r="AK46" t="s">
        <v>789</v>
      </c>
      <c r="AQ46">
        <v>0</v>
      </c>
    </row>
    <row r="47" spans="1:43" x14ac:dyDescent="0.2">
      <c r="A47" t="s">
        <v>3092</v>
      </c>
      <c r="B47" t="s">
        <v>3003</v>
      </c>
      <c r="C47" s="54">
        <v>46239.91981107639</v>
      </c>
      <c r="D47" s="54">
        <v>46239.593472222223</v>
      </c>
      <c r="E47" s="54">
        <v>46239.593513194442</v>
      </c>
      <c r="F47" t="s">
        <v>3004</v>
      </c>
      <c r="G47" t="s">
        <v>3092</v>
      </c>
      <c r="H47">
        <v>46209</v>
      </c>
      <c r="K47" t="s">
        <v>3016</v>
      </c>
      <c r="M47" t="s">
        <v>954</v>
      </c>
      <c r="N47">
        <v>60</v>
      </c>
      <c r="O47">
        <v>60</v>
      </c>
      <c r="R47">
        <v>26439</v>
      </c>
      <c r="S47">
        <v>26439</v>
      </c>
      <c r="U47">
        <v>15906</v>
      </c>
      <c r="V47">
        <v>501</v>
      </c>
      <c r="AB47">
        <v>25</v>
      </c>
      <c r="AC47">
        <v>0</v>
      </c>
      <c r="AD47">
        <v>48.5</v>
      </c>
      <c r="AE47">
        <v>10</v>
      </c>
      <c r="AF47">
        <v>8.5</v>
      </c>
      <c r="AG47">
        <v>0.98499999999999999</v>
      </c>
      <c r="AH47">
        <v>0.92</v>
      </c>
      <c r="AI47">
        <v>0</v>
      </c>
      <c r="AK47" t="s">
        <v>3093</v>
      </c>
      <c r="AQ47">
        <v>0</v>
      </c>
    </row>
    <row r="48" spans="1:43" x14ac:dyDescent="0.2">
      <c r="A48" t="s">
        <v>3094</v>
      </c>
      <c r="B48" t="s">
        <v>3003</v>
      </c>
      <c r="C48" s="54">
        <v>46239.919813946763</v>
      </c>
      <c r="D48" s="54">
        <v>46239.598796296297</v>
      </c>
      <c r="E48" s="54">
        <v>46239.598830972223</v>
      </c>
      <c r="F48" t="s">
        <v>3004</v>
      </c>
      <c r="G48" t="s">
        <v>3094</v>
      </c>
      <c r="H48">
        <v>46211</v>
      </c>
      <c r="K48" t="s">
        <v>3006</v>
      </c>
      <c r="M48" t="s">
        <v>954</v>
      </c>
      <c r="N48">
        <v>65</v>
      </c>
      <c r="O48">
        <v>65</v>
      </c>
      <c r="R48">
        <v>28167</v>
      </c>
      <c r="S48">
        <v>28167</v>
      </c>
      <c r="U48">
        <v>17380</v>
      </c>
      <c r="V48">
        <v>516</v>
      </c>
      <c r="AB48">
        <v>25</v>
      </c>
      <c r="AC48">
        <v>0</v>
      </c>
      <c r="AD48">
        <v>48.292307692307695</v>
      </c>
      <c r="AE48">
        <v>10</v>
      </c>
      <c r="AF48">
        <v>8.5</v>
      </c>
      <c r="AG48">
        <v>0.98292307692307701</v>
      </c>
      <c r="AH48">
        <v>0.91792307692307717</v>
      </c>
      <c r="AI48">
        <v>0</v>
      </c>
      <c r="AK48" t="s">
        <v>3095</v>
      </c>
      <c r="AQ48">
        <v>0</v>
      </c>
    </row>
    <row r="49" spans="1:43" x14ac:dyDescent="0.2">
      <c r="A49" t="s">
        <v>3096</v>
      </c>
      <c r="B49" t="s">
        <v>3003</v>
      </c>
      <c r="C49" s="54">
        <v>46239.919816747686</v>
      </c>
      <c r="D49" s="54">
        <v>46239.599039351851</v>
      </c>
      <c r="E49" s="54">
        <v>46239.599080659726</v>
      </c>
      <c r="F49" t="s">
        <v>3004</v>
      </c>
      <c r="G49" t="s">
        <v>3096</v>
      </c>
      <c r="H49">
        <v>46211</v>
      </c>
      <c r="K49" t="s">
        <v>1079</v>
      </c>
      <c r="M49" t="s">
        <v>2917</v>
      </c>
      <c r="N49">
        <v>37</v>
      </c>
      <c r="O49">
        <v>37</v>
      </c>
      <c r="R49">
        <v>2016</v>
      </c>
      <c r="S49">
        <v>2016</v>
      </c>
      <c r="U49">
        <v>1148</v>
      </c>
      <c r="V49">
        <v>0</v>
      </c>
      <c r="AB49">
        <v>25</v>
      </c>
      <c r="AC49">
        <v>0</v>
      </c>
      <c r="AD49">
        <v>49.054054054054056</v>
      </c>
      <c r="AE49">
        <v>10</v>
      </c>
      <c r="AF49">
        <v>8.5</v>
      </c>
      <c r="AG49">
        <v>0.99054054054054053</v>
      </c>
      <c r="AH49">
        <v>0.92554054054054069</v>
      </c>
      <c r="AI49">
        <v>0</v>
      </c>
      <c r="AK49" t="s">
        <v>81</v>
      </c>
      <c r="AQ49">
        <v>0</v>
      </c>
    </row>
    <row r="50" spans="1:43" x14ac:dyDescent="0.2">
      <c r="A50" t="s">
        <v>3097</v>
      </c>
      <c r="B50" t="s">
        <v>3003</v>
      </c>
      <c r="C50" s="54">
        <v>46239.919819282404</v>
      </c>
      <c r="D50" s="54">
        <v>46239.599780092591</v>
      </c>
      <c r="E50" s="54">
        <v>46239.599815358793</v>
      </c>
      <c r="F50" t="s">
        <v>3004</v>
      </c>
      <c r="G50" t="s">
        <v>3097</v>
      </c>
      <c r="H50">
        <v>46212</v>
      </c>
      <c r="K50" t="s">
        <v>3006</v>
      </c>
      <c r="M50" t="s">
        <v>2944</v>
      </c>
      <c r="N50">
        <v>105</v>
      </c>
      <c r="O50">
        <v>104</v>
      </c>
      <c r="R50">
        <v>53263</v>
      </c>
      <c r="S50">
        <v>53263</v>
      </c>
      <c r="U50">
        <v>33162</v>
      </c>
      <c r="V50">
        <v>786</v>
      </c>
      <c r="AB50">
        <v>23.557692307692307</v>
      </c>
      <c r="AC50">
        <v>0</v>
      </c>
      <c r="AD50">
        <v>48.201923076923073</v>
      </c>
      <c r="AE50">
        <v>10</v>
      </c>
      <c r="AF50">
        <v>8.5</v>
      </c>
      <c r="AG50">
        <v>0.95317307692307685</v>
      </c>
      <c r="AH50">
        <v>0.90259615384615377</v>
      </c>
      <c r="AI50">
        <v>0</v>
      </c>
      <c r="AK50" t="s">
        <v>3098</v>
      </c>
      <c r="AQ50">
        <v>58</v>
      </c>
    </row>
    <row r="51" spans="1:43" x14ac:dyDescent="0.2">
      <c r="A51" t="s">
        <v>3099</v>
      </c>
      <c r="B51" t="s">
        <v>3003</v>
      </c>
      <c r="C51" s="54">
        <v>46239.919822627315</v>
      </c>
      <c r="D51" s="54">
        <v>46239.600069444445</v>
      </c>
      <c r="E51" s="54">
        <v>46239.600105289355</v>
      </c>
      <c r="F51" t="s">
        <v>3004</v>
      </c>
      <c r="G51" t="s">
        <v>3099</v>
      </c>
      <c r="H51">
        <v>46212</v>
      </c>
      <c r="K51" t="s">
        <v>1079</v>
      </c>
      <c r="M51" t="s">
        <v>2917</v>
      </c>
      <c r="N51">
        <v>70</v>
      </c>
      <c r="O51">
        <v>70</v>
      </c>
      <c r="R51">
        <v>3200</v>
      </c>
      <c r="S51">
        <v>3200</v>
      </c>
      <c r="U51">
        <v>1652</v>
      </c>
      <c r="V51">
        <v>0</v>
      </c>
      <c r="AB51">
        <v>25</v>
      </c>
      <c r="AC51">
        <v>0</v>
      </c>
      <c r="AD51">
        <v>48.285714285714285</v>
      </c>
      <c r="AE51">
        <v>10</v>
      </c>
      <c r="AF51">
        <v>8.5</v>
      </c>
      <c r="AG51">
        <v>0.98285714285714287</v>
      </c>
      <c r="AH51">
        <v>0.91785714285714293</v>
      </c>
      <c r="AI51">
        <v>0</v>
      </c>
      <c r="AK51" t="s">
        <v>3100</v>
      </c>
      <c r="AQ51">
        <v>0</v>
      </c>
    </row>
    <row r="52" spans="1:43" x14ac:dyDescent="0.2">
      <c r="A52" t="s">
        <v>3101</v>
      </c>
      <c r="B52" t="s">
        <v>3003</v>
      </c>
      <c r="C52" s="54">
        <v>46239.919825393517</v>
      </c>
      <c r="D52" s="54">
        <v>46239.600532407407</v>
      </c>
      <c r="E52" s="54">
        <v>46239.600553055556</v>
      </c>
      <c r="F52" t="s">
        <v>3004</v>
      </c>
      <c r="G52" t="s">
        <v>3101</v>
      </c>
      <c r="H52">
        <v>46212</v>
      </c>
      <c r="K52" t="s">
        <v>3031</v>
      </c>
      <c r="M52" t="s">
        <v>1161</v>
      </c>
      <c r="N52">
        <v>30</v>
      </c>
      <c r="O52">
        <v>27</v>
      </c>
      <c r="R52">
        <v>551</v>
      </c>
      <c r="S52">
        <v>551</v>
      </c>
      <c r="U52">
        <v>293</v>
      </c>
      <c r="V52">
        <v>0</v>
      </c>
      <c r="AB52">
        <v>25</v>
      </c>
      <c r="AC52">
        <v>0</v>
      </c>
      <c r="AD52">
        <v>48.666666666666671</v>
      </c>
      <c r="AE52">
        <v>10</v>
      </c>
      <c r="AF52">
        <v>8.5</v>
      </c>
      <c r="AG52">
        <v>0.98666666666666669</v>
      </c>
      <c r="AH52">
        <v>0.92166666666666675</v>
      </c>
      <c r="AI52">
        <v>0</v>
      </c>
      <c r="AK52" t="s">
        <v>71</v>
      </c>
      <c r="AQ52">
        <v>0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 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 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 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 /></Relationships>
</file>

<file path=customXml/_rels/item5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5.xml" /></Relationships>
</file>

<file path=customXml/_rels/item6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6.xml" /></Relationships>
</file>

<file path=customXml/item1.xml>��
</file>

<file path=customXml/item2.xml>��
</file>

<file path=customXml/item3.xml>��
</file>

<file path=customXml/item4.xml>��
</file>

<file path=customXml/item5.xml>��
</file>

<file path=customXml/item6.xml>��
</file>

<file path=customXml/itemProps1.xml><?xml version="1.0" encoding="utf-8"?>
<ds:datastoreItem xmlns:ds="http://schemas.openxmlformats.org/officeDocument/2006/customXml" ds:itemID="{7A593A8A-9293-4D36-B2B5-185ED8DA2786}">
  <ds:schemaRefs>
    <ds:schemaRef ds:uri="http://gemini/pivotcustomization/PowerPivotVersion"/>
  </ds:schemaRefs>
</ds:datastoreItem>
</file>

<file path=customXml/itemProps2.xml><?xml version="1.0" encoding="utf-8"?>
<ds:datastoreItem xmlns:ds="http://schemas.openxmlformats.org/officeDocument/2006/customXml" ds:itemID="{983E385C-B577-4BC1-B354-158AAB9D5EF1}">
  <ds:schemaRefs>
    <ds:schemaRef ds:uri="http://schemas.microsoft.com/DataMashup"/>
  </ds:schemaRefs>
</ds:datastoreItem>
</file>

<file path=customXml/itemProps3.xml><?xml version="1.0" encoding="utf-8"?>
<ds:datastoreItem xmlns:ds="http://schemas.openxmlformats.org/officeDocument/2006/customXml" ds:itemID="{B8E97851-8FA8-432F-AC33-AA9919EC9351}">
  <ds:schemaRefs>
    <ds:schemaRef ds:uri="http://gemini/pivotcustomization/IsSandboxEmbedded"/>
  </ds:schemaRefs>
</ds:datastoreItem>
</file>

<file path=customXml/itemProps4.xml><?xml version="1.0" encoding="utf-8"?>
<ds:datastoreItem xmlns:ds="http://schemas.openxmlformats.org/officeDocument/2006/customXml" ds:itemID="{8C17ED97-522E-4C6B-B160-9DE6F3457905}">
  <ds:schemaRefs>
    <ds:schemaRef ds:uri="http://gemini/pivotcustomization/SandboxNonEmpty"/>
  </ds:schemaRefs>
</ds:datastoreItem>
</file>

<file path=customXml/itemProps5.xml><?xml version="1.0" encoding="utf-8"?>
<ds:datastoreItem xmlns:ds="http://schemas.openxmlformats.org/officeDocument/2006/customXml" ds:itemID="{92C2CD1C-8E55-4C14-A870-A339504AB1A6}">
  <ds:schemaRefs>
    <ds:schemaRef ds:uri="http://gemini/pivotcustomization/RelationshipAutoDetectionEnabled"/>
  </ds:schemaRefs>
</ds:datastoreItem>
</file>

<file path=customXml/itemProps6.xml><?xml version="1.0" encoding="utf-8"?>
<ds:datastoreItem xmlns:ds="http://schemas.openxmlformats.org/officeDocument/2006/customXml" ds:itemID="{4EF6A703-4DB2-4568-B0BE-CF6DF5D65032}">
  <ds:schemaRefs>
    <ds:schemaRef ds:uri="http://gemini/pivotcustomization/ErrorCache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Excel Android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Sheet1</vt:lpstr>
      <vt:lpstr>Detail1</vt:lpstr>
      <vt:lpstr>Sheet2</vt:lpstr>
      <vt:lpstr>Sheet3</vt:lpstr>
      <vt:lpstr>Grand Total</vt:lpstr>
      <vt:lpstr>Query1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2026-09-09T15:18:43Z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icrosoft.ReportingServices.InteractiveReport.Excel.SheetName">
    <vt:i4>3</vt:i4>
  </property>
</Properties>
</file>